
<file path=[Content_Types].xml><?xml version="1.0" encoding="utf-8"?>
<Types xmlns="http://schemas.openxmlformats.org/package/2006/content-types">
  <Default Extension="bin" ContentType="application/vnd.openxmlformats-officedocument.spreadsheetml.printerSettings"/>
  <Default Extension="emf" ContentType="image/x-emf"/>
  <Default Extension="jpeg" ContentType="image/jpeg"/>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9.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10.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drawings/drawing11.xml" ContentType="application/vnd.openxmlformats-officedocument.drawing+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drawings/drawing12.xml" ContentType="application/vnd.openxmlformats-officedocument.drawingml.chartshapes+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drawings/drawing18.xml" ContentType="application/vnd.openxmlformats-officedocument.drawing+xml"/>
  <Override PartName="/xl/drawings/drawing19.xml" ContentType="application/vnd.openxmlformats-officedocument.drawing+xml"/>
  <Override PartName="/xl/drawings/drawing20.xml" ContentType="application/vnd.openxmlformats-officedocument.drawing+xml"/>
  <Override PartName="/xl/drawings/drawing21.xml" ContentType="application/vnd.openxmlformats-officedocument.drawing+xml"/>
  <Override PartName="/xl/drawings/drawing22.xml" ContentType="application/vnd.openxmlformats-officedocument.drawing+xml"/>
  <Override PartName="/xl/drawings/drawing23.xml" ContentType="application/vnd.openxmlformats-officedocument.drawing+xml"/>
  <Override PartName="/xl/drawings/drawing24.xml" ContentType="application/vnd.openxmlformats-officedocument.drawing+xml"/>
  <Override PartName="/xl/drawings/drawing25.xml" ContentType="application/vnd.openxmlformats-officedocument.drawing+xml"/>
  <Override PartName="/xl/drawings/drawing26.xml" ContentType="application/vnd.openxmlformats-officedocument.drawing+xml"/>
  <Override PartName="/xl/drawings/drawing27.xml" ContentType="application/vnd.openxmlformats-officedocument.drawing+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drawings/drawing28.xml" ContentType="application/vnd.openxmlformats-officedocument.drawing+xml"/>
  <Override PartName="/xl/drawings/drawing29.xml" ContentType="application/vnd.openxmlformats-officedocument.drawing+xml"/>
  <Override PartName="/xl/drawings/drawing30.xml" ContentType="application/vnd.openxmlformats-officedocument.drawing+xml"/>
  <Override PartName="/xl/drawings/drawing31.xml" ContentType="application/vnd.openxmlformats-officedocument.drawing+xml"/>
  <Override PartName="/xl/drawings/drawing32.xml" ContentType="application/vnd.openxmlformats-officedocument.drawing+xml"/>
  <Override PartName="/xl/drawings/drawing33.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328"/>
  <workbookPr defaultThemeVersion="166925"/>
  <mc:AlternateContent xmlns:mc="http://schemas.openxmlformats.org/markup-compatibility/2006">
    <mc:Choice Requires="x15">
      <x15ac:absPath xmlns:x15ac="http://schemas.microsoft.com/office/spreadsheetml/2010/11/ac" url="C:\Users\alcab\OneDrive\Bureau\"/>
    </mc:Choice>
  </mc:AlternateContent>
  <xr:revisionPtr revIDLastSave="0" documentId="13_ncr:1_{872FB66B-1D01-48DE-BFDB-C1FF47080E0B}" xr6:coauthVersionLast="45" xr6:coauthVersionMax="45" xr10:uidLastSave="{00000000-0000-0000-0000-000000000000}"/>
  <bookViews>
    <workbookView xWindow="-108" yWindow="-108" windowWidth="23256" windowHeight="12576" firstSheet="31" activeTab="31" xr2:uid="{AA6018E7-DEF6-474A-9161-4488EBDF1C2D}"/>
  </bookViews>
  <sheets>
    <sheet name="1" sheetId="2" r:id="rId1"/>
    <sheet name="2.1" sheetId="3" r:id="rId2"/>
    <sheet name="2.2" sheetId="4" r:id="rId3"/>
    <sheet name="2.3" sheetId="5" r:id="rId4"/>
    <sheet name="2.4" sheetId="6" r:id="rId5"/>
    <sheet name="3.1" sheetId="7" r:id="rId6"/>
    <sheet name="3.2" sheetId="8" r:id="rId7"/>
    <sheet name="3.3" sheetId="9" r:id="rId8"/>
    <sheet name="3.4" sheetId="10" r:id="rId9"/>
    <sheet name="4.1" sheetId="11" r:id="rId10"/>
    <sheet name="5.1" sheetId="12" r:id="rId11"/>
    <sheet name="5.2" sheetId="13" r:id="rId12"/>
    <sheet name="5.3" sheetId="14" r:id="rId13"/>
    <sheet name="6.1" sheetId="15" r:id="rId14"/>
    <sheet name="7.1" sheetId="18" r:id="rId15"/>
    <sheet name="7.2" sheetId="17" r:id="rId16"/>
    <sheet name="7.3" sheetId="16" r:id="rId17"/>
    <sheet name="7.4" sheetId="19" r:id="rId18"/>
    <sheet name="8.1" sheetId="20" r:id="rId19"/>
    <sheet name="8.2" sheetId="21" r:id="rId20"/>
    <sheet name="8.3" sheetId="22" r:id="rId21"/>
    <sheet name="8.4" sheetId="23" r:id="rId22"/>
    <sheet name="8.5-Infos" sheetId="24" r:id="rId23"/>
    <sheet name="8.5-Coûts" sheetId="25" r:id="rId24"/>
    <sheet name="8.6" sheetId="26" r:id="rId25"/>
    <sheet name="9.1" sheetId="27" r:id="rId26"/>
    <sheet name="9.2" sheetId="28" r:id="rId27"/>
    <sheet name="9.3" sheetId="29" r:id="rId28"/>
    <sheet name="9.4" sheetId="30" r:id="rId29"/>
    <sheet name="10.1" sheetId="31" r:id="rId30"/>
    <sheet name="10.2" sheetId="32" r:id="rId31"/>
    <sheet name="10.3" sheetId="33" r:id="rId32"/>
    <sheet name="Test 1" sheetId="34" r:id="rId33"/>
    <sheet name="Test 1.1" sheetId="35" r:id="rId34"/>
    <sheet name="Test 1.2" sheetId="36" r:id="rId35"/>
    <sheet name="11.1" sheetId="37" r:id="rId36"/>
    <sheet name="11.2" sheetId="38" r:id="rId37"/>
    <sheet name="11.3_DATA" sheetId="39" r:id="rId38"/>
    <sheet name="11.3_INV" sheetId="40" r:id="rId39"/>
    <sheet name="11.4" sheetId="41" r:id="rId40"/>
    <sheet name="11.5" sheetId="42" r:id="rId41"/>
    <sheet name="11.6_Données" sheetId="43" r:id="rId42"/>
    <sheet name="11.6_Calc" sheetId="44" r:id="rId43"/>
  </sheets>
  <externalReferences>
    <externalReference r:id="rId44"/>
  </externalReferences>
  <definedNames>
    <definedName name="assurance">'[1]8.5 infos'!$B$12</definedName>
    <definedName name="carburant">'9.3'!$B$2:$B$12</definedName>
    <definedName name="clientok">'9.3'!$C$2:$C$12</definedName>
    <definedName name="code">'11.6_Données'!$A$2:$H$15</definedName>
    <definedName name="coûtkm">'[1]8.5 infos'!$B$10</definedName>
    <definedName name="frais">'[1]8.5 infos'!$B$14</definedName>
    <definedName name="mode">'9.2'!$C$4:$C$11</definedName>
    <definedName name="montant">'9.2'!$B$4:$B$11</definedName>
    <definedName name="moyengé">'9.3'!$C$16</definedName>
    <definedName name="pays">'9.1'!$B$3:$B$19</definedName>
    <definedName name="produit">'9.1'!$A$3:$A$19</definedName>
    <definedName name="Q.Cµ">'9.1'!$C$3:$C$19</definedName>
    <definedName name="QC">'9.1'!$C$3:$C$19</definedName>
    <definedName name="qqch">'11.2'!$A$2:$F$23</definedName>
    <definedName name="QV">'9.1'!$D$3:$D$19</definedName>
    <definedName name="remise">'[1]8.5 infos'!$B$13</definedName>
    <definedName name="Stock">'9.1'!$E$3:$E$19</definedName>
    <definedName name="tab">'11.3_DATA'!$A$2:$D$55</definedName>
    <definedName name="taxe">'[1]8.5 infos'!$B$11</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B2" i="44" l="1"/>
  <c r="C2" i="44"/>
  <c r="E2" i="44"/>
  <c r="G2" i="44" s="1"/>
  <c r="F2" i="44"/>
  <c r="B3" i="44"/>
  <c r="C3" i="44"/>
  <c r="E3" i="44"/>
  <c r="G3" i="44" s="1"/>
  <c r="F3" i="44"/>
  <c r="B4" i="44"/>
  <c r="C4" i="44"/>
  <c r="E4" i="44"/>
  <c r="F4" i="44"/>
  <c r="G4" i="44"/>
  <c r="B5" i="44"/>
  <c r="C5" i="44"/>
  <c r="E5" i="44"/>
  <c r="G5" i="44" s="1"/>
  <c r="F5" i="44"/>
  <c r="B6" i="44"/>
  <c r="C6" i="44"/>
  <c r="E6" i="44"/>
  <c r="G6" i="44" s="1"/>
  <c r="F6" i="44"/>
  <c r="B7" i="44"/>
  <c r="C7" i="44"/>
  <c r="E7" i="44"/>
  <c r="G7" i="44" s="1"/>
  <c r="F7" i="44"/>
  <c r="B8" i="44"/>
  <c r="C8" i="44"/>
  <c r="D8" i="44" a="1"/>
  <c r="D8" i="44" s="1"/>
  <c r="E8" i="44"/>
  <c r="F8" i="44" a="1"/>
  <c r="F8" i="44" s="1"/>
  <c r="G8" i="44" a="1"/>
  <c r="G8" i="44" s="1"/>
  <c r="B9" i="44"/>
  <c r="C9" i="44"/>
  <c r="E9" i="44"/>
  <c r="B10" i="44"/>
  <c r="C10" i="44"/>
  <c r="E10" i="44"/>
  <c r="B11" i="44"/>
  <c r="C11" i="44"/>
  <c r="E11" i="44"/>
  <c r="B12" i="44"/>
  <c r="C12" i="44"/>
  <c r="E12" i="44"/>
  <c r="C3" i="42"/>
  <c r="F3" i="42"/>
  <c r="F7" i="42" s="1"/>
  <c r="F4" i="42"/>
  <c r="C5" i="42"/>
  <c r="E5" i="42"/>
  <c r="F5" i="42"/>
  <c r="G5" i="42"/>
  <c r="F6" i="42"/>
  <c r="A12" i="42"/>
  <c r="C4" i="42" s="1"/>
  <c r="A13" i="42"/>
  <c r="E8" i="41"/>
  <c r="E9" i="41"/>
  <c r="F9" i="41" s="1"/>
  <c r="E10" i="41"/>
  <c r="F10" i="41"/>
  <c r="E11" i="41"/>
  <c r="F11" i="41"/>
  <c r="E12" i="41"/>
  <c r="F12" i="41" s="1"/>
  <c r="E13" i="41"/>
  <c r="F13" i="41" s="1"/>
  <c r="E14" i="41"/>
  <c r="F14" i="41"/>
  <c r="E15" i="41"/>
  <c r="F15" i="41"/>
  <c r="E16" i="41"/>
  <c r="F16" i="41" s="1"/>
  <c r="E17" i="41"/>
  <c r="F17" i="41" s="1"/>
  <c r="E18" i="41"/>
  <c r="F18" i="41"/>
  <c r="E19" i="41"/>
  <c r="F19" i="41"/>
  <c r="E20" i="41"/>
  <c r="F20" i="41" s="1"/>
  <c r="E21" i="41"/>
  <c r="F21" i="41" s="1"/>
  <c r="E22" i="41"/>
  <c r="F22" i="41"/>
  <c r="E23" i="41"/>
  <c r="F23" i="41"/>
  <c r="E24" i="41"/>
  <c r="F24" i="41" s="1"/>
  <c r="E25" i="41"/>
  <c r="F25" i="41" s="1"/>
  <c r="E26" i="41"/>
  <c r="F26" i="41"/>
  <c r="F27" i="41"/>
  <c r="F28" i="41"/>
  <c r="B29" i="41"/>
  <c r="C29" i="41"/>
  <c r="D29" i="41"/>
  <c r="F30" i="41"/>
  <c r="B2" i="40"/>
  <c r="D2" i="40"/>
  <c r="E2" i="40"/>
  <c r="F2" i="40" s="1"/>
  <c r="B3" i="40"/>
  <c r="D3" i="40"/>
  <c r="E3" i="40"/>
  <c r="F3" i="40" s="1"/>
  <c r="B4" i="40"/>
  <c r="D4" i="40"/>
  <c r="E4" i="40"/>
  <c r="F4" i="40" s="1"/>
  <c r="B5" i="40"/>
  <c r="D5" i="40"/>
  <c r="E5" i="40"/>
  <c r="F5" i="40" s="1"/>
  <c r="B6" i="40"/>
  <c r="D6" i="40"/>
  <c r="E6" i="40"/>
  <c r="F6" i="40" s="1"/>
  <c r="B7" i="40"/>
  <c r="D7" i="40"/>
  <c r="E7" i="40"/>
  <c r="F7" i="40" s="1"/>
  <c r="B8" i="40"/>
  <c r="D8" i="40"/>
  <c r="E8" i="40"/>
  <c r="F8" i="40" s="1"/>
  <c r="B9" i="40"/>
  <c r="D9" i="40"/>
  <c r="E9" i="40"/>
  <c r="F9" i="40" s="1"/>
  <c r="I2" i="38"/>
  <c r="J2" i="38"/>
  <c r="K2" i="38"/>
  <c r="L2" i="38"/>
  <c r="I3" i="38"/>
  <c r="J3" i="38"/>
  <c r="K3" i="38"/>
  <c r="L3" i="38"/>
  <c r="I4" i="38"/>
  <c r="J4" i="38"/>
  <c r="K4" i="38"/>
  <c r="L4" i="38"/>
  <c r="I5" i="38"/>
  <c r="J5" i="38"/>
  <c r="K5" i="38"/>
  <c r="L5" i="38"/>
  <c r="I6" i="38"/>
  <c r="J6" i="38"/>
  <c r="K6" i="38"/>
  <c r="L6" i="38"/>
  <c r="I7" i="38"/>
  <c r="J7" i="38"/>
  <c r="K7" i="38"/>
  <c r="L7" i="38"/>
  <c r="I8" i="38"/>
  <c r="J8" i="38"/>
  <c r="K8" i="38"/>
  <c r="L8" i="38"/>
  <c r="I9" i="38"/>
  <c r="J9" i="38"/>
  <c r="K9" i="38"/>
  <c r="L9" i="38"/>
  <c r="I10" i="38"/>
  <c r="J10" i="38"/>
  <c r="K10" i="38"/>
  <c r="L10" i="38"/>
  <c r="I11" i="38"/>
  <c r="J11" i="38"/>
  <c r="K11" i="38"/>
  <c r="L11" i="38"/>
  <c r="I12" i="38"/>
  <c r="J12" i="38"/>
  <c r="K12" i="38"/>
  <c r="L12" i="38"/>
  <c r="E2" i="37"/>
  <c r="F2" i="37" s="1"/>
  <c r="G13" i="44" l="1"/>
  <c r="G3" i="42"/>
  <c r="G7" i="42" s="1"/>
  <c r="G8" i="42" s="1"/>
  <c r="E4" i="42"/>
  <c r="E3" i="42"/>
  <c r="G6" i="42"/>
  <c r="G4" i="42"/>
  <c r="E6" i="42"/>
  <c r="C6" i="42"/>
  <c r="B4" i="41"/>
  <c r="F4" i="41"/>
  <c r="C4" i="41"/>
  <c r="D4" i="41"/>
  <c r="E4" i="41"/>
  <c r="G23" i="41"/>
  <c r="G19" i="41"/>
  <c r="G15" i="41"/>
  <c r="G11" i="41"/>
  <c r="G24" i="41"/>
  <c r="G20" i="41"/>
  <c r="G16" i="41"/>
  <c r="G12" i="41"/>
  <c r="G25" i="41"/>
  <c r="G21" i="41"/>
  <c r="G17" i="41"/>
  <c r="G13" i="41"/>
  <c r="G9" i="41"/>
  <c r="G26" i="41"/>
  <c r="G22" i="41"/>
  <c r="G18" i="41"/>
  <c r="G14" i="41"/>
  <c r="G10" i="41"/>
  <c r="F11" i="40"/>
  <c r="G8" i="40" s="1"/>
  <c r="G4" i="41" l="1"/>
  <c r="G9" i="40"/>
  <c r="G7" i="40"/>
  <c r="G5" i="40"/>
  <c r="G2" i="40"/>
  <c r="G6" i="40"/>
  <c r="G3" i="40"/>
  <c r="G4" i="40"/>
  <c r="G11" i="40" l="1"/>
  <c r="D23" i="26" l="1"/>
  <c r="C22" i="26"/>
  <c r="D16" i="26"/>
  <c r="D17" i="26"/>
  <c r="D18" i="26"/>
  <c r="D19" i="26"/>
  <c r="D20" i="26" s="1"/>
  <c r="D15" i="26"/>
  <c r="D8" i="26"/>
  <c r="D9" i="26" s="1"/>
  <c r="D10" i="26" s="1"/>
  <c r="D11" i="26" s="1"/>
  <c r="D12" i="26" s="1"/>
  <c r="D13" i="26" s="1"/>
  <c r="D14" i="26" s="1"/>
  <c r="D7" i="26"/>
  <c r="D6" i="26"/>
  <c r="C8" i="26"/>
  <c r="C9" i="26" s="1"/>
  <c r="C10" i="26" s="1"/>
  <c r="C11" i="26" s="1"/>
  <c r="C12" i="26" s="1"/>
  <c r="C13" i="26" s="1"/>
  <c r="C14" i="26" s="1"/>
  <c r="C15" i="26" s="1"/>
  <c r="C16" i="26" s="1"/>
  <c r="C17" i="26" s="1"/>
  <c r="C18" i="26" s="1"/>
  <c r="C19" i="26" s="1"/>
  <c r="C20" i="26" s="1"/>
  <c r="C7" i="26"/>
  <c r="C6" i="26"/>
  <c r="F3" i="23"/>
  <c r="F4" i="23"/>
  <c r="F5" i="23"/>
  <c r="F6" i="23"/>
  <c r="F7" i="23"/>
  <c r="F8" i="23"/>
  <c r="F2" i="23"/>
  <c r="E3" i="23"/>
  <c r="E4" i="23"/>
  <c r="E5" i="23"/>
  <c r="E6" i="23"/>
  <c r="E7" i="23"/>
  <c r="E8" i="23"/>
  <c r="E2" i="23"/>
  <c r="F11" i="18"/>
  <c r="F7" i="18"/>
  <c r="F8" i="18"/>
  <c r="F9" i="18"/>
  <c r="F6" i="18"/>
  <c r="E8" i="18"/>
  <c r="E9" i="18" s="1"/>
  <c r="E7" i="18"/>
  <c r="E6" i="18"/>
  <c r="D7" i="18"/>
  <c r="D8" i="18"/>
  <c r="D9" i="18"/>
  <c r="D6" i="18"/>
  <c r="D11" i="18" s="1"/>
  <c r="C11" i="18"/>
  <c r="G2" i="15"/>
  <c r="A1" i="34" l="1"/>
  <c r="B10" i="34"/>
  <c r="E10" i="34"/>
  <c r="E15" i="34" s="1"/>
  <c r="F10" i="34"/>
  <c r="B11" i="34"/>
  <c r="E11" i="34"/>
  <c r="F11" i="34"/>
  <c r="B12" i="34"/>
  <c r="E12" i="34"/>
  <c r="F12" i="34" s="1"/>
  <c r="B13" i="34"/>
  <c r="E13" i="34"/>
  <c r="F13" i="34" s="1"/>
  <c r="B14" i="34"/>
  <c r="E14" i="34"/>
  <c r="F14" i="34"/>
  <c r="C18" i="34"/>
  <c r="C19" i="34"/>
  <c r="F15" i="34" l="1"/>
  <c r="F2" i="33"/>
  <c r="F3" i="33"/>
  <c r="F4" i="33"/>
  <c r="F5" i="33"/>
  <c r="F6" i="33"/>
  <c r="F7" i="33"/>
  <c r="F8" i="33"/>
  <c r="F9" i="33"/>
  <c r="F10" i="33"/>
  <c r="F11" i="33"/>
  <c r="F12" i="33"/>
  <c r="F13" i="33"/>
  <c r="F14" i="33"/>
  <c r="F15" i="33"/>
  <c r="C15" i="32"/>
  <c r="F2" i="31"/>
  <c r="G2" i="31"/>
  <c r="H2" i="31"/>
  <c r="I2" i="31"/>
  <c r="J2" i="31"/>
  <c r="K2" i="31"/>
  <c r="F3" i="31"/>
  <c r="G3" i="31"/>
  <c r="H3" i="31"/>
  <c r="I3" i="31"/>
  <c r="J3" i="31"/>
  <c r="K3" i="31"/>
  <c r="F4" i="31"/>
  <c r="G4" i="31"/>
  <c r="H4" i="31"/>
  <c r="I4" i="31"/>
  <c r="J4" i="31"/>
  <c r="K4" i="31"/>
  <c r="F5" i="31"/>
  <c r="G5" i="31"/>
  <c r="H5" i="31"/>
  <c r="I5" i="31"/>
  <c r="J5" i="31"/>
  <c r="K5" i="31"/>
  <c r="F6" i="31"/>
  <c r="G6" i="31"/>
  <c r="H6" i="31"/>
  <c r="I6" i="31"/>
  <c r="J6" i="31"/>
  <c r="K6" i="31"/>
  <c r="F7" i="31"/>
  <c r="G7" i="31"/>
  <c r="H7" i="31"/>
  <c r="I7" i="31"/>
  <c r="J7" i="31"/>
  <c r="K7" i="31"/>
  <c r="F8" i="31"/>
  <c r="G8" i="31"/>
  <c r="H8" i="31"/>
  <c r="I8" i="31"/>
  <c r="J8" i="31"/>
  <c r="K8" i="31"/>
  <c r="F9" i="31"/>
  <c r="G9" i="31"/>
  <c r="H9" i="31"/>
  <c r="I9" i="31"/>
  <c r="J9" i="31"/>
  <c r="K9" i="31"/>
  <c r="J1" i="30" l="1"/>
  <c r="J2" i="30"/>
  <c r="K2" i="30"/>
  <c r="J3" i="30"/>
  <c r="K3" i="30"/>
  <c r="J4" i="30"/>
  <c r="K4" i="30"/>
  <c r="J5" i="30"/>
  <c r="K5" i="30"/>
  <c r="J6" i="30"/>
  <c r="K6" i="30"/>
  <c r="J7" i="30"/>
  <c r="K7" i="30"/>
  <c r="J8" i="30"/>
  <c r="K8" i="30"/>
  <c r="J9" i="30"/>
  <c r="K9" i="30"/>
  <c r="J10" i="30"/>
  <c r="K10" i="30"/>
  <c r="B11" i="30"/>
  <c r="C11" i="30"/>
  <c r="B15" i="30" s="1"/>
  <c r="D11" i="30"/>
  <c r="E11" i="30"/>
  <c r="B13" i="30" s="1"/>
  <c r="F11" i="30"/>
  <c r="G11" i="30"/>
  <c r="H11" i="30"/>
  <c r="I11" i="30"/>
  <c r="B12" i="30"/>
  <c r="C12" i="30"/>
  <c r="D12" i="30"/>
  <c r="E12" i="30"/>
  <c r="F12" i="30"/>
  <c r="G12" i="30"/>
  <c r="H12" i="30"/>
  <c r="I12" i="30"/>
  <c r="F13" i="30"/>
  <c r="C17" i="30"/>
  <c r="C14" i="29"/>
  <c r="C15" i="29"/>
  <c r="C16" i="29"/>
  <c r="D2" i="29" s="1" a="1"/>
  <c r="D2" i="29" s="1"/>
  <c r="B12" i="28"/>
  <c r="D14" i="28"/>
  <c r="D15" i="28"/>
  <c r="D16" i="28"/>
  <c r="E3" i="27"/>
  <c r="E4" i="27"/>
  <c r="E5" i="27"/>
  <c r="E6" i="27"/>
  <c r="E7" i="27"/>
  <c r="E8" i="27"/>
  <c r="E9" i="27"/>
  <c r="E10" i="27"/>
  <c r="E11" i="27"/>
  <c r="E12" i="27"/>
  <c r="E13" i="27"/>
  <c r="E14" i="27"/>
  <c r="E15" i="27"/>
  <c r="E16" i="27"/>
  <c r="E17" i="27"/>
  <c r="E18" i="27"/>
  <c r="E19" i="27"/>
  <c r="D21" i="27"/>
  <c r="D23" i="27"/>
  <c r="D25" i="27"/>
  <c r="D27" i="27"/>
  <c r="D29" i="27"/>
  <c r="D31" i="27"/>
  <c r="D33" i="27"/>
  <c r="E35" i="27"/>
  <c r="E36" i="27"/>
  <c r="E37" i="27"/>
  <c r="B17" i="30" l="1"/>
  <c r="C13" i="30"/>
  <c r="I13" i="30"/>
  <c r="E13" i="30"/>
  <c r="H13" i="30"/>
  <c r="D13" i="30"/>
  <c r="B16" i="30"/>
  <c r="G13" i="30"/>
  <c r="D17" i="28"/>
  <c r="D2" i="25" l="1"/>
  <c r="D3" i="25"/>
  <c r="D4" i="25"/>
  <c r="B10" i="25" s="1"/>
  <c r="D5" i="25"/>
  <c r="B7" i="25"/>
  <c r="B5" i="22"/>
  <c r="D5" i="22"/>
  <c r="D6" i="22" s="1"/>
  <c r="B6" i="22"/>
  <c r="C6" i="22"/>
  <c r="C6" i="21"/>
  <c r="E6" i="21" s="1"/>
  <c r="C7" i="21"/>
  <c r="E7" i="21" s="1"/>
  <c r="C8" i="21"/>
  <c r="E8" i="21" s="1"/>
  <c r="C9" i="21"/>
  <c r="E9" i="21" s="1"/>
  <c r="C10" i="21"/>
  <c r="E10" i="21" s="1"/>
  <c r="C11" i="21"/>
  <c r="E11" i="21" s="1"/>
  <c r="C12" i="21"/>
  <c r="E12" i="21" s="1"/>
  <c r="C13" i="21"/>
  <c r="E13" i="21" s="1"/>
  <c r="C14" i="21"/>
  <c r="E14" i="21" s="1"/>
  <c r="C23" i="21"/>
  <c r="E23" i="21" s="1"/>
  <c r="C24" i="21"/>
  <c r="E24" i="21" s="1"/>
  <c r="C25" i="21"/>
  <c r="E25" i="21" s="1"/>
  <c r="C26" i="21"/>
  <c r="E26" i="21" s="1"/>
  <c r="C27" i="21"/>
  <c r="E27" i="21" s="1"/>
  <c r="C28" i="21"/>
  <c r="E28" i="21" s="1"/>
  <c r="C29" i="21"/>
  <c r="E29" i="21" s="1"/>
  <c r="C30" i="21"/>
  <c r="E30" i="21" s="1"/>
  <c r="C31" i="21"/>
  <c r="E31" i="21" s="1"/>
  <c r="C32" i="21"/>
  <c r="E32" i="21" s="1"/>
  <c r="C33" i="21"/>
  <c r="E33" i="21" s="1"/>
  <c r="C2" i="20"/>
  <c r="D2" i="20"/>
  <c r="C3" i="20"/>
  <c r="D3" i="20"/>
  <c r="C4" i="20"/>
  <c r="D4" i="20"/>
  <c r="C5" i="20"/>
  <c r="D5" i="20"/>
  <c r="C6" i="20"/>
  <c r="D6" i="20"/>
  <c r="C7" i="20"/>
  <c r="D7" i="20"/>
  <c r="C8" i="20"/>
  <c r="D8" i="20"/>
  <c r="C9" i="20"/>
  <c r="D9" i="20"/>
  <c r="C10" i="20"/>
  <c r="D10" i="20"/>
  <c r="C11" i="20"/>
  <c r="D11" i="20"/>
  <c r="C12" i="20"/>
  <c r="D12" i="20"/>
  <c r="C13" i="20"/>
  <c r="D13" i="20"/>
  <c r="B12" i="25" l="1"/>
  <c r="B11" i="25"/>
  <c r="C16" i="19"/>
  <c r="D16" i="19"/>
  <c r="E16" i="19"/>
  <c r="B17" i="19"/>
  <c r="C17" i="19"/>
  <c r="D17" i="19"/>
  <c r="E17" i="19"/>
  <c r="D2" i="17"/>
  <c r="D3" i="17"/>
  <c r="D4" i="17"/>
  <c r="D5" i="17"/>
  <c r="D6" i="17"/>
  <c r="D7" i="17"/>
  <c r="D8" i="17"/>
  <c r="D2" i="16"/>
  <c r="D3" i="16"/>
  <c r="D4" i="16"/>
  <c r="D5" i="16"/>
  <c r="D6" i="16"/>
  <c r="D7" i="16"/>
  <c r="D8" i="16"/>
  <c r="D9" i="16"/>
  <c r="D10" i="16"/>
  <c r="D11" i="16"/>
  <c r="D13" i="16"/>
  <c r="B19" i="25" l="1"/>
  <c r="B20" i="25" s="1"/>
  <c r="D2" i="15"/>
  <c r="D3" i="15"/>
  <c r="G3" i="15" s="1"/>
  <c r="D4" i="15"/>
  <c r="G4" i="15" s="1"/>
  <c r="D5" i="15"/>
  <c r="G5" i="15" s="1"/>
  <c r="D6" i="15"/>
  <c r="G6" i="15" s="1"/>
  <c r="A7" i="14" l="1"/>
  <c r="B7" i="14"/>
  <c r="B8" i="14" s="1"/>
  <c r="B9" i="14" s="1"/>
  <c r="B10" i="14" s="1"/>
  <c r="B11" i="14" s="1"/>
  <c r="B12" i="14" s="1"/>
  <c r="B13" i="14" s="1"/>
  <c r="B14" i="14" s="1"/>
  <c r="B15" i="14" s="1"/>
  <c r="C7" i="14"/>
  <c r="D7" i="14"/>
  <c r="D8" i="14" s="1"/>
  <c r="D9" i="14" s="1"/>
  <c r="D10" i="14" s="1"/>
  <c r="D11" i="14" s="1"/>
  <c r="D12" i="14" s="1"/>
  <c r="D13" i="14" s="1"/>
  <c r="D14" i="14" s="1"/>
  <c r="D15" i="14" s="1"/>
  <c r="E7" i="14"/>
  <c r="A8" i="14"/>
  <c r="A9" i="14" s="1"/>
  <c r="A10" i="14" s="1"/>
  <c r="A11" i="14" s="1"/>
  <c r="A12" i="14" s="1"/>
  <c r="A13" i="14" s="1"/>
  <c r="A14" i="14" s="1"/>
  <c r="A15" i="14" s="1"/>
  <c r="C8" i="14"/>
  <c r="C9" i="14" s="1"/>
  <c r="C10" i="14" s="1"/>
  <c r="C11" i="14" s="1"/>
  <c r="C12" i="14" s="1"/>
  <c r="C13" i="14" s="1"/>
  <c r="C14" i="14" s="1"/>
  <c r="C15" i="14" s="1"/>
  <c r="E8" i="14"/>
  <c r="E9" i="14" s="1"/>
  <c r="E10" i="14" s="1"/>
  <c r="E11" i="14" s="1"/>
  <c r="E12" i="14" s="1"/>
  <c r="E13" i="14" s="1"/>
  <c r="E14" i="14" s="1"/>
  <c r="E15" i="14" s="1"/>
  <c r="D4" i="13"/>
  <c r="D5" i="13"/>
  <c r="D6" i="13"/>
  <c r="D7" i="13"/>
  <c r="D8" i="13"/>
  <c r="D9" i="13"/>
  <c r="D10" i="13"/>
  <c r="D11" i="13"/>
  <c r="D12" i="13"/>
  <c r="B3" i="12"/>
  <c r="B5" i="12"/>
  <c r="B6" i="12"/>
  <c r="I6" i="12"/>
  <c r="B7" i="12"/>
  <c r="B8" i="12"/>
  <c r="B9" i="12"/>
  <c r="B10" i="12"/>
  <c r="B11" i="12"/>
  <c r="E2" i="11" l="1"/>
  <c r="E15" i="11" s="1"/>
  <c r="F2" i="11"/>
  <c r="F16" i="11" s="1"/>
  <c r="G2" i="11"/>
  <c r="H2" i="11"/>
  <c r="H14" i="11" s="1"/>
  <c r="E3" i="11"/>
  <c r="F3" i="11"/>
  <c r="G3" i="11"/>
  <c r="H3" i="11"/>
  <c r="E4" i="11"/>
  <c r="F4" i="11"/>
  <c r="G4" i="11"/>
  <c r="H4" i="11"/>
  <c r="E5" i="11"/>
  <c r="F5" i="11"/>
  <c r="G5" i="11"/>
  <c r="H5" i="11"/>
  <c r="E6" i="11"/>
  <c r="F6" i="11"/>
  <c r="G6" i="11"/>
  <c r="H6" i="11"/>
  <c r="E7" i="11"/>
  <c r="F7" i="11"/>
  <c r="G7" i="11"/>
  <c r="H7" i="11"/>
  <c r="E8" i="11"/>
  <c r="F8" i="11"/>
  <c r="G8" i="11"/>
  <c r="H8" i="11"/>
  <c r="E9" i="11"/>
  <c r="F9" i="11"/>
  <c r="G9" i="11"/>
  <c r="H9" i="11"/>
  <c r="E10" i="11"/>
  <c r="F10" i="11"/>
  <c r="G10" i="11"/>
  <c r="H10" i="11"/>
  <c r="E11" i="11"/>
  <c r="F11" i="11"/>
  <c r="G11" i="11"/>
  <c r="H11" i="11"/>
  <c r="E12" i="11"/>
  <c r="F12" i="11"/>
  <c r="G12" i="11"/>
  <c r="H12" i="11"/>
  <c r="E13" i="11"/>
  <c r="F13" i="11"/>
  <c r="G13" i="11"/>
  <c r="H13" i="11"/>
  <c r="B14" i="11"/>
  <c r="C14" i="11"/>
  <c r="D14" i="11"/>
  <c r="G14" i="11"/>
  <c r="B15" i="11"/>
  <c r="C15" i="11"/>
  <c r="D15" i="11"/>
  <c r="G15" i="11"/>
  <c r="H15" i="11"/>
  <c r="B16" i="11"/>
  <c r="C16" i="11"/>
  <c r="D16" i="11"/>
  <c r="E16" i="11"/>
  <c r="G16" i="11"/>
  <c r="H16" i="11"/>
  <c r="B17" i="11"/>
  <c r="C17" i="11"/>
  <c r="D17" i="11"/>
  <c r="E17" i="11"/>
  <c r="F17" i="11"/>
  <c r="G17" i="11"/>
  <c r="H17" i="11"/>
  <c r="F14" i="11" l="1"/>
  <c r="F15" i="11"/>
  <c r="E14" i="11"/>
  <c r="B4" i="10"/>
  <c r="C4" i="10"/>
  <c r="D4" i="10"/>
  <c r="E4" i="10"/>
  <c r="F4" i="10"/>
  <c r="G4" i="10"/>
  <c r="B5" i="10"/>
  <c r="C5" i="10"/>
  <c r="D5" i="10"/>
  <c r="E5" i="10"/>
  <c r="F5" i="10"/>
  <c r="G5" i="10"/>
  <c r="B6" i="10"/>
  <c r="C6" i="10"/>
  <c r="D6" i="10"/>
  <c r="E6" i="10"/>
  <c r="F6" i="10"/>
  <c r="G6" i="10"/>
  <c r="B7" i="10"/>
  <c r="C7" i="10"/>
  <c r="D7" i="10"/>
  <c r="E7" i="10"/>
  <c r="F7" i="10"/>
  <c r="G7" i="10"/>
  <c r="B8" i="10"/>
  <c r="C8" i="10"/>
  <c r="D8" i="10"/>
  <c r="E8" i="10"/>
  <c r="F8" i="10"/>
  <c r="G8" i="10"/>
  <c r="B9" i="10"/>
  <c r="C9" i="10"/>
  <c r="D9" i="10"/>
  <c r="E9" i="10"/>
  <c r="F9" i="10"/>
  <c r="G9" i="10"/>
  <c r="B10" i="10"/>
  <c r="C10" i="10"/>
  <c r="D10" i="10"/>
  <c r="E10" i="10"/>
  <c r="F10" i="10"/>
  <c r="G10" i="10"/>
  <c r="B11" i="10"/>
  <c r="C11" i="10"/>
  <c r="D11" i="10"/>
  <c r="E11" i="10"/>
  <c r="F11" i="10"/>
  <c r="G11" i="10"/>
  <c r="C12" i="9"/>
  <c r="D12" i="9"/>
  <c r="D13" i="9" s="1"/>
  <c r="D14" i="9" s="1"/>
  <c r="E12" i="9"/>
  <c r="F12" i="9"/>
  <c r="C13" i="9"/>
  <c r="E13" i="9"/>
  <c r="F13" i="9"/>
  <c r="C14" i="9"/>
  <c r="E14" i="9"/>
  <c r="F14" i="9"/>
  <c r="C1" i="8"/>
  <c r="D1" i="8"/>
  <c r="E1" i="8" s="1"/>
  <c r="A2" i="8"/>
  <c r="B2" i="8" s="1"/>
  <c r="C2" i="7"/>
  <c r="C3" i="7"/>
  <c r="C4" i="7"/>
  <c r="C5" i="7"/>
  <c r="C6" i="7"/>
  <c r="C7" i="7"/>
  <c r="C8" i="7"/>
  <c r="C9" i="7"/>
  <c r="C10" i="7"/>
  <c r="C11" i="7"/>
  <c r="C12" i="7"/>
  <c r="E2" i="8" l="1"/>
  <c r="F1" i="8"/>
  <c r="A3" i="8"/>
  <c r="A4" i="8" s="1"/>
  <c r="D4" i="8" s="1"/>
  <c r="D2" i="8"/>
  <c r="C2" i="8"/>
  <c r="E3" i="8" l="1"/>
  <c r="C4" i="8"/>
  <c r="A5" i="8"/>
  <c r="B4" i="8"/>
  <c r="D3" i="8"/>
  <c r="C3" i="8"/>
  <c r="E4" i="8"/>
  <c r="G1" i="8"/>
  <c r="F3" i="8"/>
  <c r="F2" i="8"/>
  <c r="F4" i="8"/>
  <c r="B3" i="8"/>
  <c r="G4" i="8" l="1"/>
  <c r="H1" i="8"/>
  <c r="G3" i="8"/>
  <c r="G2" i="8"/>
  <c r="G5" i="8"/>
  <c r="D5" i="8"/>
  <c r="A6" i="8"/>
  <c r="C5" i="8"/>
  <c r="B5" i="8"/>
  <c r="E5" i="8"/>
  <c r="F5" i="8"/>
  <c r="A7" i="8" l="1"/>
  <c r="E6" i="8"/>
  <c r="C6" i="8"/>
  <c r="B6" i="8"/>
  <c r="D6" i="8"/>
  <c r="F6" i="8"/>
  <c r="G6" i="8"/>
  <c r="H6" i="8"/>
  <c r="I1" i="8"/>
  <c r="H4" i="8"/>
  <c r="H3" i="8"/>
  <c r="H7" i="8"/>
  <c r="H2" i="8"/>
  <c r="H5" i="8"/>
  <c r="I7" i="8" l="1"/>
  <c r="I2" i="8"/>
  <c r="I5" i="8"/>
  <c r="J1" i="8"/>
  <c r="I4" i="8"/>
  <c r="I3" i="8"/>
  <c r="I6" i="8"/>
  <c r="A8" i="8"/>
  <c r="C7" i="8"/>
  <c r="B7" i="8"/>
  <c r="E7" i="8"/>
  <c r="D7" i="8"/>
  <c r="F7" i="8"/>
  <c r="G7" i="8"/>
  <c r="B7" i="4"/>
  <c r="C7" i="4"/>
  <c r="D7" i="4"/>
  <c r="B11" i="4"/>
  <c r="B20" i="4" s="1"/>
  <c r="C11" i="4"/>
  <c r="D11" i="4"/>
  <c r="D20" i="4" s="1"/>
  <c r="B15" i="4"/>
  <c r="C15" i="4"/>
  <c r="D15" i="4"/>
  <c r="B19" i="4"/>
  <c r="C19" i="4"/>
  <c r="D19" i="4"/>
  <c r="C20" i="4"/>
  <c r="B17" i="3"/>
  <c r="C17" i="3"/>
  <c r="D17" i="3"/>
  <c r="E17" i="3"/>
  <c r="F17" i="3"/>
  <c r="G17" i="3"/>
  <c r="F8" i="8" l="1"/>
  <c r="G8" i="8"/>
  <c r="H8" i="8"/>
  <c r="A9" i="8"/>
  <c r="E8" i="8"/>
  <c r="I8" i="8"/>
  <c r="J8" i="8"/>
  <c r="K8" i="8"/>
  <c r="C8" i="8"/>
  <c r="D8" i="8"/>
  <c r="B8" i="8"/>
  <c r="J7" i="8"/>
  <c r="J2" i="8"/>
  <c r="J6" i="8"/>
  <c r="J5" i="8"/>
  <c r="K1" i="8"/>
  <c r="J4" i="8"/>
  <c r="J3" i="8"/>
  <c r="D2" i="2"/>
  <c r="E2" i="2"/>
  <c r="E3" i="2" s="1"/>
  <c r="E4" i="2" s="1"/>
  <c r="E5" i="2" s="1"/>
  <c r="D3" i="2"/>
  <c r="D4" i="2"/>
  <c r="D5" i="2"/>
  <c r="D6" i="2"/>
  <c r="C9" i="8" l="1"/>
  <c r="D9" i="8"/>
  <c r="A10" i="8"/>
  <c r="E9" i="8"/>
  <c r="B9" i="8"/>
  <c r="F9" i="8"/>
  <c r="G9" i="8"/>
  <c r="H9" i="8"/>
  <c r="I9" i="8"/>
  <c r="K4" i="8"/>
  <c r="K3" i="8"/>
  <c r="K7" i="8"/>
  <c r="K2" i="8"/>
  <c r="K6" i="8"/>
  <c r="K10" i="8"/>
  <c r="K5" i="8"/>
  <c r="K9" i="8"/>
  <c r="J9" i="8"/>
  <c r="D10" i="8" l="1"/>
  <c r="A11" i="8"/>
  <c r="E10" i="8"/>
  <c r="C10" i="8"/>
  <c r="B10" i="8"/>
  <c r="F10" i="8"/>
  <c r="G10" i="8"/>
  <c r="H10" i="8"/>
  <c r="I10" i="8"/>
  <c r="J10" i="8"/>
  <c r="B11" i="8" l="1"/>
  <c r="E11" i="8"/>
  <c r="D11" i="8"/>
  <c r="C11" i="8"/>
  <c r="F11" i="8"/>
  <c r="G11" i="8"/>
  <c r="H11" i="8"/>
  <c r="I11" i="8"/>
  <c r="J11" i="8"/>
  <c r="K11" i="8"/>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<sst xmlns="http://schemas.openxmlformats.org/spreadsheetml/2006/main" count="1105" uniqueCount="774">
  <si>
    <t>TOTAL</t>
  </si>
  <si>
    <t>Produit 4</t>
  </si>
  <si>
    <t>Produit 3</t>
  </si>
  <si>
    <t>Produit 2</t>
  </si>
  <si>
    <t>Produit 1</t>
  </si>
  <si>
    <t>PRIX cumulé</t>
  </si>
  <si>
    <t>PRIX TOTAL</t>
  </si>
  <si>
    <t>Article</t>
  </si>
  <si>
    <t>Total</t>
  </si>
  <si>
    <t>Décembre</t>
  </si>
  <si>
    <t>Novembre</t>
  </si>
  <si>
    <t>Octobre</t>
  </si>
  <si>
    <t>Septembre</t>
  </si>
  <si>
    <t>Août</t>
  </si>
  <si>
    <t>Juillet</t>
  </si>
  <si>
    <t>Juin</t>
  </si>
  <si>
    <t>Mai</t>
  </si>
  <si>
    <t>Avril</t>
  </si>
  <si>
    <t>Mars</t>
  </si>
  <si>
    <t>Février</t>
  </si>
  <si>
    <t>Janvier</t>
  </si>
  <si>
    <t>ALLEMANDES</t>
  </si>
  <si>
    <t>VW</t>
  </si>
  <si>
    <t>Porsche</t>
  </si>
  <si>
    <t>Opel</t>
  </si>
  <si>
    <t>Mercedes</t>
  </si>
  <si>
    <t>BMW</t>
  </si>
  <si>
    <t>Audi</t>
  </si>
  <si>
    <t>Répartition des ventes de voitures d'occasion</t>
  </si>
  <si>
    <t>Trimestre 4</t>
  </si>
  <si>
    <t>Trimestre 3</t>
  </si>
  <si>
    <t>Trimestre 2</t>
  </si>
  <si>
    <t>Trimestre 1</t>
  </si>
  <si>
    <t>Relevé des Ventes</t>
  </si>
  <si>
    <t>f</t>
  </si>
  <si>
    <t>Liège</t>
  </si>
  <si>
    <t>CCS DPO</t>
  </si>
  <si>
    <t>Viviane</t>
  </si>
  <si>
    <t>AMELLAL</t>
  </si>
  <si>
    <t>m</t>
  </si>
  <si>
    <t>Namur</t>
  </si>
  <si>
    <t>CFS CO</t>
  </si>
  <si>
    <t>Jean-Marc</t>
  </si>
  <si>
    <t>Bruxelles</t>
  </si>
  <si>
    <t>CCS AGL</t>
  </si>
  <si>
    <t>Nicolas</t>
  </si>
  <si>
    <t>AMARA</t>
  </si>
  <si>
    <t>CCS DXO</t>
  </si>
  <si>
    <t>Jean</t>
  </si>
  <si>
    <t>ALEMBERT</t>
  </si>
  <si>
    <t>Brigitte</t>
  </si>
  <si>
    <t>AGAPOF</t>
  </si>
  <si>
    <t>CCS OGT</t>
  </si>
  <si>
    <t>Stéphane</t>
  </si>
  <si>
    <t>ADAMO</t>
  </si>
  <si>
    <t>Paul</t>
  </si>
  <si>
    <t>ABSCHEN</t>
  </si>
  <si>
    <t>Myriam</t>
  </si>
  <si>
    <t>ABEN</t>
  </si>
  <si>
    <t>AGE</t>
  </si>
  <si>
    <t>DATE DE
NAISSANCE</t>
  </si>
  <si>
    <t>SEXE</t>
  </si>
  <si>
    <t>SALAIRE</t>
  </si>
  <si>
    <t>PIECE</t>
  </si>
  <si>
    <t>SITE</t>
  </si>
  <si>
    <t>DIRECTION</t>
  </si>
  <si>
    <t>TELEPHONE</t>
  </si>
  <si>
    <t>PRENOM</t>
  </si>
  <si>
    <t>NOM</t>
  </si>
  <si>
    <t>Registre du personnel</t>
  </si>
  <si>
    <t>Valeurs mises en formes</t>
  </si>
  <si>
    <t>Valeurs brutes</t>
  </si>
  <si>
    <t>Prix TVAC</t>
  </si>
  <si>
    <t>Prix HTVA</t>
  </si>
  <si>
    <t>Taux TVA</t>
  </si>
  <si>
    <t>Total des achats TVA comprise</t>
  </si>
  <si>
    <t>TVA</t>
  </si>
  <si>
    <t>Total des achats HTVA</t>
  </si>
  <si>
    <t>Cafetière</t>
  </si>
  <si>
    <t>Grille-pain</t>
  </si>
  <si>
    <t>Gant</t>
  </si>
  <si>
    <t>Patins</t>
  </si>
  <si>
    <t>Manteau</t>
  </si>
  <si>
    <t>Chaussures</t>
  </si>
  <si>
    <t>Cravate</t>
  </si>
  <si>
    <t>Poupée</t>
  </si>
  <si>
    <t>Daniel</t>
  </si>
  <si>
    <t>Gisèle</t>
  </si>
  <si>
    <t>Brenda</t>
  </si>
  <si>
    <t>Marc</t>
  </si>
  <si>
    <t>Articles</t>
  </si>
  <si>
    <t>ACHATS CADEAUX</t>
  </si>
  <si>
    <t>Prix d'achat</t>
  </si>
  <si>
    <t>Prix de vente avec un taux de marge de</t>
  </si>
  <si>
    <t>Calcul des marges</t>
  </si>
  <si>
    <t>maximum</t>
  </si>
  <si>
    <t>minimum</t>
  </si>
  <si>
    <t>moyenne</t>
  </si>
  <si>
    <t>décembre</t>
  </si>
  <si>
    <t>novembre</t>
  </si>
  <si>
    <t>octobre</t>
  </si>
  <si>
    <t>septembre</t>
  </si>
  <si>
    <t>août</t>
  </si>
  <si>
    <t>juillet</t>
  </si>
  <si>
    <t>juin</t>
  </si>
  <si>
    <t>mai</t>
  </si>
  <si>
    <t>avril</t>
  </si>
  <si>
    <t>mars</t>
  </si>
  <si>
    <t>février</t>
  </si>
  <si>
    <t>janvier</t>
  </si>
  <si>
    <t xml:space="preserve">Total </t>
  </si>
  <si>
    <t>Wallonie</t>
  </si>
  <si>
    <t>Flandre</t>
  </si>
  <si>
    <t>Bruxelles
Capitale</t>
  </si>
  <si>
    <t>Mois</t>
  </si>
  <si>
    <t>est l'année actuelle</t>
  </si>
  <si>
    <t>l'année</t>
  </si>
  <si>
    <t>(jour)</t>
  </si>
  <si>
    <t>Nous sommes le</t>
  </si>
  <si>
    <t>ème jour de la semaine</t>
  </si>
  <si>
    <t>c'est le</t>
  </si>
  <si>
    <t>ème mois de l'année</t>
  </si>
  <si>
    <t>secondes</t>
  </si>
  <si>
    <t>minutes</t>
  </si>
  <si>
    <t>heures</t>
  </si>
  <si>
    <t>Il est</t>
  </si>
  <si>
    <t>Nous sommes le 
:</t>
  </si>
  <si>
    <t>Quelques formules simples sur les dates</t>
  </si>
  <si>
    <t>Houssam</t>
  </si>
  <si>
    <t>VOUS</t>
  </si>
  <si>
    <t>Kaï</t>
  </si>
  <si>
    <t>FRIEDRICH</t>
  </si>
  <si>
    <t>Mickaël</t>
  </si>
  <si>
    <t>UZAN</t>
  </si>
  <si>
    <t>Sandrine</t>
  </si>
  <si>
    <t>EGLY</t>
  </si>
  <si>
    <t>Henri</t>
  </si>
  <si>
    <t>CERVALLO</t>
  </si>
  <si>
    <t>Sébastien</t>
  </si>
  <si>
    <t>LE BOZEC</t>
  </si>
  <si>
    <t>Benoit</t>
  </si>
  <si>
    <t>BASQUIN</t>
  </si>
  <si>
    <t>Laurent</t>
  </si>
  <si>
    <t>ROUEX</t>
  </si>
  <si>
    <t>Fouad</t>
  </si>
  <si>
    <t>ADJIMI</t>
  </si>
  <si>
    <t>Âge</t>
  </si>
  <si>
    <t>Naissance</t>
  </si>
  <si>
    <t>Prénom</t>
  </si>
  <si>
    <t>Date d'aujourd'hui</t>
  </si>
  <si>
    <t>Années</t>
  </si>
  <si>
    <t>Trimestres</t>
  </si>
  <si>
    <t>Semaines</t>
  </si>
  <si>
    <t>Jours</t>
  </si>
  <si>
    <t>INTERVALLES</t>
  </si>
  <si>
    <t xml:space="preserve"> 1 trimestre =</t>
  </si>
  <si>
    <t>1 an =</t>
  </si>
  <si>
    <t>1 semaine =</t>
  </si>
  <si>
    <t>Date de départ</t>
  </si>
  <si>
    <t>3DD2</t>
  </si>
  <si>
    <t>Mahaux</t>
  </si>
  <si>
    <t>1JB2</t>
  </si>
  <si>
    <t>Molineri</t>
  </si>
  <si>
    <t>2XC1</t>
  </si>
  <si>
    <t>Caroline</t>
  </si>
  <si>
    <t>Carbonnelle</t>
  </si>
  <si>
    <t>1DB2</t>
  </si>
  <si>
    <t>Nathalie</t>
  </si>
  <si>
    <t>Deltour</t>
  </si>
  <si>
    <t>3eBA1</t>
  </si>
  <si>
    <t>Tanguy</t>
  </si>
  <si>
    <t>Dumoulin</t>
  </si>
  <si>
    <t>Matricule</t>
  </si>
  <si>
    <t>Classe</t>
  </si>
  <si>
    <t>Date de naissance</t>
  </si>
  <si>
    <t>Initiales</t>
  </si>
  <si>
    <t>Sexe</t>
  </si>
  <si>
    <t>Nom</t>
  </si>
  <si>
    <t>N° de séries des jours de début et de fin:</t>
  </si>
  <si>
    <t>Evaluation</t>
  </si>
  <si>
    <t>Finalisation du rapport</t>
  </si>
  <si>
    <t>Collecte des remarques</t>
  </si>
  <si>
    <t>Rédaction du rapport</t>
  </si>
  <si>
    <t>Analyse des données</t>
  </si>
  <si>
    <t>Saisie</t>
  </si>
  <si>
    <t>Enquêtes sur le terrain</t>
  </si>
  <si>
    <t>Impression du questionnaire</t>
  </si>
  <si>
    <t>Création du questionnaire</t>
  </si>
  <si>
    <t>Briefing</t>
  </si>
  <si>
    <t>Fin</t>
  </si>
  <si>
    <t>Durée</t>
  </si>
  <si>
    <t>Début</t>
  </si>
  <si>
    <t>Tâches</t>
  </si>
  <si>
    <t>A7</t>
  </si>
  <si>
    <t>A6</t>
  </si>
  <si>
    <t>A5</t>
  </si>
  <si>
    <t>A4</t>
  </si>
  <si>
    <t>A3</t>
  </si>
  <si>
    <t>A2</t>
  </si>
  <si>
    <t>A1</t>
  </si>
  <si>
    <t>Valeur</t>
  </si>
  <si>
    <t>Stock</t>
  </si>
  <si>
    <t>Prix</t>
  </si>
  <si>
    <t>Date</t>
  </si>
  <si>
    <t>Entrepôt 3</t>
  </si>
  <si>
    <t>Entrepôt 2</t>
  </si>
  <si>
    <t>Entrepôt 1</t>
  </si>
  <si>
    <t>Si montant &gt;</t>
  </si>
  <si>
    <t>Ristourne</t>
  </si>
  <si>
    <t>client 12</t>
  </si>
  <si>
    <t>client 11</t>
  </si>
  <si>
    <t>client 10</t>
  </si>
  <si>
    <t>client 9</t>
  </si>
  <si>
    <t>client 8</t>
  </si>
  <si>
    <t>client 7</t>
  </si>
  <si>
    <t>client 6</t>
  </si>
  <si>
    <t>client 5</t>
  </si>
  <si>
    <t>client 4</t>
  </si>
  <si>
    <t>client 3</t>
  </si>
  <si>
    <t>client 2</t>
  </si>
  <si>
    <t>client 1</t>
  </si>
  <si>
    <t>Montant Ristourne</t>
  </si>
  <si>
    <t>Montant Commande</t>
  </si>
  <si>
    <t>Clients</t>
  </si>
  <si>
    <t>C</t>
  </si>
  <si>
    <t>Moulin à sel</t>
  </si>
  <si>
    <t>Moulin à poivre</t>
  </si>
  <si>
    <t>Vin</t>
  </si>
  <si>
    <t>B</t>
  </si>
  <si>
    <t>Margarine</t>
  </si>
  <si>
    <t>A</t>
  </si>
  <si>
    <t>Huile de noix</t>
  </si>
  <si>
    <t>Huile d'olive</t>
  </si>
  <si>
    <t>Pesto</t>
  </si>
  <si>
    <t>Pizza à consommer sur place</t>
  </si>
  <si>
    <t>Pâtes</t>
  </si>
  <si>
    <t>Caviar</t>
  </si>
  <si>
    <t>Saumon fumé</t>
  </si>
  <si>
    <t>PVhTVA</t>
  </si>
  <si>
    <t>Code TVA</t>
  </si>
  <si>
    <t>Produit</t>
  </si>
  <si>
    <t>Code</t>
  </si>
  <si>
    <t>Gagnant si points &gt;</t>
  </si>
  <si>
    <t>Résultat</t>
  </si>
  <si>
    <t>Score 2</t>
  </si>
  <si>
    <t>Score 1</t>
  </si>
  <si>
    <t>Pierre</t>
  </si>
  <si>
    <t>Arnaud</t>
  </si>
  <si>
    <t>Joueurs</t>
  </si>
  <si>
    <t>Anne</t>
  </si>
  <si>
    <t>Murielle</t>
  </si>
  <si>
    <t>André</t>
  </si>
  <si>
    <t>Luc</t>
  </si>
  <si>
    <t>Moyenne</t>
  </si>
  <si>
    <t>Histoire</t>
  </si>
  <si>
    <t>Français</t>
  </si>
  <si>
    <t>Math</t>
  </si>
  <si>
    <t>Etudiant</t>
  </si>
  <si>
    <t>Frais</t>
  </si>
  <si>
    <t>hors taxe</t>
  </si>
  <si>
    <t>Frais de gestion</t>
  </si>
  <si>
    <t>NombrePers</t>
  </si>
  <si>
    <t>Remise</t>
  </si>
  <si>
    <t>Assur</t>
  </si>
  <si>
    <t>Assurance  / personne</t>
  </si>
  <si>
    <t>Age</t>
  </si>
  <si>
    <t>Taxe</t>
  </si>
  <si>
    <t>Taxe de séjour / personne</t>
  </si>
  <si>
    <t>CoûtKM</t>
  </si>
  <si>
    <t>Coût par km pour le groupe</t>
  </si>
  <si>
    <t>Coût3</t>
  </si>
  <si>
    <t>Tranche 4</t>
  </si>
  <si>
    <t>+ 35 ans</t>
  </si>
  <si>
    <t>Coût2</t>
  </si>
  <si>
    <t>Tranche 3</t>
  </si>
  <si>
    <t>25 à 35 ans</t>
  </si>
  <si>
    <t>Coût1</t>
  </si>
  <si>
    <t>Tranche 2</t>
  </si>
  <si>
    <t>18 à 25 ans</t>
  </si>
  <si>
    <t>CoûtEnfant</t>
  </si>
  <si>
    <t>Tranche 1</t>
  </si>
  <si>
    <t>Enfants</t>
  </si>
  <si>
    <t>En italiques: Nom à donner à la cellule.</t>
  </si>
  <si>
    <t>coût par jour et par personnes</t>
  </si>
  <si>
    <t>Informations tarifaires</t>
  </si>
  <si>
    <t>Nombre KM</t>
  </si>
  <si>
    <t>Nombre de jours</t>
  </si>
  <si>
    <t>Coût moyen pp.</t>
  </si>
  <si>
    <t>Coût total</t>
  </si>
  <si>
    <t>Coût par km pour groupe</t>
  </si>
  <si>
    <t>Assurance</t>
  </si>
  <si>
    <t>Taxe de séjour</t>
  </si>
  <si>
    <t>Coût du séjour</t>
  </si>
  <si>
    <t>Récapitulatif</t>
  </si>
  <si>
    <t>Nbre de membres du groupe</t>
  </si>
  <si>
    <t>"Coût par jour et par personne"</t>
  </si>
  <si>
    <t>Nombre</t>
  </si>
  <si>
    <t>Objectif</t>
  </si>
  <si>
    <t>Total des places vendues</t>
  </si>
  <si>
    <t>Places vendues</t>
  </si>
  <si>
    <t>&gt;</t>
  </si>
  <si>
    <t>&lt;</t>
  </si>
  <si>
    <t>Prix des entrées</t>
  </si>
  <si>
    <t>La somme des fruits vendus  dont la deuxième lettre est un "o"</t>
  </si>
  <si>
    <t>La somme des fruits vendus par les pays dont la dernière lettre n'est pas un "e"</t>
  </si>
  <si>
    <t>La somme des fruits vendus par les pays dont la dernière lettre est un "e"</t>
  </si>
  <si>
    <t>Nbre d'articles  en stock:</t>
  </si>
  <si>
    <t>Somme des fruits vendus:</t>
  </si>
  <si>
    <t>Espagne</t>
  </si>
  <si>
    <t>Moyenne des fruits vendus:    Provenance =</t>
  </si>
  <si>
    <t>Moyenne des fruits vendus (tous pays confondus):</t>
  </si>
  <si>
    <t>Poires</t>
  </si>
  <si>
    <t>Combien de pays vendent des (choisir fruits):</t>
  </si>
  <si>
    <t>Italie</t>
  </si>
  <si>
    <t xml:space="preserve">Nbre de produits/catégories:  Provenance = </t>
  </si>
  <si>
    <t>Suisse</t>
  </si>
  <si>
    <t xml:space="preserve">Total des fruits vendus:          Provenance =  </t>
  </si>
  <si>
    <t>Maroc</t>
  </si>
  <si>
    <t>Oranges</t>
  </si>
  <si>
    <t>Pêches</t>
  </si>
  <si>
    <t>Abricots</t>
  </si>
  <si>
    <t>Kiwi</t>
  </si>
  <si>
    <t>Mandarines</t>
  </si>
  <si>
    <t>Bananes</t>
  </si>
  <si>
    <t>Portugal</t>
  </si>
  <si>
    <t>Oranges sanguines</t>
  </si>
  <si>
    <t>Pommes (cat B)</t>
  </si>
  <si>
    <t>France</t>
  </si>
  <si>
    <t>Poires (oc)</t>
  </si>
  <si>
    <t>Pommes (cat C)</t>
  </si>
  <si>
    <t>Pommes (cat A)</t>
  </si>
  <si>
    <t>Stock 
disponible</t>
  </si>
  <si>
    <t>Quantité 
vendue</t>
  </si>
  <si>
    <t>Quantité 
commandée</t>
  </si>
  <si>
    <t>Pays 
d'origine</t>
  </si>
  <si>
    <t>PRODUIT</t>
  </si>
  <si>
    <t>GESTION DU STOCK</t>
  </si>
  <si>
    <t>Comptant</t>
  </si>
  <si>
    <t>Virement</t>
  </si>
  <si>
    <t>V</t>
  </si>
  <si>
    <t>Espèces</t>
  </si>
  <si>
    <t>E</t>
  </si>
  <si>
    <t>Mode de 
règlement
E / V / C</t>
  </si>
  <si>
    <t>Montant</t>
  </si>
  <si>
    <t>N° Facture</t>
  </si>
  <si>
    <t>Mois de</t>
  </si>
  <si>
    <t>Suivi des paiements</t>
  </si>
  <si>
    <t>Moyenne générale</t>
  </si>
  <si>
    <t>Moyenne Diesel</t>
  </si>
  <si>
    <t>Moyenne Essence</t>
  </si>
  <si>
    <t>D</t>
  </si>
  <si>
    <t>Ecart / 
Moyenne 
générale</t>
  </si>
  <si>
    <t>Nbr de Clients 
satisfaits sur 100 clients
interrogés</t>
  </si>
  <si>
    <t>Véhicules</t>
  </si>
  <si>
    <t>Nbre total d'absences aux tests</t>
  </si>
  <si>
    <t>moyenne la plus basse</t>
  </si>
  <si>
    <t>meilleure moyenne</t>
  </si>
  <si>
    <t>Classement</t>
  </si>
  <si>
    <t>Nbre d'absences</t>
  </si>
  <si>
    <t>Test 9</t>
  </si>
  <si>
    <t>Test 8</t>
  </si>
  <si>
    <t>Test 7</t>
  </si>
  <si>
    <t>Test 6</t>
  </si>
  <si>
    <t>Test 5</t>
  </si>
  <si>
    <t>Test 4</t>
  </si>
  <si>
    <t>Test 3</t>
  </si>
  <si>
    <t>Test 2</t>
  </si>
  <si>
    <t>Test 1</t>
  </si>
  <si>
    <t>Nbre d'
absences</t>
  </si>
  <si>
    <t>Stéphanie</t>
  </si>
  <si>
    <t>Brian</t>
  </si>
  <si>
    <t>Elise</t>
  </si>
  <si>
    <t>Jeanne</t>
  </si>
  <si>
    <t>Eva</t>
  </si>
  <si>
    <t>François</t>
  </si>
  <si>
    <t>Jacques</t>
  </si>
  <si>
    <r>
      <rPr>
        <sz val="7"/>
        <color rgb="FF666600"/>
        <rFont val="Corbel"/>
        <family val="2"/>
      </rPr>
      <t xml:space="preserve"> </t>
    </r>
    <r>
      <rPr>
        <sz val="12"/>
        <color rgb="FF666600"/>
        <rFont val="Corbel"/>
        <family val="2"/>
      </rPr>
      <t>T6 : attribué aux acteurs américains et aux actrices scandinaves, qui ont tourné dans plus de 12 films</t>
    </r>
  </si>
  <si>
    <r>
      <rPr>
        <sz val="7"/>
        <color rgb="FF666600"/>
        <rFont val="Corbel"/>
        <family val="2"/>
      </rPr>
      <t xml:space="preserve"> </t>
    </r>
    <r>
      <rPr>
        <sz val="12"/>
        <color rgb="FF666600"/>
        <rFont val="Corbel"/>
        <family val="2"/>
      </rPr>
      <t>T5 : attribué à quiconque a dépassé 200 millions d’entrées et aux actrices qui ont tourné dans plus de 12 films</t>
    </r>
  </si>
  <si>
    <r>
      <rPr>
        <sz val="7"/>
        <color rgb="FF666600"/>
        <rFont val="Corbel"/>
        <family val="2"/>
      </rPr>
      <t xml:space="preserve"> </t>
    </r>
    <r>
      <rPr>
        <sz val="12"/>
        <color rgb="FF666600"/>
        <rFont val="Corbel"/>
        <family val="2"/>
      </rPr>
      <t>T4 : attribué aux acteurs qui ont tourné dans plus de 12 films</t>
    </r>
    <r>
      <rPr>
        <b/>
        <sz val="12"/>
        <color rgb="FF666600"/>
        <rFont val="Corbel"/>
        <family val="2"/>
      </rPr>
      <t xml:space="preserve"> et </t>
    </r>
    <r>
      <rPr>
        <sz val="12"/>
        <color rgb="FF666600"/>
        <rFont val="Corbel"/>
        <family val="2"/>
      </rPr>
      <t>dépassé 200 millions d’entrées</t>
    </r>
  </si>
  <si>
    <r>
      <rPr>
        <sz val="7"/>
        <color rgb="FF666600"/>
        <rFont val="Corbel"/>
        <family val="2"/>
      </rPr>
      <t xml:space="preserve"> </t>
    </r>
    <r>
      <rPr>
        <sz val="12"/>
        <color rgb="FF666600"/>
        <rFont val="Corbel"/>
        <family val="2"/>
      </rPr>
      <t xml:space="preserve">T3 : attribué aux acteurs qui ont, </t>
    </r>
    <r>
      <rPr>
        <b/>
        <sz val="12"/>
        <color rgb="FF666600"/>
        <rFont val="Corbel"/>
        <family val="2"/>
      </rPr>
      <t>soit</t>
    </r>
    <r>
      <rPr>
        <sz val="12"/>
        <color rgb="FF666600"/>
        <rFont val="Corbel"/>
        <family val="2"/>
      </rPr>
      <t xml:space="preserve"> tourné dans plus de 12 films, </t>
    </r>
    <r>
      <rPr>
        <b/>
        <sz val="12"/>
        <color rgb="FF666600"/>
        <rFont val="Corbel"/>
        <family val="2"/>
      </rPr>
      <t>soit</t>
    </r>
    <r>
      <rPr>
        <sz val="12"/>
        <color rgb="FF666600"/>
        <rFont val="Corbel"/>
        <family val="2"/>
      </rPr>
      <t xml:space="preserve"> dépassé 200 millions d’entrées</t>
    </r>
  </si>
  <si>
    <t>T2 : attribué aux acteurs qui ont tourné dans des films ayant dépassé 200 millions d’entrées</t>
  </si>
  <si>
    <t>T1 : attribué aux acteurs qui ont tourné dans plus de 12 films</t>
  </si>
  <si>
    <t>Nombre de trophées</t>
  </si>
  <si>
    <t>IT</t>
  </si>
  <si>
    <t>H</t>
  </si>
  <si>
    <t>ROBERT DE RINO</t>
  </si>
  <si>
    <t>US</t>
  </si>
  <si>
    <t>F</t>
  </si>
  <si>
    <t>BARBARA STRESSANTE</t>
  </si>
  <si>
    <t>UK</t>
  </si>
  <si>
    <t>KEVIN KLOSTER</t>
  </si>
  <si>
    <t>AUS</t>
  </si>
  <si>
    <t>MEL GIBBON</t>
  </si>
  <si>
    <t>LEO DI CARPACCIO</t>
  </si>
  <si>
    <t>SK</t>
  </si>
  <si>
    <t>MELANIE GRIFEE</t>
  </si>
  <si>
    <t>TOM BRUISE</t>
  </si>
  <si>
    <t>BRAD KITT</t>
  </si>
  <si>
    <t>T6</t>
  </si>
  <si>
    <t>T5</t>
  </si>
  <si>
    <t>T4</t>
  </si>
  <si>
    <t>T3</t>
  </si>
  <si>
    <t>T2</t>
  </si>
  <si>
    <t>T1</t>
  </si>
  <si>
    <t>Nombre d'entrées</t>
  </si>
  <si>
    <t>Nbre de films</t>
  </si>
  <si>
    <t>Nationalité</t>
  </si>
  <si>
    <t>Acteur</t>
  </si>
  <si>
    <t>O</t>
  </si>
  <si>
    <t>Message</t>
  </si>
  <si>
    <t>Porte</t>
  </si>
  <si>
    <t>Fenêtre</t>
  </si>
  <si>
    <t>Défaillant</t>
  </si>
  <si>
    <t>-</t>
  </si>
  <si>
    <t>Ouvert</t>
  </si>
  <si>
    <t>OK</t>
  </si>
  <si>
    <t>Fermé</t>
  </si>
  <si>
    <t>Attention les 2 sont ouvertes</t>
  </si>
  <si>
    <t>Capteur</t>
  </si>
  <si>
    <t>Attention il manque une info</t>
  </si>
  <si>
    <t>Attention une des 2 est ouverte</t>
  </si>
  <si>
    <t>Consignes</t>
  </si>
  <si>
    <t xml:space="preserve">  </t>
  </si>
  <si>
    <t>Groupe 4</t>
  </si>
  <si>
    <t xml:space="preserve">3 enfants </t>
  </si>
  <si>
    <t>Groupe 3</t>
  </si>
  <si>
    <t>Groupe 2</t>
  </si>
  <si>
    <t>Groupe 1</t>
  </si>
  <si>
    <t>CA</t>
  </si>
  <si>
    <t>Année</t>
  </si>
  <si>
    <t>SIX</t>
  </si>
  <si>
    <t>ROSIERS</t>
  </si>
  <si>
    <t>NICOLAS</t>
  </si>
  <si>
    <t>LEMONNIER</t>
  </si>
  <si>
    <t>LEMMENS</t>
  </si>
  <si>
    <t>FONTAINE</t>
  </si>
  <si>
    <t>DENIS</t>
  </si>
  <si>
    <t>DECROUPETTE</t>
  </si>
  <si>
    <t>de SCHAETZEN</t>
  </si>
  <si>
    <t>DAUBRESSE</t>
  </si>
  <si>
    <t>D'HOLLANDER</t>
  </si>
  <si>
    <t>COZZANI</t>
  </si>
  <si>
    <t>CORNET</t>
  </si>
  <si>
    <t>BROEKAERT</t>
  </si>
  <si>
    <t>Primes</t>
  </si>
  <si>
    <t>Nbre d'enfants</t>
  </si>
  <si>
    <t>CA mensuel</t>
  </si>
  <si>
    <t>Ancienneté</t>
  </si>
  <si>
    <t>Regardez le résultat final dans la feuille RESULTATS ATTENDUS.</t>
  </si>
  <si>
    <t>Donnez un titre à ce graphique.</t>
  </si>
  <si>
    <t>15.</t>
  </si>
  <si>
    <r>
      <t xml:space="preserve">Insérez dans la feuille </t>
    </r>
    <r>
      <rPr>
        <i/>
        <sz val="11"/>
        <color theme="1"/>
        <rFont val="Corbel"/>
        <family val="2"/>
      </rPr>
      <t xml:space="preserve">Graphique </t>
    </r>
    <r>
      <rPr>
        <sz val="11"/>
        <color theme="1"/>
        <rFont val="Corbel"/>
        <family val="2"/>
      </rPr>
      <t>un graphique en histogrammes reprenant les honoraires hTVA pour chaque prestation.</t>
    </r>
  </si>
  <si>
    <t>14.</t>
  </si>
  <si>
    <r>
      <t xml:space="preserve">Nommez Feuil1 : </t>
    </r>
    <r>
      <rPr>
        <i/>
        <sz val="11"/>
        <color rgb="FF000000"/>
        <rFont val="Corbel"/>
        <family val="2"/>
      </rPr>
      <t xml:space="preserve">Calculs </t>
    </r>
    <r>
      <rPr>
        <sz val="11"/>
        <color rgb="FF000000"/>
        <rFont val="Corbel"/>
        <family val="2"/>
      </rPr>
      <t xml:space="preserve">&amp; Feuil2 : </t>
    </r>
    <r>
      <rPr>
        <i/>
        <sz val="11"/>
        <color rgb="FF000000"/>
        <rFont val="Corbel"/>
        <family val="2"/>
      </rPr>
      <t>Graphique</t>
    </r>
  </si>
  <si>
    <t>13.</t>
  </si>
  <si>
    <t>Tracez une ligne en "morse", gras, vert entre les lignes 14 et 15.</t>
  </si>
  <si>
    <t>12.</t>
  </si>
  <si>
    <t>Formatez automatiquement les en-têtes des colonnes (ligne 9).</t>
  </si>
  <si>
    <t>11.</t>
  </si>
  <si>
    <t>Formatez les cellules en € quand nécessaire.</t>
  </si>
  <si>
    <t>10.</t>
  </si>
  <si>
    <t>En C19, faites apparaître la moyenne du montant des prestations.</t>
  </si>
  <si>
    <t>9.</t>
  </si>
  <si>
    <t>En C18, faites apparaître le montant des prestations les plus chères.</t>
  </si>
  <si>
    <t>8.</t>
  </si>
  <si>
    <t>En E15 et E16, calculez le montant total des honoraires hTVA et TVAc.</t>
  </si>
  <si>
    <t>7.</t>
  </si>
  <si>
    <t>Prestations les plus chères</t>
  </si>
  <si>
    <t>En colonne F, calculez le montant des honoraires TVAc.</t>
  </si>
  <si>
    <t>6.</t>
  </si>
  <si>
    <t>En colonne E, faites apparaître AUTOMATIQUEMENT les montants inférieurs à 1 200 000 € en orange et gras.</t>
  </si>
  <si>
    <t>5.</t>
  </si>
  <si>
    <t>En colonne E, calculez le montant des honoraires hTVA.</t>
  </si>
  <si>
    <t>4.</t>
  </si>
  <si>
    <t>En colonne D, faites en sorte de faire apparaître la mention "heures".</t>
  </si>
  <si>
    <t>3.</t>
  </si>
  <si>
    <t>Racisme</t>
  </si>
  <si>
    <t>5 dernières lettres de A7 + 2 premières lettres de chaque prestation.</t>
  </si>
  <si>
    <t>Drogue</t>
  </si>
  <si>
    <t>En colonne B, donnez un code aux prestations du cabinet comme suit :</t>
  </si>
  <si>
    <t>2.</t>
  </si>
  <si>
    <t>Immobilier</t>
  </si>
  <si>
    <t>En A1, insérez la date du jour avec le format adéquat.</t>
  </si>
  <si>
    <t>1.</t>
  </si>
  <si>
    <t>Conseils</t>
  </si>
  <si>
    <t>INSTRUCTIONS</t>
  </si>
  <si>
    <t>Divorces</t>
  </si>
  <si>
    <t>Honoraires
TVAc</t>
  </si>
  <si>
    <t>Honoraires 
hors TVA</t>
  </si>
  <si>
    <t>Nombre 
d'heures</t>
  </si>
  <si>
    <t>Prix horaire</t>
  </si>
  <si>
    <t>Code prestation</t>
  </si>
  <si>
    <t>Prestations</t>
  </si>
  <si>
    <t>Cabinet Zelder-Carvani - CabZC</t>
  </si>
  <si>
    <t>Taux de TVA applicable</t>
  </si>
  <si>
    <t>Honoraires hors TVA</t>
  </si>
  <si>
    <t>HONY</t>
  </si>
  <si>
    <t>Prix uniaire</t>
  </si>
  <si>
    <t>Quantité</t>
  </si>
  <si>
    <t>Prix total</t>
  </si>
  <si>
    <t>Prix cumulé</t>
  </si>
  <si>
    <t>Maya</t>
  </si>
  <si>
    <t>Bary Benson</t>
  </si>
  <si>
    <t>Meli</t>
  </si>
  <si>
    <t>Rucher</t>
  </si>
  <si>
    <t>Pourcentages</t>
  </si>
  <si>
    <t>Admission &gt;</t>
  </si>
  <si>
    <t>Cumul des 
places</t>
  </si>
  <si>
    <t>Chiffres d'affaires</t>
  </si>
  <si>
    <t>Taux</t>
  </si>
  <si>
    <t>Montant remise déduite</t>
  </si>
  <si>
    <t>Montant des achats</t>
  </si>
  <si>
    <t>Tableau des remises</t>
  </si>
  <si>
    <t>Grez-Doiceau</t>
  </si>
  <si>
    <t>Place du Lambet, 7</t>
  </si>
  <si>
    <t>TARDET</t>
  </si>
  <si>
    <t>Eloïse</t>
  </si>
  <si>
    <t>Nivelles</t>
  </si>
  <si>
    <t>Rue Saint-Anne, 22</t>
  </si>
  <si>
    <t>NAUCHET</t>
  </si>
  <si>
    <t>Jane</t>
  </si>
  <si>
    <t>Ottignies</t>
  </si>
  <si>
    <t>Place de l'Université, 10</t>
  </si>
  <si>
    <t>PAULET</t>
  </si>
  <si>
    <t>Hughe</t>
  </si>
  <si>
    <t>Brugge</t>
  </si>
  <si>
    <t>Avenue des Artistes, 12</t>
  </si>
  <si>
    <t>TRAVIS</t>
  </si>
  <si>
    <t>Désiré</t>
  </si>
  <si>
    <t>Wavre</t>
  </si>
  <si>
    <t>Rue de l'Aviation, 38</t>
  </si>
  <si>
    <t>HAWKE</t>
  </si>
  <si>
    <t>Nathaniel</t>
  </si>
  <si>
    <t>Avenue du Château, 14</t>
  </si>
  <si>
    <t>RAUTA</t>
  </si>
  <si>
    <t>Magali</t>
  </si>
  <si>
    <t>Avenue des Erables, 10</t>
  </si>
  <si>
    <t>PAVOT</t>
  </si>
  <si>
    <t>Dominique</t>
  </si>
  <si>
    <t>Chemin des Etangs, 23</t>
  </si>
  <si>
    <t>HEISER</t>
  </si>
  <si>
    <t>Adrien</t>
  </si>
  <si>
    <t>Waterloo</t>
  </si>
  <si>
    <t>Rue du Village, 2</t>
  </si>
  <si>
    <t>XEMAR</t>
  </si>
  <si>
    <t>Didier</t>
  </si>
  <si>
    <t>Gent</t>
  </si>
  <si>
    <t>Antwerpsesteenweg</t>
  </si>
  <si>
    <t>MARQUAIRE</t>
  </si>
  <si>
    <t>Odile</t>
  </si>
  <si>
    <t>Boulevard Cauchie, 110</t>
  </si>
  <si>
    <t>RUER</t>
  </si>
  <si>
    <t>Gaston</t>
  </si>
  <si>
    <t>Overijse</t>
  </si>
  <si>
    <t>Laarheidestraat, 62</t>
  </si>
  <si>
    <t>VALDENAIRE</t>
  </si>
  <si>
    <t>Suzanne</t>
  </si>
  <si>
    <t>Mons</t>
  </si>
  <si>
    <t>Place Albert 1er, 10</t>
  </si>
  <si>
    <t>HUILE</t>
  </si>
  <si>
    <t>Olivier</t>
  </si>
  <si>
    <t>Beersel</t>
  </si>
  <si>
    <t>Stationstraat, 16</t>
  </si>
  <si>
    <t>ALVES</t>
  </si>
  <si>
    <t>Michel</t>
  </si>
  <si>
    <t>Rue de l'Astronomie, 15</t>
  </si>
  <si>
    <t>PARMENTIER</t>
  </si>
  <si>
    <t>Hélène</t>
  </si>
  <si>
    <t>Auderghem</t>
  </si>
  <si>
    <t>Avenue du Bel Air</t>
  </si>
  <si>
    <t>AUGUSTE</t>
  </si>
  <si>
    <t>Charles</t>
  </si>
  <si>
    <t>Rue Legros</t>
  </si>
  <si>
    <t>VALJEAN</t>
  </si>
  <si>
    <t>Uccle</t>
  </si>
  <si>
    <t>Allée des Vosges</t>
  </si>
  <si>
    <t>Carole</t>
  </si>
  <si>
    <t>Allée des Bois</t>
  </si>
  <si>
    <t>PINON</t>
  </si>
  <si>
    <t>Claire</t>
  </si>
  <si>
    <t>6 rue Jules Ferry</t>
  </si>
  <si>
    <t>FERRY</t>
  </si>
  <si>
    <t>Isabelle</t>
  </si>
  <si>
    <t>Woluwé</t>
  </si>
  <si>
    <t>12 rue de Lorraine</t>
  </si>
  <si>
    <t>FELIX</t>
  </si>
  <si>
    <t>Nicole</t>
  </si>
  <si>
    <t>91 rue d'Alsace</t>
  </si>
  <si>
    <t>LEMARCHAND</t>
  </si>
  <si>
    <t>Cp + Localité</t>
  </si>
  <si>
    <t>Adresse</t>
  </si>
  <si>
    <t>Réf personne</t>
  </si>
  <si>
    <t>Localité</t>
  </si>
  <si>
    <t>CP</t>
  </si>
  <si>
    <t>N°</t>
  </si>
  <si>
    <t>KG</t>
  </si>
  <si>
    <t>VEAU</t>
  </si>
  <si>
    <t>TRUFFES</t>
  </si>
  <si>
    <t>TRUF</t>
  </si>
  <si>
    <t>TOMATE</t>
  </si>
  <si>
    <t>TOMA</t>
  </si>
  <si>
    <t>THYM</t>
  </si>
  <si>
    <t>SUCRE</t>
  </si>
  <si>
    <t>SUCR</t>
  </si>
  <si>
    <t>SEMOULE</t>
  </si>
  <si>
    <t>SEMO</t>
  </si>
  <si>
    <t>SEL</t>
  </si>
  <si>
    <t>SCAROLE</t>
  </si>
  <si>
    <t>SCAR</t>
  </si>
  <si>
    <t>SAUMON</t>
  </si>
  <si>
    <t>SAUM</t>
  </si>
  <si>
    <t>SAUGE</t>
  </si>
  <si>
    <t>SAUG</t>
  </si>
  <si>
    <t>SAUCE TOMATE</t>
  </si>
  <si>
    <t>STO</t>
  </si>
  <si>
    <t>ROQUEFORT</t>
  </si>
  <si>
    <t>ROQU</t>
  </si>
  <si>
    <t>RIZ</t>
  </si>
  <si>
    <t>POULET</t>
  </si>
  <si>
    <t>POUL</t>
  </si>
  <si>
    <t>POMME DE TERRE</t>
  </si>
  <si>
    <t>PDT</t>
  </si>
  <si>
    <t>POMME</t>
  </si>
  <si>
    <t>POM</t>
  </si>
  <si>
    <t>POIVRON</t>
  </si>
  <si>
    <t>PVR</t>
  </si>
  <si>
    <t>POIVRE</t>
  </si>
  <si>
    <t>POV</t>
  </si>
  <si>
    <t>POIRE</t>
  </si>
  <si>
    <t>POIR</t>
  </si>
  <si>
    <t>PETITS-POIS</t>
  </si>
  <si>
    <t>PTP</t>
  </si>
  <si>
    <t>PERSIL</t>
  </si>
  <si>
    <t>PERS</t>
  </si>
  <si>
    <t>OIGNON</t>
  </si>
  <si>
    <t>OIGN</t>
  </si>
  <si>
    <t>OIE</t>
  </si>
  <si>
    <t>NOISETTE</t>
  </si>
  <si>
    <t>NOIS</t>
  </si>
  <si>
    <t>MORILLE</t>
  </si>
  <si>
    <t>MORI</t>
  </si>
  <si>
    <t>MARGARINE</t>
  </si>
  <si>
    <t>MARG</t>
  </si>
  <si>
    <t>LAITUE</t>
  </si>
  <si>
    <t>SLAIT</t>
  </si>
  <si>
    <t>L</t>
  </si>
  <si>
    <t>LAIT</t>
  </si>
  <si>
    <t>HARICOTS VERTS</t>
  </si>
  <si>
    <t>HARV</t>
  </si>
  <si>
    <t>HARICOTS BLANCS</t>
  </si>
  <si>
    <t>HARB</t>
  </si>
  <si>
    <t>GRUYERE</t>
  </si>
  <si>
    <t>GRUY</t>
  </si>
  <si>
    <t>FRAISE</t>
  </si>
  <si>
    <t>FRAI</t>
  </si>
  <si>
    <t>FARINE</t>
  </si>
  <si>
    <t>FARI</t>
  </si>
  <si>
    <t>CREME FRAICHE</t>
  </si>
  <si>
    <t>CREM</t>
  </si>
  <si>
    <t>COMTE</t>
  </si>
  <si>
    <t>COMT</t>
  </si>
  <si>
    <t>CHOCOLAT</t>
  </si>
  <si>
    <t>CHOC</t>
  </si>
  <si>
    <t>CHAMPIGNON PARIS</t>
  </si>
  <si>
    <t>CHAP</t>
  </si>
  <si>
    <t>CERISE</t>
  </si>
  <si>
    <t>CERI</t>
  </si>
  <si>
    <t>CAROTTE</t>
  </si>
  <si>
    <t>CARO</t>
  </si>
  <si>
    <t>CANARD</t>
  </si>
  <si>
    <t>CANA</t>
  </si>
  <si>
    <t>BOEUF</t>
  </si>
  <si>
    <t>BOEU</t>
  </si>
  <si>
    <t>BEURRE</t>
  </si>
  <si>
    <t>BEUR</t>
  </si>
  <si>
    <t>BANANE</t>
  </si>
  <si>
    <t>BANA</t>
  </si>
  <si>
    <t>AVOCAT</t>
  </si>
  <si>
    <t>AVOC</t>
  </si>
  <si>
    <t>AROME VIANDE</t>
  </si>
  <si>
    <t>AVI</t>
  </si>
  <si>
    <t>AROME VANILLE</t>
  </si>
  <si>
    <t>AVA</t>
  </si>
  <si>
    <t>AROME TRUFFE</t>
  </si>
  <si>
    <t>ARTR</t>
  </si>
  <si>
    <t>AROME POISSON</t>
  </si>
  <si>
    <t>APO</t>
  </si>
  <si>
    <t>AROME FRAISE</t>
  </si>
  <si>
    <t>AFR</t>
  </si>
  <si>
    <t>AROME CRUSTACES</t>
  </si>
  <si>
    <t>ACR</t>
  </si>
  <si>
    <t>ANANAS</t>
  </si>
  <si>
    <t>ANAN</t>
  </si>
  <si>
    <t>AMANDE</t>
  </si>
  <si>
    <t>AMAN</t>
  </si>
  <si>
    <t>AIL</t>
  </si>
  <si>
    <t>ABRICOT</t>
  </si>
  <si>
    <t>ABRI</t>
  </si>
  <si>
    <t>PRIX UNITAIRE</t>
  </si>
  <si>
    <t>U</t>
  </si>
  <si>
    <t>LIBELLE</t>
  </si>
  <si>
    <t>CODE PRODUIT</t>
  </si>
  <si>
    <t>DEL</t>
  </si>
  <si>
    <t>%Cout/
Total</t>
  </si>
  <si>
    <t>COUT</t>
  </si>
  <si>
    <t>Quantité de matière</t>
  </si>
  <si>
    <t>Nbre d'étudiants ayant été évalués :</t>
  </si>
  <si>
    <t>ROISIN</t>
  </si>
  <si>
    <t>RODELET</t>
  </si>
  <si>
    <t>NABOR</t>
  </si>
  <si>
    <t>MALBEC</t>
  </si>
  <si>
    <t>LUYCX</t>
  </si>
  <si>
    <t>LARDINOIS</t>
  </si>
  <si>
    <t>HAQUENNE</t>
  </si>
  <si>
    <t>d'HOOP</t>
  </si>
  <si>
    <t>de VILLENFAGNE</t>
  </si>
  <si>
    <t>DE SMAELE</t>
  </si>
  <si>
    <t>COLLARD</t>
  </si>
  <si>
    <t>BURG</t>
  </si>
  <si>
    <t>BERVOETS</t>
  </si>
  <si>
    <t>BERTHEREAU</t>
  </si>
  <si>
    <t>BEAUFAY</t>
  </si>
  <si>
    <t>AVRAMOVIC</t>
  </si>
  <si>
    <t>AUDOUARD</t>
  </si>
  <si>
    <t>Lettre</t>
  </si>
  <si>
    <t>Note</t>
  </si>
  <si>
    <t>RESULTAT</t>
  </si>
  <si>
    <t>Exa juin</t>
  </si>
  <si>
    <t>Exa janv</t>
  </si>
  <si>
    <t>Test nov</t>
  </si>
  <si>
    <t>Etudiants</t>
  </si>
  <si>
    <t>Nombre d'étudiants</t>
  </si>
  <si>
    <t>Grade en lettre</t>
  </si>
  <si>
    <t>Note SEUIL</t>
  </si>
  <si>
    <t>Limite sup.</t>
  </si>
  <si>
    <t>Limite inf.</t>
  </si>
  <si>
    <t>TOTAUX</t>
  </si>
  <si>
    <t>Alain</t>
  </si>
  <si>
    <t>commissions</t>
  </si>
  <si>
    <t>ventes</t>
  </si>
  <si>
    <t>Total année</t>
  </si>
  <si>
    <t>2e semestre</t>
  </si>
  <si>
    <t>1er semestre</t>
  </si>
  <si>
    <t>Allemagne</t>
  </si>
  <si>
    <t>condensateurs</t>
  </si>
  <si>
    <t>C001</t>
  </si>
  <si>
    <t>diodes</t>
  </si>
  <si>
    <t>D001</t>
  </si>
  <si>
    <t>Belgique</t>
  </si>
  <si>
    <t>résistances</t>
  </si>
  <si>
    <t>R001</t>
  </si>
  <si>
    <t>Codes pays</t>
  </si>
  <si>
    <t>Légende</t>
  </si>
  <si>
    <r>
      <rPr>
        <b/>
        <i/>
        <sz val="12"/>
        <rFont val="Bahnschrift"/>
        <family val="2"/>
      </rPr>
      <t>sauf</t>
    </r>
    <r>
      <rPr>
        <sz val="12"/>
        <rFont val="Bahnschrift"/>
        <family val="2"/>
      </rPr>
      <t xml:space="preserve"> pour les résistances si la quantité vendue est supérieure à </t>
    </r>
  </si>
  <si>
    <r>
      <t xml:space="preserve">Le prix de vente utilisé est toujours le PV1 </t>
    </r>
    <r>
      <rPr>
        <b/>
        <i/>
        <u/>
        <sz val="12"/>
        <color theme="1"/>
        <rFont val="Arial"/>
        <family val="2"/>
      </rPr>
      <t/>
    </r>
  </si>
  <si>
    <t>=bas12</t>
  </si>
  <si>
    <t>@cond45</t>
  </si>
  <si>
    <t>bas12</t>
  </si>
  <si>
    <t>bas15</t>
  </si>
  <si>
    <t>blook14</t>
  </si>
  <si>
    <t>Code pays fabrication</t>
  </si>
  <si>
    <t>Taux de
 TVA</t>
  </si>
  <si>
    <t>PV 2</t>
  </si>
  <si>
    <t>PV 1</t>
  </si>
  <si>
    <t>Objectif annuel CA</t>
  </si>
  <si>
    <t>Groupe article</t>
  </si>
  <si>
    <t>Libellé article</t>
  </si>
  <si>
    <t>Code article</t>
  </si>
  <si>
    <t>Total général</t>
  </si>
  <si>
    <t>Valeur de vente TVAC</t>
  </si>
  <si>
    <t>Code Pays</t>
  </si>
  <si>
    <t>PV utilisé</t>
  </si>
  <si>
    <t>Q Vendue</t>
  </si>
  <si>
    <t>Goupe article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</si>
</sst>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8">
    <numFmt numFmtId="6" formatCode="#,##0\ &quot;€&quot;;[Red]\-#,##0\ &quot;€&quot;"/>
    <numFmt numFmtId="8" formatCode="#,##0.00\ &quot;€&quot;;[Red]\-#,##0.00\ &quot;€&quot;"/>
    <numFmt numFmtId="44" formatCode="_-* #,##0.00\ &quot;€&quot;_-;\-* #,##0.00\ &quot;€&quot;_-;_-* &quot;-&quot;??\ &quot;€&quot;_-;_-@_-"/>
    <numFmt numFmtId="164" formatCode="_-* #,##0\ &quot;€&quot;_-;\-* #,##0\ &quot;€&quot;_-;_-* &quot;-&quot;??\ &quot;€&quot;_-;_-@_-"/>
    <numFmt numFmtId="165" formatCode="_-* #,##0.0\ &quot;€&quot;_-;\-* #,##0.0\ &quot;€&quot;_-;_-* &quot;-&quot;??\ &quot;€&quot;_-;_-@_-"/>
    <numFmt numFmtId="166" formatCode="_-* #,##0.0\ [$€-80C]_-;\-* #,##0.0\ [$€-80C]_-;_-* &quot;-&quot;??\ [$€-80C]_-;_-@_-"/>
    <numFmt numFmtId="167" formatCode="&quot;année&quot;\ 0"/>
    <numFmt numFmtId="168" formatCode="0\ &quot;Ans&quot;"/>
    <numFmt numFmtId="169" formatCode="#,##0.00&quot;€&quot;"/>
    <numFmt numFmtId="170" formatCode="&quot;pièces&quot;\ 0"/>
    <numFmt numFmtId="171" formatCode="&quot;vous me devez&quot;\ 0.00&quot;€&quot;"/>
    <numFmt numFmtId="172" formatCode="[$-F800]dddd\,\ mmmm\ dd\,\ yyyy"/>
    <numFmt numFmtId="173" formatCode="0&quot;jours&quot;"/>
    <numFmt numFmtId="174" formatCode="0&quot;m&quot;"/>
    <numFmt numFmtId="175" formatCode="#,##0\ &quot;kg&quot;"/>
    <numFmt numFmtId="176" formatCode="_-* #,##0.00\ [$€-80C]_-;\-* #,##0.00\ [$€-80C]_-;_-* &quot;-&quot;??\ [$€-80C]_-;_-@_-"/>
    <numFmt numFmtId="177" formatCode="yyyy"/>
    <numFmt numFmtId="178" formatCode="dddd"/>
    <numFmt numFmtId="179" formatCode="[$]"/>
    <numFmt numFmtId="180" formatCode="dddd\,\ mmmm\ dd\ yyyy\ /hh:mm:ss"/>
    <numFmt numFmtId="181" formatCode="0\ &quot;ans&quot;"/>
    <numFmt numFmtId="182" formatCode="dd/mmm/yyyy"/>
    <numFmt numFmtId="183" formatCode="0&quot; mois&quot;"/>
    <numFmt numFmtId="184" formatCode="0&quot; jours&quot;"/>
    <numFmt numFmtId="185" formatCode="0&quot; jour(s)&quot;"/>
    <numFmt numFmtId="186" formatCode="#,##0.00\ &quot;€&quot;"/>
    <numFmt numFmtId="187" formatCode="#,##0&quot; kg&quot;"/>
    <numFmt numFmtId="188" formatCode="0&quot; T&quot;"/>
    <numFmt numFmtId="189" formatCode="#,##0&quot; T&quot;"/>
    <numFmt numFmtId="190" formatCode="mmmm\ yyyy"/>
    <numFmt numFmtId="191" formatCode="0&quot; personnes&quot;"/>
    <numFmt numFmtId="192" formatCode="0&quot; ans&quot;"/>
    <numFmt numFmtId="193" formatCode="0&quot; KM&quot;"/>
    <numFmt numFmtId="194" formatCode="0&quot; Jours&quot;"/>
    <numFmt numFmtId="195" formatCode="0&quot; kg&quot;"/>
    <numFmt numFmtId="196" formatCode="0.0"/>
    <numFmt numFmtId="197" formatCode="0&quot; millions&quot;"/>
    <numFmt numFmtId="198" formatCode="#,##0.00&quot; €&quot;"/>
    <numFmt numFmtId="199" formatCode="#,##0\ &quot;€&quot;"/>
    <numFmt numFmtId="200" formatCode="_-* #,##0\ [$€-80C]_-;\-* #,##0\ [$€-80C]_-;_-* &quot;-&quot;??\ [$€-80C]_-;_-@_-"/>
    <numFmt numFmtId="201" formatCode="0&quot; heures&quot;"/>
    <numFmt numFmtId="202" formatCode="#,##0_ ;\-#,##0\ "/>
    <numFmt numFmtId="203" formatCode="_-* #,##0.00\ _F_-;\-* #,##0.00\ _F_-;_-* &quot;-&quot;??\ _F_-;_-@_-"/>
    <numFmt numFmtId="204" formatCode="_-* #,##0.00\ [$€-1]_-;\-* #,##0.00\ [$€-1]_-;_-* &quot;-&quot;??\ [$€-1]_-"/>
    <numFmt numFmtId="205" formatCode="0.0&quot; %&quot;"/>
    <numFmt numFmtId="206" formatCode="0.00&quot; €&quot;"/>
    <numFmt numFmtId="207" formatCode="0&quot; pièces&quot;"/>
    <numFmt numFmtId="208" formatCode="#,##0.00\ \€"/>
  </numFmts>
  <fonts count="87">
    <font>
      <sz val="11"/>
      <color theme="1"/>
      <name val="Calibri"/>
      <family val="2"/>
      <scheme val="minor"/>
    </font>
    <font>
      <sz val="11"/>
      <color theme="1"/>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theme="0"/>
      <name val="Calibri"/>
      <family val="2"/>
      <scheme val="minor"/>
    </font>
    <font>
      <sz val="11"/>
      <color rgb="FFFF0000"/>
      <name val="Calibri"/>
      <family val="2"/>
      <scheme val="minor"/>
    </font>
    <font>
      <b/>
      <sz val="11"/>
      <color theme="1"/>
      <name val="Calibri"/>
      <family val="2"/>
      <scheme val="minor"/>
    </font>
    <font>
      <sz val="11"/>
      <color theme="0"/>
      <name val="Calibri"/>
      <family val="2"/>
      <scheme val="minor"/>
    </font>
    <font>
      <b/>
      <sz val="11"/>
      <color rgb="FFFF0000"/>
      <name val="Calibri"/>
      <family val="2"/>
      <scheme val="minor"/>
    </font>
    <font>
      <sz val="11"/>
      <name val="Calibri"/>
      <family val="2"/>
      <scheme val="minor"/>
    </font>
    <font>
      <b/>
      <sz val="11"/>
      <name val="Calibri"/>
      <family val="2"/>
      <scheme val="minor"/>
    </font>
    <font>
      <b/>
      <i/>
      <sz val="11"/>
      <name val="Calibri"/>
      <family val="2"/>
      <scheme val="minor"/>
    </font>
    <font>
      <i/>
      <sz val="11"/>
      <name val="Calibri"/>
      <family val="2"/>
      <scheme val="minor"/>
    </font>
    <font>
      <b/>
      <u/>
      <sz val="26"/>
      <color rgb="FFFF0000"/>
      <name val="Calibri"/>
      <family val="2"/>
      <scheme val="minor"/>
    </font>
    <font>
      <b/>
      <sz val="12"/>
      <color theme="0"/>
      <name val="Calibri"/>
      <family val="2"/>
      <scheme val="minor"/>
    </font>
    <font>
      <b/>
      <sz val="16"/>
      <color theme="0"/>
      <name val="Calibri"/>
      <family val="2"/>
      <scheme val="minor"/>
    </font>
    <font>
      <u/>
      <sz val="11"/>
      <color theme="1"/>
      <name val="Calibri"/>
      <family val="2"/>
      <scheme val="minor"/>
    </font>
    <font>
      <sz val="12"/>
      <color theme="1"/>
      <name val="Calibri"/>
      <family val="2"/>
      <scheme val="minor"/>
    </font>
    <font>
      <b/>
      <sz val="12"/>
      <color theme="1"/>
      <name val="Calibri"/>
      <family val="2"/>
      <scheme val="minor"/>
    </font>
    <font>
      <b/>
      <i/>
      <sz val="12"/>
      <color theme="1"/>
      <name val="Calibri"/>
      <family val="2"/>
      <scheme val="minor"/>
    </font>
    <font>
      <b/>
      <sz val="14"/>
      <color theme="1"/>
      <name val="Calibri"/>
      <family val="2"/>
      <scheme val="minor"/>
    </font>
    <font>
      <b/>
      <sz val="16"/>
      <color theme="1"/>
      <name val="Calibri"/>
      <family val="2"/>
      <scheme val="minor"/>
    </font>
    <font>
      <sz val="11"/>
      <color theme="1"/>
      <name val="Corbel"/>
      <family val="2"/>
    </font>
    <font>
      <b/>
      <sz val="12"/>
      <name val="Bahnschrift"/>
      <family val="2"/>
    </font>
    <font>
      <sz val="12"/>
      <name val="Bahnschrift"/>
      <family val="2"/>
    </font>
    <font>
      <u/>
      <sz val="12"/>
      <name val="Bahnschrift"/>
      <family val="2"/>
    </font>
    <font>
      <b/>
      <sz val="12"/>
      <name val="Corbel"/>
      <family val="2"/>
    </font>
    <font>
      <sz val="14"/>
      <color theme="1"/>
      <name val="Calibri"/>
      <family val="2"/>
      <scheme val="minor"/>
    </font>
    <font>
      <sz val="14"/>
      <color theme="1"/>
      <name val="Corbel"/>
      <family val="2"/>
    </font>
    <font>
      <u/>
      <sz val="14"/>
      <color theme="1"/>
      <name val="Corbel"/>
      <family val="2"/>
    </font>
    <font>
      <u/>
      <sz val="14"/>
      <color rgb="FF000000"/>
      <name val="Corbel"/>
      <family val="2"/>
    </font>
    <font>
      <b/>
      <sz val="14"/>
      <color theme="0"/>
      <name val="Corbel"/>
      <family val="2"/>
    </font>
    <font>
      <b/>
      <sz val="14"/>
      <color theme="4"/>
      <name val="Calibri"/>
      <family val="2"/>
      <scheme val="minor"/>
    </font>
    <font>
      <b/>
      <sz val="11"/>
      <color theme="0"/>
      <name val="Corbel"/>
      <family val="2"/>
    </font>
    <font>
      <b/>
      <sz val="11"/>
      <color theme="1"/>
      <name val="Corbel"/>
      <family val="2"/>
    </font>
    <font>
      <b/>
      <sz val="11"/>
      <color theme="3"/>
      <name val="Corbel"/>
      <family val="2"/>
    </font>
    <font>
      <b/>
      <sz val="11"/>
      <color theme="4"/>
      <name val="Corbel"/>
      <family val="2"/>
    </font>
    <font>
      <sz val="10"/>
      <name val="Arial"/>
    </font>
    <font>
      <sz val="11"/>
      <name val="Corbel"/>
      <family val="2"/>
    </font>
    <font>
      <sz val="11"/>
      <name val="Bahnschrift"/>
      <family val="2"/>
    </font>
    <font>
      <sz val="11"/>
      <color theme="0"/>
      <name val="Corbel"/>
      <family val="2"/>
    </font>
    <font>
      <sz val="10"/>
      <name val="Corbel"/>
      <family val="2"/>
    </font>
    <font>
      <b/>
      <sz val="10"/>
      <name val="Corbel"/>
      <family val="2"/>
    </font>
    <font>
      <sz val="10"/>
      <name val="Bahnschrift"/>
      <family val="2"/>
    </font>
    <font>
      <b/>
      <sz val="10"/>
      <color theme="0"/>
      <name val="Bahnschrift"/>
      <family val="2"/>
    </font>
    <font>
      <sz val="10"/>
      <color theme="0"/>
      <name val="Bahnschrift"/>
      <family val="2"/>
    </font>
    <font>
      <b/>
      <sz val="10"/>
      <color theme="9" tint="-0.499984740745262"/>
      <name val="Bahnschrift"/>
      <family val="2"/>
    </font>
    <font>
      <i/>
      <sz val="11"/>
      <color theme="1"/>
      <name val="Calibri"/>
      <family val="2"/>
      <scheme val="minor"/>
    </font>
    <font>
      <b/>
      <i/>
      <sz val="11"/>
      <color theme="1"/>
      <name val="Calibri"/>
      <family val="2"/>
      <scheme val="minor"/>
    </font>
    <font>
      <sz val="14"/>
      <color rgb="FF002060"/>
      <name val="Calibri"/>
      <family val="2"/>
      <scheme val="minor"/>
    </font>
    <font>
      <b/>
      <sz val="11"/>
      <color theme="0" tint="-0.34998626667073579"/>
      <name val="Calibri"/>
      <family val="2"/>
      <scheme val="minor"/>
    </font>
    <font>
      <sz val="12"/>
      <name val="Arial"/>
      <family val="2"/>
    </font>
    <font>
      <sz val="12"/>
      <name val="Corbel"/>
      <family val="2"/>
    </font>
    <font>
      <sz val="12"/>
      <color indexed="56"/>
      <name val="Corbel"/>
      <family val="2"/>
    </font>
    <font>
      <b/>
      <sz val="12"/>
      <color theme="0"/>
      <name val="Corbel"/>
      <family val="2"/>
    </font>
    <font>
      <b/>
      <sz val="16"/>
      <color theme="0"/>
      <name val="Corbel"/>
      <family val="2"/>
    </font>
    <font>
      <sz val="11"/>
      <color theme="1"/>
      <name val="Bahnschrift"/>
      <family val="2"/>
    </font>
    <font>
      <sz val="12"/>
      <color rgb="FF666600"/>
      <name val="Corbel"/>
      <family val="2"/>
    </font>
    <font>
      <sz val="7"/>
      <color rgb="FF666600"/>
      <name val="Corbel"/>
      <family val="2"/>
    </font>
    <font>
      <b/>
      <sz val="12"/>
      <color rgb="FF666600"/>
      <name val="Corbel"/>
      <family val="2"/>
    </font>
    <font>
      <i/>
      <sz val="11"/>
      <color theme="1"/>
      <name val="Corbel"/>
      <family val="2"/>
    </font>
    <font>
      <b/>
      <i/>
      <sz val="11"/>
      <color theme="0"/>
      <name val="Corbel"/>
      <family val="2"/>
    </font>
    <font>
      <sz val="10"/>
      <name val="Arial"/>
      <family val="2"/>
    </font>
    <font>
      <b/>
      <sz val="10"/>
      <color theme="0"/>
      <name val="Corbel"/>
      <family val="2"/>
    </font>
    <font>
      <b/>
      <sz val="11"/>
      <color theme="6" tint="-0.249977111117893"/>
      <name val="Corbel"/>
      <family val="2"/>
    </font>
    <font>
      <sz val="11"/>
      <color rgb="FF000000"/>
      <name val="Corbel"/>
      <family val="2"/>
    </font>
    <font>
      <i/>
      <sz val="11"/>
      <color rgb="FF000000"/>
      <name val="Corbel"/>
      <family val="2"/>
    </font>
    <font>
      <u/>
      <sz val="11"/>
      <color theme="1"/>
      <name val="Corbel"/>
      <family val="2"/>
    </font>
    <font>
      <b/>
      <sz val="13"/>
      <color theme="3"/>
      <name val="Calibri"/>
      <family val="2"/>
      <scheme val="minor"/>
    </font>
    <font>
      <b/>
      <sz val="11"/>
      <color rgb="FF3F3F3F"/>
      <name val="Calibri"/>
      <family val="2"/>
      <scheme val="minor"/>
    </font>
    <font>
      <b/>
      <sz val="11"/>
      <color rgb="FF0070C0"/>
      <name val="Bahnschrift"/>
      <family val="2"/>
    </font>
    <font>
      <sz val="12"/>
      <color indexed="62"/>
      <name val="Bahnschrift"/>
      <family val="2"/>
    </font>
    <font>
      <b/>
      <sz val="12"/>
      <color theme="0"/>
      <name val="Cobrel"/>
    </font>
    <font>
      <sz val="12"/>
      <name val="Cobrel"/>
    </font>
    <font>
      <u/>
      <sz val="11"/>
      <name val="Bahnschrift"/>
      <family val="2"/>
    </font>
    <font>
      <sz val="12"/>
      <color theme="0"/>
      <name val="Corbel"/>
      <family val="2"/>
    </font>
    <font>
      <sz val="12"/>
      <color indexed="10"/>
      <name val="Corbel"/>
      <family val="2"/>
    </font>
    <font>
      <sz val="12"/>
      <color indexed="10"/>
      <name val="Bahnschrift"/>
      <family val="2"/>
    </font>
    <font>
      <b/>
      <i/>
      <u/>
      <sz val="12"/>
      <name val="Corbel"/>
      <family val="2"/>
    </font>
    <font>
      <b/>
      <i/>
      <sz val="12"/>
      <color theme="0"/>
      <name val="Corbel"/>
      <family val="2"/>
    </font>
    <font>
      <b/>
      <i/>
      <sz val="12"/>
      <name val="Bahnschrift"/>
      <family val="2"/>
    </font>
    <font>
      <sz val="12"/>
      <color theme="1"/>
      <name val="Bahnschrift"/>
      <family val="2"/>
    </font>
    <font>
      <b/>
      <i/>
      <u/>
      <sz val="12"/>
      <color theme="1"/>
      <name val="Arial"/>
      <family val="2"/>
    </font>
    <font>
      <i/>
      <sz val="12"/>
      <name val="Corbel"/>
      <family val="2"/>
    </font>
    <font>
      <b/>
      <i/>
      <sz val="12"/>
      <name val="Corbel"/>
      <family val="2"/>
    </font>
  </fonts>
  <fills count="4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theme="4" tint="0.79998168889431442"/>
        <bgColor indexed="65"/>
      </patternFill>
    </fill>
    <fill>
      <patternFill patternType="solid">
        <fgColor theme="6"/>
      </patternFill>
    </fill>
    <fill>
      <patternFill patternType="solid">
        <fgColor theme="6" tint="0.39997558519241921"/>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59999389629810485"/>
        <bgColor indexed="65"/>
      </patternFill>
    </fill>
    <fill>
      <patternFill patternType="solid">
        <fgColor theme="0" tint="-0.249977111117893"/>
        <bgColor indexed="64"/>
      </patternFill>
    </fill>
    <fill>
      <patternFill patternType="solid">
        <fgColor rgb="FFFFFF00"/>
        <bgColor indexed="64"/>
      </patternFill>
    </fill>
    <fill>
      <patternFill patternType="solid">
        <fgColor rgb="FF7030A0"/>
        <bgColor indexed="64"/>
      </patternFill>
    </fill>
    <fill>
      <patternFill patternType="solid">
        <fgColor rgb="FF8365A3"/>
        <bgColor indexed="64"/>
      </patternFill>
    </fill>
    <fill>
      <patternFill patternType="solid">
        <fgColor theme="7" tint="0.59999389629810485"/>
        <bgColor indexed="64"/>
      </patternFill>
    </fill>
    <fill>
      <patternFill patternType="solid">
        <fgColor rgb="FFB0DD7F"/>
        <bgColor indexed="64"/>
      </patternFill>
    </fill>
    <fill>
      <patternFill patternType="solid">
        <fgColor rgb="FF92D050"/>
        <bgColor indexed="64"/>
      </patternFill>
    </fill>
    <fill>
      <patternFill patternType="solid">
        <fgColor rgb="FFDDAE37"/>
        <bgColor indexed="64"/>
      </patternFill>
    </fill>
    <fill>
      <patternFill patternType="solid">
        <fgColor rgb="FFFFC5C5"/>
        <bgColor indexed="64"/>
      </patternFill>
    </fill>
    <fill>
      <patternFill patternType="solid">
        <fgColor rgb="FFCBFDEA"/>
        <bgColor indexed="64"/>
      </patternFill>
    </fill>
    <fill>
      <patternFill patternType="solid">
        <fgColor rgb="FFE9FAFD"/>
        <bgColor indexed="64"/>
      </patternFill>
    </fill>
    <fill>
      <patternFill patternType="solid">
        <fgColor rgb="FFFCD8F4"/>
        <bgColor indexed="64"/>
      </patternFill>
    </fill>
    <fill>
      <patternFill patternType="solid">
        <fgColor rgb="FFD9D9D9"/>
        <bgColor rgb="FF000000"/>
      </patternFill>
    </fill>
    <fill>
      <patternFill patternType="solid">
        <fgColor theme="0" tint="-0.34998626667073579"/>
        <bgColor indexed="64"/>
      </patternFill>
    </fill>
    <fill>
      <patternFill patternType="solid">
        <fgColor theme="4"/>
        <bgColor indexed="64"/>
      </patternFill>
    </fill>
    <fill>
      <patternFill patternType="solid">
        <fgColor theme="3" tint="0.39997558519241921"/>
        <bgColor indexed="64"/>
      </patternFill>
    </fill>
    <fill>
      <patternFill patternType="solid">
        <fgColor theme="3"/>
        <bgColor indexed="64"/>
      </patternFill>
    </fill>
    <fill>
      <patternFill patternType="solid">
        <fgColor rgb="FF002060"/>
        <bgColor indexed="64"/>
      </patternFill>
    </fill>
    <fill>
      <patternFill patternType="solid">
        <fgColor theme="9" tint="0.39997558519241921"/>
        <bgColor indexed="64"/>
      </patternFill>
    </fill>
    <fill>
      <patternFill patternType="solid">
        <fgColor theme="9" tint="-0.249977111117893"/>
        <bgColor indexed="64"/>
      </patternFill>
    </fill>
    <fill>
      <patternFill patternType="darkDown">
        <fgColor theme="0" tint="-0.24994659260841701"/>
        <bgColor theme="4" tint="0.79995117038483843"/>
      </patternFill>
    </fill>
    <fill>
      <patternFill patternType="solid">
        <fgColor theme="4" tint="0.79998168889431442"/>
        <bgColor indexed="64"/>
      </patternFill>
    </fill>
    <fill>
      <patternFill patternType="solid">
        <fgColor theme="4" tint="0.59999389629810485"/>
        <bgColor indexed="64"/>
      </patternFill>
    </fill>
    <fill>
      <patternFill patternType="solid">
        <fgColor theme="0" tint="-0.14999847407452621"/>
        <bgColor indexed="64"/>
      </patternFill>
    </fill>
    <fill>
      <patternFill patternType="solid">
        <fgColor theme="8"/>
        <bgColor indexed="64"/>
      </patternFill>
    </fill>
    <fill>
      <patternFill patternType="solid">
        <fgColor rgb="FFF2F2F2"/>
      </patternFill>
    </fill>
    <fill>
      <patternFill patternType="solid">
        <fgColor rgb="FFA5A5A5"/>
      </patternFill>
    </fill>
    <fill>
      <patternFill patternType="solid">
        <fgColor theme="4"/>
      </patternFill>
    </fill>
    <fill>
      <patternFill patternType="solid">
        <fgColor theme="5" tint="0.59999389629810485"/>
        <bgColor indexed="65"/>
      </patternFill>
    </fill>
    <fill>
      <patternFill patternType="solid">
        <fgColor theme="5" tint="0.39997558519241921"/>
        <bgColor indexed="65"/>
      </patternFill>
    </fill>
    <fill>
      <patternFill patternType="solid">
        <fgColor theme="9" tint="0.79998168889431442"/>
        <bgColor indexed="65"/>
      </patternFill>
    </fill>
    <fill>
      <patternFill patternType="solid">
        <fgColor theme="9" tint="0.39997558519241921"/>
        <bgColor indexed="65"/>
      </patternFill>
    </fill>
  </fills>
  <borders count="155">
    <border>
      <left/>
      <right/>
      <top/>
      <bottom/>
      <diagonal/>
    </border>
    <border>
      <left style="thin">
        <color rgb="FF7F7F7F"/>
      </left>
      <right style="thin">
        <color rgb="FF7F7F7F"/>
      </right>
      <top style="thin">
        <color rgb="FF7F7F7F"/>
      </top>
      <bottom style="thin">
        <color rgb="FF7F7F7F"/>
      </bottom>
      <diagonal/>
    </border>
    <border>
      <left/>
      <right style="thick">
        <color indexed="64"/>
      </right>
      <top style="thick">
        <color indexed="64"/>
      </top>
      <bottom style="thick">
        <color indexed="64"/>
      </bottom>
      <diagonal/>
    </border>
    <border>
      <left/>
      <right/>
      <top style="thick">
        <color indexed="64"/>
      </top>
      <bottom style="thick">
        <color indexed="64"/>
      </bottom>
      <diagonal/>
    </border>
    <border>
      <left style="thick">
        <color indexed="64"/>
      </left>
      <right/>
      <top style="thick">
        <color indexed="64"/>
      </top>
      <bottom style="thick">
        <color indexed="64"/>
      </bottom>
      <diagonal/>
    </border>
    <border>
      <left/>
      <right style="thick">
        <color indexed="64"/>
      </right>
      <top/>
      <bottom style="thick">
        <color indexed="64"/>
      </bottom>
      <diagonal/>
    </border>
    <border>
      <left style="thin">
        <color indexed="64"/>
      </left>
      <right style="thin">
        <color indexed="64"/>
      </right>
      <top/>
      <bottom style="thick">
        <color indexed="64"/>
      </bottom>
      <diagonal/>
    </border>
    <border>
      <left/>
      <right/>
      <top/>
      <bottom style="thick">
        <color indexed="64"/>
      </bottom>
      <diagonal/>
    </border>
    <border>
      <left style="thick">
        <color indexed="64"/>
      </left>
      <right/>
      <top/>
      <bottom style="thick">
        <color indexed="64"/>
      </bottom>
      <diagonal/>
    </border>
    <border>
      <left/>
      <right style="thick">
        <color indexed="64"/>
      </right>
      <top/>
      <bottom/>
      <diagonal/>
    </border>
    <border>
      <left style="thin">
        <color indexed="64"/>
      </left>
      <right style="thin">
        <color indexed="64"/>
      </right>
      <top/>
      <bottom/>
      <diagonal/>
    </border>
    <border>
      <left style="thick">
        <color indexed="64"/>
      </left>
      <right/>
      <top/>
      <bottom/>
      <diagonal/>
    </border>
    <border>
      <left/>
      <right style="thick">
        <color indexed="64"/>
      </right>
      <top style="thick">
        <color indexed="64"/>
      </top>
      <bottom/>
      <diagonal/>
    </border>
    <border>
      <left style="thin">
        <color indexed="64"/>
      </left>
      <right style="thin">
        <color indexed="64"/>
      </right>
      <top style="thick">
        <color indexed="64"/>
      </top>
      <bottom/>
      <diagonal/>
    </border>
    <border>
      <left/>
      <right/>
      <top style="thick">
        <color indexed="64"/>
      </top>
      <bottom/>
      <diagonal/>
    </border>
    <border>
      <left style="thick">
        <color indexed="64"/>
      </left>
      <right/>
      <top style="thick">
        <color indexed="64"/>
      </top>
      <bottom/>
      <diagonal/>
    </border>
    <border>
      <left style="thin">
        <color indexed="64"/>
      </left>
      <right style="thin">
        <color indexed="64"/>
      </right>
      <top style="thick">
        <color indexed="64"/>
      </top>
      <bottom style="thick">
        <color indexed="64"/>
      </bottom>
      <diagonal/>
    </border>
    <border>
      <left style="double">
        <color indexed="64"/>
      </left>
      <right/>
      <top/>
      <bottom/>
      <diagonal/>
    </border>
    <border>
      <left/>
      <right style="double">
        <color indexed="64"/>
      </right>
      <top style="double">
        <color indexed="64"/>
      </top>
      <bottom style="double">
        <color indexed="64"/>
      </bottom>
      <diagonal/>
    </border>
    <border>
      <left/>
      <right/>
      <top style="double">
        <color indexed="64"/>
      </top>
      <bottom style="double">
        <color indexed="64"/>
      </bottom>
      <diagonal/>
    </border>
    <border>
      <left style="double">
        <color indexed="64"/>
      </left>
      <right/>
      <top style="double">
        <color indexed="64"/>
      </top>
      <bottom style="double">
        <color indexed="64"/>
      </bottom>
      <diagonal/>
    </border>
    <border>
      <left style="dashed">
        <color rgb="FF000000"/>
      </left>
      <right style="dashed">
        <color rgb="FF000000"/>
      </right>
      <top/>
      <bottom/>
      <diagonal/>
    </border>
    <border>
      <left style="dashed">
        <color rgb="FF000000"/>
      </left>
      <right style="dashed">
        <color rgb="FF000000"/>
      </right>
      <top/>
      <bottom style="dashed">
        <color rgb="FF000000"/>
      </bottom>
      <diagonal/>
    </border>
    <border>
      <left style="dashed">
        <color rgb="FF000000"/>
      </left>
      <right style="dashed">
        <color rgb="FF000000"/>
      </right>
      <top style="dashed">
        <color rgb="FF000000"/>
      </top>
      <bottom/>
      <diagonal/>
    </border>
    <border>
      <left style="dashed">
        <color rgb="FF000000"/>
      </left>
      <right style="dashed">
        <color rgb="FF000000"/>
      </right>
      <top style="dashed">
        <color rgb="FF000000"/>
      </top>
      <bottom style="dashed">
        <color rgb="FF000000"/>
      </bottom>
      <diagonal/>
    </border>
    <border>
      <left style="medium">
        <color indexed="64"/>
      </left>
      <right style="medium">
        <color indexed="64"/>
      </right>
      <top/>
      <bottom style="medium">
        <color indexed="64"/>
      </bottom>
      <diagonal/>
    </border>
    <border>
      <left style="medium">
        <color auto="1"/>
      </left>
      <right style="medium">
        <color auto="1"/>
      </right>
      <top/>
      <bottom/>
      <diagonal/>
    </border>
    <border>
      <left style="medium">
        <color indexed="64"/>
      </left>
      <right style="medium">
        <color indexed="64"/>
      </right>
      <top style="medium">
        <color indexed="64"/>
      </top>
      <bottom style="medium">
        <color indexed="64"/>
      </bottom>
      <diagonal/>
    </border>
    <border>
      <left/>
      <right style="medium">
        <color indexed="64"/>
      </right>
      <top/>
      <bottom style="medium">
        <color indexed="64"/>
      </bottom>
      <diagonal/>
    </border>
    <border>
      <left/>
      <right/>
      <top/>
      <bottom style="medium">
        <color indexed="64"/>
      </bottom>
      <diagonal/>
    </border>
    <border>
      <left style="medium">
        <color indexed="64"/>
      </left>
      <right/>
      <top/>
      <bottom style="medium">
        <color indexed="64"/>
      </bottom>
      <diagonal/>
    </border>
    <border>
      <left/>
      <right style="medium">
        <color indexed="64"/>
      </right>
      <top/>
      <bottom/>
      <diagonal/>
    </border>
    <border>
      <left style="medium">
        <color indexed="64"/>
      </left>
      <right/>
      <top/>
      <bottom/>
      <diagonal/>
    </border>
    <border>
      <left/>
      <right style="medium">
        <color indexed="64"/>
      </right>
      <top style="medium">
        <color indexed="64"/>
      </top>
      <bottom/>
      <diagonal/>
    </border>
    <border>
      <left/>
      <right/>
      <top style="medium">
        <color indexed="64"/>
      </top>
      <bottom/>
      <diagonal/>
    </border>
    <border>
      <left style="medium">
        <color indexed="64"/>
      </left>
      <right/>
      <top style="medium">
        <color indexed="64"/>
      </top>
      <bottom/>
      <diagonal/>
    </border>
    <border>
      <left style="medium">
        <color indexed="64"/>
      </left>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medium">
        <color indexed="64"/>
      </left>
      <right style="thin">
        <color indexed="64"/>
      </right>
      <top/>
      <bottom style="medium">
        <color indexed="64"/>
      </bottom>
      <diagonal/>
    </border>
    <border>
      <left style="dashDotDot">
        <color rgb="FF002060"/>
      </left>
      <right/>
      <top style="dashDotDot">
        <color rgb="FF002060"/>
      </top>
      <bottom style="dashDotDot">
        <color rgb="FF002060"/>
      </bottom>
      <diagonal/>
    </border>
    <border>
      <left style="dashDotDot">
        <color rgb="FF002060"/>
      </left>
      <right style="dashDotDot">
        <color rgb="FF002060"/>
      </right>
      <top style="dashDotDot">
        <color rgb="FF002060"/>
      </top>
      <bottom style="dashDotDot">
        <color rgb="FF002060"/>
      </bottom>
      <diagonal/>
    </border>
    <border>
      <left style="thin">
        <color indexed="64"/>
      </left>
      <right style="dashDotDot">
        <color rgb="FF002060"/>
      </right>
      <top style="dashDotDot">
        <color rgb="FF002060"/>
      </top>
      <bottom style="dashDotDot">
        <color rgb="FF002060"/>
      </bottom>
      <diagonal/>
    </border>
    <border>
      <left/>
      <right style="dashDotDot">
        <color rgb="FF002060"/>
      </right>
      <top style="dashDotDot">
        <color rgb="FF002060"/>
      </top>
      <bottom style="dashDotDot">
        <color rgb="FF002060"/>
      </bottom>
      <diagonal/>
    </border>
    <border>
      <left/>
      <right/>
      <top/>
      <bottom style="dashDotDot">
        <color rgb="FF002060"/>
      </bottom>
      <diagonal/>
    </border>
    <border>
      <left/>
      <right/>
      <top style="thin">
        <color indexed="64"/>
      </top>
      <bottom style="dashDotDot">
        <color rgb="FF002060"/>
      </bottom>
      <diagonal/>
    </border>
    <border>
      <left style="thin">
        <color indexed="64"/>
      </left>
      <right/>
      <top/>
      <bottom style="dashDotDot">
        <color rgb="FF002060"/>
      </bottom>
      <diagonal/>
    </border>
    <border>
      <left style="dashDotDot">
        <color rgb="FF002060"/>
      </left>
      <right style="dashDotDot">
        <color rgb="FF002060"/>
      </right>
      <top/>
      <bottom/>
      <diagonal/>
    </border>
    <border>
      <left style="thin">
        <color theme="3"/>
      </left>
      <right style="thin">
        <color theme="3"/>
      </right>
      <top style="thin">
        <color theme="3"/>
      </top>
      <bottom style="thin">
        <color theme="3"/>
      </bottom>
      <diagonal/>
    </border>
    <border>
      <left style="thin">
        <color theme="3"/>
      </left>
      <right/>
      <top/>
      <bottom/>
      <diagonal/>
    </border>
    <border>
      <left/>
      <right style="thin">
        <color indexed="64"/>
      </right>
      <top/>
      <bottom/>
      <diagonal/>
    </border>
    <border>
      <left/>
      <right style="thin">
        <color theme="3"/>
      </right>
      <top/>
      <bottom style="thin">
        <color theme="3"/>
      </bottom>
      <diagonal/>
    </border>
    <border>
      <left/>
      <right/>
      <top/>
      <bottom style="thin">
        <color theme="3"/>
      </bottom>
      <diagonal/>
    </border>
    <border>
      <left style="thin">
        <color theme="3"/>
      </left>
      <right/>
      <top/>
      <bottom style="thin">
        <color theme="3"/>
      </bottom>
      <diagonal/>
    </border>
    <border>
      <left/>
      <right style="thin">
        <color theme="3"/>
      </right>
      <top style="thin">
        <color theme="3"/>
      </top>
      <bottom/>
      <diagonal/>
    </border>
    <border>
      <left/>
      <right/>
      <top style="thin">
        <color theme="3"/>
      </top>
      <bottom/>
      <diagonal/>
    </border>
    <border>
      <left style="thin">
        <color theme="3"/>
      </left>
      <right/>
      <top style="thin">
        <color theme="3"/>
      </top>
      <bottom/>
      <diagonal/>
    </border>
    <border>
      <left/>
      <right style="medium">
        <color theme="4"/>
      </right>
      <top/>
      <bottom style="medium">
        <color theme="4"/>
      </bottom>
      <diagonal/>
    </border>
    <border>
      <left/>
      <right/>
      <top/>
      <bottom style="medium">
        <color theme="4"/>
      </bottom>
      <diagonal/>
    </border>
    <border>
      <left style="medium">
        <color theme="4"/>
      </left>
      <right/>
      <top/>
      <bottom style="medium">
        <color theme="4"/>
      </bottom>
      <diagonal/>
    </border>
    <border>
      <left/>
      <right style="medium">
        <color theme="4"/>
      </right>
      <top style="medium">
        <color theme="4"/>
      </top>
      <bottom/>
      <diagonal/>
    </border>
    <border>
      <left/>
      <right/>
      <top style="medium">
        <color theme="4"/>
      </top>
      <bottom/>
      <diagonal/>
    </border>
    <border>
      <left style="medium">
        <color theme="4"/>
      </left>
      <right/>
      <top style="medium">
        <color theme="4"/>
      </top>
      <bottom/>
      <diagonal/>
    </border>
    <border>
      <left style="medium">
        <color theme="4"/>
      </left>
      <right style="medium">
        <color theme="4"/>
      </right>
      <top style="medium">
        <color theme="4"/>
      </top>
      <bottom style="medium">
        <color theme="4"/>
      </bottom>
      <diagonal/>
    </border>
    <border>
      <left style="medium">
        <color theme="4"/>
      </left>
      <right style="medium">
        <color theme="4"/>
      </right>
      <top style="medium">
        <color theme="4"/>
      </top>
      <bottom/>
      <diagonal/>
    </border>
    <border>
      <left style="dotted">
        <color indexed="64"/>
      </left>
      <right style="dotted">
        <color indexed="64"/>
      </right>
      <top/>
      <bottom/>
      <diagonal/>
    </border>
    <border>
      <left style="dotted">
        <color indexed="64"/>
      </left>
      <right style="dotted">
        <color indexed="64"/>
      </right>
      <top style="thin">
        <color indexed="64"/>
      </top>
      <bottom style="thin">
        <color indexed="64"/>
      </bottom>
      <diagonal/>
    </border>
    <border>
      <left style="thin">
        <color indexed="64"/>
      </left>
      <right/>
      <top style="thin">
        <color indexed="64"/>
      </top>
      <bottom style="thin">
        <color indexed="64"/>
      </bottom>
      <diagonal/>
    </border>
    <border>
      <left/>
      <right/>
      <top style="medium">
        <color theme="0" tint="-0.249977111117893"/>
      </top>
      <bottom/>
      <diagonal/>
    </border>
    <border>
      <left/>
      <right/>
      <top/>
      <bottom style="medium">
        <color theme="0" tint="-0.249977111117893"/>
      </bottom>
      <diagonal/>
    </border>
    <border>
      <left style="medium">
        <color theme="0" tint="-0.249977111117893"/>
      </left>
      <right/>
      <top/>
      <bottom style="medium">
        <color theme="0" tint="-0.249977111117893"/>
      </bottom>
      <diagonal/>
    </border>
    <border>
      <left style="medium">
        <color theme="0" tint="-0.249977111117893"/>
      </left>
      <right/>
      <top/>
      <bottom/>
      <diagonal/>
    </border>
    <border>
      <left style="medium">
        <color theme="0" tint="-0.249977111117893"/>
      </left>
      <right/>
      <top style="medium">
        <color theme="0" tint="-0.249977111117893"/>
      </top>
      <bottom/>
      <diagonal/>
    </border>
    <border>
      <left/>
      <right style="medium">
        <color theme="0" tint="-0.249977111117893"/>
      </right>
      <top/>
      <bottom style="medium">
        <color theme="0" tint="-0.249977111117893"/>
      </bottom>
      <diagonal/>
    </border>
    <border>
      <left/>
      <right style="medium">
        <color theme="0" tint="-0.249977111117893"/>
      </right>
      <top style="medium">
        <color theme="0" tint="-0.249977111117893"/>
      </top>
      <bottom/>
      <diagonal/>
    </border>
    <border>
      <left/>
      <right style="medium">
        <color theme="0" tint="-0.249977111117893"/>
      </right>
      <top style="medium">
        <color theme="0" tint="-0.249977111117893"/>
      </top>
      <bottom style="medium">
        <color theme="0" tint="-0.249977111117893"/>
      </bottom>
      <diagonal/>
    </border>
    <border>
      <left style="medium">
        <color theme="0" tint="-0.249977111117893"/>
      </left>
      <right/>
      <top style="medium">
        <color theme="0" tint="-0.249977111117893"/>
      </top>
      <bottom style="medium">
        <color theme="0" tint="-0.249977111117893"/>
      </bottom>
      <diagonal/>
    </border>
    <border>
      <left style="medium">
        <color theme="0" tint="-0.249977111117893"/>
      </left>
      <right style="medium">
        <color theme="0" tint="-0.249977111117893"/>
      </right>
      <top style="medium">
        <color theme="0" tint="-0.249977111117893"/>
      </top>
      <bottom style="medium">
        <color theme="0" tint="-0.249977111117893"/>
      </bottom>
      <diagonal/>
    </border>
    <border>
      <left/>
      <right style="medium">
        <color theme="0" tint="-0.249977111117893"/>
      </right>
      <top/>
      <bottom/>
      <diagonal/>
    </border>
    <border>
      <left/>
      <right/>
      <top style="medium">
        <color theme="0" tint="-0.249977111117893"/>
      </top>
      <bottom style="medium">
        <color theme="0" tint="-0.249977111117893"/>
      </bottom>
      <diagonal/>
    </border>
    <border>
      <left style="thin">
        <color auto="1"/>
      </left>
      <right/>
      <top style="thin">
        <color auto="1"/>
      </top>
      <bottom/>
      <diagonal/>
    </border>
    <border>
      <left style="medium">
        <color theme="0" tint="-0.249977111117893"/>
      </left>
      <right style="medium">
        <color theme="0" tint="-0.249977111117893"/>
      </right>
      <top/>
      <bottom style="medium">
        <color theme="0" tint="-0.249977111117893"/>
      </bottom>
      <diagonal/>
    </border>
    <border>
      <left style="dashDotDot">
        <color theme="3"/>
      </left>
      <right style="dashDotDot">
        <color theme="3"/>
      </right>
      <top style="dashDotDot">
        <color theme="3"/>
      </top>
      <bottom style="dashDotDot">
        <color theme="3"/>
      </bottom>
      <diagonal/>
    </border>
    <border>
      <left/>
      <right style="dashDotDot">
        <color theme="3"/>
      </right>
      <top/>
      <bottom/>
      <diagonal/>
    </border>
    <border>
      <left/>
      <right/>
      <top/>
      <bottom style="mediumDashed">
        <color rgb="FF002060"/>
      </bottom>
      <diagonal/>
    </border>
    <border>
      <left style="dashDotDot">
        <color theme="3"/>
      </left>
      <right/>
      <top/>
      <bottom style="mediumDashed">
        <color rgb="FF002060"/>
      </bottom>
      <diagonal/>
    </border>
    <border>
      <left/>
      <right style="dashDotDot">
        <color theme="3"/>
      </right>
      <top style="dashDotDot">
        <color theme="3"/>
      </top>
      <bottom/>
      <diagonal/>
    </border>
    <border>
      <left/>
      <right/>
      <top style="dashDotDot">
        <color theme="3"/>
      </top>
      <bottom/>
      <diagonal/>
    </border>
    <border>
      <left style="dashDotDot">
        <color theme="3"/>
      </left>
      <right/>
      <top style="dashDotDot">
        <color theme="3"/>
      </top>
      <bottom/>
      <diagonal/>
    </border>
    <border>
      <left/>
      <right style="thin">
        <color indexed="64"/>
      </right>
      <top/>
      <bottom style="thin">
        <color indexed="64"/>
      </bottom>
      <diagonal/>
    </border>
    <border>
      <left style="thin">
        <color indexed="64"/>
      </left>
      <right/>
      <top/>
      <bottom style="thin">
        <color indexed="64"/>
      </bottom>
      <diagonal/>
    </border>
    <border>
      <left style="thin">
        <color indexed="64"/>
      </left>
      <right/>
      <top/>
      <bottom/>
      <diagonal/>
    </border>
    <border>
      <left/>
      <right style="dashDotDot">
        <color theme="3"/>
      </right>
      <top/>
      <bottom style="dashDotDot">
        <color theme="3"/>
      </bottom>
      <diagonal/>
    </border>
    <border>
      <left/>
      <right/>
      <top/>
      <bottom style="dashDotDot">
        <color theme="3"/>
      </bottom>
      <diagonal/>
    </border>
    <border>
      <left style="dashDotDot">
        <color theme="3"/>
      </left>
      <right/>
      <top/>
      <bottom style="dashDotDot">
        <color theme="3"/>
      </bottom>
      <diagonal/>
    </border>
    <border>
      <left/>
      <right style="thin">
        <color indexed="64"/>
      </right>
      <top style="thin">
        <color indexed="64"/>
      </top>
      <bottom/>
      <diagonal/>
    </border>
    <border>
      <left style="dashDotDot">
        <color theme="3"/>
      </left>
      <right/>
      <top/>
      <bottom/>
      <diagonal/>
    </border>
    <border>
      <left/>
      <right style="thin">
        <color indexed="64"/>
      </right>
      <top style="thin">
        <color indexed="64"/>
      </top>
      <bottom style="thin">
        <color indexed="64"/>
      </bottom>
      <diagonal/>
    </border>
    <border>
      <left style="medium">
        <color indexed="64"/>
      </left>
      <right/>
      <top style="thin">
        <color indexed="64"/>
      </top>
      <bottom style="medium">
        <color indexed="64"/>
      </bottom>
      <diagonal/>
    </border>
    <border>
      <left style="medium">
        <color indexed="64"/>
      </left>
      <right/>
      <top style="thin">
        <color indexed="64"/>
      </top>
      <bottom style="thin">
        <color indexed="64"/>
      </bottom>
      <diagonal/>
    </border>
    <border>
      <left style="thin">
        <color indexed="64"/>
      </left>
      <right style="medium">
        <color indexed="64"/>
      </right>
      <top style="medium">
        <color indexed="64"/>
      </top>
      <bottom/>
      <diagonal/>
    </border>
    <border>
      <left style="thin">
        <color indexed="64"/>
      </left>
      <right style="thin">
        <color indexed="64"/>
      </right>
      <top style="medium">
        <color indexed="64"/>
      </top>
      <bottom/>
      <diagonal/>
    </border>
    <border>
      <left style="medium">
        <color indexed="64"/>
      </left>
      <right style="thin">
        <color indexed="64"/>
      </right>
      <top style="medium">
        <color indexed="64"/>
      </top>
      <bottom style="thin">
        <color indexed="64"/>
      </bottom>
      <diagonal/>
    </border>
    <border>
      <left style="medium">
        <color theme="6" tint="-0.249977111117893"/>
      </left>
      <right style="medium">
        <color theme="6" tint="-0.249977111117893"/>
      </right>
      <top/>
      <bottom style="medium">
        <color theme="6" tint="-0.249977111117893"/>
      </bottom>
      <diagonal/>
    </border>
    <border>
      <left style="medium">
        <color theme="6" tint="-0.249977111117893"/>
      </left>
      <right style="medium">
        <color theme="6" tint="-0.249977111117893"/>
      </right>
      <top/>
      <bottom/>
      <diagonal/>
    </border>
    <border>
      <left style="mediumDashed">
        <color theme="6" tint="-0.249977111117893"/>
      </left>
      <right style="mediumDashed">
        <color theme="6" tint="-0.249977111117893"/>
      </right>
      <top style="mediumDashed">
        <color theme="6" tint="-0.249977111117893"/>
      </top>
      <bottom style="mediumDashed">
        <color theme="6" tint="-0.249977111117893"/>
      </bottom>
      <diagonal/>
    </border>
    <border>
      <left/>
      <right style="mediumDashed">
        <color theme="6" tint="-0.249977111117893"/>
      </right>
      <top/>
      <bottom/>
      <diagonal/>
    </border>
    <border>
      <left/>
      <right/>
      <top style="mediumDashDot">
        <color theme="6" tint="-0.249977111117893"/>
      </top>
      <bottom/>
      <diagonal/>
    </border>
    <border>
      <left/>
      <right/>
      <top/>
      <bottom style="mediumDashDot">
        <color theme="6" tint="-0.249977111117893"/>
      </bottom>
      <diagonal/>
    </border>
    <border>
      <left style="medium">
        <color theme="6" tint="-0.249977111117893"/>
      </left>
      <right style="medium">
        <color theme="6" tint="-0.249977111117893"/>
      </right>
      <top style="medium">
        <color theme="6" tint="-0.249977111117893"/>
      </top>
      <bottom/>
      <diagonal/>
    </border>
    <border>
      <left/>
      <right/>
      <top/>
      <bottom style="thick">
        <color theme="4" tint="0.499984740745262"/>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style="mediumDashDotDot">
        <color indexed="64"/>
      </left>
      <right style="mediumDashDotDot">
        <color indexed="64"/>
      </right>
      <top style="mediumDashDotDot">
        <color indexed="64"/>
      </top>
      <bottom style="mediumDashDotDot">
        <color indexed="64"/>
      </bottom>
      <diagonal/>
    </border>
    <border>
      <left style="double">
        <color rgb="FF3F3F3F"/>
      </left>
      <right style="double">
        <color rgb="FF3F3F3F"/>
      </right>
      <top/>
      <bottom style="double">
        <color rgb="FF3F3F3F"/>
      </bottom>
      <diagonal/>
    </border>
    <border>
      <left/>
      <right/>
      <top style="mediumDashDotDot">
        <color indexed="64"/>
      </top>
      <bottom/>
      <diagonal/>
    </border>
    <border>
      <left style="mediumDashDotDot">
        <color indexed="64"/>
      </left>
      <right/>
      <top/>
      <bottom/>
      <diagonal/>
    </border>
    <border>
      <left/>
      <right style="mediumDashDotDot">
        <color indexed="64"/>
      </right>
      <top/>
      <bottom/>
      <diagonal/>
    </border>
    <border>
      <left/>
      <right/>
      <top/>
      <bottom style="mediumDashDotDot">
        <color indexed="64"/>
      </bottom>
      <diagonal/>
    </border>
    <border>
      <left/>
      <right style="mediumDashDotDot">
        <color indexed="64"/>
      </right>
      <top/>
      <bottom style="mediumDashDotDot">
        <color indexed="64"/>
      </bottom>
      <diagonal/>
    </border>
    <border>
      <left style="mediumDashDotDot">
        <color indexed="64"/>
      </left>
      <right/>
      <top style="mediumDashDotDot">
        <color indexed="64"/>
      </top>
      <bottom style="mediumDashDotDot">
        <color indexed="64"/>
      </bottom>
      <diagonal/>
    </border>
    <border>
      <left/>
      <right/>
      <top style="mediumDashDotDot">
        <color indexed="64"/>
      </top>
      <bottom style="mediumDashDotDot">
        <color indexed="64"/>
      </bottom>
      <diagonal/>
    </border>
    <border>
      <left/>
      <right style="mediumDashDotDot">
        <color indexed="64"/>
      </right>
      <top style="mediumDashDotDot">
        <color indexed="64"/>
      </top>
      <bottom style="mediumDashDotDot">
        <color indexed="64"/>
      </bottom>
      <diagonal/>
    </border>
    <border>
      <left style="mediumDashDotDot">
        <color indexed="64"/>
      </left>
      <right style="mediumDashDotDot">
        <color indexed="64"/>
      </right>
      <top style="mediumDashDotDot">
        <color indexed="64"/>
      </top>
      <bottom/>
      <diagonal/>
    </border>
    <border>
      <left style="mediumDashDotDot">
        <color indexed="64"/>
      </left>
      <right style="mediumDashDotDot">
        <color indexed="64"/>
      </right>
      <top/>
      <bottom/>
      <diagonal/>
    </border>
    <border>
      <left style="mediumDashDotDot">
        <color indexed="64"/>
      </left>
      <right style="mediumDashDotDot">
        <color indexed="64"/>
      </right>
      <top/>
      <bottom style="mediumDashDotDot">
        <color indexed="64"/>
      </bottom>
      <diagonal/>
    </border>
    <border>
      <left/>
      <right style="medium">
        <color indexed="64"/>
      </right>
      <top style="medium">
        <color indexed="64"/>
      </top>
      <bottom style="medium">
        <color indexed="64"/>
      </bottom>
      <diagonal/>
    </border>
    <border>
      <left style="double">
        <color rgb="FF3F3F3F"/>
      </left>
      <right/>
      <top style="double">
        <color rgb="FF3F3F3F"/>
      </top>
      <bottom style="double">
        <color rgb="FF3F3F3F"/>
      </bottom>
      <diagonal/>
    </border>
    <border>
      <left/>
      <right style="double">
        <color rgb="FF3F3F3F"/>
      </right>
      <top style="double">
        <color rgb="FF3F3F3F"/>
      </top>
      <bottom style="double">
        <color rgb="FF3F3F3F"/>
      </bottom>
      <diagonal/>
    </border>
    <border>
      <left/>
      <right style="medium">
        <color theme="0" tint="-0.34998626667073579"/>
      </right>
      <top style="medium">
        <color theme="0" tint="-0.249977111117893"/>
      </top>
      <bottom/>
      <diagonal/>
    </border>
    <border>
      <left/>
      <right style="medium">
        <color theme="0" tint="-0.34998626667073579"/>
      </right>
      <top/>
      <bottom/>
      <diagonal/>
    </border>
    <border>
      <left/>
      <right style="medium">
        <color theme="0" tint="-0.34998626667073579"/>
      </right>
      <top/>
      <bottom style="medium">
        <color theme="0" tint="-0.249977111117893"/>
      </bottom>
      <diagonal/>
    </border>
    <border>
      <left/>
      <right style="mediumDashDot">
        <color theme="0" tint="-0.499984740745262"/>
      </right>
      <top/>
      <bottom style="mediumDashDot">
        <color theme="0" tint="-0.499984740745262"/>
      </bottom>
      <diagonal/>
    </border>
    <border>
      <left/>
      <right/>
      <top/>
      <bottom style="mediumDashDot">
        <color theme="0" tint="-0.499984740745262"/>
      </bottom>
      <diagonal/>
    </border>
    <border>
      <left/>
      <right style="mediumDashDot">
        <color theme="0" tint="-0.499984740745262"/>
      </right>
      <top/>
      <bottom/>
      <diagonal/>
    </border>
    <border>
      <left/>
      <right style="mediumDashDot">
        <color theme="0" tint="-0.499984740745262"/>
      </right>
      <top style="mediumDashDot">
        <color theme="0" tint="-0.499984740745262"/>
      </top>
      <bottom style="mediumDashDot">
        <color theme="0" tint="-0.499984740745262"/>
      </bottom>
      <diagonal/>
    </border>
    <border>
      <left/>
      <right/>
      <top style="mediumDashDot">
        <color theme="0" tint="-0.499984740745262"/>
      </top>
      <bottom style="mediumDashDot">
        <color theme="0" tint="-0.499984740745262"/>
      </bottom>
      <diagonal/>
    </border>
    <border>
      <left/>
      <right/>
      <top style="medium">
        <color indexed="64"/>
      </top>
      <bottom style="medium">
        <color indexed="64"/>
      </bottom>
      <diagonal/>
    </border>
    <border>
      <left style="mediumDashDot">
        <color theme="0" tint="-0.499984740745262"/>
      </left>
      <right/>
      <top/>
      <bottom/>
      <diagonal/>
    </border>
    <border>
      <left style="mediumDashDot">
        <color theme="0" tint="-0.34998626667073579"/>
      </left>
      <right style="mediumDashDot">
        <color theme="0" tint="-0.34998626667073579"/>
      </right>
      <top style="mediumDashDot">
        <color theme="0" tint="-0.34998626667073579"/>
      </top>
      <bottom style="mediumDashDot">
        <color theme="0" tint="-0.34998626667073579"/>
      </bottom>
      <diagonal/>
    </border>
    <border>
      <left style="mediumDashDot">
        <color theme="0" tint="-0.34998626667073579"/>
      </left>
      <right style="mediumDashDot">
        <color theme="0" tint="-0.499984740745262"/>
      </right>
      <top/>
      <bottom style="mediumDashDot">
        <color theme="0" tint="-0.499984740745262"/>
      </bottom>
      <diagonal/>
    </border>
    <border>
      <left style="mediumDashDot">
        <color theme="0" tint="-0.34998626667073579"/>
      </left>
      <right/>
      <top/>
      <bottom/>
      <diagonal/>
    </border>
    <border>
      <left style="mediumDashDot">
        <color theme="0" tint="-0.34998626667073579"/>
      </left>
      <right/>
      <top/>
      <bottom style="mediumDashDot">
        <color theme="0" tint="-0.499984740745262"/>
      </bottom>
      <diagonal/>
    </border>
    <border>
      <left/>
      <right style="mediumDashDot">
        <color theme="0" tint="-0.34998626667073579"/>
      </right>
      <top/>
      <bottom style="mediumDashDot">
        <color theme="0" tint="-0.34998626667073579"/>
      </bottom>
      <diagonal/>
    </border>
    <border>
      <left/>
      <right/>
      <top/>
      <bottom style="mediumDashDot">
        <color theme="0" tint="-0.34998626667073579"/>
      </bottom>
      <diagonal/>
    </border>
    <border>
      <left style="mediumDashDot">
        <color theme="0" tint="-0.34998626667073579"/>
      </left>
      <right/>
      <top/>
      <bottom style="mediumDashDot">
        <color theme="0" tint="-0.34998626667073579"/>
      </bottom>
      <diagonal/>
    </border>
    <border>
      <left style="mediumDashDot">
        <color theme="0" tint="-0.34998626667073579"/>
      </left>
      <right style="mediumDashDot">
        <color theme="0" tint="-0.499984740745262"/>
      </right>
      <top/>
      <bottom/>
      <diagonal/>
    </border>
    <border>
      <left/>
      <right style="mediumDashDot">
        <color theme="0" tint="-0.34998626667073579"/>
      </right>
      <top/>
      <bottom/>
      <diagonal/>
    </border>
    <border>
      <left style="mediumDashDot">
        <color theme="0" tint="-0.34998626667073579"/>
      </left>
      <right style="mediumDashDot">
        <color theme="0" tint="-0.34998626667073579"/>
      </right>
      <top/>
      <bottom/>
      <diagonal/>
    </border>
    <border>
      <left style="mediumDashDot">
        <color theme="0" tint="-0.34998626667073579"/>
      </left>
      <right style="mediumDashDot">
        <color theme="0" tint="-0.34998626667073579"/>
      </right>
      <top style="mediumDashDot">
        <color theme="0" tint="-0.34998626667073579"/>
      </top>
      <bottom/>
      <diagonal/>
    </border>
    <border>
      <left/>
      <right style="mediumDashDot">
        <color theme="0" tint="-0.34998626667073579"/>
      </right>
      <top style="mediumDashDot">
        <color theme="0" tint="-0.34998626667073579"/>
      </top>
      <bottom/>
      <diagonal/>
    </border>
    <border>
      <left style="mediumDashDot">
        <color theme="0" tint="-0.34998626667073579"/>
      </left>
      <right/>
      <top style="mediumDashDot">
        <color theme="0" tint="-0.34998626667073579"/>
      </top>
      <bottom/>
      <diagonal/>
    </border>
    <border>
      <left/>
      <right/>
      <top style="mediumDashDot">
        <color theme="0" tint="-0.34998626667073579"/>
      </top>
      <bottom/>
      <diagonal/>
    </border>
    <border>
      <left/>
      <right style="mediumDashDot">
        <color theme="0" tint="-0.499984740745262"/>
      </right>
      <top/>
      <bottom style="mediumDashDot">
        <color theme="0" tint="-0.34998626667073579"/>
      </bottom>
      <diagonal/>
    </border>
    <border>
      <left/>
      <right style="mediumDashDot">
        <color theme="0" tint="-0.34998626667073579"/>
      </right>
      <top style="mediumDashDot">
        <color theme="0" tint="-0.34998626667073579"/>
      </top>
      <bottom style="mediumDashDot">
        <color theme="0" tint="-0.34998626667073579"/>
      </bottom>
      <diagonal/>
    </border>
  </borders>
  <cellStyleXfs count="33">
    <xf numFmtId="0" fontId="0" fillId="0" borderId="0"/>
    <xf numFmtId="44" fontId="1" fillId="0" borderId="0" applyFont="0" applyFill="0" applyBorder="0" applyAlignment="0" applyProtection="0"/>
    <xf numFmtId="9" fontId="1" fillId="0" borderId="0" applyFont="0" applyFill="0" applyBorder="0" applyAlignment="0" applyProtection="0"/>
    <xf numFmtId="0" fontId="2" fillId="2" borderId="0" applyNumberFormat="0" applyBorder="0" applyAlignment="0" applyProtection="0"/>
    <xf numFmtId="0" fontId="3" fillId="3" borderId="0" applyNumberFormat="0" applyBorder="0" applyAlignment="0" applyProtection="0"/>
    <xf numFmtId="0" fontId="4" fillId="4" borderId="0" applyNumberFormat="0" applyBorder="0" applyAlignment="0" applyProtection="0"/>
    <xf numFmtId="0" fontId="5" fillId="5" borderId="1" applyNumberFormat="0" applyAlignment="0" applyProtection="0"/>
    <xf numFmtId="0" fontId="7" fillId="0" borderId="0" applyNumberFormat="0" applyFill="0" applyBorder="0" applyAlignment="0" applyProtection="0"/>
    <xf numFmtId="0" fontId="1" fillId="6" borderId="0" applyNumberFormat="0" applyBorder="0" applyAlignment="0" applyProtection="0"/>
    <xf numFmtId="0" fontId="9" fillId="7"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39" fillId="0" borderId="0"/>
    <xf numFmtId="44" fontId="39" fillId="0" borderId="0" applyFont="0" applyFill="0" applyBorder="0" applyAlignment="0" applyProtection="0"/>
    <xf numFmtId="0" fontId="53" fillId="0" borderId="0"/>
    <xf numFmtId="0" fontId="64" fillId="0" borderId="0"/>
    <xf numFmtId="0" fontId="9" fillId="8" borderId="0" applyNumberFormat="0" applyBorder="0" applyAlignment="0" applyProtection="0"/>
    <xf numFmtId="0" fontId="70" fillId="0" borderId="110" applyNumberFormat="0" applyFill="0" applyAlignment="0" applyProtection="0"/>
    <xf numFmtId="0" fontId="71" fillId="37" borderId="111" applyNumberFormat="0" applyAlignment="0" applyProtection="0"/>
    <xf numFmtId="0" fontId="6" fillId="38" borderId="112" applyNumberFormat="0" applyAlignment="0" applyProtection="0"/>
    <xf numFmtId="0" fontId="9" fillId="39"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0" fontId="1" fillId="42" borderId="0" applyNumberFormat="0" applyBorder="0" applyAlignment="0" applyProtection="0"/>
    <xf numFmtId="0" fontId="1" fillId="43" borderId="0" applyNumberFormat="0" applyBorder="0" applyAlignment="0" applyProtection="0"/>
    <xf numFmtId="0" fontId="64" fillId="0" borderId="0"/>
    <xf numFmtId="203" fontId="64" fillId="0" borderId="0" applyFont="0" applyFill="0" applyBorder="0" applyAlignment="0" applyProtection="0"/>
    <xf numFmtId="0" fontId="64" fillId="0" borderId="0"/>
    <xf numFmtId="204" fontId="64" fillId="0" borderId="0" applyFont="0" applyFill="0" applyBorder="0" applyAlignment="0" applyProtection="0"/>
    <xf numFmtId="0" fontId="64" fillId="0" borderId="0"/>
    <xf numFmtId="9" fontId="64" fillId="0" borderId="0" applyFont="0" applyFill="0" applyBorder="0" applyAlignment="0" applyProtection="0"/>
  </cellStyleXfs>
  <cellXfs count="664">
    <xf numFmtId="0" fontId="0" fillId="0" borderId="0" xfId="0"/>
    <xf numFmtId="0" fontId="7" fillId="0" borderId="0" xfId="7"/>
    <xf numFmtId="44" fontId="7" fillId="0" borderId="0" xfId="7" applyNumberFormat="1"/>
    <xf numFmtId="0" fontId="10" fillId="0" borderId="0" xfId="7" applyFont="1"/>
    <xf numFmtId="44" fontId="0" fillId="0" borderId="0" xfId="1" applyFont="1"/>
    <xf numFmtId="164" fontId="0" fillId="0" borderId="0" xfId="1" applyNumberFormat="1" applyFont="1"/>
    <xf numFmtId="0" fontId="2" fillId="2" borderId="0" xfId="3"/>
    <xf numFmtId="0" fontId="4" fillId="4" borderId="0" xfId="5"/>
    <xf numFmtId="0" fontId="11" fillId="0" borderId="0" xfId="0" applyFont="1"/>
    <xf numFmtId="0" fontId="11" fillId="0" borderId="0" xfId="0" applyFont="1" applyAlignment="1">
      <alignment textRotation="255"/>
    </xf>
    <xf numFmtId="0" fontId="12" fillId="12" borderId="2" xfId="0" applyFont="1" applyFill="1" applyBorder="1"/>
    <xf numFmtId="0" fontId="12" fillId="12" borderId="3" xfId="0" applyFont="1" applyFill="1" applyBorder="1"/>
    <xf numFmtId="0" fontId="13" fillId="0" borderId="4" xfId="0" applyFont="1" applyBorder="1" applyAlignment="1">
      <alignment horizontal="left"/>
    </xf>
    <xf numFmtId="0" fontId="14" fillId="0" borderId="5" xfId="0" applyFont="1" applyBorder="1"/>
    <xf numFmtId="0" fontId="14" fillId="0" borderId="6" xfId="0" applyFont="1" applyBorder="1"/>
    <xf numFmtId="0" fontId="14" fillId="0" borderId="7" xfId="0" applyFont="1" applyBorder="1"/>
    <xf numFmtId="0" fontId="13" fillId="12" borderId="8" xfId="0" applyFont="1" applyFill="1" applyBorder="1" applyAlignment="1">
      <alignment horizontal="right"/>
    </xf>
    <xf numFmtId="0" fontId="14" fillId="0" borderId="9" xfId="0" applyFont="1" applyBorder="1"/>
    <xf numFmtId="0" fontId="14" fillId="0" borderId="10" xfId="0" applyFont="1" applyBorder="1"/>
    <xf numFmtId="0" fontId="14" fillId="0" borderId="0" xfId="0" applyFont="1"/>
    <xf numFmtId="0" fontId="13" fillId="12" borderId="11" xfId="0" applyFont="1" applyFill="1" applyBorder="1" applyAlignment="1">
      <alignment horizontal="right"/>
    </xf>
    <xf numFmtId="0" fontId="14" fillId="0" borderId="12" xfId="0" applyFont="1" applyBorder="1"/>
    <xf numFmtId="0" fontId="14" fillId="0" borderId="13" xfId="0" applyFont="1" applyBorder="1"/>
    <xf numFmtId="0" fontId="14" fillId="0" borderId="14" xfId="0" applyFont="1" applyBorder="1"/>
    <xf numFmtId="0" fontId="13" fillId="12" borderId="15" xfId="0" applyFont="1" applyFill="1" applyBorder="1" applyAlignment="1">
      <alignment horizontal="right"/>
    </xf>
    <xf numFmtId="0" fontId="13" fillId="12" borderId="2" xfId="0" applyFont="1" applyFill="1" applyBorder="1" applyAlignment="1">
      <alignment horizontal="center" vertical="center" textRotation="135"/>
    </xf>
    <xf numFmtId="0" fontId="13" fillId="12" borderId="16" xfId="0" applyFont="1" applyFill="1" applyBorder="1" applyAlignment="1">
      <alignment horizontal="center" vertical="center" textRotation="135"/>
    </xf>
    <xf numFmtId="0" fontId="13" fillId="12" borderId="3" xfId="0" applyFont="1" applyFill="1" applyBorder="1" applyAlignment="1">
      <alignment horizontal="center" vertical="center" textRotation="135"/>
    </xf>
    <xf numFmtId="0" fontId="13" fillId="12" borderId="16" xfId="0" applyFont="1" applyFill="1" applyBorder="1" applyAlignment="1">
      <alignment horizontal="right" textRotation="135"/>
    </xf>
    <xf numFmtId="0" fontId="12" fillId="0" borderId="4" xfId="0" applyFont="1" applyBorder="1" applyAlignment="1">
      <alignment horizontal="center" vertical="center" textRotation="135"/>
    </xf>
    <xf numFmtId="0" fontId="11" fillId="0" borderId="0" xfId="0" applyFont="1" applyAlignment="1">
      <alignment horizontal="left"/>
    </xf>
    <xf numFmtId="0" fontId="11" fillId="0" borderId="17" xfId="0" applyFont="1" applyBorder="1"/>
    <xf numFmtId="0" fontId="1" fillId="0" borderId="0" xfId="0" applyFont="1"/>
    <xf numFmtId="165" fontId="6" fillId="14" borderId="0" xfId="1" applyNumberFormat="1" applyFont="1" applyFill="1" applyBorder="1" applyAlignment="1">
      <alignment horizontal="center" vertical="center"/>
    </xf>
    <xf numFmtId="0" fontId="6" fillId="14" borderId="0" xfId="8" applyNumberFormat="1" applyFont="1" applyFill="1" applyBorder="1" applyAlignment="1">
      <alignment horizontal="center" vertical="center"/>
    </xf>
    <xf numFmtId="166" fontId="6" fillId="15" borderId="0" xfId="0" applyNumberFormat="1" applyFont="1" applyFill="1" applyAlignment="1">
      <alignment horizontal="center" vertical="center"/>
    </xf>
    <xf numFmtId="0" fontId="6" fillId="15" borderId="0" xfId="0" applyFont="1" applyFill="1" applyAlignment="1">
      <alignment horizontal="right"/>
    </xf>
    <xf numFmtId="166" fontId="8" fillId="0" borderId="0" xfId="1" applyNumberFormat="1" applyFont="1" applyFill="1" applyBorder="1" applyAlignment="1">
      <alignment horizontal="center" vertical="center"/>
    </xf>
    <xf numFmtId="0" fontId="8" fillId="16" borderId="0" xfId="0" applyFont="1" applyFill="1" applyAlignment="1">
      <alignment horizontal="right"/>
    </xf>
    <xf numFmtId="166" fontId="6" fillId="15" borderId="0" xfId="1" applyNumberFormat="1" applyFont="1" applyFill="1" applyBorder="1" applyAlignment="1">
      <alignment horizontal="center" vertical="center"/>
    </xf>
    <xf numFmtId="0" fontId="16" fillId="15" borderId="0" xfId="0" applyFont="1" applyFill="1" applyAlignment="1">
      <alignment horizontal="right"/>
    </xf>
    <xf numFmtId="167" fontId="6" fillId="14" borderId="0" xfId="8" applyNumberFormat="1" applyFont="1" applyFill="1" applyBorder="1" applyAlignment="1">
      <alignment horizontal="right"/>
    </xf>
    <xf numFmtId="0" fontId="1" fillId="0" borderId="0" xfId="8" applyNumberFormat="1" applyFill="1" applyBorder="1" applyAlignment="1"/>
    <xf numFmtId="1" fontId="0" fillId="0" borderId="0" xfId="0" applyNumberFormat="1"/>
    <xf numFmtId="14" fontId="0" fillId="0" borderId="0" xfId="0" applyNumberFormat="1"/>
    <xf numFmtId="0" fontId="0" fillId="0" borderId="21" xfId="0" applyBorder="1"/>
    <xf numFmtId="168" fontId="0" fillId="0" borderId="22" xfId="0" applyNumberFormat="1" applyBorder="1"/>
    <xf numFmtId="14" fontId="0" fillId="0" borderId="22" xfId="0" applyNumberFormat="1" applyBorder="1"/>
    <xf numFmtId="0" fontId="0" fillId="0" borderId="22" xfId="0" applyBorder="1"/>
    <xf numFmtId="169" fontId="0" fillId="0" borderId="22" xfId="0" applyNumberFormat="1" applyBorder="1"/>
    <xf numFmtId="170" fontId="0" fillId="0" borderId="22" xfId="0" applyNumberFormat="1" applyBorder="1"/>
    <xf numFmtId="168" fontId="0" fillId="0" borderId="21" xfId="0" applyNumberFormat="1" applyBorder="1"/>
    <xf numFmtId="14" fontId="0" fillId="0" borderId="21" xfId="0" applyNumberFormat="1" applyBorder="1"/>
    <xf numFmtId="169" fontId="0" fillId="0" borderId="21" xfId="0" applyNumberFormat="1" applyBorder="1"/>
    <xf numFmtId="170" fontId="0" fillId="0" borderId="21" xfId="0" applyNumberFormat="1" applyBorder="1"/>
    <xf numFmtId="168" fontId="0" fillId="0" borderId="23" xfId="0" applyNumberFormat="1" applyBorder="1"/>
    <xf numFmtId="14" fontId="0" fillId="0" borderId="23" xfId="0" applyNumberFormat="1" applyBorder="1"/>
    <xf numFmtId="0" fontId="0" fillId="0" borderId="23" xfId="0" applyBorder="1"/>
    <xf numFmtId="169" fontId="0" fillId="0" borderId="23" xfId="0" applyNumberFormat="1" applyBorder="1"/>
    <xf numFmtId="170" fontId="0" fillId="0" borderId="23" xfId="0" applyNumberFormat="1" applyBorder="1"/>
    <xf numFmtId="1" fontId="6" fillId="17" borderId="24" xfId="0" applyNumberFormat="1" applyFont="1" applyFill="1" applyBorder="1" applyAlignment="1">
      <alignment horizontal="right" vertical="center" textRotation="135"/>
    </xf>
    <xf numFmtId="14" fontId="6" fillId="17" borderId="24" xfId="0" applyNumberFormat="1" applyFont="1" applyFill="1" applyBorder="1" applyAlignment="1">
      <alignment horizontal="right" vertical="center" textRotation="135" wrapText="1"/>
    </xf>
    <xf numFmtId="0" fontId="6" fillId="17" borderId="24" xfId="0" applyFont="1" applyFill="1" applyBorder="1" applyAlignment="1">
      <alignment horizontal="right" vertical="center" textRotation="135"/>
    </xf>
    <xf numFmtId="1" fontId="9" fillId="0" borderId="0" xfId="0" applyNumberFormat="1" applyFont="1"/>
    <xf numFmtId="14" fontId="9" fillId="0" borderId="0" xfId="0" applyNumberFormat="1" applyFont="1"/>
    <xf numFmtId="0" fontId="9" fillId="0" borderId="0" xfId="0" applyFont="1"/>
    <xf numFmtId="2" fontId="0" fillId="0" borderId="0" xfId="0" applyNumberFormat="1"/>
    <xf numFmtId="2" fontId="0" fillId="0" borderId="25" xfId="0" applyNumberFormat="1" applyBorder="1"/>
    <xf numFmtId="0" fontId="18" fillId="0" borderId="25" xfId="0" applyFont="1" applyBorder="1"/>
    <xf numFmtId="171" fontId="0" fillId="0" borderId="26" xfId="0" applyNumberFormat="1" applyBorder="1"/>
    <xf numFmtId="0" fontId="18" fillId="0" borderId="26" xfId="0" applyFont="1" applyBorder="1"/>
    <xf numFmtId="9" fontId="0" fillId="0" borderId="26" xfId="2" applyFont="1" applyBorder="1"/>
    <xf numFmtId="172" fontId="0" fillId="0" borderId="26" xfId="0" applyNumberFormat="1" applyBorder="1"/>
    <xf numFmtId="14" fontId="18" fillId="0" borderId="26" xfId="0" applyNumberFormat="1" applyFont="1" applyBorder="1"/>
    <xf numFmtId="173" fontId="0" fillId="0" borderId="26" xfId="0" applyNumberFormat="1" applyBorder="1"/>
    <xf numFmtId="44" fontId="0" fillId="0" borderId="26" xfId="1" applyFont="1" applyBorder="1"/>
    <xf numFmtId="174" fontId="0" fillId="0" borderId="26" xfId="0" applyNumberFormat="1" applyBorder="1"/>
    <xf numFmtId="175" fontId="0" fillId="0" borderId="26" xfId="0" applyNumberFormat="1" applyBorder="1"/>
    <xf numFmtId="0" fontId="12" fillId="19" borderId="27" xfId="0" applyFont="1" applyFill="1" applyBorder="1" applyAlignment="1">
      <alignment horizontal="center" vertical="center"/>
    </xf>
    <xf numFmtId="9" fontId="0" fillId="0" borderId="0" xfId="2" applyFont="1"/>
    <xf numFmtId="0" fontId="0" fillId="12" borderId="0" xfId="0" applyFill="1"/>
    <xf numFmtId="0" fontId="19" fillId="0" borderId="0" xfId="0" applyFont="1"/>
    <xf numFmtId="176" fontId="19" fillId="12" borderId="0" xfId="0" applyNumberFormat="1" applyFont="1" applyFill="1"/>
    <xf numFmtId="9" fontId="19" fillId="12" borderId="0" xfId="2" applyFont="1" applyFill="1" applyAlignment="1">
      <alignment horizontal="left"/>
    </xf>
    <xf numFmtId="0" fontId="20" fillId="12" borderId="0" xfId="0" applyFont="1" applyFill="1" applyAlignment="1">
      <alignment horizontal="right"/>
    </xf>
    <xf numFmtId="0" fontId="21" fillId="0" borderId="0" xfId="0" applyFont="1"/>
    <xf numFmtId="176" fontId="19" fillId="0" borderId="0" xfId="1" applyNumberFormat="1" applyFont="1" applyFill="1"/>
    <xf numFmtId="0" fontId="20" fillId="12" borderId="0" xfId="0" applyFont="1" applyFill="1" applyAlignment="1">
      <alignment horizontal="center"/>
    </xf>
    <xf numFmtId="0" fontId="22" fillId="12" borderId="0" xfId="0" applyFont="1" applyFill="1"/>
    <xf numFmtId="176" fontId="0" fillId="0" borderId="28" xfId="0" applyNumberFormat="1" applyBorder="1"/>
    <xf numFmtId="176" fontId="0" fillId="0" borderId="29" xfId="0" applyNumberFormat="1" applyBorder="1"/>
    <xf numFmtId="176" fontId="18" fillId="0" borderId="30" xfId="0" applyNumberFormat="1" applyFont="1" applyBorder="1"/>
    <xf numFmtId="176" fontId="0" fillId="0" borderId="31" xfId="0" applyNumberFormat="1" applyBorder="1"/>
    <xf numFmtId="176" fontId="0" fillId="0" borderId="0" xfId="0" applyNumberFormat="1"/>
    <xf numFmtId="176" fontId="18" fillId="0" borderId="32" xfId="0" applyNumberFormat="1" applyFont="1" applyBorder="1"/>
    <xf numFmtId="176" fontId="0" fillId="0" borderId="33" xfId="0" applyNumberFormat="1" applyBorder="1"/>
    <xf numFmtId="176" fontId="0" fillId="0" borderId="34" xfId="0" applyNumberFormat="1" applyBorder="1"/>
    <xf numFmtId="176" fontId="18" fillId="0" borderId="35" xfId="0" applyNumberFormat="1" applyFont="1" applyBorder="1"/>
    <xf numFmtId="9" fontId="18" fillId="0" borderId="27" xfId="2" applyFont="1" applyBorder="1"/>
    <xf numFmtId="9" fontId="18" fillId="0" borderId="0" xfId="2" applyFont="1" applyBorder="1"/>
    <xf numFmtId="9" fontId="18" fillId="0" borderId="36" xfId="2" applyFont="1" applyBorder="1"/>
    <xf numFmtId="0" fontId="0" fillId="0" borderId="37" xfId="0" applyBorder="1"/>
    <xf numFmtId="0" fontId="0" fillId="0" borderId="25" xfId="0" applyBorder="1"/>
    <xf numFmtId="0" fontId="24" fillId="0" borderId="0" xfId="0" applyFont="1"/>
    <xf numFmtId="6" fontId="24" fillId="0" borderId="0" xfId="0" applyNumberFormat="1" applyFont="1"/>
    <xf numFmtId="6" fontId="25" fillId="20" borderId="40" xfId="0" applyNumberFormat="1" applyFont="1" applyFill="1" applyBorder="1"/>
    <xf numFmtId="6" fontId="25" fillId="21" borderId="41" xfId="0" applyNumberFormat="1" applyFont="1" applyFill="1" applyBorder="1"/>
    <xf numFmtId="6" fontId="25" fillId="22" borderId="41" xfId="0" applyNumberFormat="1" applyFont="1" applyFill="1" applyBorder="1"/>
    <xf numFmtId="6" fontId="25" fillId="23" borderId="41" xfId="0" applyNumberFormat="1" applyFont="1" applyFill="1" applyBorder="1"/>
    <xf numFmtId="6" fontId="25" fillId="20" borderId="41" xfId="0" applyNumberFormat="1" applyFont="1" applyFill="1" applyBorder="1"/>
    <xf numFmtId="0" fontId="26" fillId="24" borderId="42" xfId="0" applyFont="1" applyFill="1" applyBorder="1"/>
    <xf numFmtId="6" fontId="27" fillId="0" borderId="41" xfId="0" applyNumberFormat="1" applyFont="1" applyBorder="1"/>
    <xf numFmtId="0" fontId="27" fillId="0" borderId="43" xfId="0" applyFont="1" applyBorder="1"/>
    <xf numFmtId="0" fontId="28" fillId="0" borderId="44" xfId="0" applyFont="1" applyBorder="1" applyAlignment="1">
      <alignment textRotation="45"/>
    </xf>
    <xf numFmtId="0" fontId="28" fillId="24" borderId="44" xfId="0" applyFont="1" applyFill="1" applyBorder="1" applyAlignment="1">
      <alignment horizontal="center"/>
    </xf>
    <xf numFmtId="0" fontId="28" fillId="24" borderId="45" xfId="0" applyFont="1" applyFill="1" applyBorder="1" applyAlignment="1">
      <alignment horizontal="center" wrapText="1"/>
    </xf>
    <xf numFmtId="0" fontId="28" fillId="24" borderId="46" xfId="0" applyFont="1" applyFill="1" applyBorder="1" applyAlignment="1">
      <alignment horizontal="center"/>
    </xf>
    <xf numFmtId="0" fontId="29" fillId="0" borderId="0" xfId="0" applyFont="1"/>
    <xf numFmtId="177" fontId="30" fillId="0" borderId="0" xfId="0" applyNumberFormat="1" applyFont="1"/>
    <xf numFmtId="0" fontId="31" fillId="0" borderId="0" xfId="0" applyFont="1"/>
    <xf numFmtId="0" fontId="2" fillId="2" borderId="47" xfId="3" applyNumberFormat="1" applyBorder="1" applyAlignment="1">
      <alignment horizontal="center"/>
    </xf>
    <xf numFmtId="0" fontId="31" fillId="0" borderId="0" xfId="0" applyFont="1" applyAlignment="1">
      <alignment horizontal="right"/>
    </xf>
    <xf numFmtId="178" fontId="2" fillId="2" borderId="47" xfId="3" applyNumberFormat="1" applyBorder="1" applyAlignment="1">
      <alignment horizontal="center"/>
    </xf>
    <xf numFmtId="179" fontId="29" fillId="0" borderId="0" xfId="0" applyNumberFormat="1" applyFont="1"/>
    <xf numFmtId="180" fontId="2" fillId="2" borderId="47" xfId="3" applyNumberFormat="1" applyBorder="1" applyAlignment="1">
      <alignment horizontal="center"/>
    </xf>
    <xf numFmtId="172" fontId="5" fillId="5" borderId="1" xfId="6" applyNumberFormat="1" applyAlignment="1">
      <alignment horizontal="center"/>
    </xf>
    <xf numFmtId="0" fontId="32" fillId="0" borderId="0" xfId="0" applyFont="1" applyAlignment="1">
      <alignment horizontal="right"/>
    </xf>
    <xf numFmtId="181" fontId="0" fillId="0" borderId="0" xfId="0" applyNumberFormat="1"/>
    <xf numFmtId="182" fontId="0" fillId="0" borderId="0" xfId="0" applyNumberFormat="1"/>
    <xf numFmtId="0" fontId="34" fillId="0" borderId="0" xfId="0" applyFont="1"/>
    <xf numFmtId="0" fontId="35" fillId="26" borderId="0" xfId="0" applyFont="1" applyFill="1" applyAlignment="1">
      <alignment horizontal="center"/>
    </xf>
    <xf numFmtId="14" fontId="24" fillId="0" borderId="48" xfId="0" applyNumberFormat="1" applyFont="1" applyBorder="1"/>
    <xf numFmtId="14" fontId="24" fillId="0" borderId="0" xfId="0" applyNumberFormat="1" applyFont="1"/>
    <xf numFmtId="0" fontId="36" fillId="0" borderId="0" xfId="0" applyFont="1" applyAlignment="1">
      <alignment horizontal="center"/>
    </xf>
    <xf numFmtId="14" fontId="24" fillId="0" borderId="49" xfId="0" applyNumberFormat="1" applyFont="1" applyBorder="1"/>
    <xf numFmtId="14" fontId="0" fillId="0" borderId="50" xfId="0" applyNumberFormat="1" applyBorder="1"/>
    <xf numFmtId="14" fontId="0" fillId="0" borderId="49" xfId="0" applyNumberFormat="1" applyBorder="1"/>
    <xf numFmtId="14" fontId="6" fillId="27" borderId="49" xfId="0" applyNumberFormat="1" applyFont="1" applyFill="1" applyBorder="1"/>
    <xf numFmtId="0" fontId="37" fillId="0" borderId="51" xfId="0" applyFont="1" applyBorder="1" applyAlignment="1">
      <alignment horizontal="center"/>
    </xf>
    <xf numFmtId="0" fontId="37" fillId="0" borderId="52" xfId="0" applyFont="1" applyBorder="1" applyAlignment="1">
      <alignment horizontal="center"/>
    </xf>
    <xf numFmtId="0" fontId="37" fillId="0" borderId="53" xfId="0" applyFont="1" applyBorder="1" applyAlignment="1">
      <alignment horizontal="center"/>
    </xf>
    <xf numFmtId="0" fontId="37" fillId="0" borderId="54" xfId="0" applyFont="1" applyBorder="1" applyAlignment="1">
      <alignment horizontal="center"/>
    </xf>
    <xf numFmtId="0" fontId="37" fillId="0" borderId="55" xfId="0" applyFont="1" applyBorder="1" applyAlignment="1">
      <alignment horizontal="center"/>
    </xf>
    <xf numFmtId="0" fontId="37" fillId="0" borderId="56" xfId="0" applyFont="1" applyBorder="1" applyAlignment="1">
      <alignment horizontal="center"/>
    </xf>
    <xf numFmtId="183" fontId="24" fillId="0" borderId="57" xfId="0" applyNumberFormat="1" applyFont="1" applyBorder="1" applyAlignment="1">
      <alignment horizontal="center"/>
    </xf>
    <xf numFmtId="183" fontId="24" fillId="0" borderId="58" xfId="0" applyNumberFormat="1" applyFont="1" applyBorder="1" applyAlignment="1">
      <alignment horizontal="center"/>
    </xf>
    <xf numFmtId="184" fontId="24" fillId="0" borderId="59" xfId="0" applyNumberFormat="1" applyFont="1" applyBorder="1" applyAlignment="1">
      <alignment horizontal="center"/>
    </xf>
    <xf numFmtId="0" fontId="24" fillId="0" borderId="60" xfId="0" applyFont="1" applyBorder="1" applyAlignment="1">
      <alignment horizontal="center"/>
    </xf>
    <xf numFmtId="0" fontId="0" fillId="0" borderId="61" xfId="0" applyBorder="1" applyAlignment="1">
      <alignment horizontal="center"/>
    </xf>
    <xf numFmtId="0" fontId="24" fillId="0" borderId="62" xfId="0" applyFont="1" applyBorder="1" applyAlignment="1">
      <alignment horizontal="center"/>
    </xf>
    <xf numFmtId="14" fontId="35" fillId="28" borderId="0" xfId="0" applyNumberFormat="1" applyFont="1" applyFill="1"/>
    <xf numFmtId="1" fontId="24" fillId="0" borderId="0" xfId="0" applyNumberFormat="1" applyFont="1"/>
    <xf numFmtId="2" fontId="24" fillId="0" borderId="0" xfId="0" applyNumberFormat="1" applyFont="1"/>
    <xf numFmtId="0" fontId="24" fillId="0" borderId="63" xfId="0" applyFont="1" applyBorder="1" applyAlignment="1">
      <alignment horizontal="center"/>
    </xf>
    <xf numFmtId="0" fontId="24" fillId="0" borderId="0" xfId="0" applyFont="1" applyAlignment="1">
      <alignment horizontal="center"/>
    </xf>
    <xf numFmtId="14" fontId="24" fillId="0" borderId="0" xfId="0" applyNumberFormat="1" applyFont="1" applyAlignment="1">
      <alignment horizontal="center"/>
    </xf>
    <xf numFmtId="0" fontId="24" fillId="0" borderId="64" xfId="0" applyFont="1" applyBorder="1" applyAlignment="1">
      <alignment horizontal="center"/>
    </xf>
    <xf numFmtId="0" fontId="35" fillId="25" borderId="0" xfId="0" applyFont="1" applyFill="1" applyAlignment="1">
      <alignment horizontal="center"/>
    </xf>
    <xf numFmtId="0" fontId="40" fillId="0" borderId="0" xfId="14" applyFont="1"/>
    <xf numFmtId="2" fontId="41" fillId="0" borderId="65" xfId="14" applyNumberFormat="1" applyFont="1" applyBorder="1"/>
    <xf numFmtId="0" fontId="41" fillId="0" borderId="0" xfId="14" applyFont="1"/>
    <xf numFmtId="16" fontId="41" fillId="0" borderId="65" xfId="14" applyNumberFormat="1" applyFont="1" applyBorder="1"/>
    <xf numFmtId="185" fontId="41" fillId="0" borderId="65" xfId="14" applyNumberFormat="1" applyFont="1" applyBorder="1"/>
    <xf numFmtId="0" fontId="42" fillId="29" borderId="66" xfId="14" applyFont="1" applyFill="1" applyBorder="1" applyAlignment="1">
      <alignment horizontal="center" vertical="center"/>
    </xf>
    <xf numFmtId="0" fontId="42" fillId="29" borderId="67" xfId="14" applyFont="1" applyFill="1" applyBorder="1" applyAlignment="1">
      <alignment horizontal="center" vertical="center"/>
    </xf>
    <xf numFmtId="0" fontId="43" fillId="0" borderId="0" xfId="14" applyFont="1"/>
    <xf numFmtId="186" fontId="43" fillId="0" borderId="0" xfId="14" applyNumberFormat="1" applyFont="1"/>
    <xf numFmtId="2" fontId="44" fillId="0" borderId="0" xfId="14" applyNumberFormat="1" applyFont="1"/>
    <xf numFmtId="0" fontId="44" fillId="0" borderId="0" xfId="14" applyFont="1"/>
    <xf numFmtId="164" fontId="45" fillId="0" borderId="0" xfId="15" applyNumberFormat="1" applyFont="1" applyFill="1"/>
    <xf numFmtId="187" fontId="45" fillId="0" borderId="0" xfId="14" applyNumberFormat="1" applyFont="1"/>
    <xf numFmtId="186" fontId="45" fillId="0" borderId="0" xfId="14" applyNumberFormat="1" applyFont="1"/>
    <xf numFmtId="0" fontId="46" fillId="29" borderId="0" xfId="14" applyFont="1" applyFill="1"/>
    <xf numFmtId="0" fontId="46" fillId="29" borderId="0" xfId="14" applyFont="1" applyFill="1" applyAlignment="1">
      <alignment horizontal="center"/>
    </xf>
    <xf numFmtId="0" fontId="45" fillId="0" borderId="0" xfId="14" applyFont="1"/>
    <xf numFmtId="0" fontId="39" fillId="0" borderId="0" xfId="14"/>
    <xf numFmtId="188" fontId="45" fillId="0" borderId="0" xfId="14" applyNumberFormat="1" applyFont="1" applyAlignment="1">
      <alignment horizontal="center"/>
    </xf>
    <xf numFmtId="14" fontId="45" fillId="0" borderId="0" xfId="14" applyNumberFormat="1" applyFont="1" applyAlignment="1">
      <alignment horizontal="center"/>
    </xf>
    <xf numFmtId="0" fontId="45" fillId="0" borderId="0" xfId="14" applyFont="1" applyAlignment="1">
      <alignment horizontal="center" vertical="center"/>
    </xf>
    <xf numFmtId="0" fontId="47" fillId="29" borderId="0" xfId="14" applyFont="1" applyFill="1" applyAlignment="1">
      <alignment horizontal="center"/>
    </xf>
    <xf numFmtId="189" fontId="45" fillId="0" borderId="0" xfId="14" applyNumberFormat="1" applyFont="1" applyAlignment="1">
      <alignment horizontal="center"/>
    </xf>
    <xf numFmtId="190" fontId="45" fillId="0" borderId="0" xfId="14" applyNumberFormat="1" applyFont="1" applyAlignment="1">
      <alignment horizontal="left"/>
    </xf>
    <xf numFmtId="0" fontId="48" fillId="30" borderId="0" xfId="14" applyFont="1" applyFill="1" applyAlignment="1">
      <alignment horizontal="center"/>
    </xf>
    <xf numFmtId="0" fontId="12" fillId="31" borderId="0" xfId="0" applyFont="1" applyFill="1"/>
    <xf numFmtId="44" fontId="0" fillId="0" borderId="0" xfId="0" applyNumberFormat="1"/>
    <xf numFmtId="0" fontId="1" fillId="11" borderId="0" xfId="13"/>
    <xf numFmtId="0" fontId="1" fillId="10" borderId="0" xfId="12"/>
    <xf numFmtId="9" fontId="0" fillId="0" borderId="0" xfId="0" applyNumberFormat="1"/>
    <xf numFmtId="0" fontId="5" fillId="5" borderId="1" xfId="6" applyAlignment="1">
      <alignment horizontal="left"/>
    </xf>
    <xf numFmtId="0" fontId="2" fillId="2" borderId="28" xfId="3" applyBorder="1"/>
    <xf numFmtId="0" fontId="3" fillId="3" borderId="29" xfId="4" applyBorder="1"/>
    <xf numFmtId="0" fontId="2" fillId="2" borderId="29" xfId="3" applyBorder="1"/>
    <xf numFmtId="0" fontId="1" fillId="8" borderId="30" xfId="10" applyBorder="1"/>
    <xf numFmtId="0" fontId="0" fillId="0" borderId="31" xfId="0" applyBorder="1"/>
    <xf numFmtId="0" fontId="1" fillId="8" borderId="32" xfId="10" applyBorder="1"/>
    <xf numFmtId="0" fontId="1" fillId="9" borderId="33" xfId="11" applyBorder="1"/>
    <xf numFmtId="0" fontId="1" fillId="9" borderId="34" xfId="11" applyBorder="1"/>
    <xf numFmtId="0" fontId="1" fillId="9" borderId="35" xfId="11" applyBorder="1"/>
    <xf numFmtId="0" fontId="0" fillId="0" borderId="68" xfId="0" applyBorder="1"/>
    <xf numFmtId="0" fontId="49" fillId="0" borderId="0" xfId="0" applyFont="1"/>
    <xf numFmtId="9" fontId="0" fillId="0" borderId="69" xfId="2" applyFont="1" applyBorder="1"/>
    <xf numFmtId="49" fontId="0" fillId="32" borderId="70" xfId="0" applyNumberFormat="1" applyFill="1" applyBorder="1"/>
    <xf numFmtId="191" fontId="0" fillId="0" borderId="0" xfId="0" applyNumberFormat="1"/>
    <xf numFmtId="9" fontId="0" fillId="0" borderId="0" xfId="2" applyFont="1" applyBorder="1"/>
    <xf numFmtId="49" fontId="0" fillId="32" borderId="71" xfId="0" applyNumberFormat="1" applyFill="1" applyBorder="1"/>
    <xf numFmtId="186" fontId="0" fillId="0" borderId="0" xfId="0" applyNumberFormat="1"/>
    <xf numFmtId="192" fontId="0" fillId="0" borderId="0" xfId="0" applyNumberFormat="1"/>
    <xf numFmtId="186" fontId="0" fillId="0" borderId="68" xfId="0" applyNumberFormat="1" applyBorder="1"/>
    <xf numFmtId="49" fontId="0" fillId="32" borderId="72" xfId="0" applyNumberFormat="1" applyFill="1" applyBorder="1"/>
    <xf numFmtId="186" fontId="0" fillId="0" borderId="69" xfId="0" applyNumberFormat="1" applyBorder="1"/>
    <xf numFmtId="49" fontId="0" fillId="33" borderId="69" xfId="0" applyNumberFormat="1" applyFill="1" applyBorder="1"/>
    <xf numFmtId="49" fontId="0" fillId="33" borderId="0" xfId="0" applyNumberFormat="1" applyFill="1"/>
    <xf numFmtId="0" fontId="0" fillId="33" borderId="0" xfId="0" applyFill="1"/>
    <xf numFmtId="193" fontId="0" fillId="0" borderId="73" xfId="0" applyNumberFormat="1" applyBorder="1"/>
    <xf numFmtId="0" fontId="8" fillId="0" borderId="70" xfId="0" applyFont="1" applyBorder="1"/>
    <xf numFmtId="194" fontId="0" fillId="0" borderId="74" xfId="0" applyNumberFormat="1" applyBorder="1"/>
    <xf numFmtId="0" fontId="8" fillId="0" borderId="72" xfId="0" applyFont="1" applyBorder="1"/>
    <xf numFmtId="0" fontId="0" fillId="0" borderId="0" xfId="0" applyAlignment="1">
      <alignment vertical="center" wrapText="1"/>
    </xf>
    <xf numFmtId="8" fontId="0" fillId="0" borderId="0" xfId="0" applyNumberFormat="1"/>
    <xf numFmtId="0" fontId="8" fillId="0" borderId="0" xfId="0" applyFont="1" applyAlignment="1">
      <alignment vertical="center" wrapText="1"/>
    </xf>
    <xf numFmtId="8" fontId="0" fillId="35" borderId="0" xfId="0" applyNumberFormat="1" applyFill="1" applyAlignment="1">
      <alignment vertical="center" wrapText="1"/>
    </xf>
    <xf numFmtId="0" fontId="8" fillId="35" borderId="0" xfId="0" applyFont="1" applyFill="1" applyAlignment="1">
      <alignment vertical="center" wrapText="1"/>
    </xf>
    <xf numFmtId="8" fontId="0" fillId="0" borderId="0" xfId="0" applyNumberFormat="1" applyAlignment="1">
      <alignment vertical="center" wrapText="1"/>
    </xf>
    <xf numFmtId="0" fontId="52" fillId="0" borderId="0" xfId="0" applyFont="1" applyAlignment="1">
      <alignment horizontal="left" vertical="top" wrapText="1"/>
    </xf>
    <xf numFmtId="0" fontId="52" fillId="0" borderId="0" xfId="0" applyFont="1" applyAlignment="1">
      <alignment horizontal="center" vertical="center" wrapText="1"/>
    </xf>
    <xf numFmtId="0" fontId="52" fillId="0" borderId="72" xfId="0" applyFont="1" applyBorder="1" applyAlignment="1">
      <alignment horizontal="left" vertical="top" wrapText="1"/>
    </xf>
    <xf numFmtId="0" fontId="0" fillId="0" borderId="0" xfId="0" applyAlignment="1">
      <alignment horizontal="left" vertical="center" wrapText="1"/>
    </xf>
    <xf numFmtId="0" fontId="0" fillId="0" borderId="75" xfId="0" applyBorder="1" applyAlignment="1">
      <alignment vertical="center" wrapText="1"/>
    </xf>
    <xf numFmtId="0" fontId="52" fillId="0" borderId="77" xfId="0" applyFont="1" applyBorder="1" applyAlignment="1">
      <alignment horizontal="left" vertical="center" wrapText="1"/>
    </xf>
    <xf numFmtId="0" fontId="0" fillId="0" borderId="68" xfId="0" applyBorder="1" applyAlignment="1">
      <alignment horizontal="left" vertical="center" wrapText="1"/>
    </xf>
    <xf numFmtId="8" fontId="0" fillId="0" borderId="73" xfId="0" applyNumberFormat="1" applyBorder="1" applyAlignment="1">
      <alignment vertical="center" wrapText="1"/>
    </xf>
    <xf numFmtId="186" fontId="0" fillId="0" borderId="69" xfId="0" applyNumberFormat="1" applyBorder="1" applyAlignment="1">
      <alignment vertical="center" wrapText="1"/>
    </xf>
    <xf numFmtId="8" fontId="0" fillId="0" borderId="69" xfId="0" applyNumberFormat="1" applyBorder="1" applyAlignment="1">
      <alignment vertical="center" wrapText="1"/>
    </xf>
    <xf numFmtId="0" fontId="0" fillId="0" borderId="70" xfId="0" applyBorder="1" applyAlignment="1">
      <alignment vertical="center" wrapText="1"/>
    </xf>
    <xf numFmtId="8" fontId="0" fillId="0" borderId="78" xfId="0" applyNumberFormat="1" applyBorder="1" applyAlignment="1">
      <alignment vertical="center" wrapText="1"/>
    </xf>
    <xf numFmtId="186" fontId="0" fillId="0" borderId="0" xfId="0" applyNumberFormat="1" applyAlignment="1">
      <alignment vertical="center" wrapText="1"/>
    </xf>
    <xf numFmtId="0" fontId="0" fillId="0" borderId="71" xfId="0" applyBorder="1" applyAlignment="1">
      <alignment vertical="center" wrapText="1"/>
    </xf>
    <xf numFmtId="8" fontId="0" fillId="0" borderId="74" xfId="0" applyNumberFormat="1" applyBorder="1" applyAlignment="1">
      <alignment vertical="center" wrapText="1"/>
    </xf>
    <xf numFmtId="186" fontId="0" fillId="0" borderId="68" xfId="0" applyNumberFormat="1" applyBorder="1" applyAlignment="1">
      <alignment vertical="center" wrapText="1"/>
    </xf>
    <xf numFmtId="8" fontId="0" fillId="0" borderId="68" xfId="0" applyNumberFormat="1" applyBorder="1" applyAlignment="1">
      <alignment vertical="center" wrapText="1"/>
    </xf>
    <xf numFmtId="0" fontId="0" fillId="0" borderId="72" xfId="0" applyBorder="1" applyAlignment="1">
      <alignment vertical="center" wrapText="1"/>
    </xf>
    <xf numFmtId="0" fontId="52" fillId="0" borderId="75" xfId="0" applyFont="1" applyBorder="1" applyAlignment="1">
      <alignment horizontal="center" vertical="center" wrapText="1"/>
    </xf>
    <xf numFmtId="0" fontId="52" fillId="0" borderId="77" xfId="0" applyFont="1" applyBorder="1" applyAlignment="1">
      <alignment horizontal="center" vertical="center" wrapText="1"/>
    </xf>
    <xf numFmtId="0" fontId="52" fillId="0" borderId="79" xfId="0" applyFont="1" applyBorder="1" applyAlignment="1">
      <alignment horizontal="center" vertical="center" wrapText="1"/>
    </xf>
    <xf numFmtId="0" fontId="52" fillId="0" borderId="80" xfId="0" applyFont="1" applyBorder="1" applyAlignment="1">
      <alignment vertical="center" wrapText="1"/>
    </xf>
    <xf numFmtId="0" fontId="54" fillId="0" borderId="0" xfId="16" applyFont="1"/>
    <xf numFmtId="0" fontId="54" fillId="0" borderId="77" xfId="16" applyFont="1" applyBorder="1"/>
    <xf numFmtId="0" fontId="54" fillId="0" borderId="76" xfId="16" applyFont="1" applyBorder="1"/>
    <xf numFmtId="0" fontId="54" fillId="0" borderId="75" xfId="16" applyFont="1" applyBorder="1"/>
    <xf numFmtId="0" fontId="54" fillId="0" borderId="0" xfId="16" applyFont="1" applyAlignment="1">
      <alignment horizontal="center"/>
    </xf>
    <xf numFmtId="0" fontId="54" fillId="0" borderId="0" xfId="16" applyFont="1" applyAlignment="1">
      <alignment horizontal="left"/>
    </xf>
    <xf numFmtId="0" fontId="54" fillId="0" borderId="0" xfId="16" applyFont="1" applyAlignment="1">
      <alignment horizontal="right"/>
    </xf>
    <xf numFmtId="195" fontId="54" fillId="0" borderId="78" xfId="16" applyNumberFormat="1" applyFont="1" applyBorder="1"/>
    <xf numFmtId="195" fontId="54" fillId="0" borderId="69" xfId="16" applyNumberFormat="1" applyFont="1" applyBorder="1"/>
    <xf numFmtId="0" fontId="54" fillId="0" borderId="69" xfId="16" applyFont="1" applyBorder="1"/>
    <xf numFmtId="0" fontId="54" fillId="0" borderId="70" xfId="16" applyFont="1" applyBorder="1"/>
    <xf numFmtId="195" fontId="54" fillId="0" borderId="0" xfId="16" applyNumberFormat="1" applyFont="1"/>
    <xf numFmtId="0" fontId="54" fillId="0" borderId="71" xfId="16" applyFont="1" applyBorder="1"/>
    <xf numFmtId="0" fontId="55" fillId="0" borderId="0" xfId="16" applyFont="1"/>
    <xf numFmtId="0" fontId="55" fillId="0" borderId="0" xfId="16" applyFont="1" applyAlignment="1">
      <alignment wrapText="1"/>
    </xf>
    <xf numFmtId="0" fontId="56" fillId="26" borderId="0" xfId="16" applyFont="1" applyFill="1" applyAlignment="1">
      <alignment wrapText="1"/>
    </xf>
    <xf numFmtId="0" fontId="56" fillId="26" borderId="0" xfId="16" applyFont="1" applyFill="1"/>
    <xf numFmtId="44" fontId="24" fillId="0" borderId="75" xfId="1" applyFont="1" applyBorder="1"/>
    <xf numFmtId="0" fontId="24" fillId="0" borderId="76" xfId="0" applyFont="1" applyBorder="1"/>
    <xf numFmtId="44" fontId="24" fillId="0" borderId="74" xfId="1" applyFont="1" applyBorder="1"/>
    <xf numFmtId="0" fontId="24" fillId="0" borderId="69" xfId="0" applyFont="1" applyBorder="1"/>
    <xf numFmtId="0" fontId="24" fillId="0" borderId="70" xfId="0" applyFont="1" applyBorder="1"/>
    <xf numFmtId="0" fontId="24" fillId="0" borderId="71" xfId="0" applyFont="1" applyBorder="1"/>
    <xf numFmtId="0" fontId="24" fillId="0" borderId="68" xfId="0" applyFont="1" applyBorder="1"/>
    <xf numFmtId="0" fontId="24" fillId="0" borderId="72" xfId="0" applyFont="1" applyBorder="1"/>
    <xf numFmtId="0" fontId="24" fillId="0" borderId="75" xfId="0" applyFont="1" applyBorder="1"/>
    <xf numFmtId="44" fontId="24" fillId="0" borderId="79" xfId="0" applyNumberFormat="1" applyFont="1" applyBorder="1"/>
    <xf numFmtId="44" fontId="24" fillId="0" borderId="0" xfId="1" applyFont="1"/>
    <xf numFmtId="0" fontId="24" fillId="0" borderId="75" xfId="0" applyFont="1" applyBorder="1" applyAlignment="1">
      <alignment horizontal="center" wrapText="1"/>
    </xf>
    <xf numFmtId="0" fontId="24" fillId="0" borderId="79" xfId="0" applyFont="1" applyBorder="1"/>
    <xf numFmtId="0" fontId="35" fillId="26" borderId="0" xfId="0" applyFont="1" applyFill="1"/>
    <xf numFmtId="0" fontId="28" fillId="0" borderId="73" xfId="16" applyFont="1" applyBorder="1"/>
    <xf numFmtId="196" fontId="28" fillId="0" borderId="69" xfId="16" applyNumberFormat="1" applyFont="1" applyBorder="1"/>
    <xf numFmtId="0" fontId="28" fillId="0" borderId="78" xfId="16" applyFont="1" applyBorder="1"/>
    <xf numFmtId="0" fontId="28" fillId="0" borderId="68" xfId="16" applyFont="1" applyBorder="1"/>
    <xf numFmtId="0" fontId="28" fillId="0" borderId="74" xfId="16" applyFont="1" applyBorder="1"/>
    <xf numFmtId="196" fontId="54" fillId="0" borderId="73" xfId="16" applyNumberFormat="1" applyFont="1" applyBorder="1"/>
    <xf numFmtId="0" fontId="54" fillId="0" borderId="69" xfId="16" applyFont="1" applyBorder="1" applyAlignment="1">
      <alignment horizontal="center"/>
    </xf>
    <xf numFmtId="0" fontId="54" fillId="0" borderId="69" xfId="16" applyFont="1" applyBorder="1" applyAlignment="1">
      <alignment horizontal="left"/>
    </xf>
    <xf numFmtId="0" fontId="54" fillId="0" borderId="70" xfId="16" applyFont="1" applyBorder="1" applyAlignment="1">
      <alignment horizontal="right"/>
    </xf>
    <xf numFmtId="196" fontId="54" fillId="0" borderId="78" xfId="16" applyNumberFormat="1" applyFont="1" applyBorder="1"/>
    <xf numFmtId="0" fontId="54" fillId="0" borderId="71" xfId="16" applyFont="1" applyBorder="1" applyAlignment="1">
      <alignment horizontal="right"/>
    </xf>
    <xf numFmtId="196" fontId="54" fillId="0" borderId="0" xfId="16" applyNumberFormat="1" applyFont="1"/>
    <xf numFmtId="0" fontId="56" fillId="28" borderId="0" xfId="16" applyFont="1" applyFill="1" applyAlignment="1">
      <alignment horizontal="center" wrapText="1"/>
    </xf>
    <xf numFmtId="0" fontId="58" fillId="0" borderId="0" xfId="0" applyFont="1"/>
    <xf numFmtId="0" fontId="58" fillId="0" borderId="81" xfId="0" applyFont="1" applyBorder="1"/>
    <xf numFmtId="0" fontId="24" fillId="33" borderId="0" xfId="0" applyFont="1" applyFill="1"/>
    <xf numFmtId="196" fontId="58" fillId="0" borderId="78" xfId="0" applyNumberFormat="1" applyFont="1" applyBorder="1"/>
    <xf numFmtId="196" fontId="58" fillId="0" borderId="74" xfId="0" applyNumberFormat="1" applyFont="1" applyBorder="1"/>
    <xf numFmtId="0" fontId="58" fillId="0" borderId="71" xfId="0" applyFont="1" applyBorder="1"/>
    <xf numFmtId="0" fontId="58" fillId="0" borderId="68" xfId="0" applyFont="1" applyBorder="1"/>
    <xf numFmtId="0" fontId="58" fillId="0" borderId="72" xfId="0" applyFont="1" applyBorder="1"/>
    <xf numFmtId="196" fontId="58" fillId="0" borderId="68" xfId="0" applyNumberFormat="1" applyFont="1" applyBorder="1"/>
    <xf numFmtId="196" fontId="58" fillId="0" borderId="71" xfId="0" applyNumberFormat="1" applyFont="1" applyBorder="1"/>
    <xf numFmtId="0" fontId="24" fillId="33" borderId="0" xfId="0" applyFont="1" applyFill="1" applyAlignment="1">
      <alignment wrapText="1"/>
    </xf>
    <xf numFmtId="0" fontId="42" fillId="28" borderId="0" xfId="0" applyFont="1" applyFill="1" applyAlignment="1">
      <alignment textRotation="135"/>
    </xf>
    <xf numFmtId="0" fontId="59" fillId="0" borderId="0" xfId="0" applyFont="1" applyAlignment="1">
      <alignment horizontal="left" vertical="center" indent="5"/>
    </xf>
    <xf numFmtId="0" fontId="4" fillId="4" borderId="82" xfId="5" applyNumberFormat="1" applyBorder="1" applyAlignment="1">
      <alignment horizontal="center" wrapText="1"/>
    </xf>
    <xf numFmtId="0" fontId="2" fillId="2" borderId="0" xfId="3" applyBorder="1" applyAlignment="1">
      <alignment horizontal="center"/>
    </xf>
    <xf numFmtId="0" fontId="35" fillId="28" borderId="0" xfId="0" applyFont="1" applyFill="1"/>
    <xf numFmtId="0" fontId="24" fillId="0" borderId="0" xfId="0" applyFont="1" applyAlignment="1">
      <alignment horizontal="left"/>
    </xf>
    <xf numFmtId="0" fontId="24" fillId="0" borderId="83" xfId="0" applyFont="1" applyBorder="1" applyAlignment="1">
      <alignment horizontal="center"/>
    </xf>
    <xf numFmtId="197" fontId="58" fillId="0" borderId="83" xfId="0" applyNumberFormat="1" applyFont="1" applyBorder="1" applyAlignment="1">
      <alignment horizontal="center" vertical="center"/>
    </xf>
    <xf numFmtId="0" fontId="58" fillId="0" borderId="0" xfId="0" applyFont="1" applyAlignment="1">
      <alignment horizontal="center" vertical="center"/>
    </xf>
    <xf numFmtId="0" fontId="58" fillId="0" borderId="0" xfId="0" applyFont="1" applyAlignment="1">
      <alignment horizontal="center"/>
    </xf>
    <xf numFmtId="0" fontId="58" fillId="0" borderId="0" xfId="0" applyFont="1" applyAlignment="1">
      <alignment horizontal="left"/>
    </xf>
    <xf numFmtId="0" fontId="63" fillId="28" borderId="0" xfId="0" applyFont="1" applyFill="1" applyAlignment="1">
      <alignment horizontal="center" vertical="center"/>
    </xf>
    <xf numFmtId="0" fontId="63" fillId="28" borderId="0" xfId="0" applyFont="1" applyFill="1" applyAlignment="1">
      <alignment horizontal="center" vertical="center" wrapText="1"/>
    </xf>
    <xf numFmtId="0" fontId="43" fillId="0" borderId="0" xfId="17" applyFont="1"/>
    <xf numFmtId="0" fontId="43" fillId="0" borderId="84" xfId="17" applyFont="1" applyBorder="1"/>
    <xf numFmtId="0" fontId="44" fillId="0" borderId="84" xfId="17" applyFont="1" applyBorder="1" applyAlignment="1">
      <alignment horizontal="center"/>
    </xf>
    <xf numFmtId="0" fontId="44" fillId="0" borderId="85" xfId="17" applyFont="1" applyBorder="1" applyAlignment="1">
      <alignment horizontal="center"/>
    </xf>
    <xf numFmtId="0" fontId="65" fillId="36" borderId="86" xfId="17" applyFont="1" applyFill="1" applyBorder="1"/>
    <xf numFmtId="0" fontId="65" fillId="36" borderId="87" xfId="17" applyFont="1" applyFill="1" applyBorder="1" applyAlignment="1">
      <alignment horizontal="center"/>
    </xf>
    <xf numFmtId="0" fontId="65" fillId="36" borderId="88" xfId="17" applyFont="1" applyFill="1" applyBorder="1" applyAlignment="1">
      <alignment horizontal="center"/>
    </xf>
    <xf numFmtId="0" fontId="43" fillId="0" borderId="89" xfId="17" applyFont="1" applyBorder="1"/>
    <xf numFmtId="0" fontId="43" fillId="0" borderId="90" xfId="17" applyFont="1" applyBorder="1"/>
    <xf numFmtId="0" fontId="43" fillId="0" borderId="0" xfId="17" applyFont="1" applyAlignment="1">
      <alignment horizontal="right"/>
    </xf>
    <xf numFmtId="0" fontId="43" fillId="0" borderId="50" xfId="17" applyFont="1" applyBorder="1"/>
    <xf numFmtId="0" fontId="43" fillId="0" borderId="91" xfId="17" applyFont="1" applyBorder="1"/>
    <xf numFmtId="0" fontId="43" fillId="0" borderId="92" xfId="17" applyFont="1" applyBorder="1"/>
    <xf numFmtId="0" fontId="43" fillId="0" borderId="93" xfId="17" applyFont="1" applyBorder="1"/>
    <xf numFmtId="0" fontId="43" fillId="0" borderId="94" xfId="17" applyFont="1" applyBorder="1"/>
    <xf numFmtId="0" fontId="43" fillId="0" borderId="95" xfId="17" applyFont="1" applyBorder="1"/>
    <xf numFmtId="0" fontId="43" fillId="0" borderId="80" xfId="17" applyFont="1" applyBorder="1"/>
    <xf numFmtId="0" fontId="43" fillId="0" borderId="83" xfId="17" applyFont="1" applyBorder="1"/>
    <xf numFmtId="0" fontId="43" fillId="0" borderId="96" xfId="17" applyFont="1" applyBorder="1"/>
    <xf numFmtId="49" fontId="43" fillId="0" borderId="0" xfId="17" applyNumberFormat="1" applyFont="1"/>
    <xf numFmtId="49" fontId="43" fillId="0" borderId="96" xfId="17" quotePrefix="1" applyNumberFormat="1" applyFont="1" applyBorder="1"/>
    <xf numFmtId="0" fontId="65" fillId="36" borderId="83" xfId="17" applyFont="1" applyFill="1" applyBorder="1"/>
    <xf numFmtId="0" fontId="65" fillId="36" borderId="0" xfId="17" applyFont="1" applyFill="1" applyAlignment="1">
      <alignment horizontal="center"/>
    </xf>
    <xf numFmtId="49" fontId="65" fillId="36" borderId="96" xfId="17" applyNumberFormat="1" applyFont="1" applyFill="1" applyBorder="1" applyAlignment="1">
      <alignment horizontal="center"/>
    </xf>
    <xf numFmtId="0" fontId="24" fillId="0" borderId="28" xfId="0" applyFont="1" applyBorder="1"/>
    <xf numFmtId="0" fontId="24" fillId="0" borderId="30" xfId="0" applyFont="1" applyBorder="1"/>
    <xf numFmtId="0" fontId="24" fillId="0" borderId="98" xfId="0" applyFont="1" applyBorder="1"/>
    <xf numFmtId="0" fontId="24" fillId="0" borderId="31" xfId="0" applyFont="1" applyBorder="1"/>
    <xf numFmtId="0" fontId="24" fillId="0" borderId="32" xfId="0" applyFont="1" applyBorder="1"/>
    <xf numFmtId="0" fontId="41" fillId="0" borderId="99" xfId="16" applyFont="1" applyBorder="1" applyAlignment="1">
      <alignment horizontal="left"/>
    </xf>
    <xf numFmtId="0" fontId="24" fillId="0" borderId="99" xfId="0" applyFont="1" applyBorder="1"/>
    <xf numFmtId="0" fontId="24" fillId="0" borderId="33" xfId="0" applyFont="1" applyBorder="1"/>
    <xf numFmtId="0" fontId="24" fillId="0" borderId="35" xfId="0" applyFont="1" applyBorder="1"/>
    <xf numFmtId="0" fontId="24" fillId="0" borderId="100" xfId="0" applyFont="1" applyBorder="1"/>
    <xf numFmtId="0" fontId="24" fillId="0" borderId="101" xfId="0" applyFont="1" applyBorder="1"/>
    <xf numFmtId="0" fontId="24" fillId="0" borderId="102" xfId="0" applyFont="1" applyBorder="1"/>
    <xf numFmtId="0" fontId="62" fillId="0" borderId="0" xfId="0" applyFont="1" applyAlignment="1">
      <alignment horizontal="center"/>
    </xf>
    <xf numFmtId="0" fontId="26" fillId="0" borderId="83" xfId="16" applyFont="1" applyBorder="1" applyAlignment="1">
      <alignment horizontal="center"/>
    </xf>
    <xf numFmtId="0" fontId="26" fillId="0" borderId="93" xfId="16" applyFont="1" applyBorder="1"/>
    <xf numFmtId="198" fontId="26" fillId="0" borderId="93" xfId="16" applyNumberFormat="1" applyFont="1" applyBorder="1"/>
    <xf numFmtId="192" fontId="26" fillId="0" borderId="93" xfId="16" applyNumberFormat="1" applyFont="1" applyBorder="1"/>
    <xf numFmtId="0" fontId="41" fillId="0" borderId="94" xfId="0" applyFont="1" applyBorder="1"/>
    <xf numFmtId="0" fontId="26" fillId="0" borderId="0" xfId="16" applyFont="1"/>
    <xf numFmtId="198" fontId="26" fillId="0" borderId="0" xfId="16" applyNumberFormat="1" applyFont="1"/>
    <xf numFmtId="192" fontId="26" fillId="0" borderId="0" xfId="16" applyNumberFormat="1" applyFont="1"/>
    <xf numFmtId="0" fontId="41" fillId="0" borderId="96" xfId="0" applyFont="1" applyBorder="1"/>
    <xf numFmtId="198" fontId="56" fillId="28" borderId="86" xfId="16" applyNumberFormat="1" applyFont="1" applyFill="1" applyBorder="1" applyAlignment="1">
      <alignment horizontal="center"/>
    </xf>
    <xf numFmtId="0" fontId="56" fillId="28" borderId="87" xfId="16" applyFont="1" applyFill="1" applyBorder="1" applyAlignment="1">
      <alignment horizontal="center"/>
    </xf>
    <xf numFmtId="198" fontId="56" fillId="28" borderId="87" xfId="16" applyNumberFormat="1" applyFont="1" applyFill="1" applyBorder="1" applyAlignment="1">
      <alignment horizontal="center"/>
    </xf>
    <xf numFmtId="0" fontId="56" fillId="28" borderId="88" xfId="16" applyFont="1" applyFill="1" applyBorder="1" applyAlignment="1">
      <alignment horizontal="center"/>
    </xf>
    <xf numFmtId="0" fontId="66" fillId="0" borderId="0" xfId="0" applyFont="1"/>
    <xf numFmtId="0" fontId="24" fillId="0" borderId="103" xfId="0" applyFont="1" applyBorder="1" applyAlignment="1">
      <alignment horizontal="right"/>
    </xf>
    <xf numFmtId="0" fontId="24" fillId="0" borderId="0" xfId="0" applyFont="1" applyAlignment="1">
      <alignment wrapText="1"/>
    </xf>
    <xf numFmtId="0" fontId="24" fillId="0" borderId="104" xfId="0" applyFont="1" applyBorder="1" applyAlignment="1">
      <alignment horizontal="right"/>
    </xf>
    <xf numFmtId="0" fontId="67" fillId="0" borderId="0" xfId="0" applyFont="1"/>
    <xf numFmtId="0" fontId="24" fillId="0" borderId="104" xfId="0" applyFont="1" applyBorder="1" applyAlignment="1">
      <alignment horizontal="right" vertical="top"/>
    </xf>
    <xf numFmtId="176" fontId="24" fillId="0" borderId="105" xfId="0" applyNumberFormat="1" applyFont="1" applyBorder="1"/>
    <xf numFmtId="199" fontId="40" fillId="0" borderId="0" xfId="0" applyNumberFormat="1" applyFont="1"/>
    <xf numFmtId="0" fontId="40" fillId="0" borderId="0" xfId="0" applyFont="1"/>
    <xf numFmtId="200" fontId="24" fillId="0" borderId="107" xfId="0" applyNumberFormat="1" applyFont="1" applyBorder="1"/>
    <xf numFmtId="0" fontId="24" fillId="0" borderId="107" xfId="0" applyFont="1" applyBorder="1"/>
    <xf numFmtId="0" fontId="40" fillId="0" borderId="107" xfId="0" applyFont="1" applyBorder="1"/>
    <xf numFmtId="200" fontId="24" fillId="0" borderId="108" xfId="0" applyNumberFormat="1" applyFont="1" applyBorder="1"/>
    <xf numFmtId="201" fontId="69" fillId="0" borderId="108" xfId="0" applyNumberFormat="1" applyFont="1" applyBorder="1"/>
    <xf numFmtId="176" fontId="69" fillId="0" borderId="108" xfId="0" applyNumberFormat="1" applyFont="1" applyBorder="1"/>
    <xf numFmtId="0" fontId="40" fillId="0" borderId="108" xfId="18" applyFont="1" applyFill="1" applyBorder="1"/>
    <xf numFmtId="200" fontId="24" fillId="0" borderId="0" xfId="0" applyNumberFormat="1" applyFont="1"/>
    <xf numFmtId="201" fontId="69" fillId="0" borderId="0" xfId="0" applyNumberFormat="1" applyFont="1"/>
    <xf numFmtId="176" fontId="69" fillId="0" borderId="0" xfId="0" applyNumberFormat="1" applyFont="1"/>
    <xf numFmtId="0" fontId="40" fillId="0" borderId="0" xfId="18" applyFont="1" applyFill="1" applyBorder="1"/>
    <xf numFmtId="0" fontId="24" fillId="0" borderId="109" xfId="0" applyFont="1" applyBorder="1" applyAlignment="1">
      <alignment horizontal="right"/>
    </xf>
    <xf numFmtId="9" fontId="24" fillId="0" borderId="0" xfId="0" applyNumberFormat="1" applyFont="1"/>
    <xf numFmtId="172" fontId="24" fillId="0" borderId="105" xfId="0" applyNumberFormat="1" applyFont="1" applyBorder="1"/>
    <xf numFmtId="202" fontId="24" fillId="0" borderId="0" xfId="1" applyNumberFormat="1" applyFont="1"/>
    <xf numFmtId="44" fontId="39" fillId="0" borderId="0" xfId="1" applyFont="1"/>
    <xf numFmtId="0" fontId="6" fillId="38" borderId="112" xfId="21"/>
    <xf numFmtId="0" fontId="6" fillId="38" borderId="114" xfId="21" applyBorder="1"/>
    <xf numFmtId="44" fontId="39" fillId="0" borderId="0" xfId="1" applyFont="1" applyBorder="1"/>
    <xf numFmtId="44" fontId="39" fillId="0" borderId="118" xfId="1" applyFont="1" applyBorder="1"/>
    <xf numFmtId="0" fontId="9" fillId="39" borderId="120" xfId="22" applyBorder="1"/>
    <xf numFmtId="0" fontId="9" fillId="39" borderId="121" xfId="22" applyBorder="1"/>
    <xf numFmtId="0" fontId="9" fillId="39" borderId="122" xfId="22" applyBorder="1"/>
    <xf numFmtId="0" fontId="1" fillId="40" borderId="123" xfId="23" applyBorder="1"/>
    <xf numFmtId="0" fontId="1" fillId="40" borderId="124" xfId="23" applyBorder="1"/>
    <xf numFmtId="0" fontId="1" fillId="40" borderId="125" xfId="23" applyBorder="1"/>
    <xf numFmtId="0" fontId="1" fillId="10" borderId="0" xfId="12" applyAlignment="1">
      <alignment horizontal="center"/>
    </xf>
    <xf numFmtId="9" fontId="39" fillId="0" borderId="117" xfId="2" applyFont="1" applyBorder="1"/>
    <xf numFmtId="44" fontId="39" fillId="0" borderId="115" xfId="1" applyFont="1" applyBorder="1"/>
    <xf numFmtId="0" fontId="39" fillId="0" borderId="116" xfId="14" applyBorder="1"/>
    <xf numFmtId="0" fontId="39" fillId="0" borderId="0" xfId="14" applyBorder="1"/>
    <xf numFmtId="9" fontId="39" fillId="0" borderId="0" xfId="1" applyNumberFormat="1" applyFont="1"/>
    <xf numFmtId="0" fontId="9" fillId="39" borderId="35" xfId="22" applyBorder="1"/>
    <xf numFmtId="0" fontId="9" fillId="39" borderId="34" xfId="22" applyBorder="1"/>
    <xf numFmtId="0" fontId="9" fillId="39" borderId="33" xfId="22" applyBorder="1"/>
    <xf numFmtId="0" fontId="1" fillId="41" borderId="32" xfId="24" applyBorder="1"/>
    <xf numFmtId="0" fontId="0" fillId="0" borderId="0" xfId="0" applyBorder="1"/>
    <xf numFmtId="2" fontId="0" fillId="0" borderId="0" xfId="0" applyNumberFormat="1" applyBorder="1"/>
    <xf numFmtId="0" fontId="1" fillId="41" borderId="30" xfId="24" applyBorder="1"/>
    <xf numFmtId="0" fontId="0" fillId="0" borderId="29" xfId="0" applyBorder="1"/>
    <xf numFmtId="2" fontId="0" fillId="0" borderId="29" xfId="0" applyNumberFormat="1" applyBorder="1"/>
    <xf numFmtId="0" fontId="0" fillId="0" borderId="28" xfId="0" applyBorder="1"/>
    <xf numFmtId="0" fontId="0" fillId="0" borderId="126" xfId="0" applyBorder="1"/>
    <xf numFmtId="0" fontId="9" fillId="39" borderId="0" xfId="22" applyAlignment="1">
      <alignment vertical="center"/>
    </xf>
    <xf numFmtId="0" fontId="9" fillId="39" borderId="0" xfId="22" applyAlignment="1">
      <alignment vertical="center" wrapText="1"/>
    </xf>
    <xf numFmtId="16" fontId="1" fillId="41" borderId="0" xfId="24" applyNumberFormat="1"/>
    <xf numFmtId="0" fontId="0" fillId="0" borderId="0" xfId="0" applyAlignment="1">
      <alignment horizontal="right"/>
    </xf>
    <xf numFmtId="0" fontId="0" fillId="0" borderId="0" xfId="0" applyAlignment="1">
      <alignment horizontal="left"/>
    </xf>
    <xf numFmtId="0" fontId="24" fillId="0" borderId="129" xfId="0" applyFont="1" applyBorder="1" applyAlignment="1">
      <alignment horizontal="center"/>
    </xf>
    <xf numFmtId="0" fontId="24" fillId="0" borderId="130" xfId="0" applyFont="1" applyBorder="1" applyAlignment="1">
      <alignment horizontal="center"/>
    </xf>
    <xf numFmtId="0" fontId="24" fillId="0" borderId="131" xfId="0" applyFont="1" applyBorder="1" applyAlignment="1">
      <alignment horizontal="center"/>
    </xf>
    <xf numFmtId="0" fontId="9" fillId="31" borderId="0" xfId="9" applyFill="1"/>
    <xf numFmtId="0" fontId="9" fillId="30" borderId="0" xfId="9" applyFill="1" applyAlignment="1">
      <alignment vertical="center" textRotation="135"/>
    </xf>
    <xf numFmtId="0" fontId="9" fillId="30" borderId="0" xfId="9" applyFill="1" applyAlignment="1">
      <alignment vertical="center" textRotation="135" wrapText="1"/>
    </xf>
    <xf numFmtId="9" fontId="26" fillId="0" borderId="132" xfId="16" applyNumberFormat="1" applyFont="1" applyBorder="1"/>
    <xf numFmtId="186" fontId="26" fillId="0" borderId="133" xfId="16" applyNumberFormat="1" applyFont="1" applyBorder="1"/>
    <xf numFmtId="9" fontId="26" fillId="0" borderId="134" xfId="16" applyNumberFormat="1" applyFont="1" applyBorder="1"/>
    <xf numFmtId="186" fontId="26" fillId="0" borderId="0" xfId="16" applyNumberFormat="1" applyFont="1"/>
    <xf numFmtId="0" fontId="73" fillId="0" borderId="0" xfId="16" applyFont="1"/>
    <xf numFmtId="44" fontId="26" fillId="0" borderId="135" xfId="16" applyNumberFormat="1" applyFont="1" applyBorder="1" applyAlignment="1">
      <alignment horizontal="center"/>
    </xf>
    <xf numFmtId="9" fontId="26" fillId="0" borderId="136" xfId="2" applyFont="1" applyFill="1" applyBorder="1" applyAlignment="1">
      <alignment horizontal="center"/>
    </xf>
    <xf numFmtId="0" fontId="74" fillId="26" borderId="0" xfId="16" applyFont="1" applyFill="1" applyAlignment="1">
      <alignment horizontal="center"/>
    </xf>
    <xf numFmtId="0" fontId="75" fillId="0" borderId="0" xfId="16" applyFont="1"/>
    <xf numFmtId="0" fontId="54" fillId="0" borderId="0" xfId="17" applyFont="1"/>
    <xf numFmtId="0" fontId="54" fillId="0" borderId="0" xfId="17" applyFont="1" applyAlignment="1">
      <alignment horizontal="center"/>
    </xf>
    <xf numFmtId="0" fontId="41" fillId="0" borderId="28" xfId="17" applyFont="1" applyBorder="1"/>
    <xf numFmtId="0" fontId="41" fillId="0" borderId="29" xfId="17" applyFont="1" applyBorder="1"/>
    <xf numFmtId="0" fontId="54" fillId="0" borderId="30" xfId="17" applyFont="1" applyBorder="1"/>
    <xf numFmtId="0" fontId="41" fillId="0" borderId="31" xfId="17" applyFont="1" applyBorder="1"/>
    <xf numFmtId="0" fontId="41" fillId="0" borderId="0" xfId="17" applyFont="1"/>
    <xf numFmtId="0" fontId="54" fillId="0" borderId="32" xfId="17" applyFont="1" applyBorder="1"/>
    <xf numFmtId="0" fontId="41" fillId="0" borderId="28" xfId="17" applyFont="1" applyBorder="1" applyAlignment="1">
      <alignment horizontal="left"/>
    </xf>
    <xf numFmtId="0" fontId="41" fillId="0" borderId="29" xfId="17" applyFont="1" applyBorder="1" applyAlignment="1">
      <alignment horizontal="left"/>
    </xf>
    <xf numFmtId="0" fontId="41" fillId="0" borderId="30" xfId="17" applyFont="1" applyBorder="1" applyAlignment="1">
      <alignment horizontal="right"/>
    </xf>
    <xf numFmtId="0" fontId="41" fillId="0" borderId="31" xfId="17" applyFont="1" applyBorder="1" applyAlignment="1">
      <alignment horizontal="left"/>
    </xf>
    <xf numFmtId="0" fontId="41" fillId="0" borderId="0" xfId="17" applyFont="1" applyAlignment="1">
      <alignment horizontal="left"/>
    </xf>
    <xf numFmtId="0" fontId="76" fillId="0" borderId="32" xfId="17" applyFont="1" applyBorder="1"/>
    <xf numFmtId="0" fontId="76" fillId="0" borderId="32" xfId="17" applyFont="1" applyBorder="1" applyAlignment="1">
      <alignment horizontal="right"/>
    </xf>
    <xf numFmtId="0" fontId="41" fillId="0" borderId="33" xfId="17" applyFont="1" applyBorder="1" applyAlignment="1">
      <alignment horizontal="left"/>
    </xf>
    <xf numFmtId="0" fontId="41" fillId="0" borderId="34" xfId="17" applyFont="1" applyBorder="1" applyAlignment="1">
      <alignment horizontal="left"/>
    </xf>
    <xf numFmtId="0" fontId="76" fillId="0" borderId="35" xfId="17" applyFont="1" applyBorder="1" applyAlignment="1">
      <alignment horizontal="right"/>
    </xf>
    <xf numFmtId="0" fontId="41" fillId="0" borderId="33" xfId="17" applyFont="1" applyBorder="1"/>
    <xf numFmtId="0" fontId="41" fillId="0" borderId="34" xfId="17" applyFont="1" applyBorder="1"/>
    <xf numFmtId="0" fontId="54" fillId="0" borderId="35" xfId="17" applyFont="1" applyBorder="1"/>
    <xf numFmtId="0" fontId="56" fillId="26" borderId="33" xfId="17" applyFont="1" applyFill="1" applyBorder="1" applyAlignment="1">
      <alignment horizontal="center"/>
    </xf>
    <xf numFmtId="0" fontId="56" fillId="26" borderId="34" xfId="17" applyFont="1" applyFill="1" applyBorder="1" applyAlignment="1">
      <alignment horizontal="center"/>
    </xf>
    <xf numFmtId="0" fontId="56" fillId="26" borderId="35" xfId="17" applyFont="1" applyFill="1" applyBorder="1" applyAlignment="1">
      <alignment horizontal="center"/>
    </xf>
    <xf numFmtId="0" fontId="56" fillId="26" borderId="126" xfId="17" applyFont="1" applyFill="1" applyBorder="1" applyAlignment="1">
      <alignment horizontal="center"/>
    </xf>
    <xf numFmtId="0" fontId="56" fillId="26" borderId="137" xfId="17" applyFont="1" applyFill="1" applyBorder="1" applyAlignment="1">
      <alignment horizontal="center"/>
    </xf>
    <xf numFmtId="0" fontId="56" fillId="26" borderId="36" xfId="17" applyFont="1" applyFill="1" applyBorder="1" applyAlignment="1">
      <alignment horizontal="center"/>
    </xf>
    <xf numFmtId="0" fontId="54" fillId="0" borderId="0" xfId="27" applyFont="1"/>
    <xf numFmtId="0" fontId="54" fillId="0" borderId="0" xfId="27" applyFont="1" applyAlignment="1">
      <alignment horizontal="center"/>
    </xf>
    <xf numFmtId="204" fontId="54" fillId="0" borderId="28" xfId="28" applyNumberFormat="1" applyFont="1" applyFill="1" applyBorder="1"/>
    <xf numFmtId="0" fontId="54" fillId="0" borderId="29" xfId="27" applyFont="1" applyBorder="1" applyAlignment="1">
      <alignment horizontal="center"/>
    </xf>
    <xf numFmtId="0" fontId="54" fillId="0" borderId="29" xfId="27" applyFont="1" applyBorder="1"/>
    <xf numFmtId="0" fontId="54" fillId="0" borderId="30" xfId="27" applyFont="1" applyBorder="1" applyAlignment="1">
      <alignment horizontal="center"/>
    </xf>
    <xf numFmtId="204" fontId="54" fillId="0" borderId="31" xfId="28" applyNumberFormat="1" applyFont="1" applyFill="1" applyBorder="1"/>
    <xf numFmtId="0" fontId="54" fillId="0" borderId="32" xfId="27" applyFont="1" applyBorder="1" applyAlignment="1">
      <alignment horizontal="center"/>
    </xf>
    <xf numFmtId="0" fontId="54" fillId="0" borderId="0" xfId="27" applyFont="1" applyAlignment="1">
      <alignment horizontal="left"/>
    </xf>
    <xf numFmtId="205" fontId="25" fillId="0" borderId="0" xfId="27" applyNumberFormat="1" applyFont="1"/>
    <xf numFmtId="206" fontId="25" fillId="0" borderId="0" xfId="27" applyNumberFormat="1" applyFont="1"/>
    <xf numFmtId="0" fontId="25" fillId="0" borderId="0" xfId="27" applyFont="1"/>
    <xf numFmtId="0" fontId="26" fillId="0" borderId="0" xfId="27" applyFont="1"/>
    <xf numFmtId="206" fontId="26" fillId="0" borderId="0" xfId="27" applyNumberFormat="1" applyFont="1"/>
    <xf numFmtId="0" fontId="26" fillId="0" borderId="0" xfId="27" applyFont="1" applyAlignment="1">
      <alignment horizontal="center"/>
    </xf>
    <xf numFmtId="205" fontId="26" fillId="0" borderId="0" xfId="27" applyNumberFormat="1" applyFont="1"/>
    <xf numFmtId="204" fontId="54" fillId="0" borderId="33" xfId="28" applyNumberFormat="1" applyFont="1" applyFill="1" applyBorder="1"/>
    <xf numFmtId="0" fontId="54" fillId="0" borderId="34" xfId="27" applyFont="1" applyBorder="1" applyAlignment="1">
      <alignment horizontal="center"/>
    </xf>
    <xf numFmtId="0" fontId="54" fillId="0" borderId="34" xfId="27" applyFont="1" applyBorder="1"/>
    <xf numFmtId="0" fontId="54" fillId="0" borderId="35" xfId="27" applyFont="1" applyBorder="1" applyAlignment="1">
      <alignment horizontal="center"/>
    </xf>
    <xf numFmtId="0" fontId="56" fillId="0" borderId="0" xfId="27" applyFont="1" applyAlignment="1">
      <alignment horizontal="center" vertical="center" wrapText="1"/>
    </xf>
    <xf numFmtId="0" fontId="56" fillId="28" borderId="126" xfId="27" applyFont="1" applyFill="1" applyBorder="1" applyAlignment="1">
      <alignment horizontal="center" vertical="center" wrapText="1"/>
    </xf>
    <xf numFmtId="0" fontId="56" fillId="28" borderId="137" xfId="27" applyFont="1" applyFill="1" applyBorder="1" applyAlignment="1">
      <alignment horizontal="center" vertical="center" wrapText="1"/>
    </xf>
    <xf numFmtId="0" fontId="56" fillId="28" borderId="36" xfId="27" applyFont="1" applyFill="1" applyBorder="1" applyAlignment="1">
      <alignment horizontal="center" vertical="center" wrapText="1"/>
    </xf>
    <xf numFmtId="0" fontId="43" fillId="0" borderId="0" xfId="29" applyFont="1"/>
    <xf numFmtId="2" fontId="43" fillId="0" borderId="0" xfId="29" applyNumberFormat="1" applyFont="1"/>
    <xf numFmtId="0" fontId="44" fillId="0" borderId="0" xfId="2" quotePrefix="1" applyNumberFormat="1" applyFont="1" applyFill="1" applyBorder="1" applyAlignment="1">
      <alignment horizontal="center" vertical="center" wrapText="1"/>
    </xf>
    <xf numFmtId="0" fontId="44" fillId="0" borderId="0" xfId="30" applyNumberFormat="1" applyFont="1" applyFill="1" applyBorder="1"/>
    <xf numFmtId="0" fontId="43" fillId="0" borderId="0" xfId="29" applyFont="1" applyAlignment="1">
      <alignment vertical="center" wrapText="1"/>
    </xf>
    <xf numFmtId="0" fontId="43" fillId="0" borderId="0" xfId="2" quotePrefix="1" applyNumberFormat="1" applyFont="1" applyFill="1" applyBorder="1" applyAlignment="1">
      <alignment horizontal="center" vertical="center" wrapText="1"/>
    </xf>
    <xf numFmtId="0" fontId="43" fillId="0" borderId="0" xfId="30" quotePrefix="1" applyNumberFormat="1" applyFont="1" applyFill="1" applyBorder="1" applyAlignment="1">
      <alignment vertical="center" wrapText="1"/>
    </xf>
    <xf numFmtId="0" fontId="43" fillId="0" borderId="0" xfId="1" quotePrefix="1" applyNumberFormat="1" applyFont="1" applyFill="1" applyBorder="1"/>
    <xf numFmtId="0" fontId="43" fillId="0" borderId="0" xfId="29" quotePrefix="1" applyFont="1"/>
    <xf numFmtId="2" fontId="43" fillId="0" borderId="0" xfId="29" applyNumberFormat="1" applyFont="1" applyAlignment="1">
      <alignment vertical="center" wrapText="1"/>
    </xf>
    <xf numFmtId="0" fontId="43" fillId="0" borderId="34" xfId="2" quotePrefix="1" applyNumberFormat="1" applyFont="1" applyFill="1" applyBorder="1" applyAlignment="1">
      <alignment horizontal="center" vertical="center" wrapText="1"/>
    </xf>
    <xf numFmtId="0" fontId="43" fillId="0" borderId="138" xfId="29" applyFont="1" applyBorder="1"/>
    <xf numFmtId="205" fontId="25" fillId="0" borderId="126" xfId="27" applyNumberFormat="1" applyFont="1" applyBorder="1"/>
    <xf numFmtId="206" fontId="25" fillId="0" borderId="137" xfId="27" applyNumberFormat="1" applyFont="1" applyBorder="1"/>
    <xf numFmtId="0" fontId="25" fillId="0" borderId="137" xfId="27" applyFont="1" applyBorder="1"/>
    <xf numFmtId="0" fontId="25" fillId="0" borderId="36" xfId="27" applyFont="1" applyBorder="1"/>
    <xf numFmtId="0" fontId="26" fillId="0" borderId="28" xfId="27" applyFont="1" applyBorder="1"/>
    <xf numFmtId="0" fontId="26" fillId="0" borderId="29" xfId="27" applyFont="1" applyBorder="1"/>
    <xf numFmtId="0" fontId="26" fillId="0" borderId="30" xfId="27" applyFont="1" applyBorder="1"/>
    <xf numFmtId="205" fontId="26" fillId="0" borderId="31" xfId="27" applyNumberFormat="1" applyFont="1" applyBorder="1"/>
    <xf numFmtId="0" fontId="26" fillId="0" borderId="32" xfId="27" applyFont="1" applyBorder="1"/>
    <xf numFmtId="0" fontId="43" fillId="0" borderId="0" xfId="29" applyFont="1" applyAlignment="1">
      <alignment horizontal="center" vertical="center" wrapText="1"/>
    </xf>
    <xf numFmtId="0" fontId="56" fillId="28" borderId="33" xfId="27" applyFont="1" applyFill="1" applyBorder="1" applyAlignment="1">
      <alignment horizontal="center" vertical="center" wrapText="1"/>
    </xf>
    <xf numFmtId="0" fontId="56" fillId="28" borderId="34" xfId="27" applyFont="1" applyFill="1" applyBorder="1" applyAlignment="1">
      <alignment horizontal="center" vertical="center" wrapText="1"/>
    </xf>
    <xf numFmtId="0" fontId="56" fillId="28" borderId="35" xfId="27" applyFont="1" applyFill="1" applyBorder="1" applyAlignment="1">
      <alignment horizontal="center" vertical="center" wrapText="1"/>
    </xf>
    <xf numFmtId="0" fontId="44" fillId="0" borderId="0" xfId="16" applyFont="1" applyAlignment="1">
      <alignment horizontal="center"/>
    </xf>
    <xf numFmtId="0" fontId="54" fillId="0" borderId="139" xfId="16" applyFont="1" applyBorder="1" applyAlignment="1">
      <alignment horizontal="center"/>
    </xf>
    <xf numFmtId="2" fontId="44" fillId="0" borderId="0" xfId="16" applyNumberFormat="1" applyFont="1" applyAlignment="1">
      <alignment horizontal="center"/>
    </xf>
    <xf numFmtId="2" fontId="44" fillId="0" borderId="0" xfId="16" applyNumberFormat="1" applyFont="1" applyAlignment="1">
      <alignment horizontal="left"/>
    </xf>
    <xf numFmtId="0" fontId="43" fillId="0" borderId="0" xfId="16" applyFont="1"/>
    <xf numFmtId="196" fontId="44" fillId="0" borderId="139" xfId="16" applyNumberFormat="1" applyFont="1" applyBorder="1" applyAlignment="1">
      <alignment horizontal="center"/>
    </xf>
    <xf numFmtId="0" fontId="54" fillId="0" borderId="140" xfId="16" applyFont="1" applyBorder="1" applyAlignment="1">
      <alignment horizontal="right"/>
    </xf>
    <xf numFmtId="0" fontId="54" fillId="0" borderId="141" xfId="16" applyFont="1" applyBorder="1" applyAlignment="1">
      <alignment horizontal="center"/>
    </xf>
    <xf numFmtId="0" fontId="54" fillId="0" borderId="142" xfId="16" applyFont="1" applyBorder="1"/>
    <xf numFmtId="0" fontId="54" fillId="0" borderId="143" xfId="16" applyFont="1" applyBorder="1"/>
    <xf numFmtId="0" fontId="54" fillId="0" borderId="144" xfId="16" applyFont="1" applyBorder="1"/>
    <xf numFmtId="0" fontId="54" fillId="0" borderId="145" xfId="0" applyFont="1" applyBorder="1"/>
    <xf numFmtId="0" fontId="54" fillId="0" borderId="146" xfId="16" applyFont="1" applyBorder="1" applyAlignment="1">
      <alignment horizontal="right"/>
    </xf>
    <xf numFmtId="0" fontId="54" fillId="0" borderId="141" xfId="16" applyFont="1" applyBorder="1"/>
    <xf numFmtId="0" fontId="54" fillId="0" borderId="147" xfId="16" applyFont="1" applyBorder="1"/>
    <xf numFmtId="0" fontId="54" fillId="0" borderId="141" xfId="0" applyFont="1" applyBorder="1"/>
    <xf numFmtId="0" fontId="25" fillId="0" borderId="146" xfId="16" applyFont="1" applyBorder="1" applyAlignment="1">
      <alignment horizontal="center"/>
    </xf>
    <xf numFmtId="0" fontId="77" fillId="28" borderId="148" xfId="16" applyFont="1" applyFill="1" applyBorder="1" applyAlignment="1">
      <alignment horizontal="center"/>
    </xf>
    <xf numFmtId="0" fontId="77" fillId="28" borderId="147" xfId="16" applyFont="1" applyFill="1" applyBorder="1" applyAlignment="1">
      <alignment horizontal="center"/>
    </xf>
    <xf numFmtId="9" fontId="56" fillId="28" borderId="141" xfId="16" applyNumberFormat="1" applyFont="1" applyFill="1" applyBorder="1" applyAlignment="1">
      <alignment horizontal="center"/>
    </xf>
    <xf numFmtId="9" fontId="56" fillId="28" borderId="147" xfId="16" applyNumberFormat="1" applyFont="1" applyFill="1" applyBorder="1" applyAlignment="1">
      <alignment horizontal="center"/>
    </xf>
    <xf numFmtId="9" fontId="56" fillId="28" borderId="0" xfId="16" applyNumberFormat="1" applyFont="1" applyFill="1" applyAlignment="1">
      <alignment horizontal="center"/>
    </xf>
    <xf numFmtId="0" fontId="77" fillId="28" borderId="141" xfId="16" applyFont="1" applyFill="1" applyBorder="1" applyAlignment="1">
      <alignment horizontal="center"/>
    </xf>
    <xf numFmtId="0" fontId="77" fillId="28" borderId="0" xfId="16" applyFont="1" applyFill="1" applyAlignment="1">
      <alignment horizontal="center"/>
    </xf>
    <xf numFmtId="0" fontId="77" fillId="28" borderId="149" xfId="16" applyFont="1" applyFill="1" applyBorder="1" applyAlignment="1">
      <alignment horizontal="center"/>
    </xf>
    <xf numFmtId="0" fontId="56" fillId="28" borderId="150" xfId="16" applyFont="1" applyFill="1" applyBorder="1" applyAlignment="1">
      <alignment horizontal="center"/>
    </xf>
    <xf numFmtId="0" fontId="56" fillId="28" borderId="152" xfId="16" applyFont="1" applyFill="1" applyBorder="1" applyAlignment="1">
      <alignment horizontal="center"/>
    </xf>
    <xf numFmtId="0" fontId="56" fillId="28" borderId="151" xfId="16" applyFont="1" applyFill="1" applyBorder="1" applyAlignment="1">
      <alignment horizontal="center"/>
    </xf>
    <xf numFmtId="9" fontId="54" fillId="0" borderId="0" xfId="16" applyNumberFormat="1" applyFont="1"/>
    <xf numFmtId="0" fontId="28" fillId="0" borderId="0" xfId="16" applyFont="1" applyAlignment="1">
      <alignment horizontal="center"/>
    </xf>
    <xf numFmtId="0" fontId="54" fillId="0" borderId="139" xfId="16" applyFont="1" applyBorder="1" applyAlignment="1">
      <alignment horizontal="center" vertical="center"/>
    </xf>
    <xf numFmtId="0" fontId="28" fillId="0" borderId="143" xfId="16" applyFont="1" applyBorder="1" applyAlignment="1">
      <alignment horizontal="center"/>
    </xf>
    <xf numFmtId="0" fontId="28" fillId="0" borderId="144" xfId="16" applyFont="1" applyBorder="1" applyAlignment="1">
      <alignment horizontal="center"/>
    </xf>
    <xf numFmtId="0" fontId="54" fillId="0" borderId="145" xfId="16" applyFont="1" applyBorder="1"/>
    <xf numFmtId="0" fontId="28" fillId="0" borderId="150" xfId="16" applyFont="1" applyBorder="1" applyAlignment="1">
      <alignment horizontal="center"/>
    </xf>
    <xf numFmtId="0" fontId="28" fillId="0" borderId="152" xfId="16" applyFont="1" applyBorder="1" applyAlignment="1">
      <alignment horizontal="center"/>
    </xf>
    <xf numFmtId="0" fontId="28" fillId="0" borderId="151" xfId="16" applyFont="1" applyBorder="1" applyAlignment="1">
      <alignment horizontal="center"/>
    </xf>
    <xf numFmtId="0" fontId="54" fillId="0" borderId="0" xfId="31" applyFont="1"/>
    <xf numFmtId="9" fontId="54" fillId="0" borderId="153" xfId="31" applyNumberFormat="1" applyFont="1" applyBorder="1"/>
    <xf numFmtId="44" fontId="54" fillId="0" borderId="144" xfId="1" applyFont="1" applyFill="1" applyBorder="1"/>
    <xf numFmtId="44" fontId="54" fillId="0" borderId="145" xfId="1" applyFont="1" applyFill="1" applyBorder="1"/>
    <xf numFmtId="9" fontId="54" fillId="0" borderId="134" xfId="31" applyNumberFormat="1" applyFont="1" applyBorder="1"/>
    <xf numFmtId="44" fontId="54" fillId="0" borderId="0" xfId="1" applyFont="1" applyFill="1" applyBorder="1"/>
    <xf numFmtId="44" fontId="54" fillId="0" borderId="141" xfId="1" applyFont="1" applyFill="1" applyBorder="1"/>
    <xf numFmtId="9" fontId="54" fillId="0" borderId="152" xfId="31" applyNumberFormat="1" applyFont="1" applyBorder="1"/>
    <xf numFmtId="44" fontId="54" fillId="0" borderId="152" xfId="1" applyFont="1" applyFill="1" applyBorder="1"/>
    <xf numFmtId="44" fontId="54" fillId="0" borderId="151" xfId="1" applyFont="1" applyFill="1" applyBorder="1"/>
    <xf numFmtId="0" fontId="56" fillId="28" borderId="0" xfId="31" applyFont="1" applyFill="1" applyAlignment="1">
      <alignment horizontal="center"/>
    </xf>
    <xf numFmtId="9" fontId="54" fillId="0" borderId="0" xfId="32" applyFont="1" applyFill="1"/>
    <xf numFmtId="186" fontId="71" fillId="37" borderId="111" xfId="20" applyNumberFormat="1"/>
    <xf numFmtId="0" fontId="26" fillId="0" borderId="0" xfId="31" applyFont="1"/>
    <xf numFmtId="9" fontId="26" fillId="0" borderId="0" xfId="32" applyFont="1" applyFill="1" applyBorder="1"/>
    <xf numFmtId="0" fontId="78" fillId="0" borderId="0" xfId="31" applyFont="1"/>
    <xf numFmtId="9" fontId="1" fillId="42" borderId="154" xfId="25" applyNumberFormat="1" applyBorder="1"/>
    <xf numFmtId="186" fontId="1" fillId="42" borderId="145" xfId="25" applyNumberFormat="1" applyBorder="1"/>
    <xf numFmtId="0" fontId="79" fillId="0" borderId="0" xfId="31" applyFont="1"/>
    <xf numFmtId="0" fontId="28" fillId="0" borderId="0" xfId="31" applyFont="1"/>
    <xf numFmtId="9" fontId="26" fillId="0" borderId="0" xfId="2" applyFont="1" applyFill="1" applyBorder="1"/>
    <xf numFmtId="186" fontId="26" fillId="0" borderId="133" xfId="31" applyNumberFormat="1" applyFont="1" applyBorder="1"/>
    <xf numFmtId="186" fontId="26" fillId="0" borderId="144" xfId="31" applyNumberFormat="1" applyFont="1" applyBorder="1"/>
    <xf numFmtId="0" fontId="70" fillId="0" borderId="110" xfId="19" applyFill="1"/>
    <xf numFmtId="186" fontId="26" fillId="0" borderId="0" xfId="31" applyNumberFormat="1" applyFont="1"/>
    <xf numFmtId="186" fontId="26" fillId="0" borderId="152" xfId="31" applyNumberFormat="1" applyFont="1" applyBorder="1"/>
    <xf numFmtId="0" fontId="80" fillId="0" borderId="0" xfId="31" applyFont="1" applyAlignment="1">
      <alignment horizontal="center"/>
    </xf>
    <xf numFmtId="0" fontId="81" fillId="26" borderId="0" xfId="31" applyFont="1" applyFill="1" applyAlignment="1">
      <alignment horizontal="center"/>
    </xf>
    <xf numFmtId="0" fontId="54" fillId="0" borderId="0" xfId="31" applyFont="1" applyAlignment="1">
      <alignment horizontal="center"/>
    </xf>
    <xf numFmtId="0" fontId="26" fillId="0" borderId="143" xfId="16" applyFont="1" applyBorder="1"/>
    <xf numFmtId="0" fontId="26" fillId="0" borderId="145" xfId="16" applyFont="1" applyBorder="1" applyAlignment="1">
      <alignment horizontal="center"/>
    </xf>
    <xf numFmtId="0" fontId="26" fillId="0" borderId="147" xfId="16" applyFont="1" applyBorder="1"/>
    <xf numFmtId="0" fontId="26" fillId="0" borderId="141" xfId="16" applyFont="1" applyBorder="1" applyAlignment="1">
      <alignment horizontal="center"/>
    </xf>
    <xf numFmtId="0" fontId="26" fillId="0" borderId="144" xfId="16" applyFont="1" applyBorder="1"/>
    <xf numFmtId="207" fontId="26" fillId="0" borderId="139" xfId="16" applyNumberFormat="1" applyFont="1" applyBorder="1"/>
    <xf numFmtId="0" fontId="83" fillId="0" borderId="0" xfId="0" applyFont="1" applyAlignment="1">
      <alignment vertical="center"/>
    </xf>
    <xf numFmtId="0" fontId="83" fillId="0" borderId="143" xfId="0" applyFont="1" applyBorder="1" applyAlignment="1">
      <alignment horizontal="center"/>
    </xf>
    <xf numFmtId="9" fontId="83" fillId="0" borderId="144" xfId="2" applyFont="1" applyBorder="1"/>
    <xf numFmtId="208" fontId="83" fillId="0" borderId="144" xfId="0" applyNumberFormat="1" applyFont="1" applyBorder="1"/>
    <xf numFmtId="0" fontId="83" fillId="0" borderId="144" xfId="0" applyFont="1" applyBorder="1"/>
    <xf numFmtId="49" fontId="83" fillId="0" borderId="144" xfId="0" applyNumberFormat="1" applyFont="1" applyBorder="1"/>
    <xf numFmtId="0" fontId="83" fillId="0" borderId="145" xfId="0" applyFont="1" applyBorder="1" applyAlignment="1">
      <alignment horizontal="center"/>
    </xf>
    <xf numFmtId="0" fontId="83" fillId="0" borderId="147" xfId="0" applyFont="1" applyBorder="1" applyAlignment="1">
      <alignment horizontal="center"/>
    </xf>
    <xf numFmtId="9" fontId="83" fillId="0" borderId="0" xfId="2" applyFont="1" applyBorder="1"/>
    <xf numFmtId="208" fontId="83" fillId="0" borderId="0" xfId="0" applyNumberFormat="1" applyFont="1"/>
    <xf numFmtId="0" fontId="83" fillId="0" borderId="0" xfId="0" applyFont="1"/>
    <xf numFmtId="49" fontId="83" fillId="0" borderId="0" xfId="0" applyNumberFormat="1" applyFont="1"/>
    <xf numFmtId="0" fontId="83" fillId="0" borderId="141" xfId="0" applyFont="1" applyBorder="1" applyAlignment="1">
      <alignment horizontal="center"/>
    </xf>
    <xf numFmtId="0" fontId="81" fillId="28" borderId="0" xfId="0" applyFont="1" applyFill="1" applyAlignment="1">
      <alignment horizontal="center" wrapText="1"/>
    </xf>
    <xf numFmtId="0" fontId="85" fillId="0" borderId="0" xfId="1" applyNumberFormat="1" applyFont="1" applyBorder="1"/>
    <xf numFmtId="44" fontId="6" fillId="38" borderId="112" xfId="21" applyNumberFormat="1"/>
    <xf numFmtId="0" fontId="86" fillId="0" borderId="0" xfId="16" applyFont="1"/>
    <xf numFmtId="0" fontId="54" fillId="0" borderId="0" xfId="1" applyNumberFormat="1" applyFont="1" applyFill="1" applyBorder="1"/>
    <xf numFmtId="0" fontId="41" fillId="0" borderId="0" xfId="1" applyNumberFormat="1" applyFont="1" applyFill="1" applyBorder="1"/>
    <xf numFmtId="0" fontId="41" fillId="0" borderId="119" xfId="16" applyFont="1" applyBorder="1"/>
    <xf numFmtId="0" fontId="41" fillId="0" borderId="118" xfId="16" applyFont="1" applyBorder="1"/>
    <xf numFmtId="44" fontId="41" fillId="0" borderId="118" xfId="1" applyFont="1" applyBorder="1"/>
    <xf numFmtId="0" fontId="41" fillId="0" borderId="118" xfId="1" applyNumberFormat="1" applyFont="1" applyBorder="1"/>
    <xf numFmtId="0" fontId="1" fillId="43" borderId="113" xfId="26" applyBorder="1"/>
    <xf numFmtId="0" fontId="41" fillId="0" borderId="117" xfId="16" applyFont="1" applyBorder="1"/>
    <xf numFmtId="0" fontId="41" fillId="0" borderId="0" xfId="16" applyFont="1"/>
    <xf numFmtId="44" fontId="41" fillId="0" borderId="0" xfId="1" applyFont="1" applyBorder="1"/>
    <xf numFmtId="0" fontId="41" fillId="0" borderId="0" xfId="1" applyNumberFormat="1" applyFont="1" applyBorder="1"/>
    <xf numFmtId="0" fontId="41" fillId="0" borderId="117" xfId="1" applyNumberFormat="1" applyFont="1" applyBorder="1"/>
    <xf numFmtId="44" fontId="41" fillId="0" borderId="117" xfId="16" applyNumberFormat="1" applyFont="1" applyBorder="1"/>
    <xf numFmtId="9" fontId="41" fillId="0" borderId="0" xfId="1" applyNumberFormat="1" applyFont="1" applyFill="1" applyBorder="1"/>
    <xf numFmtId="0" fontId="81" fillId="0" borderId="0" xfId="16" applyFont="1" applyAlignment="1">
      <alignment horizontal="center"/>
    </xf>
    <xf numFmtId="0" fontId="56" fillId="0" borderId="0" xfId="0" applyFont="1" applyAlignment="1">
      <alignment horizontal="center"/>
    </xf>
    <xf numFmtId="0" fontId="56" fillId="29" borderId="0" xfId="0" applyFont="1" applyFill="1" applyAlignment="1">
      <alignment horizontal="center"/>
    </xf>
    <xf numFmtId="0" fontId="15" fillId="13" borderId="20" xfId="0" applyFont="1" applyFill="1" applyBorder="1" applyAlignment="1">
      <alignment horizontal="center" vertical="center" wrapText="1"/>
    </xf>
    <xf numFmtId="0" fontId="15" fillId="13" borderId="19" xfId="0" applyFont="1" applyFill="1" applyBorder="1" applyAlignment="1">
      <alignment horizontal="center" vertical="center"/>
    </xf>
    <xf numFmtId="0" fontId="15" fillId="13" borderId="18" xfId="0" applyFont="1" applyFill="1" applyBorder="1" applyAlignment="1">
      <alignment horizontal="center" vertical="center"/>
    </xf>
    <xf numFmtId="0" fontId="12" fillId="0" borderId="0" xfId="0" applyFont="1" applyAlignment="1">
      <alignment horizontal="center" textRotation="255"/>
    </xf>
    <xf numFmtId="0" fontId="17" fillId="14" borderId="0" xfId="8" applyNumberFormat="1" applyFont="1" applyFill="1" applyBorder="1" applyAlignment="1">
      <alignment horizontal="center" vertical="center"/>
    </xf>
    <xf numFmtId="0" fontId="6" fillId="18" borderId="0" xfId="0" applyFont="1" applyFill="1" applyAlignment="1">
      <alignment horizontal="center"/>
    </xf>
    <xf numFmtId="0" fontId="23" fillId="12" borderId="0" xfId="0" applyFont="1" applyFill="1" applyAlignment="1">
      <alignment horizontal="center" vertical="center"/>
    </xf>
    <xf numFmtId="0" fontId="20" fillId="12" borderId="0" xfId="0" applyFont="1" applyFill="1" applyAlignment="1">
      <alignment horizontal="center"/>
    </xf>
    <xf numFmtId="0" fontId="0" fillId="0" borderId="39" xfId="0" applyBorder="1" applyAlignment="1">
      <alignment horizontal="center"/>
    </xf>
    <xf numFmtId="0" fontId="0" fillId="0" borderId="38" xfId="0" applyBorder="1" applyAlignment="1">
      <alignment horizontal="center"/>
    </xf>
    <xf numFmtId="0" fontId="0" fillId="0" borderId="37" xfId="0" applyBorder="1" applyAlignment="1">
      <alignment horizontal="center"/>
    </xf>
    <xf numFmtId="0" fontId="0" fillId="12" borderId="20" xfId="0" applyFill="1" applyBorder="1" applyAlignment="1">
      <alignment horizontal="center"/>
    </xf>
    <xf numFmtId="0" fontId="0" fillId="12" borderId="18" xfId="0" applyFill="1" applyBorder="1" applyAlignment="1">
      <alignment horizontal="center"/>
    </xf>
    <xf numFmtId="0" fontId="33" fillId="25" borderId="0" xfId="0" applyFont="1" applyFill="1" applyAlignment="1">
      <alignment horizontal="center"/>
    </xf>
    <xf numFmtId="0" fontId="35" fillId="28" borderId="0" xfId="0" applyFont="1" applyFill="1" applyAlignment="1">
      <alignment horizontal="center"/>
    </xf>
    <xf numFmtId="0" fontId="38" fillId="0" borderId="0" xfId="0" applyFont="1" applyAlignment="1">
      <alignment horizontal="center"/>
    </xf>
    <xf numFmtId="0" fontId="5" fillId="5" borderId="1" xfId="6" applyAlignment="1">
      <alignment horizontal="center"/>
    </xf>
    <xf numFmtId="0" fontId="51" fillId="34" borderId="0" xfId="0" applyFont="1" applyFill="1" applyAlignment="1">
      <alignment horizontal="center" vertical="center"/>
    </xf>
    <xf numFmtId="0" fontId="50" fillId="33" borderId="0" xfId="0" applyFont="1" applyFill="1" applyAlignment="1">
      <alignment horizontal="center"/>
    </xf>
    <xf numFmtId="0" fontId="49" fillId="0" borderId="76" xfId="0" applyFont="1" applyBorder="1" applyAlignment="1">
      <alignment horizontal="center" vertical="center" wrapText="1"/>
    </xf>
    <xf numFmtId="0" fontId="49" fillId="0" borderId="75" xfId="0" applyFont="1" applyBorder="1" applyAlignment="1">
      <alignment horizontal="center" vertical="center" wrapText="1"/>
    </xf>
    <xf numFmtId="0" fontId="6" fillId="38" borderId="127" xfId="21" applyBorder="1" applyAlignment="1">
      <alignment horizontal="center"/>
    </xf>
    <xf numFmtId="0" fontId="6" fillId="38" borderId="128" xfId="21" applyBorder="1" applyAlignment="1">
      <alignment horizontal="center"/>
    </xf>
    <xf numFmtId="0" fontId="72" fillId="33" borderId="0" xfId="0" applyFont="1" applyFill="1" applyAlignment="1">
      <alignment horizontal="center"/>
    </xf>
    <xf numFmtId="0" fontId="56" fillId="28" borderId="0" xfId="16" applyFont="1" applyFill="1" applyAlignment="1">
      <alignment horizontal="center"/>
    </xf>
    <xf numFmtId="0" fontId="57" fillId="28" borderId="0" xfId="0" applyFont="1" applyFill="1" applyAlignment="1">
      <alignment horizontal="center"/>
    </xf>
    <xf numFmtId="0" fontId="56" fillId="28" borderId="0" xfId="16" applyFont="1" applyFill="1" applyAlignment="1">
      <alignment horizontal="center" vertical="center"/>
    </xf>
    <xf numFmtId="0" fontId="54" fillId="0" borderId="72" xfId="16" applyFont="1" applyBorder="1" applyAlignment="1">
      <alignment horizontal="left"/>
    </xf>
    <xf numFmtId="0" fontId="54" fillId="0" borderId="68" xfId="16" applyFont="1" applyBorder="1" applyAlignment="1">
      <alignment horizontal="left"/>
    </xf>
    <xf numFmtId="0" fontId="54" fillId="0" borderId="71" xfId="16" applyFont="1" applyBorder="1" applyAlignment="1">
      <alignment horizontal="left"/>
    </xf>
    <xf numFmtId="0" fontId="54" fillId="0" borderId="0" xfId="16" applyFont="1" applyAlignment="1">
      <alignment horizontal="left"/>
    </xf>
    <xf numFmtId="0" fontId="54" fillId="0" borderId="70" xfId="16" applyFont="1" applyBorder="1" applyAlignment="1">
      <alignment horizontal="left"/>
    </xf>
    <xf numFmtId="0" fontId="54" fillId="0" borderId="69" xfId="16" applyFont="1" applyBorder="1" applyAlignment="1">
      <alignment horizontal="left"/>
    </xf>
    <xf numFmtId="0" fontId="62" fillId="0" borderId="0" xfId="0" applyFont="1" applyAlignment="1">
      <alignment horizontal="right"/>
    </xf>
    <xf numFmtId="0" fontId="65" fillId="28" borderId="88" xfId="17" applyFont="1" applyFill="1" applyBorder="1" applyAlignment="1">
      <alignment horizontal="center"/>
    </xf>
    <xf numFmtId="0" fontId="65" fillId="28" borderId="87" xfId="17" applyFont="1" applyFill="1" applyBorder="1" applyAlignment="1">
      <alignment horizontal="center"/>
    </xf>
    <xf numFmtId="0" fontId="65" fillId="28" borderId="86" xfId="17" applyFont="1" applyFill="1" applyBorder="1" applyAlignment="1">
      <alignment horizontal="center"/>
    </xf>
    <xf numFmtId="0" fontId="2" fillId="2" borderId="67" xfId="3" applyBorder="1" applyAlignment="1">
      <alignment horizontal="center"/>
    </xf>
    <xf numFmtId="0" fontId="2" fillId="2" borderId="97" xfId="3" applyBorder="1" applyAlignment="1">
      <alignment horizontal="center"/>
    </xf>
    <xf numFmtId="0" fontId="35" fillId="30" borderId="0" xfId="9" applyFont="1" applyFill="1" applyBorder="1" applyAlignment="1">
      <alignment horizontal="center"/>
    </xf>
    <xf numFmtId="0" fontId="9" fillId="30" borderId="0" xfId="9" applyFill="1" applyAlignment="1">
      <alignment horizontal="center"/>
    </xf>
    <xf numFmtId="0" fontId="9" fillId="30" borderId="106" xfId="9" applyFill="1" applyBorder="1" applyAlignment="1">
      <alignment horizontal="center"/>
    </xf>
    <xf numFmtId="0" fontId="74" fillId="28" borderId="0" xfId="16" applyFont="1" applyFill="1" applyAlignment="1">
      <alignment horizontal="center"/>
    </xf>
    <xf numFmtId="0" fontId="56" fillId="28" borderId="151" xfId="16" applyFont="1" applyFill="1" applyBorder="1" applyAlignment="1">
      <alignment horizontal="center"/>
    </xf>
    <xf numFmtId="0" fontId="56" fillId="28" borderId="150" xfId="16" applyFont="1" applyFill="1" applyBorder="1" applyAlignment="1">
      <alignment horizontal="center"/>
    </xf>
    <xf numFmtId="0" fontId="56" fillId="28" borderId="0" xfId="31" applyFont="1" applyFill="1" applyAlignment="1">
      <alignment horizontal="center"/>
    </xf>
    <xf numFmtId="0" fontId="81" fillId="28" borderId="0" xfId="16" applyFont="1" applyFill="1" applyAlignment="1">
      <alignment horizontal="center"/>
    </xf>
  </cellXfs>
  <cellStyles count="33">
    <cellStyle name="20 % - Accent1" xfId="8" builtinId="30"/>
    <cellStyle name="20 % - Accent6" xfId="25" builtinId="50"/>
    <cellStyle name="40 % - Accent2" xfId="23" builtinId="35"/>
    <cellStyle name="40 % - Accent4" xfId="11" builtinId="43"/>
    <cellStyle name="40 % - Accent5" xfId="13" builtinId="47"/>
    <cellStyle name="60 % - Accent2" xfId="24" builtinId="36"/>
    <cellStyle name="60 % - Accent3" xfId="10" builtinId="40"/>
    <cellStyle name="60 % - Accent3 2" xfId="18" xr:uid="{C2FB1ED6-1405-4F4D-9CCF-DFDA9F990FF4}"/>
    <cellStyle name="60 % - Accent4" xfId="12" builtinId="44"/>
    <cellStyle name="60 % - Accent6" xfId="26" builtinId="52"/>
    <cellStyle name="Accent1" xfId="22" builtinId="29"/>
    <cellStyle name="Accent3" xfId="9" builtinId="37"/>
    <cellStyle name="Avertissement" xfId="7" builtinId="11"/>
    <cellStyle name="Entrée" xfId="6" builtinId="20"/>
    <cellStyle name="Euro 2" xfId="30" xr:uid="{C719B9B4-ED82-4799-9459-1C55DAD5CFDB}"/>
    <cellStyle name="Insatisfaisant" xfId="4" builtinId="27"/>
    <cellStyle name="Milliers_ex32" xfId="28" xr:uid="{EA4280E5-3313-4FB3-9B2B-33278ECEC2D8}"/>
    <cellStyle name="Monétaire" xfId="1" builtinId="4"/>
    <cellStyle name="Monétaire 2" xfId="15" xr:uid="{16F0DCFC-AE7F-4B55-82AA-F812FFC2BE11}"/>
    <cellStyle name="Neutre" xfId="5" builtinId="28"/>
    <cellStyle name="Normal" xfId="0" builtinId="0"/>
    <cellStyle name="Normal 2" xfId="14" xr:uid="{8DAEE45A-73AC-4468-88EE-F56C987478E3}"/>
    <cellStyle name="Normal 2 2" xfId="31" xr:uid="{A6E62DB1-CC10-4837-A55E-9C4D06E38317}"/>
    <cellStyle name="Normal 3" xfId="17" xr:uid="{B72DF52B-087B-4036-95FC-2C3EBE9AB264}"/>
    <cellStyle name="Normal 4" xfId="16" xr:uid="{C54C0161-A6D9-40B6-84E6-EFD6A9237BAF}"/>
    <cellStyle name="Normal_ex32" xfId="27" xr:uid="{4FC91F93-1785-4687-A5E5-55E35E538E68}"/>
    <cellStyle name="Normal_solutionex32" xfId="29" xr:uid="{BB6AA895-0BF5-445C-81FB-59F49CC4833C}"/>
    <cellStyle name="Pourcentage" xfId="2" builtinId="5"/>
    <cellStyle name="Pourcentage 3" xfId="32" xr:uid="{99FB4612-E0C4-482D-94A3-20AE2BECE217}"/>
    <cellStyle name="Satisfaisant" xfId="3" builtinId="26"/>
    <cellStyle name="Sortie" xfId="20" builtinId="21"/>
    <cellStyle name="Titre 2" xfId="19" builtinId="17"/>
    <cellStyle name="Vérification" xfId="21" builtinId="23"/>
  </cellStyles>
  <dxfs count="28">
    <dxf>
      <font>
        <b/>
        <i val="0"/>
        <color rgb="FFC00000"/>
      </font>
    </dxf>
    <dxf>
      <font>
        <color rgb="FFFF0000"/>
      </font>
    </dxf>
    <dxf>
      <font>
        <color rgb="FF9C0006"/>
      </font>
    </dxf>
    <dxf>
      <font>
        <color rgb="FF9C0006"/>
      </font>
    </dxf>
    <dxf>
      <font>
        <color rgb="FF9C0006"/>
      </font>
    </dxf>
    <dxf>
      <font>
        <b/>
        <i val="0"/>
        <color rgb="FFFFC000"/>
      </font>
    </dxf>
    <dxf>
      <font>
        <b/>
        <i val="0"/>
        <color rgb="FFC00000"/>
      </font>
      <fill>
        <patternFill>
          <bgColor theme="5" tint="0.59996337778862885"/>
        </patternFill>
      </fill>
    </dxf>
    <dxf>
      <font>
        <b/>
        <i val="0"/>
        <color rgb="FF0070C0"/>
      </font>
      <fill>
        <patternFill>
          <bgColor theme="4" tint="0.79998168889431442"/>
        </patternFill>
      </fill>
    </dxf>
    <dxf>
      <font>
        <b/>
        <i val="0"/>
        <color rgb="FF00B050"/>
      </font>
      <fill>
        <patternFill>
          <bgColor theme="9" tint="0.59996337778862885"/>
        </patternFill>
      </fill>
    </dxf>
    <dxf>
      <font>
        <b/>
        <i val="0"/>
        <color auto="1"/>
      </font>
      <fill>
        <patternFill>
          <bgColor theme="0" tint="-0.14996795556505021"/>
        </patternFill>
      </fill>
    </dxf>
    <dxf>
      <font>
        <b/>
        <i val="0"/>
        <color rgb="FFFFC000"/>
      </font>
      <fill>
        <patternFill>
          <bgColor theme="7" tint="0.79998168889431442"/>
        </patternFill>
      </fill>
    </dxf>
    <dxf>
      <font>
        <b/>
        <i val="0"/>
        <color rgb="FFC00000"/>
      </font>
      <fill>
        <patternFill>
          <bgColor theme="5" tint="0.59996337778862885"/>
        </patternFill>
      </fill>
    </dxf>
    <dxf>
      <font>
        <b/>
        <i val="0"/>
        <color rgb="FF0070C0"/>
      </font>
      <fill>
        <patternFill>
          <bgColor theme="4" tint="0.79998168889431442"/>
        </patternFill>
      </fill>
    </dxf>
    <dxf>
      <font>
        <b/>
        <i val="0"/>
        <color rgb="FF00B050"/>
      </font>
      <fill>
        <patternFill>
          <bgColor theme="9" tint="0.59996337778862885"/>
        </patternFill>
      </fill>
    </dxf>
    <dxf>
      <font>
        <b/>
        <i val="0"/>
        <color rgb="FFFFC000"/>
      </font>
      <fill>
        <patternFill>
          <bgColor theme="7" tint="0.79998168889431442"/>
        </patternFill>
      </fill>
    </dxf>
    <dxf>
      <font>
        <b/>
        <i val="0"/>
        <color auto="1"/>
      </font>
      <fill>
        <patternFill>
          <bgColor theme="0" tint="-0.14996795556505021"/>
        </patternFill>
      </fill>
    </dxf>
    <dxf>
      <font>
        <b/>
        <i val="0"/>
        <color rgb="FFC00000"/>
      </font>
      <fill>
        <patternFill>
          <bgColor theme="5" tint="0.59996337778862885"/>
        </patternFill>
      </fill>
    </dxf>
    <dxf>
      <font>
        <b/>
        <i val="0"/>
        <color theme="8"/>
      </font>
      <fill>
        <patternFill>
          <bgColor theme="4" tint="0.59996337778862885"/>
        </patternFill>
      </fill>
    </dxf>
    <dxf>
      <font>
        <b/>
        <i val="0"/>
        <color rgb="FFC00000"/>
      </font>
      <fill>
        <patternFill>
          <bgColor theme="5" tint="0.59996337778862885"/>
        </patternFill>
      </fill>
    </dxf>
    <dxf>
      <font>
        <b/>
        <i val="0"/>
        <color theme="8"/>
      </font>
      <fill>
        <patternFill>
          <bgColor theme="4" tint="0.59996337778862885"/>
        </patternFill>
      </fill>
    </dxf>
    <dxf>
      <font>
        <b/>
        <i val="0"/>
        <color rgb="FFFF0000"/>
      </font>
    </dxf>
    <dxf>
      <font>
        <b/>
        <i val="0"/>
        <color rgb="FFFF0000"/>
      </font>
    </dxf>
    <dxf>
      <font>
        <b/>
        <i val="0"/>
        <color rgb="FF00B050"/>
      </font>
      <fill>
        <patternFill>
          <bgColor theme="9" tint="0.79998168889431442"/>
        </patternFill>
      </fill>
    </dxf>
    <dxf>
      <font>
        <b/>
        <i val="0"/>
        <color rgb="FFC00000"/>
      </font>
      <fill>
        <patternFill>
          <bgColor theme="5" tint="0.59996337778862885"/>
        </patternFill>
      </fill>
    </dxf>
    <dxf>
      <font>
        <b/>
        <i val="0"/>
        <color rgb="FFFF0000"/>
      </font>
    </dxf>
    <dxf>
      <font>
        <b/>
        <i val="0"/>
        <color rgb="FF0070C0"/>
      </font>
    </dxf>
    <dxf>
      <font>
        <b val="0"/>
        <i/>
        <color rgb="FF9C0006"/>
      </font>
    </dxf>
    <dxf>
      <font>
        <b/>
        <i val="0"/>
        <color rgb="FF00B0F0"/>
      </font>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sharedStrings" Target="sharedString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externalLink" Target="externalLinks/externalLink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sheetMetadata" Target="metadata.xml"/><Relationship Id="rId8" Type="http://schemas.openxmlformats.org/officeDocument/2006/relationships/worksheet" Target="worksheets/sheet8.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styles" Target="styles.xml"/><Relationship Id="rId20" Type="http://schemas.openxmlformats.org/officeDocument/2006/relationships/worksheet" Target="worksheets/sheet20.xml"/><Relationship Id="rId41" Type="http://schemas.openxmlformats.org/officeDocument/2006/relationships/worksheet" Target="worksheets/sheet41.xml"/><Relationship Id="rId1" Type="http://schemas.openxmlformats.org/officeDocument/2006/relationships/worksheet" Target="worksheets/sheet1.xml"/><Relationship Id="rId6" Type="http://schemas.openxmlformats.org/officeDocument/2006/relationships/worksheet" Target="worksheets/sheet6.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3" Type="http://schemas.openxmlformats.org/officeDocument/2006/relationships/chartUserShapes" Target="../drawings/drawing12.xml"/><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fr-FR"/>
        </a:p>
      </c:txPr>
    </c:title>
    <c:autoTitleDeleted val="0"/>
    <c:plotArea>
      <c:layout>
        <c:manualLayout>
          <c:layoutTarget val="inner"/>
          <c:xMode val="edge"/>
          <c:yMode val="edge"/>
          <c:x val="0.2776461067366579"/>
          <c:y val="0.23551789077212806"/>
          <c:w val="0.46970800524934375"/>
          <c:h val="0.63689221050758471"/>
        </c:manualLayout>
      </c:layout>
      <c:pieChart>
        <c:varyColors val="1"/>
        <c:ser>
          <c:idx val="0"/>
          <c:order val="0"/>
          <c:dPt>
            <c:idx val="0"/>
            <c:bubble3D val="0"/>
            <c:explosion val="23"/>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76DC-4F9B-9BBD-C3E6CB2D3045}"/>
              </c:ext>
            </c:extLst>
          </c:dPt>
          <c:dPt>
            <c:idx val="1"/>
            <c:bubble3D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76DC-4F9B-9BBD-C3E6CB2D3045}"/>
              </c:ext>
            </c:extLst>
          </c:dPt>
          <c:dPt>
            <c:idx val="2"/>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76DC-4F9B-9BBD-C3E6CB2D3045}"/>
              </c:ext>
            </c:extLst>
          </c:dPt>
          <c:dPt>
            <c:idx val="3"/>
            <c:bubble3D val="0"/>
            <c:explosion val="17"/>
            <c:spPr>
              <a:gradFill rotWithShape="1">
                <a:gsLst>
                  <a:gs pos="0">
                    <a:schemeClr val="accent6">
                      <a:lumMod val="60000"/>
                      <a:satMod val="103000"/>
                      <a:lumMod val="102000"/>
                      <a:tint val="94000"/>
                    </a:schemeClr>
                  </a:gs>
                  <a:gs pos="50000">
                    <a:schemeClr val="accent6">
                      <a:lumMod val="60000"/>
                      <a:satMod val="110000"/>
                      <a:lumMod val="100000"/>
                      <a:shade val="100000"/>
                    </a:schemeClr>
                  </a:gs>
                  <a:gs pos="100000">
                    <a:schemeClr val="accent6">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7-76DC-4F9B-9BBD-C3E6CB2D3045}"/>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fr-FR"/>
              </a:p>
            </c:txPr>
            <c:dLblPos val="bestFit"/>
            <c:showLegendKey val="0"/>
            <c:showVal val="1"/>
            <c:showCatName val="0"/>
            <c:showSerName val="0"/>
            <c:showPercent val="0"/>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'1'!$A$2:$A$5</c:f>
              <c:strCache>
                <c:ptCount val="4"/>
                <c:pt idx="0">
                  <c:v>Produit 1</c:v>
                </c:pt>
                <c:pt idx="1">
                  <c:v>Produit 2</c:v>
                </c:pt>
                <c:pt idx="2">
                  <c:v>Produit 3</c:v>
                </c:pt>
                <c:pt idx="3">
                  <c:v>Produit 4</c:v>
                </c:pt>
              </c:strCache>
            </c:strRef>
          </c:cat>
          <c:val>
            <c:numRef>
              <c:f>'1'!$D$2:$D$5</c:f>
              <c:numCache>
                <c:formatCode>_-* #,##0\ "€"_-;\-* #,##0\ "€"_-;_-* "-"??\ "€"_-;_-@_-</c:formatCode>
                <c:ptCount val="4"/>
                <c:pt idx="0">
                  <c:v>2500</c:v>
                </c:pt>
                <c:pt idx="1">
                  <c:v>172500</c:v>
                </c:pt>
                <c:pt idx="2">
                  <c:v>156000</c:v>
                </c:pt>
                <c:pt idx="3">
                  <c:v>27000</c:v>
                </c:pt>
              </c:numCache>
            </c:numRef>
          </c:val>
          <c:extLst>
            <c:ext xmlns:c16="http://schemas.microsoft.com/office/drawing/2014/chart" uri="{C3380CC4-5D6E-409C-BE32-E72D297353CC}">
              <c16:uniqueId val="{00000008-76DC-4F9B-9BBD-C3E6CB2D3045}"/>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b"/>
      <c:layout>
        <c:manualLayout>
          <c:xMode val="edge"/>
          <c:yMode val="edge"/>
          <c:x val="0.84361176727909015"/>
          <c:y val="0.36016904666577693"/>
          <c:w val="9.8887576552930886E-2"/>
          <c:h val="0.34981212094250935"/>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fr-FR"/>
        </a:p>
      </c:txPr>
    </c:legend>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fr-FR"/>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BE"/>
              <a:t>Quantité</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manualLayout>
          <c:layoutTarget val="inner"/>
          <c:xMode val="edge"/>
          <c:yMode val="edge"/>
          <c:x val="0.14878915135608048"/>
          <c:y val="0.16245370370370371"/>
          <c:w val="0.82898862642169724"/>
          <c:h val="0.72088764946048411"/>
        </c:manualLayout>
      </c:layout>
      <c:barChart>
        <c:barDir val="col"/>
        <c:grouping val="clustered"/>
        <c:varyColors val="0"/>
        <c:ser>
          <c:idx val="0"/>
          <c:order val="0"/>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fr-FR"/>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'7.1'!$A$6:$A$9</c:f>
              <c:strCache>
                <c:ptCount val="4"/>
                <c:pt idx="0">
                  <c:v>Maya</c:v>
                </c:pt>
                <c:pt idx="1">
                  <c:v>Bary Benson</c:v>
                </c:pt>
                <c:pt idx="2">
                  <c:v>Meli</c:v>
                </c:pt>
                <c:pt idx="3">
                  <c:v>Rucher</c:v>
                </c:pt>
              </c:strCache>
            </c:strRef>
          </c:cat>
          <c:val>
            <c:numRef>
              <c:f>'7.1'!$C$6:$C$9</c:f>
              <c:numCache>
                <c:formatCode>_("€"* #,##0.00_);_("€"* \(#,##0.00\);_("€"* "-"??_);_(@_)</c:formatCode>
                <c:ptCount val="4"/>
                <c:pt idx="0">
                  <c:v>20</c:v>
                </c:pt>
                <c:pt idx="1">
                  <c:v>115</c:v>
                </c:pt>
                <c:pt idx="2">
                  <c:v>60</c:v>
                </c:pt>
                <c:pt idx="3">
                  <c:v>30</c:v>
                </c:pt>
              </c:numCache>
            </c:numRef>
          </c:val>
          <c:extLst>
            <c:ext xmlns:c16="http://schemas.microsoft.com/office/drawing/2014/chart" uri="{C3380CC4-5D6E-409C-BE32-E72D297353CC}">
              <c16:uniqueId val="{00000000-990E-44B4-BD84-4E89581496E6}"/>
            </c:ext>
          </c:extLst>
        </c:ser>
        <c:dLbls>
          <c:dLblPos val="outEnd"/>
          <c:showLegendKey val="0"/>
          <c:showVal val="1"/>
          <c:showCatName val="0"/>
          <c:showSerName val="0"/>
          <c:showPercent val="0"/>
          <c:showBubbleSize val="0"/>
        </c:dLbls>
        <c:gapWidth val="219"/>
        <c:overlap val="-27"/>
        <c:axId val="2102916512"/>
        <c:axId val="60803712"/>
      </c:barChart>
      <c:catAx>
        <c:axId val="21029165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60803712"/>
        <c:crosses val="autoZero"/>
        <c:auto val="1"/>
        <c:lblAlgn val="ctr"/>
        <c:lblOffset val="100"/>
        <c:noMultiLvlLbl val="0"/>
      </c:catAx>
      <c:valAx>
        <c:axId val="60803712"/>
        <c:scaling>
          <c:orientation val="minMax"/>
        </c:scaling>
        <c:delete val="0"/>
        <c:axPos val="l"/>
        <c:majorGridlines>
          <c:spPr>
            <a:ln w="9525" cap="flat" cmpd="sng" algn="ctr">
              <a:solidFill>
                <a:schemeClr val="tx1">
                  <a:lumMod val="15000"/>
                  <a:lumOff val="85000"/>
                </a:schemeClr>
              </a:solidFill>
              <a:round/>
            </a:ln>
            <a:effectLst/>
          </c:spPr>
        </c:majorGridlines>
        <c:numFmt formatCode="_(&quot;€&quot;* #,##0.00_);_(&quot;€&quot;* \(#,##0.0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2102916512"/>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800" b="1" i="0" u="none" strike="noStrike" kern="1200" cap="all" spc="150" baseline="0">
              <a:solidFill>
                <a:schemeClr val="tx1">
                  <a:lumMod val="50000"/>
                  <a:lumOff val="50000"/>
                </a:schemeClr>
              </a:solidFill>
              <a:latin typeface="+mn-lt"/>
              <a:ea typeface="+mn-ea"/>
              <a:cs typeface="+mn-cs"/>
            </a:defRPr>
          </a:pPr>
          <a:endParaRPr lang="fr-FR"/>
        </a:p>
      </c:txPr>
    </c:title>
    <c:autoTitleDeleted val="0"/>
    <c:plotArea>
      <c:layout/>
      <c:pieChart>
        <c:varyColors val="1"/>
        <c:ser>
          <c:idx val="0"/>
          <c:order val="0"/>
          <c:dPt>
            <c:idx val="0"/>
            <c:bubble3D val="0"/>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extLst>
              <c:ext xmlns:c16="http://schemas.microsoft.com/office/drawing/2014/chart" uri="{C3380CC4-5D6E-409C-BE32-E72D297353CC}">
                <c16:uniqueId val="{00000001-28C5-4F4D-A1D0-8247D910EE4B}"/>
              </c:ext>
            </c:extLst>
          </c:dPt>
          <c:dPt>
            <c:idx val="1"/>
            <c:bubble3D val="0"/>
            <c:spPr>
              <a:pattFill prst="ltUpDiag">
                <a:fgClr>
                  <a:schemeClr val="accent2"/>
                </a:fgClr>
                <a:bgClr>
                  <a:schemeClr val="accent2">
                    <a:lumMod val="20000"/>
                    <a:lumOff val="80000"/>
                  </a:schemeClr>
                </a:bgClr>
              </a:pattFill>
              <a:ln w="19050">
                <a:solidFill>
                  <a:schemeClr val="lt1"/>
                </a:solidFill>
              </a:ln>
              <a:effectLst>
                <a:innerShdw blurRad="114300">
                  <a:schemeClr val="accent2"/>
                </a:innerShdw>
              </a:effectLst>
            </c:spPr>
            <c:extLst>
              <c:ext xmlns:c16="http://schemas.microsoft.com/office/drawing/2014/chart" uri="{C3380CC4-5D6E-409C-BE32-E72D297353CC}">
                <c16:uniqueId val="{00000003-28C5-4F4D-A1D0-8247D910EE4B}"/>
              </c:ext>
            </c:extLst>
          </c:dPt>
          <c:dPt>
            <c:idx val="2"/>
            <c:bubble3D val="0"/>
            <c:spPr>
              <a:pattFill prst="ltUpDiag">
                <a:fgClr>
                  <a:schemeClr val="accent3"/>
                </a:fgClr>
                <a:bgClr>
                  <a:schemeClr val="accent3">
                    <a:lumMod val="20000"/>
                    <a:lumOff val="80000"/>
                  </a:schemeClr>
                </a:bgClr>
              </a:pattFill>
              <a:ln w="19050">
                <a:solidFill>
                  <a:schemeClr val="lt1"/>
                </a:solidFill>
              </a:ln>
              <a:effectLst>
                <a:innerShdw blurRad="114300">
                  <a:schemeClr val="accent3"/>
                </a:innerShdw>
              </a:effectLst>
            </c:spPr>
            <c:extLst>
              <c:ext xmlns:c16="http://schemas.microsoft.com/office/drawing/2014/chart" uri="{C3380CC4-5D6E-409C-BE32-E72D297353CC}">
                <c16:uniqueId val="{00000005-28C5-4F4D-A1D0-8247D910EE4B}"/>
              </c:ext>
            </c:extLst>
          </c:dPt>
          <c:dPt>
            <c:idx val="3"/>
            <c:bubble3D val="0"/>
            <c:spPr>
              <a:pattFill prst="ltUpDiag">
                <a:fgClr>
                  <a:schemeClr val="accent4"/>
                </a:fgClr>
                <a:bgClr>
                  <a:schemeClr val="accent4">
                    <a:lumMod val="20000"/>
                    <a:lumOff val="80000"/>
                  </a:schemeClr>
                </a:bgClr>
              </a:pattFill>
              <a:ln w="19050">
                <a:solidFill>
                  <a:schemeClr val="lt1"/>
                </a:solidFill>
              </a:ln>
              <a:effectLst>
                <a:innerShdw blurRad="114300">
                  <a:schemeClr val="accent4"/>
                </a:innerShdw>
              </a:effectLst>
            </c:spPr>
            <c:extLst>
              <c:ext xmlns:c16="http://schemas.microsoft.com/office/drawing/2014/chart" uri="{C3380CC4-5D6E-409C-BE32-E72D297353CC}">
                <c16:uniqueId val="{00000007-28C5-4F4D-A1D0-8247D910EE4B}"/>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fr-FR"/>
              </a:p>
            </c:txPr>
            <c:dLblPos val="bestFit"/>
            <c:showLegendKey val="0"/>
            <c:showVal val="1"/>
            <c:showCatName val="0"/>
            <c:showSerName val="0"/>
            <c:showPercent val="0"/>
            <c:showBubbleSize val="0"/>
            <c:showLeaderLines val="1"/>
            <c:leaderLines>
              <c:spPr>
                <a:ln w="9525">
                  <a:solidFill>
                    <a:schemeClr val="tx1">
                      <a:lumMod val="35000"/>
                      <a:lumOff val="65000"/>
                    </a:schemeClr>
                  </a:solidFill>
                </a:ln>
                <a:effectLst/>
              </c:spPr>
            </c:leaderLines>
            <c:extLst>
              <c:ext xmlns:c15="http://schemas.microsoft.com/office/drawing/2012/chart" uri="{CE6537A1-D6FC-4f65-9D91-7224C49458BB}"/>
            </c:extLst>
          </c:dLbls>
          <c:cat>
            <c:strRef>
              <c:f>'7.1'!$A$6:$A$9</c:f>
              <c:strCache>
                <c:ptCount val="4"/>
                <c:pt idx="0">
                  <c:v>Maya</c:v>
                </c:pt>
                <c:pt idx="1">
                  <c:v>Bary Benson</c:v>
                </c:pt>
                <c:pt idx="2">
                  <c:v>Meli</c:v>
                </c:pt>
                <c:pt idx="3">
                  <c:v>Rucher</c:v>
                </c:pt>
              </c:strCache>
            </c:strRef>
          </c:cat>
          <c:val>
            <c:numRef>
              <c:f>'7.1'!$F$6:$F$9</c:f>
              <c:numCache>
                <c:formatCode>0%</c:formatCode>
                <c:ptCount val="4"/>
                <c:pt idx="0">
                  <c:v>5.9808612440191387E-3</c:v>
                </c:pt>
                <c:pt idx="1">
                  <c:v>0.41267942583732059</c:v>
                </c:pt>
                <c:pt idx="2">
                  <c:v>0.37320574162679426</c:v>
                </c:pt>
                <c:pt idx="3">
                  <c:v>0.20813397129186603</c:v>
                </c:pt>
              </c:numCache>
            </c:numRef>
          </c:val>
          <c:extLst>
            <c:ext xmlns:c16="http://schemas.microsoft.com/office/drawing/2014/chart" uri="{C3380CC4-5D6E-409C-BE32-E72D297353CC}">
              <c16:uniqueId val="{00000000-557C-4BC3-A5CC-0DC938554D4B}"/>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20784514435695539"/>
          <c:y val="4.5100451004510045E-2"/>
          <c:w val="0.6074350393700787"/>
          <c:h val="0.35560567949839611"/>
        </c:manualLayout>
      </c:layout>
      <c:barChart>
        <c:barDir val="col"/>
        <c:grouping val="clustered"/>
        <c:varyColors val="0"/>
        <c:ser>
          <c:idx val="0"/>
          <c:order val="0"/>
          <c:tx>
            <c:strRef>
              <c:f>'7.2'!$C$1</c:f>
              <c:strCache>
                <c:ptCount val="1"/>
                <c:pt idx="0">
                  <c:v>Stock</c:v>
                </c:pt>
              </c:strCache>
            </c:strRef>
          </c:tx>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c:spPr>
          <c:invertIfNegative val="0"/>
          <c:cat>
            <c:strRef>
              <c:f>'7.2'!$A$2:$A$8</c:f>
              <c:strCache>
                <c:ptCount val="7"/>
                <c:pt idx="0">
                  <c:v>A1</c:v>
                </c:pt>
                <c:pt idx="1">
                  <c:v>A2</c:v>
                </c:pt>
                <c:pt idx="2">
                  <c:v>A3</c:v>
                </c:pt>
                <c:pt idx="3">
                  <c:v>A4</c:v>
                </c:pt>
                <c:pt idx="4">
                  <c:v>A5</c:v>
                </c:pt>
                <c:pt idx="5">
                  <c:v>A6</c:v>
                </c:pt>
                <c:pt idx="6">
                  <c:v>A7</c:v>
                </c:pt>
              </c:strCache>
            </c:strRef>
          </c:cat>
          <c:val>
            <c:numRef>
              <c:f>'7.2'!$C$2:$C$8</c:f>
              <c:numCache>
                <c:formatCode>#,##0" kg"</c:formatCode>
                <c:ptCount val="7"/>
                <c:pt idx="0">
                  <c:v>10000</c:v>
                </c:pt>
                <c:pt idx="1">
                  <c:v>4500</c:v>
                </c:pt>
                <c:pt idx="2">
                  <c:v>30000</c:v>
                </c:pt>
                <c:pt idx="3">
                  <c:v>2400</c:v>
                </c:pt>
                <c:pt idx="4">
                  <c:v>5000</c:v>
                </c:pt>
                <c:pt idx="5">
                  <c:v>10000</c:v>
                </c:pt>
                <c:pt idx="6">
                  <c:v>10000</c:v>
                </c:pt>
              </c:numCache>
            </c:numRef>
          </c:val>
          <c:extLst>
            <c:ext xmlns:c16="http://schemas.microsoft.com/office/drawing/2014/chart" uri="{C3380CC4-5D6E-409C-BE32-E72D297353CC}">
              <c16:uniqueId val="{00000001-A083-48BD-B03E-2C8228646CD1}"/>
            </c:ext>
          </c:extLst>
        </c:ser>
        <c:dLbls>
          <c:showLegendKey val="0"/>
          <c:showVal val="0"/>
          <c:showCatName val="0"/>
          <c:showSerName val="0"/>
          <c:showPercent val="0"/>
          <c:showBubbleSize val="0"/>
        </c:dLbls>
        <c:gapWidth val="70"/>
        <c:axId val="974865039"/>
        <c:axId val="978228479"/>
      </c:barChart>
      <c:lineChart>
        <c:grouping val="standard"/>
        <c:varyColors val="0"/>
        <c:ser>
          <c:idx val="1"/>
          <c:order val="1"/>
          <c:tx>
            <c:strRef>
              <c:f>'7.2'!$D$1</c:f>
              <c:strCache>
                <c:ptCount val="1"/>
                <c:pt idx="0">
                  <c:v>Valeur</c:v>
                </c:pt>
              </c:strCache>
            </c:strRef>
          </c:tx>
          <c:spPr>
            <a:ln w="31750" cap="rnd">
              <a:solidFill>
                <a:schemeClr val="accent2"/>
              </a:solidFill>
              <a:round/>
            </a:ln>
            <a:effectLst>
              <a:outerShdw blurRad="40000" dist="23000" dir="5400000" rotWithShape="0">
                <a:srgbClr val="000000">
                  <a:alpha val="35000"/>
                </a:srgbClr>
              </a:outerShdw>
            </a:effectLst>
          </c:spPr>
          <c:marker>
            <c:symbol val="none"/>
          </c:marker>
          <c:cat>
            <c:strRef>
              <c:f>'7.2'!$A$2:$A$8</c:f>
              <c:strCache>
                <c:ptCount val="7"/>
                <c:pt idx="0">
                  <c:v>A1</c:v>
                </c:pt>
                <c:pt idx="1">
                  <c:v>A2</c:v>
                </c:pt>
                <c:pt idx="2">
                  <c:v>A3</c:v>
                </c:pt>
                <c:pt idx="3">
                  <c:v>A4</c:v>
                </c:pt>
                <c:pt idx="4">
                  <c:v>A5</c:v>
                </c:pt>
                <c:pt idx="5">
                  <c:v>A6</c:v>
                </c:pt>
                <c:pt idx="6">
                  <c:v>A7</c:v>
                </c:pt>
              </c:strCache>
            </c:strRef>
          </c:cat>
          <c:val>
            <c:numRef>
              <c:f>'7.2'!$D$2:$D$8</c:f>
              <c:numCache>
                <c:formatCode>_-* #,##0\ "€"_-;\-* #,##0\ "€"_-;_-* "-"??\ "€"_-;_-@_-</c:formatCode>
                <c:ptCount val="7"/>
                <c:pt idx="0">
                  <c:v>224500</c:v>
                </c:pt>
                <c:pt idx="1">
                  <c:v>85455</c:v>
                </c:pt>
                <c:pt idx="2">
                  <c:v>78000</c:v>
                </c:pt>
                <c:pt idx="3">
                  <c:v>44400</c:v>
                </c:pt>
                <c:pt idx="4">
                  <c:v>150000</c:v>
                </c:pt>
                <c:pt idx="5">
                  <c:v>47699.999999999993</c:v>
                </c:pt>
                <c:pt idx="6">
                  <c:v>78700</c:v>
                </c:pt>
              </c:numCache>
            </c:numRef>
          </c:val>
          <c:smooth val="0"/>
          <c:extLst>
            <c:ext xmlns:c16="http://schemas.microsoft.com/office/drawing/2014/chart" uri="{C3380CC4-5D6E-409C-BE32-E72D297353CC}">
              <c16:uniqueId val="{00000000-A083-48BD-B03E-2C8228646CD1}"/>
            </c:ext>
          </c:extLst>
        </c:ser>
        <c:dLbls>
          <c:showLegendKey val="0"/>
          <c:showVal val="0"/>
          <c:showCatName val="0"/>
          <c:showSerName val="0"/>
          <c:showPercent val="0"/>
          <c:showBubbleSize val="0"/>
        </c:dLbls>
        <c:marker val="1"/>
        <c:smooth val="0"/>
        <c:axId val="1928830384"/>
        <c:axId val="60793312"/>
      </c:lineChart>
      <c:catAx>
        <c:axId val="974865039"/>
        <c:scaling>
          <c:orientation val="minMax"/>
        </c:scaling>
        <c:delete val="0"/>
        <c:axPos val="b"/>
        <c:title>
          <c:overlay val="0"/>
          <c:spPr>
            <a:noFill/>
            <a:ln>
              <a:noFill/>
            </a:ln>
            <a:effectLst/>
          </c:spPr>
          <c:txPr>
            <a:bodyPr rot="0" spcFirstLastPara="1" vertOverflow="ellipsis" vert="horz" wrap="square" anchor="ctr" anchorCtr="1"/>
            <a:lstStyle/>
            <a:p>
              <a:pPr>
                <a:defRPr sz="900" b="1" i="0" u="none" strike="noStrike" kern="1200" baseline="0">
                  <a:solidFill>
                    <a:schemeClr val="tx2"/>
                  </a:solidFill>
                  <a:latin typeface="+mn-lt"/>
                  <a:ea typeface="+mn-ea"/>
                  <a:cs typeface="+mn-cs"/>
                </a:defRPr>
              </a:pPr>
              <a:endParaRPr lang="fr-FR"/>
            </a:p>
          </c:txPr>
        </c:title>
        <c:numFmt formatCode="General" sourceLinked="1"/>
        <c:majorTickMark val="none"/>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fr-FR"/>
          </a:p>
        </c:txPr>
        <c:crossAx val="978228479"/>
        <c:crosses val="autoZero"/>
        <c:auto val="1"/>
        <c:lblAlgn val="ctr"/>
        <c:lblOffset val="100"/>
        <c:noMultiLvlLbl val="0"/>
      </c:catAx>
      <c:valAx>
        <c:axId val="978228479"/>
        <c:scaling>
          <c:orientation val="minMax"/>
        </c:scaling>
        <c:delete val="0"/>
        <c:axPos val="l"/>
        <c:majorGridlines>
          <c:spPr>
            <a:ln w="9525" cap="flat" cmpd="sng" algn="ctr">
              <a:solidFill>
                <a:schemeClr val="tx2">
                  <a:lumMod val="15000"/>
                  <a:lumOff val="85000"/>
                </a:schemeClr>
              </a:solidFill>
              <a:round/>
            </a:ln>
            <a:effectLst/>
          </c:spPr>
        </c:majorGridlines>
        <c:title>
          <c:tx>
            <c:rich>
              <a:bodyPr rot="-5400000" spcFirstLastPara="1" vertOverflow="ellipsis" vert="horz" wrap="square" anchor="ctr" anchorCtr="1"/>
              <a:lstStyle/>
              <a:p>
                <a:pPr>
                  <a:defRPr sz="1050" b="1" i="0" u="none" strike="noStrike" kern="1200" baseline="0">
                    <a:solidFill>
                      <a:schemeClr val="tx2"/>
                    </a:solidFill>
                    <a:latin typeface="+mn-lt"/>
                    <a:ea typeface="+mn-ea"/>
                    <a:cs typeface="+mn-cs"/>
                  </a:defRPr>
                </a:pPr>
                <a:r>
                  <a:rPr lang="en-US" sz="1050"/>
                  <a:t>Stock</a:t>
                </a:r>
              </a:p>
            </c:rich>
          </c:tx>
          <c:layout>
            <c:manualLayout>
              <c:xMode val="edge"/>
              <c:yMode val="edge"/>
              <c:x val="1.6140468396506614E-2"/>
              <c:y val="0.16274197765509196"/>
            </c:manualLayout>
          </c:layout>
          <c:overlay val="0"/>
          <c:spPr>
            <a:noFill/>
            <a:ln>
              <a:noFill/>
            </a:ln>
            <a:effectLst/>
          </c:spPr>
          <c:txPr>
            <a:bodyPr rot="-5400000" spcFirstLastPara="1" vertOverflow="ellipsis" vert="horz" wrap="square" anchor="ctr" anchorCtr="1"/>
            <a:lstStyle/>
            <a:p>
              <a:pPr>
                <a:defRPr sz="1050" b="1" i="0" u="none" strike="noStrike" kern="1200" baseline="0">
                  <a:solidFill>
                    <a:schemeClr val="tx2"/>
                  </a:solidFill>
                  <a:latin typeface="+mn-lt"/>
                  <a:ea typeface="+mn-ea"/>
                  <a:cs typeface="+mn-cs"/>
                </a:defRPr>
              </a:pPr>
              <a:endParaRPr lang="fr-FR"/>
            </a:p>
          </c:txPr>
        </c:title>
        <c:numFmt formatCode="#,##0\ &quot;kg&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fr-FR"/>
          </a:p>
        </c:txPr>
        <c:crossAx val="974865039"/>
        <c:crosses val="autoZero"/>
        <c:crossBetween val="between"/>
      </c:valAx>
      <c:valAx>
        <c:axId val="60793312"/>
        <c:scaling>
          <c:orientation val="minMax"/>
        </c:scaling>
        <c:delete val="0"/>
        <c:axPos val="r"/>
        <c:numFmt formatCode="_-* #,##0\ &quot;€&quot;_-;\-* #,##0\ &quot;€&quot;_-;_-* &quot;-&quot;??\ &quot;€&quot;_-;_-@_-"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fr-FR"/>
          </a:p>
        </c:txPr>
        <c:crossAx val="1928830384"/>
        <c:crosses val="max"/>
        <c:crossBetween val="between"/>
      </c:valAx>
      <c:catAx>
        <c:axId val="1928830384"/>
        <c:scaling>
          <c:orientation val="minMax"/>
        </c:scaling>
        <c:delete val="1"/>
        <c:axPos val="b"/>
        <c:numFmt formatCode="General" sourceLinked="1"/>
        <c:majorTickMark val="out"/>
        <c:minorTickMark val="none"/>
        <c:tickLblPos val="nextTo"/>
        <c:crossAx val="60793312"/>
        <c:crosses val="autoZero"/>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fr-FR"/>
        </a:p>
      </c:txPr>
    </c:legend>
    <c:plotVisOnly val="1"/>
    <c:dispBlanksAs val="gap"/>
    <c:showDLblsOverMax val="0"/>
  </c:chart>
  <c:spPr>
    <a:solidFill>
      <a:schemeClr val="bg1"/>
    </a:solidFill>
    <a:ln w="9525" cap="flat" cmpd="sng" algn="ctr">
      <a:solidFill>
        <a:schemeClr val="tx2">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fr-BE"/>
              <a:t>Projet</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fr-FR"/>
        </a:p>
      </c:txPr>
    </c:title>
    <c:autoTitleDeleted val="0"/>
    <c:plotArea>
      <c:layout/>
      <c:barChart>
        <c:barDir val="bar"/>
        <c:grouping val="stacked"/>
        <c:varyColors val="0"/>
        <c:ser>
          <c:idx val="0"/>
          <c:order val="0"/>
          <c:tx>
            <c:strRef>
              <c:f>'7.3'!$B$1</c:f>
              <c:strCache>
                <c:ptCount val="1"/>
                <c:pt idx="0">
                  <c:v>Début</c:v>
                </c:pt>
              </c:strCache>
            </c:strRef>
          </c:tx>
          <c:spPr>
            <a:solidFill>
              <a:srgbClr val="000000">
                <a:alpha val="0"/>
              </a:srgbClr>
            </a:soli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'7.3'!$A$2:$A$11</c:f>
              <c:strCache>
                <c:ptCount val="10"/>
                <c:pt idx="0">
                  <c:v>Briefing</c:v>
                </c:pt>
                <c:pt idx="1">
                  <c:v>Création du questionnaire</c:v>
                </c:pt>
                <c:pt idx="2">
                  <c:v>Impression du questionnaire</c:v>
                </c:pt>
                <c:pt idx="3">
                  <c:v>Enquêtes sur le terrain</c:v>
                </c:pt>
                <c:pt idx="4">
                  <c:v>Saisie</c:v>
                </c:pt>
                <c:pt idx="5">
                  <c:v>Analyse des données</c:v>
                </c:pt>
                <c:pt idx="6">
                  <c:v>Rédaction du rapport</c:v>
                </c:pt>
                <c:pt idx="7">
                  <c:v>Collecte des remarques</c:v>
                </c:pt>
                <c:pt idx="8">
                  <c:v>Finalisation du rapport</c:v>
                </c:pt>
                <c:pt idx="9">
                  <c:v>Evaluation</c:v>
                </c:pt>
              </c:strCache>
            </c:strRef>
          </c:cat>
          <c:val>
            <c:numRef>
              <c:f>'7.3'!$B$2:$B$11</c:f>
              <c:numCache>
                <c:formatCode>d\-mmm</c:formatCode>
                <c:ptCount val="10"/>
                <c:pt idx="0">
                  <c:v>42425</c:v>
                </c:pt>
                <c:pt idx="1">
                  <c:v>42428</c:v>
                </c:pt>
                <c:pt idx="2">
                  <c:v>42437</c:v>
                </c:pt>
                <c:pt idx="3">
                  <c:v>42438</c:v>
                </c:pt>
                <c:pt idx="4">
                  <c:v>42441</c:v>
                </c:pt>
                <c:pt idx="5">
                  <c:v>42457</c:v>
                </c:pt>
                <c:pt idx="6">
                  <c:v>42461</c:v>
                </c:pt>
                <c:pt idx="7">
                  <c:v>42470</c:v>
                </c:pt>
                <c:pt idx="8">
                  <c:v>42476</c:v>
                </c:pt>
                <c:pt idx="9">
                  <c:v>42488</c:v>
                </c:pt>
              </c:numCache>
            </c:numRef>
          </c:val>
          <c:extLst>
            <c:ext xmlns:c16="http://schemas.microsoft.com/office/drawing/2014/chart" uri="{C3380CC4-5D6E-409C-BE32-E72D297353CC}">
              <c16:uniqueId val="{00000000-A742-4A2B-899C-2ED815299AD8}"/>
            </c:ext>
          </c:extLst>
        </c:ser>
        <c:ser>
          <c:idx val="1"/>
          <c:order val="1"/>
          <c:tx>
            <c:strRef>
              <c:f>'7.3'!$C$1</c:f>
              <c:strCache>
                <c:ptCount val="1"/>
                <c:pt idx="0">
                  <c:v>Durée</c:v>
                </c:pt>
              </c:strCache>
            </c:strRef>
          </c:tx>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'7.3'!$A$2:$A$11</c:f>
              <c:strCache>
                <c:ptCount val="10"/>
                <c:pt idx="0">
                  <c:v>Briefing</c:v>
                </c:pt>
                <c:pt idx="1">
                  <c:v>Création du questionnaire</c:v>
                </c:pt>
                <c:pt idx="2">
                  <c:v>Impression du questionnaire</c:v>
                </c:pt>
                <c:pt idx="3">
                  <c:v>Enquêtes sur le terrain</c:v>
                </c:pt>
                <c:pt idx="4">
                  <c:v>Saisie</c:v>
                </c:pt>
                <c:pt idx="5">
                  <c:v>Analyse des données</c:v>
                </c:pt>
                <c:pt idx="6">
                  <c:v>Rédaction du rapport</c:v>
                </c:pt>
                <c:pt idx="7">
                  <c:v>Collecte des remarques</c:v>
                </c:pt>
                <c:pt idx="8">
                  <c:v>Finalisation du rapport</c:v>
                </c:pt>
                <c:pt idx="9">
                  <c:v>Evaluation</c:v>
                </c:pt>
              </c:strCache>
            </c:strRef>
          </c:cat>
          <c:val>
            <c:numRef>
              <c:f>'7.3'!$C$2:$C$11</c:f>
              <c:numCache>
                <c:formatCode>0" jour(s)"</c:formatCode>
                <c:ptCount val="10"/>
                <c:pt idx="0">
                  <c:v>1</c:v>
                </c:pt>
                <c:pt idx="1">
                  <c:v>8</c:v>
                </c:pt>
                <c:pt idx="2">
                  <c:v>4</c:v>
                </c:pt>
                <c:pt idx="3">
                  <c:v>15</c:v>
                </c:pt>
                <c:pt idx="4">
                  <c:v>15</c:v>
                </c:pt>
                <c:pt idx="5">
                  <c:v>3</c:v>
                </c:pt>
                <c:pt idx="6">
                  <c:v>8</c:v>
                </c:pt>
                <c:pt idx="7">
                  <c:v>5</c:v>
                </c:pt>
                <c:pt idx="8">
                  <c:v>8</c:v>
                </c:pt>
                <c:pt idx="9">
                  <c:v>1</c:v>
                </c:pt>
              </c:numCache>
            </c:numRef>
          </c:val>
          <c:extLst>
            <c:ext xmlns:c16="http://schemas.microsoft.com/office/drawing/2014/chart" uri="{C3380CC4-5D6E-409C-BE32-E72D297353CC}">
              <c16:uniqueId val="{00000001-A742-4A2B-899C-2ED815299AD8}"/>
            </c:ext>
          </c:extLst>
        </c:ser>
        <c:dLbls>
          <c:showLegendKey val="0"/>
          <c:showVal val="0"/>
          <c:showCatName val="0"/>
          <c:showSerName val="0"/>
          <c:showPercent val="0"/>
          <c:showBubbleSize val="0"/>
        </c:dLbls>
        <c:gapWidth val="150"/>
        <c:overlap val="100"/>
        <c:axId val="648287952"/>
        <c:axId val="906857776"/>
        <c:extLst>
          <c:ext xmlns:c15="http://schemas.microsoft.com/office/drawing/2012/chart" uri="{02D57815-91ED-43cb-92C2-25804820EDAC}">
            <c15:filteredBarSeries>
              <c15:ser>
                <c:idx val="2"/>
                <c:order val="2"/>
                <c:tx>
                  <c:strRef>
                    <c:extLst>
                      <c:ext uri="{02D57815-91ED-43cb-92C2-25804820EDAC}">
                        <c15:formulaRef>
                          <c15:sqref>'7.3'!$D$1</c15:sqref>
                        </c15:formulaRef>
                      </c:ext>
                    </c:extLst>
                    <c:strCache>
                      <c:ptCount val="1"/>
                      <c:pt idx="0">
                        <c:v>Fin</c:v>
                      </c:pt>
                    </c:strCache>
                  </c:strRef>
                </c:tx>
                <c:spPr>
                  <a:gradFill rotWithShape="1">
                    <a:gsLst>
                      <a:gs pos="0">
                        <a:schemeClr val="accent3">
                          <a:shade val="51000"/>
                          <a:satMod val="130000"/>
                        </a:schemeClr>
                      </a:gs>
                      <a:gs pos="80000">
                        <a:schemeClr val="accent3">
                          <a:shade val="93000"/>
                          <a:satMod val="130000"/>
                        </a:schemeClr>
                      </a:gs>
                      <a:gs pos="100000">
                        <a:schemeClr val="accent3">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errBars>
                  <c:errBarType val="both"/>
                  <c:errValType val="stdErr"/>
                  <c:noEndCap val="0"/>
                  <c:spPr>
                    <a:noFill/>
                    <a:ln w="9525" cap="flat" cmpd="sng" algn="ctr">
                      <a:solidFill>
                        <a:schemeClr val="lt1">
                          <a:lumMod val="95000"/>
                        </a:schemeClr>
                      </a:solidFill>
                      <a:round/>
                    </a:ln>
                    <a:effectLst/>
                  </c:spPr>
                </c:errBars>
                <c:cat>
                  <c:strRef>
                    <c:extLst>
                      <c:ext uri="{02D57815-91ED-43cb-92C2-25804820EDAC}">
                        <c15:formulaRef>
                          <c15:sqref>'7.3'!$A$2:$A$11</c15:sqref>
                        </c15:formulaRef>
                      </c:ext>
                    </c:extLst>
                    <c:strCache>
                      <c:ptCount val="10"/>
                      <c:pt idx="0">
                        <c:v>Briefing</c:v>
                      </c:pt>
                      <c:pt idx="1">
                        <c:v>Création du questionnaire</c:v>
                      </c:pt>
                      <c:pt idx="2">
                        <c:v>Impression du questionnaire</c:v>
                      </c:pt>
                      <c:pt idx="3">
                        <c:v>Enquêtes sur le terrain</c:v>
                      </c:pt>
                      <c:pt idx="4">
                        <c:v>Saisie</c:v>
                      </c:pt>
                      <c:pt idx="5">
                        <c:v>Analyse des données</c:v>
                      </c:pt>
                      <c:pt idx="6">
                        <c:v>Rédaction du rapport</c:v>
                      </c:pt>
                      <c:pt idx="7">
                        <c:v>Collecte des remarques</c:v>
                      </c:pt>
                      <c:pt idx="8">
                        <c:v>Finalisation du rapport</c:v>
                      </c:pt>
                      <c:pt idx="9">
                        <c:v>Evaluation</c:v>
                      </c:pt>
                    </c:strCache>
                  </c:strRef>
                </c:cat>
                <c:val>
                  <c:numRef>
                    <c:extLst>
                      <c:ext uri="{02D57815-91ED-43cb-92C2-25804820EDAC}">
                        <c15:formulaRef>
                          <c15:sqref>'7.3'!$D$2:$D$11</c15:sqref>
                        </c15:formulaRef>
                      </c:ext>
                    </c:extLst>
                    <c:numCache>
                      <c:formatCode>d\-mmm</c:formatCode>
                      <c:ptCount val="10"/>
                      <c:pt idx="0">
                        <c:v>42425</c:v>
                      </c:pt>
                      <c:pt idx="1">
                        <c:v>42435</c:v>
                      </c:pt>
                      <c:pt idx="2">
                        <c:v>42440</c:v>
                      </c:pt>
                      <c:pt idx="3">
                        <c:v>42452</c:v>
                      </c:pt>
                      <c:pt idx="4">
                        <c:v>42455</c:v>
                      </c:pt>
                      <c:pt idx="5">
                        <c:v>42459</c:v>
                      </c:pt>
                      <c:pt idx="6">
                        <c:v>42468</c:v>
                      </c:pt>
                      <c:pt idx="7">
                        <c:v>42474</c:v>
                      </c:pt>
                      <c:pt idx="8">
                        <c:v>42483</c:v>
                      </c:pt>
                      <c:pt idx="9">
                        <c:v>42488</c:v>
                      </c:pt>
                    </c:numCache>
                  </c:numRef>
                </c:val>
                <c:extLst>
                  <c:ext xmlns:c16="http://schemas.microsoft.com/office/drawing/2014/chart" uri="{C3380CC4-5D6E-409C-BE32-E72D297353CC}">
                    <c16:uniqueId val="{00000002-A742-4A2B-899C-2ED815299AD8}"/>
                  </c:ext>
                </c:extLst>
              </c15:ser>
            </c15:filteredBarSeries>
          </c:ext>
        </c:extLst>
      </c:barChart>
      <c:catAx>
        <c:axId val="648287952"/>
        <c:scaling>
          <c:orientation val="maxMin"/>
        </c:scaling>
        <c:delete val="0"/>
        <c:axPos val="l"/>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fr-FR"/>
          </a:p>
        </c:txPr>
        <c:crossAx val="906857776"/>
        <c:crosses val="autoZero"/>
        <c:auto val="1"/>
        <c:lblAlgn val="ctr"/>
        <c:lblOffset val="100"/>
        <c:noMultiLvlLbl val="0"/>
      </c:catAx>
      <c:valAx>
        <c:axId val="906857776"/>
        <c:scaling>
          <c:orientation val="minMax"/>
          <c:min val="42425"/>
        </c:scaling>
        <c:delete val="0"/>
        <c:axPos val="b"/>
        <c:majorGridlines>
          <c:spPr>
            <a:ln w="9525" cap="flat" cmpd="sng" algn="ctr">
              <a:solidFill>
                <a:schemeClr val="lt1">
                  <a:lumMod val="95000"/>
                  <a:alpha val="10000"/>
                </a:schemeClr>
              </a:solidFill>
              <a:round/>
            </a:ln>
            <a:effectLst/>
          </c:spPr>
        </c:majorGridlines>
        <c:numFmt formatCode="d\-mmm" sourceLinked="1"/>
        <c:majorTickMark val="none"/>
        <c:minorTickMark val="none"/>
        <c:tickLblPos val="nextTo"/>
        <c:spPr>
          <a:noFill/>
          <a:ln>
            <a:solidFill>
              <a:schemeClr val="bg1"/>
            </a:solid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fr-FR"/>
          </a:p>
        </c:txPr>
        <c:crossAx val="648287952"/>
        <c:crosses val="max"/>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fr-FR"/>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fr-FR"/>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8.394977115595835E-2"/>
          <c:y val="0.15372972376027455"/>
          <c:w val="0.87712739527708194"/>
          <c:h val="0.77980283340345757"/>
        </c:manualLayout>
      </c:layout>
      <c:barChart>
        <c:barDir val="col"/>
        <c:grouping val="clustered"/>
        <c:varyColors val="0"/>
        <c:ser>
          <c:idx val="0"/>
          <c:order val="0"/>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fr-FR"/>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'7.4'!$C$16:$E$16</c:f>
              <c:strCache>
                <c:ptCount val="3"/>
                <c:pt idx="0">
                  <c:v>Entrepôt 1</c:v>
                </c:pt>
                <c:pt idx="1">
                  <c:v>Entrepôt 2</c:v>
                </c:pt>
                <c:pt idx="2">
                  <c:v>Entrepôt 3</c:v>
                </c:pt>
              </c:strCache>
            </c:strRef>
          </c:cat>
          <c:val>
            <c:numRef>
              <c:f>'7.4'!$C$17:$E$17</c:f>
              <c:numCache>
                <c:formatCode>0" T"</c:formatCode>
                <c:ptCount val="3"/>
                <c:pt idx="0">
                  <c:v>1000</c:v>
                </c:pt>
                <c:pt idx="1">
                  <c:v>540</c:v>
                </c:pt>
                <c:pt idx="2">
                  <c:v>3000</c:v>
                </c:pt>
              </c:numCache>
            </c:numRef>
          </c:val>
          <c:extLst>
            <c:ext xmlns:c16="http://schemas.microsoft.com/office/drawing/2014/chart" uri="{C3380CC4-5D6E-409C-BE32-E72D297353CC}">
              <c16:uniqueId val="{00000000-06BD-43A4-A117-4531D2D394B3}"/>
            </c:ext>
          </c:extLst>
        </c:ser>
        <c:dLbls>
          <c:dLblPos val="outEnd"/>
          <c:showLegendKey val="0"/>
          <c:showVal val="1"/>
          <c:showCatName val="0"/>
          <c:showSerName val="0"/>
          <c:showPercent val="0"/>
          <c:showBubbleSize val="0"/>
        </c:dLbls>
        <c:gapWidth val="219"/>
        <c:overlap val="-27"/>
        <c:axId val="996322640"/>
        <c:axId val="915895920"/>
      </c:barChart>
      <c:catAx>
        <c:axId val="99632264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915895920"/>
        <c:crosses val="autoZero"/>
        <c:auto val="1"/>
        <c:lblAlgn val="ctr"/>
        <c:lblOffset val="100"/>
        <c:noMultiLvlLbl val="0"/>
      </c:catAx>
      <c:valAx>
        <c:axId val="915895920"/>
        <c:scaling>
          <c:orientation val="minMax"/>
        </c:scaling>
        <c:delete val="0"/>
        <c:axPos val="l"/>
        <c:numFmt formatCode="0&quot; T&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996322640"/>
        <c:crosses val="autoZero"/>
        <c:crossBetween val="between"/>
      </c:valAx>
      <c:spPr>
        <a:noFill/>
        <a:ln w="25400">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userShapes r:id="rId3"/>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5"/>
    </mc:Choice>
    <mc:Fallback>
      <c:style val="5"/>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BE" sz="1400" b="1" i="0" u="none" strike="noStrike" baseline="0">
                <a:effectLst/>
              </a:rPr>
              <a:t>Honoraires hors TVA</a:t>
            </a:r>
            <a:r>
              <a:rPr lang="fr-BE" sz="1400" b="1" i="0" u="none" strike="noStrike" baseline="0"/>
              <a:t> </a:t>
            </a:r>
            <a:endParaRPr lang="fr-BE" b="1"/>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barChart>
        <c:barDir val="col"/>
        <c:grouping val="clustered"/>
        <c:varyColors val="0"/>
        <c:ser>
          <c:idx val="0"/>
          <c:order val="0"/>
          <c:spPr>
            <a:solidFill>
              <a:schemeClr val="accent6">
                <a:lumMod val="60000"/>
                <a:lumOff val="40000"/>
              </a:schemeClr>
            </a:solidFill>
            <a:ln>
              <a:noFill/>
            </a:ln>
            <a:effectLst/>
          </c:spPr>
          <c:invertIfNegative val="0"/>
          <c:cat>
            <c:strRef>
              <c:f>'Test 1.1'!$C$9:$C$13</c:f>
              <c:strCache>
                <c:ptCount val="5"/>
                <c:pt idx="0">
                  <c:v>Divorces</c:v>
                </c:pt>
                <c:pt idx="1">
                  <c:v>Conseils</c:v>
                </c:pt>
                <c:pt idx="2">
                  <c:v>Immobilier</c:v>
                </c:pt>
                <c:pt idx="3">
                  <c:v>Drogue</c:v>
                </c:pt>
                <c:pt idx="4">
                  <c:v>Racisme</c:v>
                </c:pt>
              </c:strCache>
            </c:strRef>
          </c:cat>
          <c:val>
            <c:numRef>
              <c:f>'Test 1.1'!$D$9:$D$13</c:f>
              <c:numCache>
                <c:formatCode>#,##0_ ;\-#,##0\ </c:formatCode>
                <c:ptCount val="5"/>
                <c:pt idx="0">
                  <c:v>1200000</c:v>
                </c:pt>
                <c:pt idx="1">
                  <c:v>1200000</c:v>
                </c:pt>
                <c:pt idx="2">
                  <c:v>1400000</c:v>
                </c:pt>
                <c:pt idx="3">
                  <c:v>1127500</c:v>
                </c:pt>
                <c:pt idx="4">
                  <c:v>287500</c:v>
                </c:pt>
              </c:numCache>
            </c:numRef>
          </c:val>
          <c:extLst>
            <c:ext xmlns:c16="http://schemas.microsoft.com/office/drawing/2014/chart" uri="{C3380CC4-5D6E-409C-BE32-E72D297353CC}">
              <c16:uniqueId val="{00000000-52B2-4ED4-9EDF-C7CD75615940}"/>
            </c:ext>
          </c:extLst>
        </c:ser>
        <c:dLbls>
          <c:showLegendKey val="0"/>
          <c:showVal val="0"/>
          <c:showCatName val="0"/>
          <c:showSerName val="0"/>
          <c:showPercent val="0"/>
          <c:showBubbleSize val="0"/>
        </c:dLbls>
        <c:gapWidth val="219"/>
        <c:overlap val="-27"/>
        <c:axId val="2041274735"/>
        <c:axId val="2036226223"/>
      </c:barChart>
      <c:catAx>
        <c:axId val="204127473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2036226223"/>
        <c:crosses val="autoZero"/>
        <c:auto val="1"/>
        <c:lblAlgn val="ctr"/>
        <c:lblOffset val="100"/>
        <c:noMultiLvlLbl val="0"/>
      </c:catAx>
      <c:valAx>
        <c:axId val="2036226223"/>
        <c:scaling>
          <c:orientation val="minMax"/>
        </c:scaling>
        <c:delete val="0"/>
        <c:axPos val="l"/>
        <c:majorGridlines>
          <c:spPr>
            <a:ln w="9525" cap="flat" cmpd="sng" algn="ctr">
              <a:solidFill>
                <a:schemeClr val="tx1">
                  <a:lumMod val="15000"/>
                  <a:lumOff val="85000"/>
                </a:schemeClr>
              </a:solidFill>
              <a:round/>
            </a:ln>
            <a:effectLst/>
          </c:spPr>
        </c:majorGridlines>
        <c:numFmt formatCode="#,##0_ ;\-#,##0\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2041274735"/>
        <c:crosses val="autoZero"/>
        <c:crossBetween val="between"/>
      </c:valAx>
      <c:spPr>
        <a:noFill/>
        <a:ln>
          <a:solidFill>
            <a:schemeClr val="bg1">
              <a:lumMod val="75000"/>
            </a:schemeClr>
          </a:solid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withinLinear" id="16">
  <a:schemeClr val="accent3"/>
</cs:colorStyle>
</file>

<file path=xl/charts/style1.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2">
  <cs:axisTitle>
    <cs:lnRef idx="0"/>
    <cs:fillRef idx="0"/>
    <cs:effectRef idx="0"/>
    <cs:fontRef idx="minor">
      <a:schemeClr val="tx1">
        <a:lumMod val="65000"/>
        <a:lumOff val="35000"/>
      </a:schemeClr>
    </cs:fontRef>
    <cs:defRPr sz="900" b="1" kern="1200"/>
  </cs:axisTitle>
  <cs:categoryAxis>
    <cs:lnRef idx="0"/>
    <cs:fillRef idx="0"/>
    <cs:effectRef idx="0"/>
    <cs:fontRef idx="minor">
      <a:schemeClr val="tx1">
        <a:lumMod val="65000"/>
        <a:lumOff val="35000"/>
      </a:schemeClr>
    </cs:fontRef>
    <cs:spPr>
      <a:ln w="19050"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styleClr val="auto"/>
    </cs:effectRef>
    <cs:fontRef idx="minor">
      <a:schemeClr val="dk1"/>
    </cs:fontRef>
    <cs:spPr>
      <a:pattFill prst="ltUpDiag">
        <a:fgClr>
          <a:schemeClr val="phClr"/>
        </a:fgClr>
        <a:bgClr>
          <a:schemeClr val="phClr">
            <a:lumMod val="20000"/>
            <a:lumOff val="80000"/>
          </a:schemeClr>
        </a:bgClr>
      </a:pattFill>
      <a:ln w="19050">
        <a:solidFill>
          <a:schemeClr val="lt1"/>
        </a:solidFill>
      </a:ln>
      <a:effectLst>
        <a:innerShdw blurRad="114300">
          <a:schemeClr val="phClr"/>
        </a:innerShdw>
      </a:effectLst>
    </cs:spPr>
  </cs:dataPoint>
  <cs:dataPoint3D>
    <cs:lnRef idx="0"/>
    <cs:fillRef idx="0">
      <cs:styleClr val="auto"/>
    </cs:fillRef>
    <cs:effectRef idx="0"/>
    <cs:fontRef idx="minor">
      <a:schemeClr val="dk1"/>
    </cs:fontRef>
    <cs:spPr>
      <a:pattFill prst="ltUpDiag">
        <a:fgClr>
          <a:schemeClr val="phClr"/>
        </a:fgClr>
        <a:bgClr>
          <a:schemeClr val="phClr">
            <a:lumMod val="20000"/>
            <a:lumOff val="80000"/>
          </a:schemeClr>
        </a:bgClr>
      </a:pattFill>
      <a:ln w="19050">
        <a:solidFill>
          <a:schemeClr val="lt1"/>
        </a:solidFill>
      </a:ln>
      <a:effectLst>
        <a:innerShdw blurRad="114300">
          <a:schemeClr val="phClr"/>
        </a:innerShdw>
      </a:effectLst>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round/>
      </a:ln>
    </cs:spPr>
  </cs:dropLine>
  <cs:errorBar>
    <cs:lnRef idx="0"/>
    <cs:fillRef idx="0"/>
    <cs:effectRef idx="0"/>
    <cs:fontRef idx="minor">
      <a:schemeClr val="dk1"/>
    </cs:fontRef>
    <cs:spPr>
      <a:ln w="9525">
        <a:solidFill>
          <a:schemeClr val="tx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a:solidFill>
          <a:schemeClr val="tx1">
            <a:lumMod val="15000"/>
            <a:lumOff val="85000"/>
          </a:schemeClr>
        </a:solidFill>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35000"/>
            <a:lumOff val="65000"/>
          </a:schemeClr>
        </a:solidFill>
        <a:round/>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50000"/>
        <a:lumOff val="50000"/>
      </a:schemeClr>
    </cs:fontRef>
    <cs:defRPr sz="1800" b="1" kern="1200" cap="all" spc="15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4.xml><?xml version="1.0" encoding="utf-8"?>
<cs:chartStyle xmlns:cs="http://schemas.microsoft.com/office/drawing/2012/chartStyle" xmlns:a="http://schemas.openxmlformats.org/drawingml/2006/main" id="326">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dk1">
            <a:lumMod val="75000"/>
            <a:lumOff val="25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dk1">
            <a:lumMod val="75000"/>
            <a:lumOff val="25000"/>
          </a:schemeClr>
        </a:solidFill>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5.xml><?xml version="1.0" encoding="utf-8"?>
<cs:chartStyle xmlns:cs="http://schemas.microsoft.com/office/drawing/2012/chartStyle" xmlns:a="http://schemas.openxmlformats.org/drawingml/2006/main" id="30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1" Type="http://schemas.openxmlformats.org/officeDocument/2006/relationships/image" Target="../media/image2.jpeg"/></Relationships>
</file>

<file path=xl/drawings/_rels/drawing4.xml.rels><?xml version="1.0" encoding="UTF-8" standalone="yes"?>
<Relationships xmlns="http://schemas.openxmlformats.org/package/2006/relationships"><Relationship Id="rId1" Type="http://schemas.openxmlformats.org/officeDocument/2006/relationships/image" Target="../media/image3.png"/></Relationships>
</file>

<file path=xl/drawings/_rels/drawing5.xml.rels><?xml version="1.0" encoding="UTF-8" standalone="yes"?>
<Relationships xmlns="http://schemas.openxmlformats.org/package/2006/relationships"><Relationship Id="rId1" Type="http://schemas.openxmlformats.org/officeDocument/2006/relationships/image" Target="../media/image4.png"/></Relationships>
</file>

<file path=xl/drawings/_rels/drawing6.xml.rels><?xml version="1.0" encoding="UTF-8" standalone="yes"?>
<Relationships xmlns="http://schemas.openxmlformats.org/package/2006/relationships"><Relationship Id="rId1" Type="http://schemas.openxmlformats.org/officeDocument/2006/relationships/image" Target="../media/image5.png"/></Relationships>
</file>

<file path=xl/drawings/_rels/drawing7.xml.rels><?xml version="1.0" encoding="UTF-8" standalone="yes"?>
<Relationships xmlns="http://schemas.openxmlformats.org/package/2006/relationships"><Relationship Id="rId1" Type="http://schemas.openxmlformats.org/officeDocument/2006/relationships/image" Target="../media/image6.jpeg"/></Relationships>
</file>

<file path=xl/drawings/_rels/drawing8.xml.rels><?xml version="1.0" encoding="UTF-8" standalone="yes"?>
<Relationships xmlns="http://schemas.openxmlformats.org/package/2006/relationships"><Relationship Id="rId2" Type="http://schemas.openxmlformats.org/officeDocument/2006/relationships/chart" Target="../charts/chart3.xml"/><Relationship Id="rId1" Type="http://schemas.openxmlformats.org/officeDocument/2006/relationships/chart" Target="../charts/chart2.xml"/></Relationships>
</file>

<file path=xl/drawings/_rels/drawing9.xml.rels><?xml version="1.0" encoding="UTF-8" standalone="yes"?>
<Relationships xmlns="http://schemas.openxmlformats.org/package/2006/relationships"><Relationship Id="rId3" Type="http://schemas.openxmlformats.org/officeDocument/2006/relationships/image" Target="../media/image8.emf"/><Relationship Id="rId2" Type="http://schemas.openxmlformats.org/officeDocument/2006/relationships/chart" Target="../charts/chart4.xml"/><Relationship Id="rId1" Type="http://schemas.openxmlformats.org/officeDocument/2006/relationships/image" Target="../media/image7.png"/></Relationships>
</file>

<file path=xl/drawings/_rels/drawing10.xml.rels><?xml version="1.0" encoding="UTF-8" standalone="yes"?>
<Relationships xmlns="http://schemas.openxmlformats.org/package/2006/relationships"><Relationship Id="rId2" Type="http://schemas.openxmlformats.org/officeDocument/2006/relationships/chart" Target="../charts/chart5.xml"/><Relationship Id="rId1" Type="http://schemas.openxmlformats.org/officeDocument/2006/relationships/image" Target="../media/image10.jpeg"/></Relationships>
</file>

<file path=xl/drawings/_rels/drawing11.xml.rels><?xml version="1.0" encoding="UTF-8" standalone="yes"?>
<Relationships xmlns="http://schemas.openxmlformats.org/package/2006/relationships"><Relationship Id="rId1" Type="http://schemas.openxmlformats.org/officeDocument/2006/relationships/chart" Target="../charts/chart6.xml"/></Relationships>
</file>

<file path=xl/drawings/_rels/drawing13.xml.rels><?xml version="1.0" encoding="UTF-8" standalone="yes"?>
<Relationships xmlns="http://schemas.openxmlformats.org/package/2006/relationships"><Relationship Id="rId1" Type="http://schemas.openxmlformats.org/officeDocument/2006/relationships/image" Target="../media/image11.png"/></Relationships>
</file>

<file path=xl/drawings/_rels/drawing14.xml.rels><?xml version="1.0" encoding="UTF-8" standalone="yes"?>
<Relationships xmlns="http://schemas.openxmlformats.org/package/2006/relationships"><Relationship Id="rId1" Type="http://schemas.openxmlformats.org/officeDocument/2006/relationships/image" Target="../media/image12.png"/></Relationships>
</file>

<file path=xl/drawings/_rels/drawing15.xml.rels><?xml version="1.0" encoding="UTF-8" standalone="yes"?>
<Relationships xmlns="http://schemas.openxmlformats.org/package/2006/relationships"><Relationship Id="rId1" Type="http://schemas.openxmlformats.org/officeDocument/2006/relationships/image" Target="../media/image13.jpeg"/></Relationships>
</file>

<file path=xl/drawings/_rels/drawing16.xml.rels><?xml version="1.0" encoding="UTF-8" standalone="yes"?>
<Relationships xmlns="http://schemas.openxmlformats.org/package/2006/relationships"><Relationship Id="rId1" Type="http://schemas.openxmlformats.org/officeDocument/2006/relationships/image" Target="../media/image14.png"/></Relationships>
</file>

<file path=xl/drawings/_rels/drawing17.xml.rels><?xml version="1.0" encoding="UTF-8" standalone="yes"?>
<Relationships xmlns="http://schemas.openxmlformats.org/package/2006/relationships"><Relationship Id="rId1" Type="http://schemas.openxmlformats.org/officeDocument/2006/relationships/image" Target="../media/image15.png"/></Relationships>
</file>

<file path=xl/drawings/_rels/drawing18.xml.rels><?xml version="1.0" encoding="UTF-8" standalone="yes"?>
<Relationships xmlns="http://schemas.openxmlformats.org/package/2006/relationships"><Relationship Id="rId1" Type="http://schemas.openxmlformats.org/officeDocument/2006/relationships/image" Target="../media/image16.png"/></Relationships>
</file>

<file path=xl/drawings/_rels/drawing19.xml.rels><?xml version="1.0" encoding="UTF-8" standalone="yes"?>
<Relationships xmlns="http://schemas.openxmlformats.org/package/2006/relationships"><Relationship Id="rId1" Type="http://schemas.openxmlformats.org/officeDocument/2006/relationships/image" Target="../media/image17.jpeg"/></Relationships>
</file>

<file path=xl/drawings/_rels/drawing20.xml.rels><?xml version="1.0" encoding="UTF-8" standalone="yes"?>
<Relationships xmlns="http://schemas.openxmlformats.org/package/2006/relationships"><Relationship Id="rId1" Type="http://schemas.openxmlformats.org/officeDocument/2006/relationships/image" Target="../media/image18.png"/></Relationships>
</file>

<file path=xl/drawings/_rels/drawing21.xml.rels><?xml version="1.0" encoding="UTF-8" standalone="yes"?>
<Relationships xmlns="http://schemas.openxmlformats.org/package/2006/relationships"><Relationship Id="rId1" Type="http://schemas.openxmlformats.org/officeDocument/2006/relationships/image" Target="../media/image19.png"/></Relationships>
</file>

<file path=xl/drawings/_rels/drawing22.xml.rels><?xml version="1.0" encoding="UTF-8" standalone="yes"?>
<Relationships xmlns="http://schemas.openxmlformats.org/package/2006/relationships"><Relationship Id="rId1" Type="http://schemas.openxmlformats.org/officeDocument/2006/relationships/image" Target="../media/image20.jpeg"/></Relationships>
</file>

<file path=xl/drawings/_rels/drawing23.xml.rels><?xml version="1.0" encoding="UTF-8" standalone="yes"?>
<Relationships xmlns="http://schemas.openxmlformats.org/package/2006/relationships"><Relationship Id="rId1" Type="http://schemas.openxmlformats.org/officeDocument/2006/relationships/image" Target="../media/image21.jpeg"/></Relationships>
</file>

<file path=xl/drawings/_rels/drawing24.xml.rels><?xml version="1.0" encoding="UTF-8" standalone="yes"?>
<Relationships xmlns="http://schemas.openxmlformats.org/package/2006/relationships"><Relationship Id="rId1" Type="http://schemas.openxmlformats.org/officeDocument/2006/relationships/image" Target="../media/image22.png"/></Relationships>
</file>

<file path=xl/drawings/_rels/drawing25.xml.rels><?xml version="1.0" encoding="UTF-8" standalone="yes"?>
<Relationships xmlns="http://schemas.openxmlformats.org/package/2006/relationships"><Relationship Id="rId1" Type="http://schemas.openxmlformats.org/officeDocument/2006/relationships/image" Target="../media/image23.png"/></Relationships>
</file>

<file path=xl/drawings/_rels/drawing26.xml.rels><?xml version="1.0" encoding="UTF-8" standalone="yes"?>
<Relationships xmlns="http://schemas.openxmlformats.org/package/2006/relationships"><Relationship Id="rId1" Type="http://schemas.openxmlformats.org/officeDocument/2006/relationships/image" Target="../media/image24.png"/></Relationships>
</file>

<file path=xl/drawings/_rels/drawing27.xml.rels><?xml version="1.0" encoding="UTF-8" standalone="yes"?>
<Relationships xmlns="http://schemas.openxmlformats.org/package/2006/relationships"><Relationship Id="rId1" Type="http://schemas.openxmlformats.org/officeDocument/2006/relationships/chart" Target="../charts/chart7.xml"/></Relationships>
</file>

<file path=xl/drawings/_rels/drawing28.xml.rels><?xml version="1.0" encoding="UTF-8" standalone="yes"?>
<Relationships xmlns="http://schemas.openxmlformats.org/package/2006/relationships"><Relationship Id="rId2" Type="http://schemas.openxmlformats.org/officeDocument/2006/relationships/image" Target="../media/image26.png"/><Relationship Id="rId1" Type="http://schemas.openxmlformats.org/officeDocument/2006/relationships/image" Target="../media/image25.png"/></Relationships>
</file>

<file path=xl/drawings/_rels/drawing29.xml.rels><?xml version="1.0" encoding="UTF-8" standalone="yes"?>
<Relationships xmlns="http://schemas.openxmlformats.org/package/2006/relationships"><Relationship Id="rId1" Type="http://schemas.openxmlformats.org/officeDocument/2006/relationships/image" Target="../media/image27.jpeg"/></Relationships>
</file>

<file path=xl/drawings/_rels/drawing30.xml.rels><?xml version="1.0" encoding="UTF-8" standalone="yes"?>
<Relationships xmlns="http://schemas.openxmlformats.org/package/2006/relationships"><Relationship Id="rId1" Type="http://schemas.openxmlformats.org/officeDocument/2006/relationships/image" Target="../media/image28.jpeg"/></Relationships>
</file>

<file path=xl/drawings/_rels/drawing31.xml.rels><?xml version="1.0" encoding="UTF-8" standalone="yes"?>
<Relationships xmlns="http://schemas.openxmlformats.org/package/2006/relationships"><Relationship Id="rId1" Type="http://schemas.openxmlformats.org/officeDocument/2006/relationships/image" Target="../media/image29.png"/></Relationships>
</file>

<file path=xl/drawings/_rels/drawing32.xml.rels><?xml version="1.0" encoding="UTF-8" standalone="yes"?>
<Relationships xmlns="http://schemas.openxmlformats.org/package/2006/relationships"><Relationship Id="rId1" Type="http://schemas.openxmlformats.org/officeDocument/2006/relationships/image" Target="../media/image30.jpeg"/></Relationships>
</file>

<file path=xl/drawings/_rels/drawing33.xml.rels><?xml version="1.0" encoding="UTF-8" standalone="yes"?>
<Relationships xmlns="http://schemas.openxmlformats.org/package/2006/relationships"><Relationship Id="rId3" Type="http://schemas.openxmlformats.org/officeDocument/2006/relationships/image" Target="../media/image33.png"/><Relationship Id="rId2" Type="http://schemas.openxmlformats.org/officeDocument/2006/relationships/image" Target="../media/image32.png"/><Relationship Id="rId1" Type="http://schemas.openxmlformats.org/officeDocument/2006/relationships/image" Target="../media/image31.png"/></Relationships>
</file>

<file path=xl/drawings/_rels/vmlDrawing1.vml.rels><?xml version="1.0" encoding="UTF-8" standalone="yes"?>
<Relationships xmlns="http://schemas.openxmlformats.org/package/2006/relationships"><Relationship Id="rId1" Type="http://schemas.openxmlformats.org/officeDocument/2006/relationships/image" Target="../media/image9.emf"/></Relationships>
</file>

<file path=xl/drawings/drawing1.xml><?xml version="1.0" encoding="utf-8"?>
<xdr:wsDr xmlns:xdr="http://schemas.openxmlformats.org/drawingml/2006/spreadsheetDrawing" xmlns:a="http://schemas.openxmlformats.org/drawingml/2006/main">
  <xdr:twoCellAnchor>
    <xdr:from>
      <xdr:col>5</xdr:col>
      <xdr:colOff>670560</xdr:colOff>
      <xdr:row>3</xdr:row>
      <xdr:rowOff>99060</xdr:rowOff>
    </xdr:from>
    <xdr:to>
      <xdr:col>11</xdr:col>
      <xdr:colOff>487680</xdr:colOff>
      <xdr:row>21</xdr:row>
      <xdr:rowOff>179070</xdr:rowOff>
    </xdr:to>
    <xdr:graphicFrame macro="">
      <xdr:nvGraphicFramePr>
        <xdr:cNvPr id="2" name="Graphique 1">
          <a:extLst>
            <a:ext uri="{FF2B5EF4-FFF2-40B4-BE49-F238E27FC236}">
              <a16:creationId xmlns:a16="http://schemas.microsoft.com/office/drawing/2014/main" id="{678EB75B-E55F-41B9-812C-2DCF7CFC5B3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oneCellAnchor>
    <xdr:from>
      <xdr:col>8</xdr:col>
      <xdr:colOff>0</xdr:colOff>
      <xdr:row>1</xdr:row>
      <xdr:rowOff>0</xdr:rowOff>
    </xdr:from>
    <xdr:ext cx="1620520" cy="920591"/>
    <xdr:pic>
      <xdr:nvPicPr>
        <xdr:cNvPr id="2" name="Image 1">
          <a:extLst>
            <a:ext uri="{FF2B5EF4-FFF2-40B4-BE49-F238E27FC236}">
              <a16:creationId xmlns:a16="http://schemas.microsoft.com/office/drawing/2014/main" id="{A4EEF739-47EB-446B-BB67-97BED2BFECEB}"/>
            </a:ext>
          </a:extLst>
        </xdr:cNvPr>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6278880" y="182880"/>
          <a:ext cx="1620520" cy="920591"/>
        </a:xfrm>
        <a:prstGeom prst="rect">
          <a:avLst/>
        </a:prstGeom>
      </xdr:spPr>
    </xdr:pic>
    <xdr:clientData/>
  </xdr:oneCellAnchor>
</xdr:wsDr>
</file>

<file path=xl/drawings/drawing3.xml><?xml version="1.0" encoding="utf-8"?>
<xdr:wsDr xmlns:xdr="http://schemas.openxmlformats.org/drawingml/2006/spreadsheetDrawing" xmlns:a="http://schemas.openxmlformats.org/drawingml/2006/main">
  <xdr:oneCellAnchor>
    <xdr:from>
      <xdr:col>5</xdr:col>
      <xdr:colOff>0</xdr:colOff>
      <xdr:row>1</xdr:row>
      <xdr:rowOff>0</xdr:rowOff>
    </xdr:from>
    <xdr:ext cx="3187065" cy="3086100"/>
    <xdr:pic>
      <xdr:nvPicPr>
        <xdr:cNvPr id="2" name="Image 1" descr="http://www.asterix.com/les-produits-derives/images/a23p21c3.jpg">
          <a:extLst>
            <a:ext uri="{FF2B5EF4-FFF2-40B4-BE49-F238E27FC236}">
              <a16:creationId xmlns:a16="http://schemas.microsoft.com/office/drawing/2014/main" id="{88D2AFA5-0A18-436A-A4AE-6B6888CFA778}"/>
            </a:ext>
          </a:extLst>
        </xdr:cNvPr>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924300" y="182880"/>
          <a:ext cx="3187065" cy="3086100"/>
        </a:xfrm>
        <a:prstGeom prst="rect">
          <a:avLst/>
        </a:prstGeom>
        <a:noFill/>
        <a:ln>
          <a:noFill/>
        </a:ln>
      </xdr:spPr>
    </xdr:pic>
    <xdr:clientData/>
  </xdr:oneCellAnchor>
</xdr:wsDr>
</file>

<file path=xl/drawings/drawing4.xml><?xml version="1.0" encoding="utf-8"?>
<xdr:wsDr xmlns:xdr="http://schemas.openxmlformats.org/drawingml/2006/spreadsheetDrawing" xmlns:a="http://schemas.openxmlformats.org/drawingml/2006/main">
  <xdr:oneCellAnchor>
    <xdr:from>
      <xdr:col>7</xdr:col>
      <xdr:colOff>0</xdr:colOff>
      <xdr:row>2</xdr:row>
      <xdr:rowOff>0</xdr:rowOff>
    </xdr:from>
    <xdr:ext cx="1946275" cy="1586230"/>
    <xdr:pic>
      <xdr:nvPicPr>
        <xdr:cNvPr id="2" name="Image 1">
          <a:extLst>
            <a:ext uri="{FF2B5EF4-FFF2-40B4-BE49-F238E27FC236}">
              <a16:creationId xmlns:a16="http://schemas.microsoft.com/office/drawing/2014/main" id="{F54D86BF-F4FB-462D-BB4D-A3A922BE86DC}"/>
            </a:ext>
          </a:extLst>
        </xdr:cNvPr>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5547360" y="365760"/>
          <a:ext cx="1946275" cy="1586230"/>
        </a:xfrm>
        <a:prstGeom prst="rect">
          <a:avLst/>
        </a:prstGeom>
      </xdr:spPr>
    </xdr:pic>
    <xdr:clientData/>
  </xdr:oneCellAnchor>
</xdr:wsDr>
</file>

<file path=xl/drawings/drawing5.xml><?xml version="1.0" encoding="utf-8"?>
<xdr:wsDr xmlns:xdr="http://schemas.openxmlformats.org/drawingml/2006/spreadsheetDrawing" xmlns:a="http://schemas.openxmlformats.org/drawingml/2006/main">
  <xdr:oneCellAnchor>
    <xdr:from>
      <xdr:col>6</xdr:col>
      <xdr:colOff>0</xdr:colOff>
      <xdr:row>3</xdr:row>
      <xdr:rowOff>0</xdr:rowOff>
    </xdr:from>
    <xdr:ext cx="1423035" cy="991235"/>
    <xdr:pic>
      <xdr:nvPicPr>
        <xdr:cNvPr id="2" name="Image 1">
          <a:extLst>
            <a:ext uri="{FF2B5EF4-FFF2-40B4-BE49-F238E27FC236}">
              <a16:creationId xmlns:a16="http://schemas.microsoft.com/office/drawing/2014/main" id="{D72AF918-C3AC-4510-A367-C5BDB7903382}"/>
            </a:ext>
          </a:extLst>
        </xdr:cNvPr>
        <xdr:cNvPicPr/>
      </xdr:nvPicPr>
      <xdr:blipFill>
        <a:blip xmlns:r="http://schemas.openxmlformats.org/officeDocument/2006/relationships" r:embed="rId1" cstate="screen">
          <a:extLst>
            <a:ext uri="{28A0092B-C50C-407E-A947-70E740481C1C}">
              <a14:useLocalDpi xmlns:a14="http://schemas.microsoft.com/office/drawing/2010/main"/>
            </a:ext>
          </a:extLst>
        </a:blip>
        <a:stretch>
          <a:fillRect/>
        </a:stretch>
      </xdr:blipFill>
      <xdr:spPr>
        <a:xfrm>
          <a:off x="4709160" y="548640"/>
          <a:ext cx="1423035" cy="991235"/>
        </a:xfrm>
        <a:prstGeom prst="rect">
          <a:avLst/>
        </a:prstGeom>
      </xdr:spPr>
    </xdr:pic>
    <xdr:clientData/>
  </xdr:oneCellAnchor>
</xdr:wsDr>
</file>

<file path=xl/drawings/drawing6.xml><?xml version="1.0" encoding="utf-8"?>
<xdr:wsDr xmlns:xdr="http://schemas.openxmlformats.org/drawingml/2006/spreadsheetDrawing" xmlns:a="http://schemas.openxmlformats.org/drawingml/2006/main">
  <xdr:oneCellAnchor>
    <xdr:from>
      <xdr:col>6</xdr:col>
      <xdr:colOff>0</xdr:colOff>
      <xdr:row>5</xdr:row>
      <xdr:rowOff>0</xdr:rowOff>
    </xdr:from>
    <xdr:ext cx="1579245" cy="1109980"/>
    <xdr:pic>
      <xdr:nvPicPr>
        <xdr:cNvPr id="2" name="Image 1" descr="Courir vite: Course de haies (niveaux BC) » mobilesport.ch">
          <a:extLst>
            <a:ext uri="{FF2B5EF4-FFF2-40B4-BE49-F238E27FC236}">
              <a16:creationId xmlns:a16="http://schemas.microsoft.com/office/drawing/2014/main" id="{E5374D8E-82B5-42C5-9624-7FED61C0241B}"/>
            </a:ext>
          </a:extLst>
        </xdr:cNvPr>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4709160" y="914400"/>
          <a:ext cx="1579245" cy="1109980"/>
        </a:xfrm>
        <a:prstGeom prst="rect">
          <a:avLst/>
        </a:prstGeom>
        <a:noFill/>
        <a:ln>
          <a:solidFill>
            <a:schemeClr val="tx2"/>
          </a:solidFill>
        </a:ln>
      </xdr:spPr>
    </xdr:pic>
    <xdr:clientData/>
  </xdr:oneCellAnchor>
</xdr:wsDr>
</file>

<file path=xl/drawings/drawing7.xml><?xml version="1.0" encoding="utf-8"?>
<xdr:wsDr xmlns:xdr="http://schemas.openxmlformats.org/drawingml/2006/spreadsheetDrawing" xmlns:a="http://schemas.openxmlformats.org/drawingml/2006/main">
  <xdr:oneCellAnchor>
    <xdr:from>
      <xdr:col>7</xdr:col>
      <xdr:colOff>357188</xdr:colOff>
      <xdr:row>1</xdr:row>
      <xdr:rowOff>7937</xdr:rowOff>
    </xdr:from>
    <xdr:ext cx="1927225" cy="1441133"/>
    <xdr:pic>
      <xdr:nvPicPr>
        <xdr:cNvPr id="2" name="Image 1">
          <a:extLst>
            <a:ext uri="{FF2B5EF4-FFF2-40B4-BE49-F238E27FC236}">
              <a16:creationId xmlns:a16="http://schemas.microsoft.com/office/drawing/2014/main" id="{C1F91ACE-EC0B-4D12-B6A2-E80D2B084DD6}"/>
            </a:ext>
          </a:extLst>
        </xdr:cNvPr>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t="42662"/>
        <a:stretch/>
      </xdr:blipFill>
      <xdr:spPr>
        <a:xfrm>
          <a:off x="5851208" y="190817"/>
          <a:ext cx="1927225" cy="1441133"/>
        </a:xfrm>
        <a:prstGeom prst="rect">
          <a:avLst/>
        </a:prstGeom>
      </xdr:spPr>
    </xdr:pic>
    <xdr:clientData/>
  </xdr:oneCellAnchor>
</xdr:wsDr>
</file>

<file path=xl/drawings/drawing8.xml><?xml version="1.0" encoding="utf-8"?>
<xdr:wsDr xmlns:xdr="http://schemas.openxmlformats.org/drawingml/2006/spreadsheetDrawing" xmlns:a="http://schemas.openxmlformats.org/drawingml/2006/main">
  <xdr:twoCellAnchor>
    <xdr:from>
      <xdr:col>0</xdr:col>
      <xdr:colOff>213360</xdr:colOff>
      <xdr:row>11</xdr:row>
      <xdr:rowOff>133350</xdr:rowOff>
    </xdr:from>
    <xdr:to>
      <xdr:col>5</xdr:col>
      <xdr:colOff>632460</xdr:colOff>
      <xdr:row>28</xdr:row>
      <xdr:rowOff>19050</xdr:rowOff>
    </xdr:to>
    <xdr:graphicFrame macro="">
      <xdr:nvGraphicFramePr>
        <xdr:cNvPr id="2" name="Graphique 1">
          <a:extLst>
            <a:ext uri="{FF2B5EF4-FFF2-40B4-BE49-F238E27FC236}">
              <a16:creationId xmlns:a16="http://schemas.microsoft.com/office/drawing/2014/main" id="{2BA7D895-883E-4C48-8390-DAB9C0B1C4D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518160</xdr:colOff>
      <xdr:row>10</xdr:row>
      <xdr:rowOff>87630</xdr:rowOff>
    </xdr:from>
    <xdr:to>
      <xdr:col>12</xdr:col>
      <xdr:colOff>381000</xdr:colOff>
      <xdr:row>26</xdr:row>
      <xdr:rowOff>118110</xdr:rowOff>
    </xdr:to>
    <xdr:graphicFrame macro="">
      <xdr:nvGraphicFramePr>
        <xdr:cNvPr id="3" name="Graphique 2">
          <a:extLst>
            <a:ext uri="{FF2B5EF4-FFF2-40B4-BE49-F238E27FC236}">
              <a16:creationId xmlns:a16="http://schemas.microsoft.com/office/drawing/2014/main" id="{4BD6325C-CE59-4F58-A9A2-A9A21AAF293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9.xml><?xml version="1.0" encoding="utf-8"?>
<xdr:wsDr xmlns:xdr="http://schemas.openxmlformats.org/drawingml/2006/spreadsheetDrawing" xmlns:a="http://schemas.openxmlformats.org/drawingml/2006/main">
  <xdr:oneCellAnchor>
    <xdr:from>
      <xdr:col>1</xdr:col>
      <xdr:colOff>137160</xdr:colOff>
      <xdr:row>11</xdr:row>
      <xdr:rowOff>60960</xdr:rowOff>
    </xdr:from>
    <xdr:ext cx="2278380" cy="1885950"/>
    <xdr:pic>
      <xdr:nvPicPr>
        <xdr:cNvPr id="2" name="Image 1">
          <a:extLst>
            <a:ext uri="{FF2B5EF4-FFF2-40B4-BE49-F238E27FC236}">
              <a16:creationId xmlns:a16="http://schemas.microsoft.com/office/drawing/2014/main" id="{0468695E-D7E6-4B2B-B060-06842E36C25B}"/>
            </a:ext>
          </a:extLst>
        </xdr:cNvPr>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922020" y="1905000"/>
          <a:ext cx="2278380" cy="1885950"/>
        </a:xfrm>
        <a:prstGeom prst="rect">
          <a:avLst/>
        </a:prstGeom>
      </xdr:spPr>
    </xdr:pic>
    <xdr:clientData/>
  </xdr:oneCellAnchor>
  <xdr:twoCellAnchor>
    <xdr:from>
      <xdr:col>5</xdr:col>
      <xdr:colOff>571500</xdr:colOff>
      <xdr:row>3</xdr:row>
      <xdr:rowOff>30480</xdr:rowOff>
    </xdr:from>
    <xdr:to>
      <xdr:col>11</xdr:col>
      <xdr:colOff>609600</xdr:colOff>
      <xdr:row>25</xdr:row>
      <xdr:rowOff>152400</xdr:rowOff>
    </xdr:to>
    <xdr:graphicFrame macro="">
      <xdr:nvGraphicFramePr>
        <xdr:cNvPr id="3" name="Graphique 2">
          <a:extLst>
            <a:ext uri="{FF2B5EF4-FFF2-40B4-BE49-F238E27FC236}">
              <a16:creationId xmlns:a16="http://schemas.microsoft.com/office/drawing/2014/main" id="{7E115FB1-3210-45ED-AB8D-36876DC49E8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mc:AlternateContent xmlns:mc="http://schemas.openxmlformats.org/markup-compatibility/2006">
    <mc:Choice xmlns:a14="http://schemas.microsoft.com/office/drawing/2010/main" Requires="a14">
      <xdr:oneCellAnchor>
        <xdr:from>
          <xdr:col>6</xdr:col>
          <xdr:colOff>533400</xdr:colOff>
          <xdr:row>15</xdr:row>
          <xdr:rowOff>121920</xdr:rowOff>
        </xdr:from>
        <xdr:ext cx="2651760" cy="1409700"/>
        <xdr:pic>
          <xdr:nvPicPr>
            <xdr:cNvPr id="4" name="Image 3">
              <a:extLst>
                <a:ext uri="{FF2B5EF4-FFF2-40B4-BE49-F238E27FC236}">
                  <a16:creationId xmlns:a16="http://schemas.microsoft.com/office/drawing/2014/main" id="{B274B5B5-D9CB-46E8-A09B-CA1B9573A840}"/>
                </a:ext>
              </a:extLst>
            </xdr:cNvPr>
            <xdr:cNvPicPr>
              <a:picLocks noChangeAspect="1" noChangeArrowheads="1"/>
              <a:extLst>
                <a:ext uri="{84589F7E-364E-4C9E-8A38-B11213B215E9}">
                  <a14:cameraTool cellRange="$A$1:$D$8" spid="_x0000_s9226"/>
                </a:ext>
              </a:extLst>
            </xdr:cNvPicPr>
          </xdr:nvPicPr>
          <xdr:blipFill>
            <a:blip xmlns:r="http://schemas.openxmlformats.org/officeDocument/2006/relationships" r:embed="rId3"/>
            <a:srcRect/>
            <a:stretch>
              <a:fillRect/>
            </a:stretch>
          </xdr:blipFill>
          <xdr:spPr bwMode="auto">
            <a:xfrm>
              <a:off x="5242560" y="2636520"/>
              <a:ext cx="2651760" cy="1409700"/>
            </a:xfrm>
            <a:prstGeom prst="rect">
              <a:avLst/>
            </a:prstGeom>
            <a:noFill/>
            <a:extLst>
              <a:ext uri="{909E8E84-426E-40DD-AFC4-6F175D3DCCD1}">
                <a14:hiddenFill>
                  <a:solidFill>
                    <a:srgbClr val="FFFFFF"/>
                  </a:solidFill>
                </a14:hiddenFill>
              </a:ext>
            </a:extLst>
          </xdr:spPr>
        </xdr:pic>
        <xdr:clientData/>
      </xdr:oneCellAnchor>
    </mc:Choice>
    <mc:Fallback/>
  </mc:AlternateContent>
</xdr:wsDr>
</file>

<file path=xl/drawings/drawing10.xml><?xml version="1.0" encoding="utf-8"?>
<xdr:wsDr xmlns:xdr="http://schemas.openxmlformats.org/drawingml/2006/spreadsheetDrawing" xmlns:a="http://schemas.openxmlformats.org/drawingml/2006/main">
  <xdr:oneCellAnchor>
    <xdr:from>
      <xdr:col>5</xdr:col>
      <xdr:colOff>257175</xdr:colOff>
      <xdr:row>0</xdr:row>
      <xdr:rowOff>152400</xdr:rowOff>
    </xdr:from>
    <xdr:ext cx="1931670" cy="1809750"/>
    <xdr:pic>
      <xdr:nvPicPr>
        <xdr:cNvPr id="2" name="Image 1" descr="Pourquoi utiliser un outil de gestion de projet ? - 5 problèmes ...">
          <a:extLst>
            <a:ext uri="{FF2B5EF4-FFF2-40B4-BE49-F238E27FC236}">
              <a16:creationId xmlns:a16="http://schemas.microsoft.com/office/drawing/2014/main" id="{82A0FE39-5B5C-402A-B070-5A53AD7C4D6A}"/>
            </a:ext>
          </a:extLst>
        </xdr:cNvPr>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4181475" y="152400"/>
          <a:ext cx="1931670" cy="1809750"/>
        </a:xfrm>
        <a:prstGeom prst="rect">
          <a:avLst/>
        </a:prstGeom>
        <a:noFill/>
        <a:ln>
          <a:noFill/>
        </a:ln>
      </xdr:spPr>
    </xdr:pic>
    <xdr:clientData/>
  </xdr:oneCellAnchor>
  <xdr:twoCellAnchor>
    <xdr:from>
      <xdr:col>5</xdr:col>
      <xdr:colOff>0</xdr:colOff>
      <xdr:row>17</xdr:row>
      <xdr:rowOff>0</xdr:rowOff>
    </xdr:from>
    <xdr:to>
      <xdr:col>13</xdr:col>
      <xdr:colOff>300235</xdr:colOff>
      <xdr:row>36</xdr:row>
      <xdr:rowOff>135</xdr:rowOff>
    </xdr:to>
    <xdr:graphicFrame macro="">
      <xdr:nvGraphicFramePr>
        <xdr:cNvPr id="3" name="Graphique 2">
          <a:extLst>
            <a:ext uri="{FF2B5EF4-FFF2-40B4-BE49-F238E27FC236}">
              <a16:creationId xmlns:a16="http://schemas.microsoft.com/office/drawing/2014/main" id="{D78AA354-0E76-4959-9DA5-9EF1A7CAA44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1.xml><?xml version="1.0" encoding="utf-8"?>
<xdr:wsDr xmlns:xdr="http://schemas.openxmlformats.org/drawingml/2006/spreadsheetDrawing" xmlns:a="http://schemas.openxmlformats.org/drawingml/2006/main">
  <xdr:twoCellAnchor>
    <xdr:from>
      <xdr:col>11</xdr:col>
      <xdr:colOff>0</xdr:colOff>
      <xdr:row>10</xdr:row>
      <xdr:rowOff>0</xdr:rowOff>
    </xdr:from>
    <xdr:to>
      <xdr:col>17</xdr:col>
      <xdr:colOff>582944</xdr:colOff>
      <xdr:row>28</xdr:row>
      <xdr:rowOff>125491</xdr:rowOff>
    </xdr:to>
    <xdr:graphicFrame macro="">
      <xdr:nvGraphicFramePr>
        <xdr:cNvPr id="2" name="Graphique 1">
          <a:extLst>
            <a:ext uri="{FF2B5EF4-FFF2-40B4-BE49-F238E27FC236}">
              <a16:creationId xmlns:a16="http://schemas.microsoft.com/office/drawing/2014/main" id="{6EA21D4E-C0A2-49F2-B868-968D936BC5B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2.xml><?xml version="1.0" encoding="utf-8"?>
<c:userShapes xmlns:c="http://schemas.openxmlformats.org/drawingml/2006/chart">
  <cdr:relSizeAnchor xmlns:cdr="http://schemas.openxmlformats.org/drawingml/2006/chartDrawing">
    <cdr:from>
      <cdr:x>0.11807</cdr:x>
      <cdr:y>0.03515</cdr:y>
    </cdr:from>
    <cdr:to>
      <cdr:x>0.42172</cdr:x>
      <cdr:y>0.14642</cdr:y>
    </cdr:to>
    <cdr:sp macro="" textlink="">
      <cdr:nvSpPr>
        <cdr:cNvPr id="2" name="ZoneTexte 1">
          <a:extLst xmlns:a="http://schemas.openxmlformats.org/drawingml/2006/main">
            <a:ext uri="{FF2B5EF4-FFF2-40B4-BE49-F238E27FC236}">
              <a16:creationId xmlns:a16="http://schemas.microsoft.com/office/drawing/2014/main" id="{87D63906-3265-4DCC-8095-0FB90CE8E3CB}"/>
            </a:ext>
          </a:extLst>
        </cdr:cNvPr>
        <cdr:cNvSpPr txBox="1"/>
      </cdr:nvSpPr>
      <cdr:spPr>
        <a:xfrm xmlns:a="http://schemas.openxmlformats.org/drawingml/2006/main">
          <a:off x="620477" y="119207"/>
          <a:ext cx="1595747" cy="377289"/>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r>
            <a:rPr lang="fr-BE" sz="1100"/>
            <a:t>Les résultats</a:t>
          </a:r>
          <a:r>
            <a:rPr lang="fr-BE" sz="1100" baseline="0"/>
            <a:t> du mois de                                                  </a:t>
          </a:r>
          <a:endParaRPr lang="fr-BE" sz="1100"/>
        </a:p>
      </cdr:txBody>
    </cdr:sp>
  </cdr:relSizeAnchor>
</c:userShapes>
</file>

<file path=xl/drawings/drawing13.xml><?xml version="1.0" encoding="utf-8"?>
<xdr:wsDr xmlns:xdr="http://schemas.openxmlformats.org/drawingml/2006/spreadsheetDrawing" xmlns:a="http://schemas.openxmlformats.org/drawingml/2006/main">
  <xdr:oneCellAnchor>
    <xdr:from>
      <xdr:col>6</xdr:col>
      <xdr:colOff>0</xdr:colOff>
      <xdr:row>1</xdr:row>
      <xdr:rowOff>0</xdr:rowOff>
    </xdr:from>
    <xdr:ext cx="1632389" cy="1201899"/>
    <xdr:pic>
      <xdr:nvPicPr>
        <xdr:cNvPr id="2" name="Image 1">
          <a:extLst>
            <a:ext uri="{FF2B5EF4-FFF2-40B4-BE49-F238E27FC236}">
              <a16:creationId xmlns:a16="http://schemas.microsoft.com/office/drawing/2014/main" id="{5D93E827-9014-418B-A121-5ADB76EAFF12}"/>
            </a:ext>
          </a:extLst>
        </xdr:cNvPr>
        <xdr:cNvPicPr>
          <a:picLocks noChangeAspect="1"/>
        </xdr:cNvPicPr>
      </xdr:nvPicPr>
      <xdr:blipFill>
        <a:blip xmlns:r="http://schemas.openxmlformats.org/officeDocument/2006/relationships" r:embed="rId1"/>
        <a:stretch>
          <a:fillRect/>
        </a:stretch>
      </xdr:blipFill>
      <xdr:spPr>
        <a:xfrm>
          <a:off x="4754880" y="182880"/>
          <a:ext cx="1632389" cy="1201899"/>
        </a:xfrm>
        <a:prstGeom prst="rect">
          <a:avLst/>
        </a:prstGeom>
      </xdr:spPr>
    </xdr:pic>
    <xdr:clientData/>
  </xdr:oneCellAnchor>
</xdr:wsDr>
</file>

<file path=xl/drawings/drawing14.xml><?xml version="1.0" encoding="utf-8"?>
<xdr:wsDr xmlns:xdr="http://schemas.openxmlformats.org/drawingml/2006/spreadsheetDrawing" xmlns:a="http://schemas.openxmlformats.org/drawingml/2006/main">
  <xdr:oneCellAnchor>
    <xdr:from>
      <xdr:col>5</xdr:col>
      <xdr:colOff>485775</xdr:colOff>
      <xdr:row>1</xdr:row>
      <xdr:rowOff>85725</xdr:rowOff>
    </xdr:from>
    <xdr:ext cx="1302385" cy="1350645"/>
    <xdr:pic>
      <xdr:nvPicPr>
        <xdr:cNvPr id="2" name="Image 1">
          <a:extLst>
            <a:ext uri="{FF2B5EF4-FFF2-40B4-BE49-F238E27FC236}">
              <a16:creationId xmlns:a16="http://schemas.microsoft.com/office/drawing/2014/main" id="{554AFE0B-23EC-44FA-9A86-F0FFE8550595}"/>
            </a:ext>
          </a:extLst>
        </xdr:cNvPr>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448175" y="268605"/>
          <a:ext cx="1302385" cy="1350645"/>
        </a:xfrm>
        <a:prstGeom prst="rect">
          <a:avLst/>
        </a:prstGeom>
      </xdr:spPr>
    </xdr:pic>
    <xdr:clientData/>
  </xdr:oneCellAnchor>
</xdr:wsDr>
</file>

<file path=xl/drawings/drawing15.xml><?xml version="1.0" encoding="utf-8"?>
<xdr:wsDr xmlns:xdr="http://schemas.openxmlformats.org/drawingml/2006/spreadsheetDrawing" xmlns:a="http://schemas.openxmlformats.org/drawingml/2006/main">
  <xdr:oneCellAnchor>
    <xdr:from>
      <xdr:col>5</xdr:col>
      <xdr:colOff>0</xdr:colOff>
      <xdr:row>2</xdr:row>
      <xdr:rowOff>0</xdr:rowOff>
    </xdr:from>
    <xdr:ext cx="2308860" cy="1933575"/>
    <xdr:pic>
      <xdr:nvPicPr>
        <xdr:cNvPr id="2" name="Image 1" descr="Résultat de recherche d'images pour &quot;joueurs de carte dessin&quot;">
          <a:extLst>
            <a:ext uri="{FF2B5EF4-FFF2-40B4-BE49-F238E27FC236}">
              <a16:creationId xmlns:a16="http://schemas.microsoft.com/office/drawing/2014/main" id="{9BA40B8C-E3B7-46B6-AE31-B3BA7B59AE3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962400" y="365760"/>
          <a:ext cx="2308860" cy="193357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wsDr>
</file>

<file path=xl/drawings/drawing16.xml><?xml version="1.0" encoding="utf-8"?>
<xdr:wsDr xmlns:xdr="http://schemas.openxmlformats.org/drawingml/2006/spreadsheetDrawing" xmlns:a="http://schemas.openxmlformats.org/drawingml/2006/main">
  <xdr:oneCellAnchor>
    <xdr:from>
      <xdr:col>8</xdr:col>
      <xdr:colOff>0</xdr:colOff>
      <xdr:row>1</xdr:row>
      <xdr:rowOff>0</xdr:rowOff>
    </xdr:from>
    <xdr:ext cx="5565741" cy="3714267"/>
    <xdr:pic>
      <xdr:nvPicPr>
        <xdr:cNvPr id="2" name="Image 1">
          <a:extLst>
            <a:ext uri="{FF2B5EF4-FFF2-40B4-BE49-F238E27FC236}">
              <a16:creationId xmlns:a16="http://schemas.microsoft.com/office/drawing/2014/main" id="{4028750C-E829-436C-8E01-355D13704FB3}"/>
            </a:ext>
          </a:extLst>
        </xdr:cNvPr>
        <xdr:cNvPicPr>
          <a:picLocks noChangeAspect="1"/>
        </xdr:cNvPicPr>
      </xdr:nvPicPr>
      <xdr:blipFill>
        <a:blip xmlns:r="http://schemas.openxmlformats.org/officeDocument/2006/relationships" r:embed="rId1"/>
        <a:stretch>
          <a:fillRect/>
        </a:stretch>
      </xdr:blipFill>
      <xdr:spPr>
        <a:xfrm>
          <a:off x="6339840" y="182880"/>
          <a:ext cx="5565741" cy="3714267"/>
        </a:xfrm>
        <a:prstGeom prst="rect">
          <a:avLst/>
        </a:prstGeom>
      </xdr:spPr>
    </xdr:pic>
    <xdr:clientData/>
  </xdr:oneCellAnchor>
</xdr:wsDr>
</file>

<file path=xl/drawings/drawing17.xml><?xml version="1.0" encoding="utf-8"?>
<xdr:wsDr xmlns:xdr="http://schemas.openxmlformats.org/drawingml/2006/spreadsheetDrawing" xmlns:a="http://schemas.openxmlformats.org/drawingml/2006/main">
  <xdr:oneCellAnchor>
    <xdr:from>
      <xdr:col>5</xdr:col>
      <xdr:colOff>251460</xdr:colOff>
      <xdr:row>0</xdr:row>
      <xdr:rowOff>76200</xdr:rowOff>
    </xdr:from>
    <xdr:ext cx="2862869" cy="3097128"/>
    <xdr:pic>
      <xdr:nvPicPr>
        <xdr:cNvPr id="2" name="Image 1">
          <a:extLst>
            <a:ext uri="{FF2B5EF4-FFF2-40B4-BE49-F238E27FC236}">
              <a16:creationId xmlns:a16="http://schemas.microsoft.com/office/drawing/2014/main" id="{2C672FA3-1ED1-4E12-B9DF-C5D2A2F9C1F9}"/>
            </a:ext>
          </a:extLst>
        </xdr:cNvPr>
        <xdr:cNvPicPr>
          <a:picLocks noChangeAspect="1"/>
        </xdr:cNvPicPr>
      </xdr:nvPicPr>
      <xdr:blipFill>
        <a:blip xmlns:r="http://schemas.openxmlformats.org/officeDocument/2006/relationships" r:embed="rId1"/>
        <a:stretch>
          <a:fillRect/>
        </a:stretch>
      </xdr:blipFill>
      <xdr:spPr>
        <a:xfrm>
          <a:off x="4213860" y="76200"/>
          <a:ext cx="2862869" cy="3097128"/>
        </a:xfrm>
        <a:prstGeom prst="rect">
          <a:avLst/>
        </a:prstGeom>
      </xdr:spPr>
    </xdr:pic>
    <xdr:clientData/>
  </xdr:oneCellAnchor>
</xdr:wsDr>
</file>

<file path=xl/drawings/drawing18.xml><?xml version="1.0" encoding="utf-8"?>
<xdr:wsDr xmlns:xdr="http://schemas.openxmlformats.org/drawingml/2006/spreadsheetDrawing" xmlns:a="http://schemas.openxmlformats.org/drawingml/2006/main">
  <xdr:oneCellAnchor>
    <xdr:from>
      <xdr:col>6</xdr:col>
      <xdr:colOff>161925</xdr:colOff>
      <xdr:row>0</xdr:row>
      <xdr:rowOff>85725</xdr:rowOff>
    </xdr:from>
    <xdr:ext cx="2843821" cy="1881897"/>
    <xdr:pic>
      <xdr:nvPicPr>
        <xdr:cNvPr id="2" name="Image 1">
          <a:extLst>
            <a:ext uri="{FF2B5EF4-FFF2-40B4-BE49-F238E27FC236}">
              <a16:creationId xmlns:a16="http://schemas.microsoft.com/office/drawing/2014/main" id="{F14D2ECD-6920-4F40-ADBA-1991F214C1B4}"/>
            </a:ext>
          </a:extLst>
        </xdr:cNvPr>
        <xdr:cNvPicPr>
          <a:picLocks noChangeAspect="1"/>
        </xdr:cNvPicPr>
      </xdr:nvPicPr>
      <xdr:blipFill>
        <a:blip xmlns:r="http://schemas.openxmlformats.org/officeDocument/2006/relationships" r:embed="rId1"/>
        <a:stretch>
          <a:fillRect/>
        </a:stretch>
      </xdr:blipFill>
      <xdr:spPr>
        <a:xfrm>
          <a:off x="4916805" y="85725"/>
          <a:ext cx="2843821" cy="1881897"/>
        </a:xfrm>
        <a:prstGeom prst="rect">
          <a:avLst/>
        </a:prstGeom>
      </xdr:spPr>
    </xdr:pic>
    <xdr:clientData/>
  </xdr:oneCellAnchor>
</xdr:wsDr>
</file>

<file path=xl/drawings/drawing19.xml><?xml version="1.0" encoding="utf-8"?>
<xdr:wsDr xmlns:xdr="http://schemas.openxmlformats.org/drawingml/2006/spreadsheetDrawing" xmlns:a="http://schemas.openxmlformats.org/drawingml/2006/main">
  <xdr:oneCellAnchor>
    <xdr:from>
      <xdr:col>5</xdr:col>
      <xdr:colOff>0</xdr:colOff>
      <xdr:row>1</xdr:row>
      <xdr:rowOff>23811</xdr:rowOff>
    </xdr:from>
    <xdr:ext cx="2175510" cy="1524953"/>
    <xdr:pic>
      <xdr:nvPicPr>
        <xdr:cNvPr id="2" name="Image 1" descr="Image associée">
          <a:extLst>
            <a:ext uri="{FF2B5EF4-FFF2-40B4-BE49-F238E27FC236}">
              <a16:creationId xmlns:a16="http://schemas.microsoft.com/office/drawing/2014/main" id="{D3DBDDA7-08F5-4A10-A055-15CA95A452EA}"/>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3962400" y="206691"/>
          <a:ext cx="2175510" cy="1524953"/>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wsDr>
</file>

<file path=xl/drawings/drawing20.xml><?xml version="1.0" encoding="utf-8"?>
<xdr:wsDr xmlns:xdr="http://schemas.openxmlformats.org/drawingml/2006/spreadsheetDrawing" xmlns:a="http://schemas.openxmlformats.org/drawingml/2006/main">
  <xdr:oneCellAnchor>
    <xdr:from>
      <xdr:col>5</xdr:col>
      <xdr:colOff>287014</xdr:colOff>
      <xdr:row>1</xdr:row>
      <xdr:rowOff>466724</xdr:rowOff>
    </xdr:from>
    <xdr:ext cx="2741393" cy="2439803"/>
    <xdr:pic>
      <xdr:nvPicPr>
        <xdr:cNvPr id="2" name="Image 1">
          <a:extLst>
            <a:ext uri="{FF2B5EF4-FFF2-40B4-BE49-F238E27FC236}">
              <a16:creationId xmlns:a16="http://schemas.microsoft.com/office/drawing/2014/main" id="{F3ECFF9D-A270-41ED-80C0-5B8131FA2FD9}"/>
            </a:ext>
          </a:extLst>
        </xdr:cNvPr>
        <xdr:cNvPicPr>
          <a:picLocks noChangeAspect="1"/>
        </xdr:cNvPicPr>
      </xdr:nvPicPr>
      <xdr:blipFill>
        <a:blip xmlns:r="http://schemas.openxmlformats.org/officeDocument/2006/relationships" r:embed="rId1"/>
        <a:stretch>
          <a:fillRect/>
        </a:stretch>
      </xdr:blipFill>
      <xdr:spPr>
        <a:xfrm>
          <a:off x="4249414" y="367664"/>
          <a:ext cx="2741393" cy="2439803"/>
        </a:xfrm>
        <a:prstGeom prst="rect">
          <a:avLst/>
        </a:prstGeom>
        <a:ln>
          <a:solidFill>
            <a:schemeClr val="bg1">
              <a:lumMod val="65000"/>
            </a:schemeClr>
          </a:solidFill>
        </a:ln>
      </xdr:spPr>
    </xdr:pic>
    <xdr:clientData/>
  </xdr:oneCellAnchor>
</xdr:wsDr>
</file>

<file path=xl/drawings/drawing21.xml><?xml version="1.0" encoding="utf-8"?>
<xdr:wsDr xmlns:xdr="http://schemas.openxmlformats.org/drawingml/2006/spreadsheetDrawing" xmlns:a="http://schemas.openxmlformats.org/drawingml/2006/main">
  <xdr:oneCellAnchor>
    <xdr:from>
      <xdr:col>6</xdr:col>
      <xdr:colOff>285750</xdr:colOff>
      <xdr:row>2</xdr:row>
      <xdr:rowOff>225411</xdr:rowOff>
    </xdr:from>
    <xdr:ext cx="1835879" cy="1589553"/>
    <xdr:pic>
      <xdr:nvPicPr>
        <xdr:cNvPr id="2" name="Image 1">
          <a:extLst>
            <a:ext uri="{FF2B5EF4-FFF2-40B4-BE49-F238E27FC236}">
              <a16:creationId xmlns:a16="http://schemas.microsoft.com/office/drawing/2014/main" id="{17BDA058-246A-4B78-A050-263A069AF613}"/>
            </a:ext>
          </a:extLst>
        </xdr:cNvPr>
        <xdr:cNvPicPr>
          <a:picLocks noChangeAspect="1"/>
        </xdr:cNvPicPr>
      </xdr:nvPicPr>
      <xdr:blipFill>
        <a:blip xmlns:r="http://schemas.openxmlformats.org/officeDocument/2006/relationships" r:embed="rId1"/>
        <a:stretch>
          <a:fillRect/>
        </a:stretch>
      </xdr:blipFill>
      <xdr:spPr>
        <a:xfrm>
          <a:off x="5040630" y="545451"/>
          <a:ext cx="1835879" cy="1589553"/>
        </a:xfrm>
        <a:prstGeom prst="rect">
          <a:avLst/>
        </a:prstGeom>
      </xdr:spPr>
    </xdr:pic>
    <xdr:clientData/>
  </xdr:oneCellAnchor>
</xdr:wsDr>
</file>

<file path=xl/drawings/drawing22.xml><?xml version="1.0" encoding="utf-8"?>
<xdr:wsDr xmlns:xdr="http://schemas.openxmlformats.org/drawingml/2006/spreadsheetDrawing" xmlns:a="http://schemas.openxmlformats.org/drawingml/2006/main">
  <xdr:oneCellAnchor>
    <xdr:from>
      <xdr:col>4</xdr:col>
      <xdr:colOff>161925</xdr:colOff>
      <xdr:row>3</xdr:row>
      <xdr:rowOff>188333</xdr:rowOff>
    </xdr:from>
    <xdr:ext cx="2366010" cy="1057537"/>
    <xdr:pic>
      <xdr:nvPicPr>
        <xdr:cNvPr id="2" name="Image 1" descr="Résultat de recherche d'images pour &quot;voiture bande dessinee&quot;">
          <a:extLst>
            <a:ext uri="{FF2B5EF4-FFF2-40B4-BE49-F238E27FC236}">
              <a16:creationId xmlns:a16="http://schemas.microsoft.com/office/drawing/2014/main" id="{E039F31C-2395-4264-80FA-E16FAF78058B}"/>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3331845" y="729353"/>
          <a:ext cx="2366010" cy="105753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wsDr>
</file>

<file path=xl/drawings/drawing23.xml><?xml version="1.0" encoding="utf-8"?>
<xdr:wsDr xmlns:xdr="http://schemas.openxmlformats.org/drawingml/2006/spreadsheetDrawing" xmlns:a="http://schemas.openxmlformats.org/drawingml/2006/main">
  <xdr:oneCellAnchor>
    <xdr:from>
      <xdr:col>11</xdr:col>
      <xdr:colOff>533400</xdr:colOff>
      <xdr:row>3</xdr:row>
      <xdr:rowOff>127887</xdr:rowOff>
    </xdr:from>
    <xdr:ext cx="1493520" cy="988503"/>
    <xdr:pic>
      <xdr:nvPicPr>
        <xdr:cNvPr id="2" name="Image 1" descr="Résultat de recherche d'images pour &quot;tournage film bande dessinee&quot;">
          <a:extLst>
            <a:ext uri="{FF2B5EF4-FFF2-40B4-BE49-F238E27FC236}">
              <a16:creationId xmlns:a16="http://schemas.microsoft.com/office/drawing/2014/main" id="{257076B0-D909-41F2-AF00-7EEBBDCCB905}"/>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9166860" y="676527"/>
          <a:ext cx="1493520" cy="988503"/>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wsDr>
</file>

<file path=xl/drawings/drawing24.xml><?xml version="1.0" encoding="utf-8"?>
<xdr:wsDr xmlns:xdr="http://schemas.openxmlformats.org/drawingml/2006/spreadsheetDrawing" xmlns:a="http://schemas.openxmlformats.org/drawingml/2006/main">
  <xdr:oneCellAnchor>
    <xdr:from>
      <xdr:col>3</xdr:col>
      <xdr:colOff>241739</xdr:colOff>
      <xdr:row>0</xdr:row>
      <xdr:rowOff>65689</xdr:rowOff>
    </xdr:from>
    <xdr:ext cx="1032981" cy="970803"/>
    <xdr:pic>
      <xdr:nvPicPr>
        <xdr:cNvPr id="2" name="Image 1">
          <a:extLst>
            <a:ext uri="{FF2B5EF4-FFF2-40B4-BE49-F238E27FC236}">
              <a16:creationId xmlns:a16="http://schemas.microsoft.com/office/drawing/2014/main" id="{1764F8E1-13C1-4EFB-A77E-73E3A253BA57}"/>
            </a:ext>
          </a:extLst>
        </xdr:cNvPr>
        <xdr:cNvPicPr>
          <a:picLocks noChangeAspect="1"/>
        </xdr:cNvPicPr>
      </xdr:nvPicPr>
      <xdr:blipFill>
        <a:blip xmlns:r="http://schemas.openxmlformats.org/officeDocument/2006/relationships" r:embed="rId1"/>
        <a:stretch>
          <a:fillRect/>
        </a:stretch>
      </xdr:blipFill>
      <xdr:spPr>
        <a:xfrm>
          <a:off x="2619179" y="65689"/>
          <a:ext cx="1032981" cy="970803"/>
        </a:xfrm>
        <a:prstGeom prst="rect">
          <a:avLst/>
        </a:prstGeom>
        <a:ln>
          <a:solidFill>
            <a:schemeClr val="tx2">
              <a:lumMod val="20000"/>
              <a:lumOff val="80000"/>
            </a:schemeClr>
          </a:solidFill>
        </a:ln>
      </xdr:spPr>
    </xdr:pic>
    <xdr:clientData/>
  </xdr:oneCellAnchor>
</xdr:wsDr>
</file>

<file path=xl/drawings/drawing25.xml><?xml version="1.0" encoding="utf-8"?>
<xdr:wsDr xmlns:xdr="http://schemas.openxmlformats.org/drawingml/2006/spreadsheetDrawing" xmlns:a="http://schemas.openxmlformats.org/drawingml/2006/main">
  <xdr:oneCellAnchor>
    <xdr:from>
      <xdr:col>6</xdr:col>
      <xdr:colOff>733425</xdr:colOff>
      <xdr:row>3</xdr:row>
      <xdr:rowOff>76200</xdr:rowOff>
    </xdr:from>
    <xdr:ext cx="3552395" cy="2704757"/>
    <xdr:pic>
      <xdr:nvPicPr>
        <xdr:cNvPr id="2" name="Image 1">
          <a:extLst>
            <a:ext uri="{FF2B5EF4-FFF2-40B4-BE49-F238E27FC236}">
              <a16:creationId xmlns:a16="http://schemas.microsoft.com/office/drawing/2014/main" id="{83C8F241-3C00-4109-891A-9E57A6EB907C}"/>
            </a:ext>
          </a:extLst>
        </xdr:cNvPr>
        <xdr:cNvPicPr>
          <a:picLocks noChangeAspect="1"/>
        </xdr:cNvPicPr>
      </xdr:nvPicPr>
      <xdr:blipFill>
        <a:blip xmlns:r="http://schemas.openxmlformats.org/officeDocument/2006/relationships" r:embed="rId1"/>
        <a:stretch>
          <a:fillRect/>
        </a:stretch>
      </xdr:blipFill>
      <xdr:spPr>
        <a:xfrm>
          <a:off x="5442585" y="624840"/>
          <a:ext cx="3552395" cy="2704757"/>
        </a:xfrm>
        <a:prstGeom prst="rect">
          <a:avLst/>
        </a:prstGeom>
      </xdr:spPr>
    </xdr:pic>
    <xdr:clientData/>
  </xdr:oneCellAnchor>
</xdr:wsDr>
</file>

<file path=xl/drawings/drawing26.xml><?xml version="1.0" encoding="utf-8"?>
<xdr:wsDr xmlns:xdr="http://schemas.openxmlformats.org/drawingml/2006/spreadsheetDrawing" xmlns:a="http://schemas.openxmlformats.org/drawingml/2006/main">
  <xdr:oneCellAnchor>
    <xdr:from>
      <xdr:col>3</xdr:col>
      <xdr:colOff>704850</xdr:colOff>
      <xdr:row>1</xdr:row>
      <xdr:rowOff>29315</xdr:rowOff>
    </xdr:from>
    <xdr:ext cx="1133474" cy="1034666"/>
    <xdr:pic>
      <xdr:nvPicPr>
        <xdr:cNvPr id="2" name="Image 1">
          <a:extLst>
            <a:ext uri="{FF2B5EF4-FFF2-40B4-BE49-F238E27FC236}">
              <a16:creationId xmlns:a16="http://schemas.microsoft.com/office/drawing/2014/main" id="{36D97DD4-C871-4F63-BC70-ABBDD27166C5}"/>
            </a:ext>
          </a:extLst>
        </xdr:cNvPr>
        <xdr:cNvPicPr>
          <a:picLocks noChangeAspect="1"/>
        </xdr:cNvPicPr>
      </xdr:nvPicPr>
      <xdr:blipFill>
        <a:blip xmlns:r="http://schemas.openxmlformats.org/officeDocument/2006/relationships" r:embed="rId1"/>
        <a:stretch>
          <a:fillRect/>
        </a:stretch>
      </xdr:blipFill>
      <xdr:spPr>
        <a:xfrm>
          <a:off x="3059430" y="212195"/>
          <a:ext cx="1133474" cy="1034666"/>
        </a:xfrm>
        <a:prstGeom prst="rect">
          <a:avLst/>
        </a:prstGeom>
      </xdr:spPr>
    </xdr:pic>
    <xdr:clientData/>
  </xdr:oneCellAnchor>
</xdr:wsDr>
</file>

<file path=xl/drawings/drawing27.xml><?xml version="1.0" encoding="utf-8"?>
<xdr:wsDr xmlns:xdr="http://schemas.openxmlformats.org/drawingml/2006/spreadsheetDrawing" xmlns:a="http://schemas.openxmlformats.org/drawingml/2006/main">
  <xdr:twoCellAnchor>
    <xdr:from>
      <xdr:col>6</xdr:col>
      <xdr:colOff>45720</xdr:colOff>
      <xdr:row>6</xdr:row>
      <xdr:rowOff>179070</xdr:rowOff>
    </xdr:from>
    <xdr:to>
      <xdr:col>11</xdr:col>
      <xdr:colOff>655320</xdr:colOff>
      <xdr:row>21</xdr:row>
      <xdr:rowOff>179070</xdr:rowOff>
    </xdr:to>
    <xdr:graphicFrame macro="">
      <xdr:nvGraphicFramePr>
        <xdr:cNvPr id="2" name="Graphique 1">
          <a:extLst>
            <a:ext uri="{FF2B5EF4-FFF2-40B4-BE49-F238E27FC236}">
              <a16:creationId xmlns:a16="http://schemas.microsoft.com/office/drawing/2014/main" id="{B790E0C0-E664-4927-A051-B0F3C535EDA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8.xml><?xml version="1.0" encoding="utf-8"?>
<xdr:wsDr xmlns:xdr="http://schemas.openxmlformats.org/drawingml/2006/spreadsheetDrawing" xmlns:a="http://schemas.openxmlformats.org/drawingml/2006/main">
  <xdr:oneCellAnchor>
    <xdr:from>
      <xdr:col>0</xdr:col>
      <xdr:colOff>209550</xdr:colOff>
      <xdr:row>25</xdr:row>
      <xdr:rowOff>104775</xdr:rowOff>
    </xdr:from>
    <xdr:ext cx="4868594" cy="2723795"/>
    <xdr:pic>
      <xdr:nvPicPr>
        <xdr:cNvPr id="2" name="Image 1">
          <a:extLst>
            <a:ext uri="{FF2B5EF4-FFF2-40B4-BE49-F238E27FC236}">
              <a16:creationId xmlns:a16="http://schemas.microsoft.com/office/drawing/2014/main" id="{4A820789-B2E4-4E3B-89FD-5EB4F212E382}"/>
            </a:ext>
          </a:extLst>
        </xdr:cNvPr>
        <xdr:cNvPicPr>
          <a:picLocks noChangeAspect="1"/>
        </xdr:cNvPicPr>
      </xdr:nvPicPr>
      <xdr:blipFill>
        <a:blip xmlns:r="http://schemas.openxmlformats.org/officeDocument/2006/relationships" r:embed="rId1"/>
        <a:stretch>
          <a:fillRect/>
        </a:stretch>
      </xdr:blipFill>
      <xdr:spPr>
        <a:xfrm>
          <a:off x="209550" y="4676775"/>
          <a:ext cx="4868594" cy="2723795"/>
        </a:xfrm>
        <a:prstGeom prst="rect">
          <a:avLst/>
        </a:prstGeom>
      </xdr:spPr>
    </xdr:pic>
    <xdr:clientData/>
  </xdr:oneCellAnchor>
  <xdr:oneCellAnchor>
    <xdr:from>
      <xdr:col>0</xdr:col>
      <xdr:colOff>0</xdr:colOff>
      <xdr:row>0</xdr:row>
      <xdr:rowOff>0</xdr:rowOff>
    </xdr:from>
    <xdr:ext cx="6434316" cy="4417120"/>
    <xdr:pic>
      <xdr:nvPicPr>
        <xdr:cNvPr id="3" name="Image 2">
          <a:extLst>
            <a:ext uri="{FF2B5EF4-FFF2-40B4-BE49-F238E27FC236}">
              <a16:creationId xmlns:a16="http://schemas.microsoft.com/office/drawing/2014/main" id="{CD9361D7-B6D5-4234-8412-529E182B43AD}"/>
            </a:ext>
          </a:extLst>
        </xdr:cNvPr>
        <xdr:cNvPicPr>
          <a:picLocks noChangeAspect="1"/>
        </xdr:cNvPicPr>
      </xdr:nvPicPr>
      <xdr:blipFill>
        <a:blip xmlns:r="http://schemas.openxmlformats.org/officeDocument/2006/relationships" r:embed="rId2"/>
        <a:stretch>
          <a:fillRect/>
        </a:stretch>
      </xdr:blipFill>
      <xdr:spPr>
        <a:xfrm>
          <a:off x="0" y="0"/>
          <a:ext cx="6434316" cy="4417120"/>
        </a:xfrm>
        <a:prstGeom prst="rect">
          <a:avLst/>
        </a:prstGeom>
      </xdr:spPr>
    </xdr:pic>
    <xdr:clientData/>
  </xdr:oneCellAnchor>
</xdr:wsDr>
</file>

<file path=xl/drawings/drawing29.xml><?xml version="1.0" encoding="utf-8"?>
<xdr:wsDr xmlns:xdr="http://schemas.openxmlformats.org/drawingml/2006/spreadsheetDrawing" xmlns:a="http://schemas.openxmlformats.org/drawingml/2006/main">
  <xdr:oneCellAnchor>
    <xdr:from>
      <xdr:col>7</xdr:col>
      <xdr:colOff>0</xdr:colOff>
      <xdr:row>1</xdr:row>
      <xdr:rowOff>0</xdr:rowOff>
    </xdr:from>
    <xdr:ext cx="1451610" cy="1058545"/>
    <xdr:pic>
      <xdr:nvPicPr>
        <xdr:cNvPr id="2" name="Image 1" descr="3d Les Blancs Avec Le Signe De Pourcentage. Concept De Remise Sur ...">
          <a:extLst>
            <a:ext uri="{FF2B5EF4-FFF2-40B4-BE49-F238E27FC236}">
              <a16:creationId xmlns:a16="http://schemas.microsoft.com/office/drawing/2014/main" id="{C3259CEC-E9AE-4BA2-8513-BC590C6B7C12}"/>
            </a:ext>
          </a:extLst>
        </xdr:cNvPr>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5494020" y="182880"/>
          <a:ext cx="1451610" cy="1058545"/>
        </a:xfrm>
        <a:prstGeom prst="rect">
          <a:avLst/>
        </a:prstGeom>
        <a:noFill/>
        <a:ln>
          <a:solidFill>
            <a:srgbClr val="002060"/>
          </a:solidFill>
        </a:ln>
      </xdr:spPr>
    </xdr:pic>
    <xdr:clientData/>
  </xdr:oneCellAnchor>
</xdr:wsDr>
</file>

<file path=xl/drawings/drawing30.xml><?xml version="1.0" encoding="utf-8"?>
<xdr:wsDr xmlns:xdr="http://schemas.openxmlformats.org/drawingml/2006/spreadsheetDrawing" xmlns:a="http://schemas.openxmlformats.org/drawingml/2006/main">
  <xdr:oneCellAnchor>
    <xdr:from>
      <xdr:col>8</xdr:col>
      <xdr:colOff>7620</xdr:colOff>
      <xdr:row>1</xdr:row>
      <xdr:rowOff>0</xdr:rowOff>
    </xdr:from>
    <xdr:ext cx="2057400" cy="2675255"/>
    <xdr:pic>
      <xdr:nvPicPr>
        <xdr:cNvPr id="2" name="Image 1" descr="Applications, plateformes et formulaires pour l'inventaire de vos ...">
          <a:extLst>
            <a:ext uri="{FF2B5EF4-FFF2-40B4-BE49-F238E27FC236}">
              <a16:creationId xmlns:a16="http://schemas.microsoft.com/office/drawing/2014/main" id="{F451DB5D-053B-4DB6-A087-5FC5473C102E}"/>
            </a:ext>
          </a:extLst>
        </xdr:cNvPr>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r="52892" b="-54"/>
        <a:stretch/>
      </xdr:blipFill>
      <xdr:spPr bwMode="auto">
        <a:xfrm>
          <a:off x="6286500" y="182880"/>
          <a:ext cx="2057400" cy="2675255"/>
        </a:xfrm>
        <a:prstGeom prst="rect">
          <a:avLst/>
        </a:prstGeom>
        <a:noFill/>
        <a:ln>
          <a:solidFill>
            <a:schemeClr val="tx2"/>
          </a:solidFill>
        </a:ln>
        <a:extLst>
          <a:ext uri="{53640926-AAD7-44D8-BBD7-CCE9431645EC}">
            <a14:shadowObscured xmlns:a14="http://schemas.microsoft.com/office/drawing/2010/main"/>
          </a:ext>
        </a:extLst>
      </xdr:spPr>
    </xdr:pic>
    <xdr:clientData/>
  </xdr:oneCellAnchor>
</xdr:wsDr>
</file>

<file path=xl/drawings/drawing31.xml><?xml version="1.0" encoding="utf-8"?>
<xdr:wsDr xmlns:xdr="http://schemas.openxmlformats.org/drawingml/2006/spreadsheetDrawing" xmlns:a="http://schemas.openxmlformats.org/drawingml/2006/main">
  <xdr:oneCellAnchor>
    <xdr:from>
      <xdr:col>8</xdr:col>
      <xdr:colOff>232833</xdr:colOff>
      <xdr:row>1</xdr:row>
      <xdr:rowOff>116417</xdr:rowOff>
    </xdr:from>
    <xdr:ext cx="1961093" cy="1584749"/>
    <xdr:pic>
      <xdr:nvPicPr>
        <xdr:cNvPr id="2" name="Image 1">
          <a:extLst>
            <a:ext uri="{FF2B5EF4-FFF2-40B4-BE49-F238E27FC236}">
              <a16:creationId xmlns:a16="http://schemas.microsoft.com/office/drawing/2014/main" id="{5C1E888D-4878-4A5E-9352-3D22EE652119}"/>
            </a:ext>
          </a:extLst>
        </xdr:cNvPr>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6572673" y="299297"/>
          <a:ext cx="1961093" cy="1584749"/>
        </a:xfrm>
        <a:prstGeom prst="rect">
          <a:avLst/>
        </a:prstGeom>
      </xdr:spPr>
    </xdr:pic>
    <xdr:clientData/>
  </xdr:oneCellAnchor>
</xdr:wsDr>
</file>

<file path=xl/drawings/drawing32.xml><?xml version="1.0" encoding="utf-8"?>
<xdr:wsDr xmlns:xdr="http://schemas.openxmlformats.org/drawingml/2006/spreadsheetDrawing" xmlns:a="http://schemas.openxmlformats.org/drawingml/2006/main">
  <xdr:oneCellAnchor>
    <xdr:from>
      <xdr:col>9</xdr:col>
      <xdr:colOff>0</xdr:colOff>
      <xdr:row>2</xdr:row>
      <xdr:rowOff>0</xdr:rowOff>
    </xdr:from>
    <xdr:ext cx="1412240" cy="685165"/>
    <xdr:pic>
      <xdr:nvPicPr>
        <xdr:cNvPr id="2" name="Image 1">
          <a:extLst>
            <a:ext uri="{FF2B5EF4-FFF2-40B4-BE49-F238E27FC236}">
              <a16:creationId xmlns:a16="http://schemas.microsoft.com/office/drawing/2014/main" id="{202C4B62-2790-4364-BFDB-3BD84E0CC4D5}"/>
            </a:ext>
          </a:extLst>
        </xdr:cNvPr>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7063740" y="365760"/>
          <a:ext cx="1412240" cy="685165"/>
        </a:xfrm>
        <a:prstGeom prst="rect">
          <a:avLst/>
        </a:prstGeom>
        <a:ln>
          <a:solidFill>
            <a:schemeClr val="tx2"/>
          </a:solidFill>
        </a:ln>
      </xdr:spPr>
    </xdr:pic>
    <xdr:clientData/>
  </xdr:oneCellAnchor>
</xdr:wsDr>
</file>

<file path=xl/drawings/drawing33.xml><?xml version="1.0" encoding="utf-8"?>
<xdr:wsDr xmlns:xdr="http://schemas.openxmlformats.org/drawingml/2006/spreadsheetDrawing" xmlns:a="http://schemas.openxmlformats.org/drawingml/2006/main">
  <xdr:oneCellAnchor>
    <xdr:from>
      <xdr:col>4</xdr:col>
      <xdr:colOff>56030</xdr:colOff>
      <xdr:row>17</xdr:row>
      <xdr:rowOff>67235</xdr:rowOff>
    </xdr:from>
    <xdr:ext cx="3888441" cy="1653988"/>
    <xdr:pic>
      <xdr:nvPicPr>
        <xdr:cNvPr id="2" name="Image 1" descr="La diode. - Memo électrotechnique">
          <a:extLst>
            <a:ext uri="{FF2B5EF4-FFF2-40B4-BE49-F238E27FC236}">
              <a16:creationId xmlns:a16="http://schemas.microsoft.com/office/drawing/2014/main" id="{027E5843-BA0E-4E2A-B10B-12986B4076E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225950" y="3176195"/>
          <a:ext cx="3888441" cy="1653988"/>
        </a:xfrm>
        <a:prstGeom prst="rect">
          <a:avLst/>
        </a:prstGeom>
        <a:noFill/>
        <a:ln>
          <a:solidFill>
            <a:schemeClr val="accent1"/>
          </a:solidFill>
        </a:ln>
        <a:extLst>
          <a:ext uri="{909E8E84-426E-40DD-AFC4-6F175D3DCCD1}">
            <a14:hiddenFill xmlns:a14="http://schemas.microsoft.com/office/drawing/2010/main">
              <a:solidFill>
                <a:srgbClr val="FFFFFF"/>
              </a:solidFill>
            </a14:hiddenFill>
          </a:ext>
        </a:extLst>
      </xdr:spPr>
    </xdr:pic>
    <xdr:clientData/>
  </xdr:oneCellAnchor>
  <xdr:oneCellAnchor>
    <xdr:from>
      <xdr:col>1</xdr:col>
      <xdr:colOff>1</xdr:colOff>
      <xdr:row>17</xdr:row>
      <xdr:rowOff>0</xdr:rowOff>
    </xdr:from>
    <xdr:ext cx="2162734" cy="1776062"/>
    <xdr:pic>
      <xdr:nvPicPr>
        <xdr:cNvPr id="3" name="Image 2">
          <a:extLst>
            <a:ext uri="{FF2B5EF4-FFF2-40B4-BE49-F238E27FC236}">
              <a16:creationId xmlns:a16="http://schemas.microsoft.com/office/drawing/2014/main" id="{E0C09804-C432-4397-912C-27AA5747F253}"/>
            </a:ext>
          </a:extLst>
        </xdr:cNvPr>
        <xdr:cNvPicPr>
          <a:picLocks noChangeAspect="1"/>
        </xdr:cNvPicPr>
      </xdr:nvPicPr>
      <xdr:blipFill>
        <a:blip xmlns:r="http://schemas.openxmlformats.org/officeDocument/2006/relationships" r:embed="rId2"/>
        <a:stretch>
          <a:fillRect/>
        </a:stretch>
      </xdr:blipFill>
      <xdr:spPr>
        <a:xfrm>
          <a:off x="792481" y="3108960"/>
          <a:ext cx="2162734" cy="1776062"/>
        </a:xfrm>
        <a:prstGeom prst="rect">
          <a:avLst/>
        </a:prstGeom>
        <a:ln>
          <a:solidFill>
            <a:schemeClr val="accent1"/>
          </a:solidFill>
        </a:ln>
      </xdr:spPr>
    </xdr:pic>
    <xdr:clientData/>
  </xdr:oneCellAnchor>
  <xdr:oneCellAnchor>
    <xdr:from>
      <xdr:col>9</xdr:col>
      <xdr:colOff>324971</xdr:colOff>
      <xdr:row>17</xdr:row>
      <xdr:rowOff>112060</xdr:rowOff>
    </xdr:from>
    <xdr:ext cx="2478741" cy="1532965"/>
    <xdr:pic>
      <xdr:nvPicPr>
        <xdr:cNvPr id="4" name="Image 3" descr="Système électrique à puissance continue stabilisé par un filtrage ...">
          <a:extLst>
            <a:ext uri="{FF2B5EF4-FFF2-40B4-BE49-F238E27FC236}">
              <a16:creationId xmlns:a16="http://schemas.microsoft.com/office/drawing/2014/main" id="{012D15E0-B91E-41E2-A527-D451E9935430}"/>
            </a:ext>
          </a:extLst>
        </xdr:cNvPr>
        <xdr:cNvPicPr>
          <a:picLocks noChangeAspect="1" noChangeArrowheads="1"/>
        </xdr:cNvPicPr>
      </xdr:nvPicPr>
      <xdr:blipFill rotWithShape="1">
        <a:blip xmlns:r="http://schemas.openxmlformats.org/officeDocument/2006/relationships" r:embed="rId3" cstate="print">
          <a:extLst>
            <a:ext uri="{28A0092B-C50C-407E-A947-70E740481C1C}">
              <a14:useLocalDpi xmlns:a14="http://schemas.microsoft.com/office/drawing/2010/main" val="0"/>
            </a:ext>
          </a:extLst>
        </a:blip>
        <a:srcRect b="9225"/>
        <a:stretch/>
      </xdr:blipFill>
      <xdr:spPr bwMode="auto">
        <a:xfrm>
          <a:off x="7457291" y="3221020"/>
          <a:ext cx="2478741" cy="1532965"/>
        </a:xfrm>
        <a:prstGeom prst="rect">
          <a:avLst/>
        </a:prstGeom>
        <a:noFill/>
        <a:ln>
          <a:solidFill>
            <a:schemeClr val="accent1"/>
          </a:solidFill>
        </a:ln>
        <a:extLst>
          <a:ext uri="{909E8E84-426E-40DD-AFC4-6F175D3DCCD1}">
            <a14:hiddenFill xmlns:a14="http://schemas.microsoft.com/office/drawing/2010/main">
              <a:solidFill>
                <a:srgbClr val="FFFFFF"/>
              </a:solidFill>
            </a14:hiddenFill>
          </a:ext>
        </a:extLst>
      </xdr:spPr>
    </xdr:pic>
    <xdr:clientData/>
  </xdr:one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exercies-85-et-8.6.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8.5 infos"/>
      <sheetName val="8.5-coûts"/>
      <sheetName val="8.6"/>
    </sheetNames>
    <sheetDataSet>
      <sheetData sheetId="0" refreshError="1">
        <row r="10">
          <cell r="B10">
            <v>0.25</v>
          </cell>
        </row>
        <row r="11">
          <cell r="B11">
            <v>1.5</v>
          </cell>
        </row>
        <row r="12">
          <cell r="B12">
            <v>18</v>
          </cell>
        </row>
        <row r="13">
          <cell r="B13">
            <v>0.1</v>
          </cell>
        </row>
        <row r="14">
          <cell r="B14">
            <v>0.12</v>
          </cell>
        </row>
      </sheetData>
      <sheetData sheetId="1" refreshError="1"/>
      <sheetData sheetId="2" refreshError="1"/>
    </sheetDataSet>
  </externalBook>
</externalLink>
</file>

<file path=xl/theme/theme1.xml><?xml version="1.0" encoding="utf-8"?>
<a:theme xmlns:a="http://schemas.openxmlformats.org/drawingml/2006/main" name="Thèm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5.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8.bin"/></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9.bin"/></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10.bin"/></Relationships>
</file>

<file path=xl/worksheets/_rels/sheet16.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9.xml"/><Relationship Id="rId1" Type="http://schemas.openxmlformats.org/officeDocument/2006/relationships/printerSettings" Target="../printerSettings/printerSettings11.bin"/></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12.bin"/></Relationships>
</file>

<file path=xl/worksheets/_rels/sheet18.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13.bin"/></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23.xml.rels><?xml version="1.0" encoding="UTF-8" standalone="yes"?>
<Relationships xmlns="http://schemas.openxmlformats.org/package/2006/relationships"><Relationship Id="rId2" Type="http://schemas.openxmlformats.org/officeDocument/2006/relationships/drawing" Target="../drawings/drawing17.xml"/><Relationship Id="rId1" Type="http://schemas.openxmlformats.org/officeDocument/2006/relationships/printerSettings" Target="../printerSettings/printerSettings14.bin"/></Relationships>
</file>

<file path=xl/worksheets/_rels/sheet24.xml.rels><?xml version="1.0" encoding="UTF-8" standalone="yes"?>
<Relationships xmlns="http://schemas.openxmlformats.org/package/2006/relationships"><Relationship Id="rId2" Type="http://schemas.openxmlformats.org/officeDocument/2006/relationships/drawing" Target="../drawings/drawing18.xml"/><Relationship Id="rId1" Type="http://schemas.openxmlformats.org/officeDocument/2006/relationships/printerSettings" Target="../printerSettings/printerSettings15.bin"/></Relationships>
</file>

<file path=xl/worksheets/_rels/sheet25.xml.rels><?xml version="1.0" encoding="UTF-8" standalone="yes"?>
<Relationships xmlns="http://schemas.openxmlformats.org/package/2006/relationships"><Relationship Id="rId1" Type="http://schemas.openxmlformats.org/officeDocument/2006/relationships/drawing" Target="../drawings/drawing19.xml"/></Relationships>
</file>

<file path=xl/worksheets/_rels/sheet26.xml.rels><?xml version="1.0" encoding="UTF-8" standalone="yes"?>
<Relationships xmlns="http://schemas.openxmlformats.org/package/2006/relationships"><Relationship Id="rId2" Type="http://schemas.openxmlformats.org/officeDocument/2006/relationships/drawing" Target="../drawings/drawing20.xml"/><Relationship Id="rId1" Type="http://schemas.openxmlformats.org/officeDocument/2006/relationships/printerSettings" Target="../printerSettings/printerSettings16.bin"/></Relationships>
</file>

<file path=xl/worksheets/_rels/sheet27.xml.rels><?xml version="1.0" encoding="UTF-8" standalone="yes"?>
<Relationships xmlns="http://schemas.openxmlformats.org/package/2006/relationships"><Relationship Id="rId2" Type="http://schemas.openxmlformats.org/officeDocument/2006/relationships/drawing" Target="../drawings/drawing21.xml"/><Relationship Id="rId1" Type="http://schemas.openxmlformats.org/officeDocument/2006/relationships/printerSettings" Target="../printerSettings/printerSettings17.bin"/></Relationships>
</file>

<file path=xl/worksheets/_rels/sheet28.xml.rels><?xml version="1.0" encoding="UTF-8" standalone="yes"?>
<Relationships xmlns="http://schemas.openxmlformats.org/package/2006/relationships"><Relationship Id="rId2" Type="http://schemas.openxmlformats.org/officeDocument/2006/relationships/drawing" Target="../drawings/drawing22.xml"/><Relationship Id="rId1" Type="http://schemas.openxmlformats.org/officeDocument/2006/relationships/printerSettings" Target="../printerSettings/printerSettings18.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30.xml.rels><?xml version="1.0" encoding="UTF-8" standalone="yes"?>
<Relationships xmlns="http://schemas.openxmlformats.org/package/2006/relationships"><Relationship Id="rId2" Type="http://schemas.openxmlformats.org/officeDocument/2006/relationships/drawing" Target="../drawings/drawing23.xml"/><Relationship Id="rId1" Type="http://schemas.openxmlformats.org/officeDocument/2006/relationships/printerSettings" Target="../printerSettings/printerSettings20.bin"/></Relationships>
</file>

<file path=xl/worksheets/_rels/sheet31.xml.rels><?xml version="1.0" encoding="UTF-8" standalone="yes"?>
<Relationships xmlns="http://schemas.openxmlformats.org/package/2006/relationships"><Relationship Id="rId2" Type="http://schemas.openxmlformats.org/officeDocument/2006/relationships/drawing" Target="../drawings/drawing24.xml"/><Relationship Id="rId1" Type="http://schemas.openxmlformats.org/officeDocument/2006/relationships/printerSettings" Target="../printerSettings/printerSettings21.bin"/></Relationships>
</file>

<file path=xl/worksheets/_rels/sheet32.xml.rels><?xml version="1.0" encoding="UTF-8" standalone="yes"?>
<Relationships xmlns="http://schemas.openxmlformats.org/package/2006/relationships"><Relationship Id="rId2" Type="http://schemas.openxmlformats.org/officeDocument/2006/relationships/drawing" Target="../drawings/drawing25.xml"/><Relationship Id="rId1" Type="http://schemas.openxmlformats.org/officeDocument/2006/relationships/printerSettings" Target="../printerSettings/printerSettings22.bin"/></Relationships>
</file>

<file path=xl/worksheets/_rels/sheet33.xml.rels><?xml version="1.0" encoding="UTF-8" standalone="yes"?>
<Relationships xmlns="http://schemas.openxmlformats.org/package/2006/relationships"><Relationship Id="rId2" Type="http://schemas.openxmlformats.org/officeDocument/2006/relationships/drawing" Target="../drawings/drawing26.xml"/><Relationship Id="rId1" Type="http://schemas.openxmlformats.org/officeDocument/2006/relationships/printerSettings" Target="../printerSettings/printerSettings23.bin"/></Relationships>
</file>

<file path=xl/worksheets/_rels/sheet34.xml.rels><?xml version="1.0" encoding="UTF-8" standalone="yes"?>
<Relationships xmlns="http://schemas.openxmlformats.org/package/2006/relationships"><Relationship Id="rId1" Type="http://schemas.openxmlformats.org/officeDocument/2006/relationships/drawing" Target="../drawings/drawing27.xml"/></Relationships>
</file>

<file path=xl/worksheets/_rels/sheet35.xml.rels><?xml version="1.0" encoding="UTF-8" standalone="yes"?>
<Relationships xmlns="http://schemas.openxmlformats.org/package/2006/relationships"><Relationship Id="rId1" Type="http://schemas.openxmlformats.org/officeDocument/2006/relationships/drawing" Target="../drawings/drawing28.xml"/></Relationships>
</file>

<file path=xl/worksheets/_rels/sheet36.xml.rels><?xml version="1.0" encoding="UTF-8" standalone="yes"?>
<Relationships xmlns="http://schemas.openxmlformats.org/package/2006/relationships"><Relationship Id="rId2" Type="http://schemas.openxmlformats.org/officeDocument/2006/relationships/drawing" Target="../drawings/drawing29.xml"/><Relationship Id="rId1" Type="http://schemas.openxmlformats.org/officeDocument/2006/relationships/printerSettings" Target="../printerSettings/printerSettings24.bin"/></Relationships>
</file>

<file path=xl/worksheets/_rels/sheet37.xml.rels><?xml version="1.0" encoding="UTF-8" standalone="yes"?>
<Relationships xmlns="http://schemas.openxmlformats.org/package/2006/relationships"><Relationship Id="rId1" Type="http://schemas.openxmlformats.org/officeDocument/2006/relationships/printerSettings" Target="../printerSettings/printerSettings25.bin"/></Relationships>
</file>

<file path=xl/worksheets/_rels/sheet38.xml.rels><?xml version="1.0" encoding="UTF-8" standalone="yes"?>
<Relationships xmlns="http://schemas.openxmlformats.org/package/2006/relationships"><Relationship Id="rId1" Type="http://schemas.openxmlformats.org/officeDocument/2006/relationships/printerSettings" Target="../printerSettings/printerSettings26.bin"/></Relationships>
</file>

<file path=xl/worksheets/_rels/sheet39.xml.rels><?xml version="1.0" encoding="UTF-8" standalone="yes"?>
<Relationships xmlns="http://schemas.openxmlformats.org/package/2006/relationships"><Relationship Id="rId2" Type="http://schemas.openxmlformats.org/officeDocument/2006/relationships/drawing" Target="../drawings/drawing30.xml"/><Relationship Id="rId1" Type="http://schemas.openxmlformats.org/officeDocument/2006/relationships/printerSettings" Target="../printerSettings/printerSettings27.bin"/></Relationships>
</file>

<file path=xl/worksheets/_rels/sheet40.xml.rels><?xml version="1.0" encoding="UTF-8" standalone="yes"?>
<Relationships xmlns="http://schemas.openxmlformats.org/package/2006/relationships"><Relationship Id="rId2" Type="http://schemas.openxmlformats.org/officeDocument/2006/relationships/drawing" Target="../drawings/drawing31.xml"/><Relationship Id="rId1" Type="http://schemas.openxmlformats.org/officeDocument/2006/relationships/printerSettings" Target="../printerSettings/printerSettings28.bin"/></Relationships>
</file>

<file path=xl/worksheets/_rels/sheet41.xml.rels><?xml version="1.0" encoding="UTF-8" standalone="yes"?>
<Relationships xmlns="http://schemas.openxmlformats.org/package/2006/relationships"><Relationship Id="rId2" Type="http://schemas.openxmlformats.org/officeDocument/2006/relationships/drawing" Target="../drawings/drawing32.xml"/><Relationship Id="rId1" Type="http://schemas.openxmlformats.org/officeDocument/2006/relationships/printerSettings" Target="../printerSettings/printerSettings29.bin"/></Relationships>
</file>

<file path=xl/worksheets/_rels/sheet42.xml.rels><?xml version="1.0" encoding="UTF-8" standalone="yes"?>
<Relationships xmlns="http://schemas.openxmlformats.org/package/2006/relationships"><Relationship Id="rId2" Type="http://schemas.openxmlformats.org/officeDocument/2006/relationships/drawing" Target="../drawings/drawing33.xml"/><Relationship Id="rId1" Type="http://schemas.openxmlformats.org/officeDocument/2006/relationships/printerSettings" Target="../printerSettings/printerSettings30.bin"/></Relationships>
</file>

<file path=xl/worksheets/_rels/sheet43.xml.rels><?xml version="1.0" encoding="UTF-8" standalone="yes"?>
<Relationships xmlns="http://schemas.openxmlformats.org/package/2006/relationships"><Relationship Id="rId1" Type="http://schemas.openxmlformats.org/officeDocument/2006/relationships/printerSettings" Target="../printerSettings/printerSettings3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E35CF81-37D7-4509-BB1F-6F7FC1274B36}">
  <dimension ref="A1:E6"/>
  <sheetViews>
    <sheetView workbookViewId="0">
      <selection activeCell="E3" sqref="E3"/>
    </sheetView>
  </sheetViews>
  <sheetFormatPr baseColWidth="10" defaultRowHeight="14.4"/>
  <cols>
    <col min="4" max="4" width="14.77734375" bestFit="1" customWidth="1"/>
    <col min="5" max="5" width="12.77734375" bestFit="1" customWidth="1"/>
  </cols>
  <sheetData>
    <row r="1" spans="1:5">
      <c r="A1" s="7" t="s">
        <v>7</v>
      </c>
      <c r="B1" s="7"/>
      <c r="C1" s="7"/>
      <c r="D1" s="7" t="s">
        <v>6</v>
      </c>
      <c r="E1" s="7" t="s">
        <v>5</v>
      </c>
    </row>
    <row r="2" spans="1:5">
      <c r="A2" s="6" t="s">
        <v>4</v>
      </c>
      <c r="B2" s="4">
        <v>125</v>
      </c>
      <c r="C2">
        <v>20</v>
      </c>
      <c r="D2" s="5">
        <f>C2*B2</f>
        <v>2500</v>
      </c>
      <c r="E2" s="4">
        <f>D2</f>
        <v>2500</v>
      </c>
    </row>
    <row r="3" spans="1:5">
      <c r="A3" s="6" t="s">
        <v>3</v>
      </c>
      <c r="B3" s="4">
        <v>1500</v>
      </c>
      <c r="C3">
        <v>115</v>
      </c>
      <c r="D3" s="5">
        <f>C3*B3</f>
        <v>172500</v>
      </c>
      <c r="E3" s="4">
        <f>D3+E2</f>
        <v>175000</v>
      </c>
    </row>
    <row r="4" spans="1:5">
      <c r="A4" s="6" t="s">
        <v>2</v>
      </c>
      <c r="B4" s="4">
        <v>2600</v>
      </c>
      <c r="C4">
        <v>60</v>
      </c>
      <c r="D4" s="5">
        <f>C4*B4</f>
        <v>156000</v>
      </c>
      <c r="E4" s="4">
        <f>D4+E3</f>
        <v>331000</v>
      </c>
    </row>
    <row r="5" spans="1:5">
      <c r="A5" s="6" t="s">
        <v>1</v>
      </c>
      <c r="B5" s="4">
        <v>900</v>
      </c>
      <c r="C5">
        <v>30</v>
      </c>
      <c r="D5" s="5">
        <f>C5*B5</f>
        <v>27000</v>
      </c>
      <c r="E5" s="4">
        <f>D5+E4</f>
        <v>358000</v>
      </c>
    </row>
    <row r="6" spans="1:5">
      <c r="A6" s="3" t="s">
        <v>0</v>
      </c>
      <c r="B6" s="1"/>
      <c r="C6" s="1"/>
      <c r="D6" s="2">
        <f>SUM(D2:D5)</f>
        <v>358000</v>
      </c>
      <c r="E6" s="1"/>
    </row>
  </sheetData>
  <pageMargins left="0.7" right="0.7" top="0.75" bottom="0.75"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2EF31C-D66E-4A21-974D-89508DA9EC9E}">
  <dimension ref="A1:H18"/>
  <sheetViews>
    <sheetView zoomScaleNormal="100" workbookViewId="0">
      <selection activeCell="N17" sqref="N17"/>
    </sheetView>
  </sheetViews>
  <sheetFormatPr baseColWidth="10" defaultColWidth="11.44140625" defaultRowHeight="14.4"/>
  <cols>
    <col min="1" max="1" width="11" style="8" customWidth="1"/>
    <col min="2" max="2" width="5.6640625" style="8" customWidth="1"/>
    <col min="3" max="3" width="6.5546875" style="8" customWidth="1"/>
    <col min="4" max="4" width="10" style="8" customWidth="1"/>
    <col min="5" max="5" width="5.6640625" style="8" customWidth="1"/>
    <col min="6" max="6" width="8.44140625" style="8" customWidth="1"/>
    <col min="7" max="7" width="6" style="8" customWidth="1"/>
    <col min="8" max="16384" width="11.44140625" style="8"/>
  </cols>
  <sheetData>
    <row r="1" spans="1:8" ht="14.4" customHeight="1" thickBot="1"/>
    <row r="2" spans="1:8" s="30" customFormat="1" ht="67.95" customHeight="1" thickTop="1" thickBot="1">
      <c r="A2" s="617" t="s">
        <v>28</v>
      </c>
      <c r="B2" s="618"/>
      <c r="C2" s="618"/>
      <c r="D2" s="618"/>
      <c r="E2" s="618"/>
      <c r="F2" s="618"/>
      <c r="G2" s="619"/>
      <c r="H2" s="31"/>
    </row>
    <row r="3" spans="1:8" ht="16.2" customHeight="1" thickTop="1" thickBot="1"/>
    <row r="4" spans="1:8" ht="39" customHeight="1" thickTop="1" thickBot="1">
      <c r="A4" s="29"/>
      <c r="B4" s="28" t="s">
        <v>27</v>
      </c>
      <c r="C4" s="27" t="s">
        <v>26</v>
      </c>
      <c r="D4" s="26" t="s">
        <v>25</v>
      </c>
      <c r="E4" s="27" t="s">
        <v>24</v>
      </c>
      <c r="F4" s="26" t="s">
        <v>23</v>
      </c>
      <c r="G4" s="25" t="s">
        <v>22</v>
      </c>
      <c r="H4" s="620" t="s">
        <v>21</v>
      </c>
    </row>
    <row r="5" spans="1:8" ht="15" thickTop="1">
      <c r="A5" s="24" t="s">
        <v>20</v>
      </c>
      <c r="B5" s="22">
        <v>350</v>
      </c>
      <c r="C5" s="23">
        <v>313</v>
      </c>
      <c r="D5" s="22">
        <v>342</v>
      </c>
      <c r="E5" s="23">
        <v>721</v>
      </c>
      <c r="F5" s="22">
        <v>21</v>
      </c>
      <c r="G5" s="21">
        <v>870</v>
      </c>
      <c r="H5" s="620"/>
    </row>
    <row r="6" spans="1:8">
      <c r="A6" s="20" t="s">
        <v>19</v>
      </c>
      <c r="B6" s="18">
        <v>210</v>
      </c>
      <c r="C6" s="19">
        <v>310</v>
      </c>
      <c r="D6" s="18">
        <v>321</v>
      </c>
      <c r="E6" s="19">
        <v>732</v>
      </c>
      <c r="F6" s="18">
        <v>23</v>
      </c>
      <c r="G6" s="17">
        <v>872</v>
      </c>
      <c r="H6" s="620"/>
    </row>
    <row r="7" spans="1:8">
      <c r="A7" s="20" t="s">
        <v>18</v>
      </c>
      <c r="B7" s="18">
        <v>225</v>
      </c>
      <c r="C7" s="19">
        <v>323</v>
      </c>
      <c r="D7" s="18">
        <v>354</v>
      </c>
      <c r="E7" s="19">
        <v>744</v>
      </c>
      <c r="F7" s="18">
        <v>25</v>
      </c>
      <c r="G7" s="17">
        <v>889</v>
      </c>
      <c r="H7" s="620"/>
    </row>
    <row r="8" spans="1:8">
      <c r="A8" s="20" t="s">
        <v>17</v>
      </c>
      <c r="B8" s="18">
        <v>276</v>
      </c>
      <c r="C8" s="19">
        <v>306</v>
      </c>
      <c r="D8" s="18">
        <v>354</v>
      </c>
      <c r="E8" s="19">
        <v>764</v>
      </c>
      <c r="F8" s="18">
        <v>41</v>
      </c>
      <c r="G8" s="17">
        <v>820</v>
      </c>
      <c r="H8" s="620"/>
    </row>
    <row r="9" spans="1:8">
      <c r="A9" s="20" t="s">
        <v>16</v>
      </c>
      <c r="B9" s="18">
        <v>220</v>
      </c>
      <c r="C9" s="19">
        <v>295</v>
      </c>
      <c r="D9" s="18">
        <v>312</v>
      </c>
      <c r="E9" s="19">
        <v>734</v>
      </c>
      <c r="F9" s="18">
        <v>41</v>
      </c>
      <c r="G9" s="17">
        <v>843</v>
      </c>
      <c r="H9" s="620"/>
    </row>
    <row r="10" spans="1:8">
      <c r="A10" s="20" t="s">
        <v>15</v>
      </c>
      <c r="B10" s="18">
        <v>256</v>
      </c>
      <c r="C10" s="19">
        <v>298</v>
      </c>
      <c r="D10" s="18">
        <v>361</v>
      </c>
      <c r="E10" s="19">
        <v>737</v>
      </c>
      <c r="F10" s="18">
        <v>17</v>
      </c>
      <c r="G10" s="17">
        <v>851</v>
      </c>
      <c r="H10" s="620"/>
    </row>
    <row r="11" spans="1:8">
      <c r="A11" s="20" t="s">
        <v>14</v>
      </c>
      <c r="B11" s="18">
        <v>275</v>
      </c>
      <c r="C11" s="19">
        <v>301</v>
      </c>
      <c r="D11" s="18">
        <v>309</v>
      </c>
      <c r="E11" s="19">
        <v>720</v>
      </c>
      <c r="F11" s="18">
        <v>28</v>
      </c>
      <c r="G11" s="17">
        <v>868</v>
      </c>
      <c r="H11" s="620"/>
    </row>
    <row r="12" spans="1:8">
      <c r="A12" s="20" t="s">
        <v>13</v>
      </c>
      <c r="B12" s="18">
        <v>204</v>
      </c>
      <c r="C12" s="19">
        <v>312</v>
      </c>
      <c r="D12" s="18">
        <v>322</v>
      </c>
      <c r="E12" s="19">
        <v>743</v>
      </c>
      <c r="F12" s="18">
        <v>30</v>
      </c>
      <c r="G12" s="17">
        <v>902</v>
      </c>
      <c r="H12" s="620"/>
    </row>
    <row r="13" spans="1:8">
      <c r="A13" s="20" t="s">
        <v>12</v>
      </c>
      <c r="B13" s="18">
        <v>181</v>
      </c>
      <c r="C13" s="19">
        <v>326</v>
      </c>
      <c r="D13" s="18">
        <v>341</v>
      </c>
      <c r="E13" s="19">
        <v>781</v>
      </c>
      <c r="F13" s="18">
        <v>41</v>
      </c>
      <c r="G13" s="17">
        <v>832</v>
      </c>
      <c r="H13" s="620"/>
    </row>
    <row r="14" spans="1:8">
      <c r="A14" s="20" t="s">
        <v>11</v>
      </c>
      <c r="B14" s="18">
        <v>204</v>
      </c>
      <c r="C14" s="19">
        <v>642</v>
      </c>
      <c r="D14" s="18">
        <v>331</v>
      </c>
      <c r="E14" s="19">
        <v>752</v>
      </c>
      <c r="F14" s="18">
        <v>32</v>
      </c>
      <c r="G14" s="17">
        <v>822</v>
      </c>
      <c r="H14" s="620"/>
    </row>
    <row r="15" spans="1:8">
      <c r="A15" s="20" t="s">
        <v>10</v>
      </c>
      <c r="B15" s="18">
        <v>224</v>
      </c>
      <c r="C15" s="19">
        <v>299</v>
      </c>
      <c r="D15" s="18">
        <v>301</v>
      </c>
      <c r="E15" s="19">
        <v>750</v>
      </c>
      <c r="F15" s="18">
        <v>22</v>
      </c>
      <c r="G15" s="17">
        <v>800</v>
      </c>
      <c r="H15" s="620"/>
    </row>
    <row r="16" spans="1:8" ht="15" thickBot="1">
      <c r="A16" s="16" t="s">
        <v>9</v>
      </c>
      <c r="B16" s="14">
        <v>167</v>
      </c>
      <c r="C16" s="15">
        <v>256</v>
      </c>
      <c r="D16" s="14">
        <v>277</v>
      </c>
      <c r="E16" s="15">
        <v>703</v>
      </c>
      <c r="F16" s="14">
        <v>12</v>
      </c>
      <c r="G16" s="13">
        <v>742</v>
      </c>
      <c r="H16" s="620"/>
    </row>
    <row r="17" spans="1:8" ht="15.6" thickTop="1" thickBot="1">
      <c r="A17" s="12" t="s">
        <v>8</v>
      </c>
      <c r="B17" s="11">
        <f t="shared" ref="B17:G17" si="0">SUM(B5:B16)</f>
        <v>2792</v>
      </c>
      <c r="C17" s="11">
        <f t="shared" si="0"/>
        <v>3981</v>
      </c>
      <c r="D17" s="11">
        <f t="shared" si="0"/>
        <v>3925</v>
      </c>
      <c r="E17" s="11">
        <f t="shared" si="0"/>
        <v>8881</v>
      </c>
      <c r="F17" s="11">
        <f t="shared" si="0"/>
        <v>333</v>
      </c>
      <c r="G17" s="10">
        <f t="shared" si="0"/>
        <v>10111</v>
      </c>
      <c r="H17" s="9"/>
    </row>
    <row r="18" spans="1:8" ht="15" thickTop="1"/>
  </sheetData>
  <mergeCells count="2">
    <mergeCell ref="A2:G2"/>
    <mergeCell ref="H4:H16"/>
  </mergeCells>
  <conditionalFormatting sqref="H4">
    <cfRule type="colorScale" priority="1">
      <colorScale>
        <cfvo type="min"/>
        <cfvo type="percentile" val="50"/>
        <cfvo type="max"/>
        <color rgb="FFF8696B"/>
        <color rgb="FFFFEB84"/>
        <color rgb="FF63BE7B"/>
      </colorScale>
    </cfRule>
  </conditionalFormatting>
  <pageMargins left="0.7" right="0.7" top="0.75" bottom="0.75" header="0.3" footer="0.3"/>
  <pageSetup paperSize="9"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67EDA90-DA7B-483F-9EE4-94ED6E37F55F}">
  <dimension ref="A1:D20"/>
  <sheetViews>
    <sheetView workbookViewId="0">
      <selection activeCell="D3" sqref="D3"/>
    </sheetView>
  </sheetViews>
  <sheetFormatPr baseColWidth="10" defaultColWidth="11.44140625" defaultRowHeight="15" customHeight="1"/>
  <cols>
    <col min="1" max="1" width="12.109375" style="32" bestFit="1" customWidth="1"/>
    <col min="2" max="4" width="14" style="32" bestFit="1" customWidth="1"/>
    <col min="5" max="16384" width="11.44140625" style="32"/>
  </cols>
  <sheetData>
    <row r="1" spans="1:4" ht="27" customHeight="1">
      <c r="A1" s="621" t="s">
        <v>33</v>
      </c>
      <c r="B1" s="621"/>
      <c r="C1" s="42"/>
      <c r="D1" s="42"/>
    </row>
    <row r="3" spans="1:4" ht="15" customHeight="1">
      <c r="A3" s="42"/>
      <c r="B3" s="41">
        <v>2015</v>
      </c>
      <c r="C3" s="41">
        <v>2016</v>
      </c>
      <c r="D3" s="41">
        <v>2017</v>
      </c>
    </row>
    <row r="4" spans="1:4" ht="15" customHeight="1">
      <c r="A4" s="38" t="s">
        <v>20</v>
      </c>
      <c r="B4" s="37">
        <v>12252</v>
      </c>
      <c r="C4" s="37">
        <v>15066</v>
      </c>
      <c r="D4" s="37">
        <v>84521</v>
      </c>
    </row>
    <row r="5" spans="1:4" ht="15" customHeight="1">
      <c r="A5" s="38" t="s">
        <v>19</v>
      </c>
      <c r="B5" s="37">
        <v>65213</v>
      </c>
      <c r="C5" s="37">
        <v>65845</v>
      </c>
      <c r="D5" s="37">
        <v>52107</v>
      </c>
    </row>
    <row r="6" spans="1:4" ht="15" customHeight="1">
      <c r="A6" s="38" t="s">
        <v>18</v>
      </c>
      <c r="B6" s="37">
        <v>36485</v>
      </c>
      <c r="C6" s="37">
        <v>15120</v>
      </c>
      <c r="D6" s="37">
        <v>69532</v>
      </c>
    </row>
    <row r="7" spans="1:4" ht="15" customHeight="1">
      <c r="A7" s="40" t="s">
        <v>32</v>
      </c>
      <c r="B7" s="39">
        <f>B4+B5+B6</f>
        <v>113950</v>
      </c>
      <c r="C7" s="39">
        <f>C4+C5+C6</f>
        <v>96031</v>
      </c>
      <c r="D7" s="39">
        <f>D4+D5+D6</f>
        <v>206160</v>
      </c>
    </row>
    <row r="8" spans="1:4" ht="15" customHeight="1">
      <c r="A8" s="38" t="s">
        <v>17</v>
      </c>
      <c r="B8" s="37">
        <v>15204</v>
      </c>
      <c r="C8" s="37">
        <v>23650</v>
      </c>
      <c r="D8" s="37">
        <v>45610</v>
      </c>
    </row>
    <row r="9" spans="1:4" ht="15" customHeight="1">
      <c r="A9" s="38" t="s">
        <v>16</v>
      </c>
      <c r="B9" s="37">
        <v>68510</v>
      </c>
      <c r="C9" s="37">
        <v>54972</v>
      </c>
      <c r="D9" s="37">
        <v>52697</v>
      </c>
    </row>
    <row r="10" spans="1:4" ht="15" customHeight="1">
      <c r="A10" s="38" t="s">
        <v>15</v>
      </c>
      <c r="B10" s="37">
        <v>32051</v>
      </c>
      <c r="C10" s="37">
        <v>12024</v>
      </c>
      <c r="D10" s="37">
        <v>69423</v>
      </c>
    </row>
    <row r="11" spans="1:4" ht="15" customHeight="1">
      <c r="A11" s="40" t="s">
        <v>31</v>
      </c>
      <c r="B11" s="39">
        <f>B8+B9+B10</f>
        <v>115765</v>
      </c>
      <c r="C11" s="39">
        <f>C8+C9+C10</f>
        <v>90646</v>
      </c>
      <c r="D11" s="39">
        <f>D8+D9+D10</f>
        <v>167730</v>
      </c>
    </row>
    <row r="12" spans="1:4" ht="15" customHeight="1">
      <c r="A12" s="38" t="s">
        <v>14</v>
      </c>
      <c r="B12" s="37">
        <v>26584</v>
      </c>
      <c r="C12" s="37">
        <v>28492</v>
      </c>
      <c r="D12" s="37">
        <v>85426</v>
      </c>
    </row>
    <row r="13" spans="1:4" ht="15" customHeight="1">
      <c r="A13" s="38" t="s">
        <v>13</v>
      </c>
      <c r="B13" s="37">
        <v>25489</v>
      </c>
      <c r="C13" s="37">
        <v>87952</v>
      </c>
      <c r="D13" s="37">
        <v>48752</v>
      </c>
    </row>
    <row r="14" spans="1:4" ht="15" customHeight="1">
      <c r="A14" s="38" t="s">
        <v>12</v>
      </c>
      <c r="B14" s="37">
        <v>21548</v>
      </c>
      <c r="C14" s="37">
        <v>61254</v>
      </c>
      <c r="D14" s="37">
        <v>26418</v>
      </c>
    </row>
    <row r="15" spans="1:4" ht="15" customHeight="1">
      <c r="A15" s="40" t="s">
        <v>30</v>
      </c>
      <c r="B15" s="39">
        <f>B12+B13+B14</f>
        <v>73621</v>
      </c>
      <c r="C15" s="39">
        <f>C12+C13+C14</f>
        <v>177698</v>
      </c>
      <c r="D15" s="39">
        <f>D12+D13+D14</f>
        <v>160596</v>
      </c>
    </row>
    <row r="16" spans="1:4" ht="15" customHeight="1">
      <c r="A16" s="38" t="s">
        <v>11</v>
      </c>
      <c r="B16" s="37">
        <v>46784</v>
      </c>
      <c r="C16" s="37">
        <v>95462</v>
      </c>
      <c r="D16" s="37">
        <v>96547</v>
      </c>
    </row>
    <row r="17" spans="1:4" ht="15" customHeight="1">
      <c r="A17" s="38" t="s">
        <v>10</v>
      </c>
      <c r="B17" s="37">
        <v>65894</v>
      </c>
      <c r="C17" s="37">
        <v>29654</v>
      </c>
      <c r="D17" s="37">
        <v>25849</v>
      </c>
    </row>
    <row r="18" spans="1:4" ht="15" customHeight="1">
      <c r="A18" s="38" t="s">
        <v>9</v>
      </c>
      <c r="B18" s="37">
        <v>29872</v>
      </c>
      <c r="C18" s="37">
        <v>85426</v>
      </c>
      <c r="D18" s="37">
        <v>89640</v>
      </c>
    </row>
    <row r="19" spans="1:4" ht="15" customHeight="1">
      <c r="A19" s="36" t="s">
        <v>29</v>
      </c>
      <c r="B19" s="35">
        <f>B16+B17+B18</f>
        <v>142550</v>
      </c>
      <c r="C19" s="35">
        <f>C16+C17+C18</f>
        <v>210542</v>
      </c>
      <c r="D19" s="35">
        <f>D16+D17+D18</f>
        <v>212036</v>
      </c>
    </row>
    <row r="20" spans="1:4" ht="15" customHeight="1">
      <c r="A20" s="34" t="s">
        <v>0</v>
      </c>
      <c r="B20" s="33">
        <f>B7+B11+B15+B19</f>
        <v>445886</v>
      </c>
      <c r="C20" s="33">
        <f>C7+C11+C15+C19</f>
        <v>574917</v>
      </c>
      <c r="D20" s="33">
        <f>D7+D11+D15+D19</f>
        <v>746522</v>
      </c>
    </row>
  </sheetData>
  <mergeCells count="1">
    <mergeCell ref="A1:B1"/>
  </mergeCells>
  <pageMargins left="0.7" right="0.7" top="0.75" bottom="0.75" header="0.3" footer="0.3"/>
  <pageSetup paperSize="9"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E54BD8D-8C24-4885-BAA5-8E4FAA053741}">
  <dimension ref="A1:J12"/>
  <sheetViews>
    <sheetView workbookViewId="0">
      <selection activeCell="K15" sqref="K15"/>
    </sheetView>
  </sheetViews>
  <sheetFormatPr baseColWidth="10" defaultColWidth="11.44140625" defaultRowHeight="14.4"/>
  <cols>
    <col min="1" max="1" width="12.33203125" bestFit="1" customWidth="1"/>
    <col min="2" max="2" width="11.6640625" bestFit="1" customWidth="1"/>
    <col min="3" max="3" width="11.109375" bestFit="1" customWidth="1"/>
    <col min="4" max="4" width="10" bestFit="1" customWidth="1"/>
    <col min="5" max="5" width="10.33203125" bestFit="1" customWidth="1"/>
    <col min="6" max="6" width="11" bestFit="1" customWidth="1"/>
    <col min="7" max="7" width="9.109375" customWidth="1"/>
    <col min="8" max="8" width="8.88671875" customWidth="1"/>
    <col min="9" max="9" width="15.109375" style="44" customWidth="1"/>
    <col min="10" max="10" width="7.6640625" style="43" bestFit="1" customWidth="1"/>
  </cols>
  <sheetData>
    <row r="1" spans="1:10">
      <c r="A1" s="622" t="s">
        <v>69</v>
      </c>
      <c r="B1" s="622"/>
      <c r="C1" s="622"/>
      <c r="D1" s="622"/>
      <c r="E1" s="622"/>
      <c r="F1" s="622"/>
      <c r="G1" s="622"/>
      <c r="H1" s="622"/>
      <c r="I1" s="622"/>
      <c r="J1" s="622"/>
    </row>
    <row r="2" spans="1:10" ht="19.2" customHeight="1">
      <c r="A2" s="65"/>
      <c r="B2" s="65"/>
      <c r="C2" s="65"/>
      <c r="D2" s="65"/>
      <c r="E2" s="65"/>
      <c r="F2" s="65"/>
      <c r="G2" s="65"/>
      <c r="H2" s="65"/>
      <c r="I2" s="64"/>
      <c r="J2" s="63"/>
    </row>
    <row r="3" spans="1:10" ht="58.5" customHeight="1">
      <c r="A3" s="62" t="s">
        <v>68</v>
      </c>
      <c r="B3" s="62" t="s">
        <v>67</v>
      </c>
      <c r="C3" s="62" t="s">
        <v>66</v>
      </c>
      <c r="D3" s="62" t="s">
        <v>65</v>
      </c>
      <c r="E3" s="62" t="s">
        <v>64</v>
      </c>
      <c r="F3" s="62" t="s">
        <v>63</v>
      </c>
      <c r="G3" s="62" t="s">
        <v>62</v>
      </c>
      <c r="H3" s="62" t="s">
        <v>61</v>
      </c>
      <c r="I3" s="61" t="s">
        <v>60</v>
      </c>
      <c r="J3" s="60" t="s">
        <v>59</v>
      </c>
    </row>
    <row r="4" spans="1:10">
      <c r="A4" s="57" t="s">
        <v>58</v>
      </c>
      <c r="B4" s="57" t="s">
        <v>57</v>
      </c>
      <c r="C4" s="57">
        <v>3091</v>
      </c>
      <c r="D4" s="57" t="s">
        <v>47</v>
      </c>
      <c r="E4" s="57" t="s">
        <v>43</v>
      </c>
      <c r="F4" s="59">
        <v>58</v>
      </c>
      <c r="G4" s="58">
        <v>2044.73</v>
      </c>
      <c r="H4" s="57" t="s">
        <v>34</v>
      </c>
      <c r="I4" s="56">
        <v>17470</v>
      </c>
      <c r="J4" s="55">
        <v>56</v>
      </c>
    </row>
    <row r="5" spans="1:10">
      <c r="A5" s="45" t="s">
        <v>56</v>
      </c>
      <c r="B5" s="45" t="s">
        <v>55</v>
      </c>
      <c r="C5" s="45">
        <v>3186</v>
      </c>
      <c r="D5" s="45" t="s">
        <v>44</v>
      </c>
      <c r="E5" s="45" t="s">
        <v>43</v>
      </c>
      <c r="F5" s="54">
        <v>74</v>
      </c>
      <c r="G5" s="53">
        <v>2514.62</v>
      </c>
      <c r="H5" s="45" t="s">
        <v>39</v>
      </c>
      <c r="I5" s="52">
        <v>25153</v>
      </c>
      <c r="J5" s="51">
        <v>35</v>
      </c>
    </row>
    <row r="6" spans="1:10">
      <c r="A6" s="45" t="s">
        <v>54</v>
      </c>
      <c r="B6" s="45" t="s">
        <v>53</v>
      </c>
      <c r="C6" s="45">
        <v>3055</v>
      </c>
      <c r="D6" s="45" t="s">
        <v>52</v>
      </c>
      <c r="E6" s="45" t="s">
        <v>43</v>
      </c>
      <c r="F6" s="54">
        <v>73</v>
      </c>
      <c r="G6" s="53">
        <v>2484.66</v>
      </c>
      <c r="H6" s="45" t="s">
        <v>39</v>
      </c>
      <c r="I6" s="52">
        <v>21170</v>
      </c>
      <c r="J6" s="51">
        <v>46</v>
      </c>
    </row>
    <row r="7" spans="1:10">
      <c r="A7" s="45" t="s">
        <v>51</v>
      </c>
      <c r="B7" s="45" t="s">
        <v>50</v>
      </c>
      <c r="C7" s="45">
        <v>3033</v>
      </c>
      <c r="D7" s="45" t="s">
        <v>41</v>
      </c>
      <c r="E7" s="45" t="s">
        <v>40</v>
      </c>
      <c r="F7" s="54">
        <v>109</v>
      </c>
      <c r="G7" s="53">
        <v>1007.24</v>
      </c>
      <c r="H7" s="45" t="s">
        <v>34</v>
      </c>
      <c r="I7" s="52">
        <v>25651</v>
      </c>
      <c r="J7" s="51">
        <v>33</v>
      </c>
    </row>
    <row r="8" spans="1:10">
      <c r="A8" s="45" t="s">
        <v>49</v>
      </c>
      <c r="B8" s="45" t="s">
        <v>48</v>
      </c>
      <c r="C8" s="45">
        <v>3408</v>
      </c>
      <c r="D8" s="45" t="s">
        <v>47</v>
      </c>
      <c r="E8" s="45" t="s">
        <v>43</v>
      </c>
      <c r="F8" s="54">
        <v>134</v>
      </c>
      <c r="G8" s="53">
        <v>1203.19</v>
      </c>
      <c r="H8" s="45" t="s">
        <v>39</v>
      </c>
      <c r="I8" s="52">
        <v>24850</v>
      </c>
      <c r="J8" s="51">
        <v>35</v>
      </c>
    </row>
    <row r="9" spans="1:10">
      <c r="A9" s="45" t="s">
        <v>46</v>
      </c>
      <c r="B9" s="45" t="s">
        <v>45</v>
      </c>
      <c r="C9" s="45">
        <v>3098</v>
      </c>
      <c r="D9" s="45" t="s">
        <v>44</v>
      </c>
      <c r="E9" s="45" t="s">
        <v>43</v>
      </c>
      <c r="F9" s="54">
        <v>80</v>
      </c>
      <c r="G9" s="53">
        <v>4219.6099999999997</v>
      </c>
      <c r="H9" s="45" t="s">
        <v>39</v>
      </c>
      <c r="I9" s="52">
        <v>16000</v>
      </c>
      <c r="J9" s="51">
        <v>60</v>
      </c>
    </row>
    <row r="10" spans="1:10">
      <c r="A10" s="45" t="s">
        <v>38</v>
      </c>
      <c r="B10" s="45" t="s">
        <v>42</v>
      </c>
      <c r="C10" s="45">
        <v>3766</v>
      </c>
      <c r="D10" s="45" t="s">
        <v>41</v>
      </c>
      <c r="E10" s="45" t="s">
        <v>40</v>
      </c>
      <c r="F10" s="54">
        <v>232</v>
      </c>
      <c r="G10" s="53">
        <v>1642.01</v>
      </c>
      <c r="H10" s="45" t="s">
        <v>39</v>
      </c>
      <c r="I10" s="52">
        <v>19378</v>
      </c>
      <c r="J10" s="51">
        <v>50</v>
      </c>
    </row>
    <row r="11" spans="1:10">
      <c r="A11" s="48" t="s">
        <v>38</v>
      </c>
      <c r="B11" s="48" t="s">
        <v>37</v>
      </c>
      <c r="C11" s="48">
        <v>3421</v>
      </c>
      <c r="D11" s="48" t="s">
        <v>36</v>
      </c>
      <c r="E11" s="48" t="s">
        <v>35</v>
      </c>
      <c r="F11" s="50">
        <v>80</v>
      </c>
      <c r="G11" s="49">
        <v>2708.34</v>
      </c>
      <c r="H11" s="48" t="s">
        <v>34</v>
      </c>
      <c r="I11" s="47">
        <v>20595</v>
      </c>
      <c r="J11" s="46">
        <v>47</v>
      </c>
    </row>
    <row r="12" spans="1:10">
      <c r="H12" s="45"/>
    </row>
  </sheetData>
  <mergeCells count="1">
    <mergeCell ref="A1:J1"/>
  </mergeCells>
  <conditionalFormatting sqref="G4:G11">
    <cfRule type="cellIs" dxfId="27" priority="1" operator="lessThan">
      <formula>1500</formula>
    </cfRule>
  </conditionalFormatting>
  <conditionalFormatting sqref="H4:H12">
    <cfRule type="containsText" dxfId="26" priority="2" operator="containsText" text="f">
      <formula>NOT(ISERROR(SEARCH("f",H4)))</formula>
    </cfRule>
  </conditionalFormatting>
  <pageMargins left="0.7" right="0.7" top="0.75" bottom="0.75"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709E42-8036-4775-B8C1-B5A66CFD7A54}">
  <dimension ref="A1:R11"/>
  <sheetViews>
    <sheetView workbookViewId="0">
      <selection activeCell="G9" sqref="G9"/>
    </sheetView>
  </sheetViews>
  <sheetFormatPr baseColWidth="10" defaultRowHeight="14.4"/>
  <cols>
    <col min="1" max="1" width="16.44140625" customWidth="1"/>
    <col min="2" max="2" width="22.88671875" customWidth="1"/>
  </cols>
  <sheetData>
    <row r="1" spans="1:18" ht="15" thickBot="1">
      <c r="A1" s="78" t="s">
        <v>71</v>
      </c>
      <c r="B1" s="78" t="s">
        <v>70</v>
      </c>
    </row>
    <row r="2" spans="1:18">
      <c r="A2" s="70">
        <v>22000</v>
      </c>
      <c r="B2" s="77">
        <v>22000</v>
      </c>
    </row>
    <row r="3" spans="1:18">
      <c r="A3" s="70">
        <v>22000</v>
      </c>
      <c r="B3" s="77">
        <v>22000</v>
      </c>
    </row>
    <row r="4" spans="1:18">
      <c r="A4" s="70">
        <v>45000</v>
      </c>
      <c r="B4" s="76">
        <v>45000</v>
      </c>
    </row>
    <row r="5" spans="1:18">
      <c r="A5" s="70">
        <v>6710</v>
      </c>
      <c r="B5" s="75">
        <v>6710</v>
      </c>
    </row>
    <row r="6" spans="1:18">
      <c r="A6" s="70">
        <v>188</v>
      </c>
      <c r="B6" s="74">
        <v>188</v>
      </c>
    </row>
    <row r="7" spans="1:18">
      <c r="A7" s="73">
        <v>42899</v>
      </c>
      <c r="B7" s="72">
        <v>42899</v>
      </c>
      <c r="J7" s="44"/>
    </row>
    <row r="8" spans="1:18">
      <c r="A8" s="70">
        <v>0.4</v>
      </c>
      <c r="B8" s="71">
        <v>0.4</v>
      </c>
    </row>
    <row r="9" spans="1:18">
      <c r="A9" s="70">
        <v>10.5</v>
      </c>
      <c r="B9" s="69">
        <v>10.5</v>
      </c>
    </row>
    <row r="10" spans="1:18" ht="15" thickBot="1">
      <c r="A10" s="68">
        <v>12.258900000000001</v>
      </c>
      <c r="B10" s="67">
        <v>12.258900000000001</v>
      </c>
      <c r="J10" s="66"/>
      <c r="R10" s="44"/>
    </row>
    <row r="11" spans="1:18">
      <c r="L11" s="44"/>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B8EAAB2-FC0B-4F84-A269-D6169EFC5570}">
  <dimension ref="A1:C12"/>
  <sheetViews>
    <sheetView workbookViewId="0">
      <selection activeCell="C2" sqref="C2"/>
    </sheetView>
  </sheetViews>
  <sheetFormatPr baseColWidth="10" defaultColWidth="11.44140625" defaultRowHeight="14.4"/>
  <sheetData>
    <row r="1" spans="1:3">
      <c r="A1" s="80" t="s">
        <v>74</v>
      </c>
      <c r="B1" s="80" t="s">
        <v>73</v>
      </c>
      <c r="C1" s="80" t="s">
        <v>72</v>
      </c>
    </row>
    <row r="2" spans="1:3">
      <c r="A2" s="79">
        <v>0.21</v>
      </c>
      <c r="B2">
        <v>10</v>
      </c>
      <c r="C2">
        <f t="shared" ref="C2:C12" si="0">B2*(1+$A$2)</f>
        <v>12.1</v>
      </c>
    </row>
    <row r="3" spans="1:3">
      <c r="B3">
        <v>20</v>
      </c>
      <c r="C3">
        <f t="shared" si="0"/>
        <v>24.2</v>
      </c>
    </row>
    <row r="4" spans="1:3">
      <c r="B4">
        <v>30</v>
      </c>
      <c r="C4">
        <f t="shared" si="0"/>
        <v>36.299999999999997</v>
      </c>
    </row>
    <row r="5" spans="1:3">
      <c r="B5">
        <v>40</v>
      </c>
      <c r="C5">
        <f t="shared" si="0"/>
        <v>48.4</v>
      </c>
    </row>
    <row r="6" spans="1:3">
      <c r="B6">
        <v>50</v>
      </c>
      <c r="C6">
        <f t="shared" si="0"/>
        <v>60.5</v>
      </c>
    </row>
    <row r="7" spans="1:3">
      <c r="B7">
        <v>60</v>
      </c>
      <c r="C7">
        <f t="shared" si="0"/>
        <v>72.599999999999994</v>
      </c>
    </row>
    <row r="8" spans="1:3">
      <c r="B8">
        <v>70</v>
      </c>
      <c r="C8">
        <f t="shared" si="0"/>
        <v>84.7</v>
      </c>
    </row>
    <row r="9" spans="1:3">
      <c r="B9">
        <v>80</v>
      </c>
      <c r="C9">
        <f t="shared" si="0"/>
        <v>96.8</v>
      </c>
    </row>
    <row r="10" spans="1:3">
      <c r="B10">
        <v>90</v>
      </c>
      <c r="C10">
        <f t="shared" si="0"/>
        <v>108.89999999999999</v>
      </c>
    </row>
    <row r="11" spans="1:3">
      <c r="B11">
        <v>100</v>
      </c>
      <c r="C11">
        <f t="shared" si="0"/>
        <v>121</v>
      </c>
    </row>
    <row r="12" spans="1:3">
      <c r="B12">
        <v>110</v>
      </c>
      <c r="C12">
        <f t="shared" si="0"/>
        <v>133.1</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149186-B53B-43ED-8597-346F4D9C4E49}">
  <dimension ref="A1:K11"/>
  <sheetViews>
    <sheetView workbookViewId="0">
      <selection activeCell="C4" sqref="C4"/>
    </sheetView>
  </sheetViews>
  <sheetFormatPr baseColWidth="10" defaultColWidth="11.44140625" defaultRowHeight="14.4"/>
  <sheetData>
    <row r="1" spans="1:11">
      <c r="B1">
        <v>15</v>
      </c>
      <c r="C1">
        <f t="shared" ref="C1:K1" si="0">B1+1</f>
        <v>16</v>
      </c>
      <c r="D1">
        <f t="shared" si="0"/>
        <v>17</v>
      </c>
      <c r="E1">
        <f t="shared" si="0"/>
        <v>18</v>
      </c>
      <c r="F1">
        <f t="shared" si="0"/>
        <v>19</v>
      </c>
      <c r="G1">
        <f t="shared" si="0"/>
        <v>20</v>
      </c>
      <c r="H1">
        <f t="shared" si="0"/>
        <v>21</v>
      </c>
      <c r="I1">
        <f t="shared" si="0"/>
        <v>22</v>
      </c>
      <c r="J1">
        <f t="shared" si="0"/>
        <v>23</v>
      </c>
      <c r="K1">
        <f t="shared" si="0"/>
        <v>24</v>
      </c>
    </row>
    <row r="2" spans="1:11">
      <c r="A2">
        <f>B1</f>
        <v>15</v>
      </c>
      <c r="B2">
        <f t="shared" ref="B2:K2" si="1">B1*$A2</f>
        <v>225</v>
      </c>
      <c r="C2">
        <f t="shared" si="1"/>
        <v>240</v>
      </c>
      <c r="D2">
        <f t="shared" si="1"/>
        <v>255</v>
      </c>
      <c r="E2">
        <f t="shared" si="1"/>
        <v>270</v>
      </c>
      <c r="F2">
        <f t="shared" si="1"/>
        <v>285</v>
      </c>
      <c r="G2">
        <f t="shared" si="1"/>
        <v>300</v>
      </c>
      <c r="H2">
        <f t="shared" si="1"/>
        <v>315</v>
      </c>
      <c r="I2">
        <f t="shared" si="1"/>
        <v>330</v>
      </c>
      <c r="J2">
        <f t="shared" si="1"/>
        <v>345</v>
      </c>
      <c r="K2">
        <f t="shared" si="1"/>
        <v>360</v>
      </c>
    </row>
    <row r="3" spans="1:11">
      <c r="A3">
        <f t="shared" ref="A3:A11" si="2">A2+1</f>
        <v>16</v>
      </c>
      <c r="B3">
        <f t="shared" ref="B3:B11" si="3">$B$2*A3</f>
        <v>3600</v>
      </c>
      <c r="C3">
        <f>$C1*A3</f>
        <v>256</v>
      </c>
      <c r="D3">
        <f t="shared" ref="D3:K3" si="4">D1*$A3</f>
        <v>272</v>
      </c>
      <c r="E3">
        <f t="shared" si="4"/>
        <v>288</v>
      </c>
      <c r="F3">
        <f t="shared" si="4"/>
        <v>304</v>
      </c>
      <c r="G3">
        <f t="shared" si="4"/>
        <v>320</v>
      </c>
      <c r="H3">
        <f t="shared" si="4"/>
        <v>336</v>
      </c>
      <c r="I3">
        <f t="shared" si="4"/>
        <v>352</v>
      </c>
      <c r="J3">
        <f t="shared" si="4"/>
        <v>368</v>
      </c>
      <c r="K3">
        <f t="shared" si="4"/>
        <v>384</v>
      </c>
    </row>
    <row r="4" spans="1:11">
      <c r="A4">
        <f t="shared" si="2"/>
        <v>17</v>
      </c>
      <c r="B4">
        <f t="shared" si="3"/>
        <v>3825</v>
      </c>
      <c r="C4">
        <f t="shared" ref="C4:C11" si="5">C$1*A4</f>
        <v>272</v>
      </c>
      <c r="D4">
        <f t="shared" ref="D4:K4" si="6">D1*$A4</f>
        <v>289</v>
      </c>
      <c r="E4">
        <f t="shared" si="6"/>
        <v>306</v>
      </c>
      <c r="F4">
        <f t="shared" si="6"/>
        <v>323</v>
      </c>
      <c r="G4">
        <f t="shared" si="6"/>
        <v>340</v>
      </c>
      <c r="H4">
        <f t="shared" si="6"/>
        <v>357</v>
      </c>
      <c r="I4">
        <f t="shared" si="6"/>
        <v>374</v>
      </c>
      <c r="J4">
        <f t="shared" si="6"/>
        <v>391</v>
      </c>
      <c r="K4">
        <f t="shared" si="6"/>
        <v>408</v>
      </c>
    </row>
    <row r="5" spans="1:11">
      <c r="A5">
        <f t="shared" si="2"/>
        <v>18</v>
      </c>
      <c r="B5">
        <f t="shared" si="3"/>
        <v>4050</v>
      </c>
      <c r="C5">
        <f t="shared" si="5"/>
        <v>288</v>
      </c>
      <c r="D5">
        <f t="shared" ref="D5:K5" si="7">D1*$A5</f>
        <v>306</v>
      </c>
      <c r="E5">
        <f t="shared" si="7"/>
        <v>324</v>
      </c>
      <c r="F5">
        <f t="shared" si="7"/>
        <v>342</v>
      </c>
      <c r="G5">
        <f t="shared" si="7"/>
        <v>360</v>
      </c>
      <c r="H5">
        <f t="shared" si="7"/>
        <v>378</v>
      </c>
      <c r="I5">
        <f t="shared" si="7"/>
        <v>396</v>
      </c>
      <c r="J5">
        <f t="shared" si="7"/>
        <v>414</v>
      </c>
      <c r="K5">
        <f t="shared" si="7"/>
        <v>432</v>
      </c>
    </row>
    <row r="6" spans="1:11">
      <c r="A6">
        <f t="shared" si="2"/>
        <v>19</v>
      </c>
      <c r="B6">
        <f t="shared" si="3"/>
        <v>4275</v>
      </c>
      <c r="C6">
        <f t="shared" si="5"/>
        <v>304</v>
      </c>
      <c r="D6">
        <f t="shared" ref="D6:K6" si="8">D1*$A6</f>
        <v>323</v>
      </c>
      <c r="E6">
        <f t="shared" si="8"/>
        <v>342</v>
      </c>
      <c r="F6">
        <f t="shared" si="8"/>
        <v>361</v>
      </c>
      <c r="G6">
        <f t="shared" si="8"/>
        <v>380</v>
      </c>
      <c r="H6">
        <f t="shared" si="8"/>
        <v>399</v>
      </c>
      <c r="I6">
        <f t="shared" si="8"/>
        <v>418</v>
      </c>
      <c r="J6">
        <f t="shared" si="8"/>
        <v>437</v>
      </c>
      <c r="K6">
        <f t="shared" si="8"/>
        <v>456</v>
      </c>
    </row>
    <row r="7" spans="1:11">
      <c r="A7">
        <f t="shared" si="2"/>
        <v>20</v>
      </c>
      <c r="B7">
        <f t="shared" si="3"/>
        <v>4500</v>
      </c>
      <c r="C7">
        <f t="shared" si="5"/>
        <v>320</v>
      </c>
      <c r="D7">
        <f>D$1*A7</f>
        <v>340</v>
      </c>
      <c r="E7">
        <f t="shared" ref="E7:K7" si="9">E$1*$A7</f>
        <v>360</v>
      </c>
      <c r="F7">
        <f t="shared" si="9"/>
        <v>380</v>
      </c>
      <c r="G7">
        <f t="shared" si="9"/>
        <v>400</v>
      </c>
      <c r="H7">
        <f t="shared" si="9"/>
        <v>420</v>
      </c>
      <c r="I7">
        <f t="shared" si="9"/>
        <v>440</v>
      </c>
      <c r="J7">
        <f t="shared" si="9"/>
        <v>460</v>
      </c>
      <c r="K7">
        <f t="shared" si="9"/>
        <v>480</v>
      </c>
    </row>
    <row r="8" spans="1:11">
      <c r="A8">
        <f t="shared" si="2"/>
        <v>21</v>
      </c>
      <c r="B8">
        <f t="shared" si="3"/>
        <v>4725</v>
      </c>
      <c r="C8">
        <f t="shared" si="5"/>
        <v>336</v>
      </c>
      <c r="D8">
        <f>D$1*A8</f>
        <v>357</v>
      </c>
      <c r="E8">
        <f t="shared" ref="E8:K8" si="10">$A8*E1</f>
        <v>378</v>
      </c>
      <c r="F8">
        <f t="shared" si="10"/>
        <v>399</v>
      </c>
      <c r="G8">
        <f t="shared" si="10"/>
        <v>420</v>
      </c>
      <c r="H8">
        <f t="shared" si="10"/>
        <v>441</v>
      </c>
      <c r="I8">
        <f t="shared" si="10"/>
        <v>462</v>
      </c>
      <c r="J8">
        <f t="shared" si="10"/>
        <v>483</v>
      </c>
      <c r="K8">
        <f t="shared" si="10"/>
        <v>504</v>
      </c>
    </row>
    <row r="9" spans="1:11">
      <c r="A9">
        <f t="shared" si="2"/>
        <v>22</v>
      </c>
      <c r="B9">
        <f t="shared" si="3"/>
        <v>4950</v>
      </c>
      <c r="C9">
        <f t="shared" si="5"/>
        <v>352</v>
      </c>
      <c r="D9">
        <f>D$1*A9</f>
        <v>374</v>
      </c>
      <c r="E9">
        <f>E1*A9</f>
        <v>396</v>
      </c>
      <c r="F9">
        <f>F1*A9</f>
        <v>418</v>
      </c>
      <c r="G9">
        <f>G1*$A9</f>
        <v>440</v>
      </c>
      <c r="H9">
        <f>H1*$A9</f>
        <v>462</v>
      </c>
      <c r="I9">
        <f>I1*$A9</f>
        <v>484</v>
      </c>
      <c r="J9">
        <f>J1*$A9</f>
        <v>506</v>
      </c>
      <c r="K9">
        <f>K1*$A9</f>
        <v>528</v>
      </c>
    </row>
    <row r="10" spans="1:11">
      <c r="A10">
        <f t="shared" si="2"/>
        <v>23</v>
      </c>
      <c r="B10">
        <f t="shared" si="3"/>
        <v>5175</v>
      </c>
      <c r="C10">
        <f t="shared" si="5"/>
        <v>368</v>
      </c>
      <c r="D10">
        <f>D$1*A10</f>
        <v>391</v>
      </c>
      <c r="E10">
        <f t="shared" ref="E10:K10" si="11">E$1*$A10</f>
        <v>414</v>
      </c>
      <c r="F10">
        <f t="shared" si="11"/>
        <v>437</v>
      </c>
      <c r="G10">
        <f t="shared" si="11"/>
        <v>460</v>
      </c>
      <c r="H10">
        <f t="shared" si="11"/>
        <v>483</v>
      </c>
      <c r="I10">
        <f t="shared" si="11"/>
        <v>506</v>
      </c>
      <c r="J10">
        <f t="shared" si="11"/>
        <v>529</v>
      </c>
      <c r="K10">
        <f t="shared" si="11"/>
        <v>552</v>
      </c>
    </row>
    <row r="11" spans="1:11">
      <c r="A11">
        <f t="shared" si="2"/>
        <v>24</v>
      </c>
      <c r="B11">
        <f t="shared" si="3"/>
        <v>5400</v>
      </c>
      <c r="C11">
        <f t="shared" si="5"/>
        <v>384</v>
      </c>
      <c r="D11">
        <f>D$1*A11</f>
        <v>408</v>
      </c>
      <c r="E11">
        <f t="shared" ref="E11:K11" si="12">E1*$A11</f>
        <v>432</v>
      </c>
      <c r="F11">
        <f t="shared" si="12"/>
        <v>456</v>
      </c>
      <c r="G11">
        <f t="shared" si="12"/>
        <v>480</v>
      </c>
      <c r="H11">
        <f t="shared" si="12"/>
        <v>504</v>
      </c>
      <c r="I11">
        <f t="shared" si="12"/>
        <v>528</v>
      </c>
      <c r="J11">
        <f t="shared" si="12"/>
        <v>552</v>
      </c>
      <c r="K11">
        <f t="shared" si="12"/>
        <v>576</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02C6FF2-2E33-422C-986D-5A672E5E8475}">
  <dimension ref="A1:F14"/>
  <sheetViews>
    <sheetView topLeftCell="A3" workbookViewId="0">
      <selection activeCell="A29" sqref="A29"/>
    </sheetView>
  </sheetViews>
  <sheetFormatPr baseColWidth="10" defaultColWidth="11.5546875" defaultRowHeight="14.4"/>
  <cols>
    <col min="1" max="1" width="30.6640625" customWidth="1"/>
    <col min="2" max="2" width="5.44140625" bestFit="1" customWidth="1"/>
    <col min="3" max="6" width="11.6640625" customWidth="1"/>
  </cols>
  <sheetData>
    <row r="1" spans="1:6" ht="32.4" customHeight="1">
      <c r="A1" s="623" t="s">
        <v>91</v>
      </c>
      <c r="B1" s="623"/>
      <c r="C1" s="623"/>
      <c r="D1" s="623"/>
      <c r="E1" s="623"/>
      <c r="F1" s="623"/>
    </row>
    <row r="2" spans="1:6" ht="18">
      <c r="A2" s="88" t="s">
        <v>90</v>
      </c>
      <c r="B2" s="88"/>
      <c r="C2" s="87" t="s">
        <v>89</v>
      </c>
      <c r="D2" s="87" t="s">
        <v>88</v>
      </c>
      <c r="E2" s="87" t="s">
        <v>87</v>
      </c>
      <c r="F2" s="87" t="s">
        <v>86</v>
      </c>
    </row>
    <row r="3" spans="1:6" s="81" customFormat="1" ht="15.6">
      <c r="A3" s="85" t="s">
        <v>85</v>
      </c>
      <c r="C3" s="86">
        <v>19.989999999999998</v>
      </c>
      <c r="D3" s="86">
        <v>26.79</v>
      </c>
      <c r="E3" s="86">
        <v>24.5</v>
      </c>
      <c r="F3" s="86">
        <v>29.99</v>
      </c>
    </row>
    <row r="4" spans="1:6" s="81" customFormat="1" ht="15.6">
      <c r="A4" s="85" t="s">
        <v>84</v>
      </c>
      <c r="C4" s="86">
        <v>24.99</v>
      </c>
      <c r="D4" s="86">
        <v>19.89</v>
      </c>
      <c r="E4" s="86">
        <v>14.99</v>
      </c>
      <c r="F4" s="86">
        <v>27.99</v>
      </c>
    </row>
    <row r="5" spans="1:6" s="81" customFormat="1" ht="15.6">
      <c r="A5" s="85" t="s">
        <v>83</v>
      </c>
      <c r="C5" s="86">
        <v>78</v>
      </c>
      <c r="D5" s="86">
        <v>109.99</v>
      </c>
      <c r="E5" s="86">
        <v>129.99</v>
      </c>
      <c r="F5" s="86">
        <v>100</v>
      </c>
    </row>
    <row r="6" spans="1:6" s="81" customFormat="1" ht="15.6">
      <c r="A6" s="85" t="s">
        <v>82</v>
      </c>
      <c r="C6" s="86">
        <v>129.59</v>
      </c>
      <c r="D6" s="86">
        <v>108.75</v>
      </c>
      <c r="E6" s="86">
        <v>112.76</v>
      </c>
      <c r="F6" s="86">
        <v>145.99</v>
      </c>
    </row>
    <row r="7" spans="1:6" s="81" customFormat="1" ht="15.6">
      <c r="A7" s="85" t="s">
        <v>81</v>
      </c>
      <c r="C7" s="86">
        <v>159.99</v>
      </c>
      <c r="D7" s="86">
        <v>145.99</v>
      </c>
      <c r="E7" s="86">
        <v>150</v>
      </c>
      <c r="F7" s="86">
        <v>119.69</v>
      </c>
    </row>
    <row r="8" spans="1:6" s="81" customFormat="1" ht="15.6">
      <c r="A8" s="85" t="s">
        <v>80</v>
      </c>
      <c r="C8" s="86">
        <v>89.99</v>
      </c>
      <c r="D8" s="86">
        <v>99</v>
      </c>
      <c r="E8" s="86">
        <v>110</v>
      </c>
      <c r="F8" s="86">
        <v>125.99</v>
      </c>
    </row>
    <row r="9" spans="1:6" s="81" customFormat="1" ht="15.6">
      <c r="A9" s="85" t="s">
        <v>79</v>
      </c>
      <c r="C9" s="86">
        <v>35.29</v>
      </c>
      <c r="D9" s="86">
        <v>28.99</v>
      </c>
      <c r="E9" s="86">
        <v>23.99</v>
      </c>
      <c r="F9" s="86">
        <v>24.99</v>
      </c>
    </row>
    <row r="10" spans="1:6" s="81" customFormat="1" ht="15.6">
      <c r="A10" s="85" t="s">
        <v>78</v>
      </c>
      <c r="C10" s="86">
        <v>28.99</v>
      </c>
      <c r="D10" s="86">
        <v>32.99</v>
      </c>
      <c r="E10" s="86">
        <v>45.99</v>
      </c>
      <c r="F10" s="86">
        <v>24.99</v>
      </c>
    </row>
    <row r="11" spans="1:6" s="81" customFormat="1" ht="15.6">
      <c r="A11" s="85"/>
    </row>
    <row r="12" spans="1:6" s="81" customFormat="1" ht="15.6">
      <c r="A12" s="624" t="s">
        <v>77</v>
      </c>
      <c r="B12" s="624"/>
      <c r="C12" s="82">
        <f>SUM(C3:C10)</f>
        <v>566.83000000000004</v>
      </c>
      <c r="D12" s="82">
        <f>SUM(D3:D10)</f>
        <v>572.39</v>
      </c>
      <c r="E12" s="82">
        <f>SUM(E3:E10)</f>
        <v>612.22</v>
      </c>
      <c r="F12" s="82">
        <f>SUM(F3:F10)</f>
        <v>599.63</v>
      </c>
    </row>
    <row r="13" spans="1:6" s="81" customFormat="1" ht="15.6">
      <c r="A13" s="84" t="s">
        <v>76</v>
      </c>
      <c r="B13" s="83">
        <v>0.21</v>
      </c>
      <c r="C13" s="82">
        <f>$B13*C12</f>
        <v>119.0343</v>
      </c>
      <c r="D13" s="82">
        <f>$B13*D12</f>
        <v>120.20189999999999</v>
      </c>
      <c r="E13" s="82">
        <f>$B13*E12</f>
        <v>128.56620000000001</v>
      </c>
      <c r="F13" s="82">
        <f>$B13*F12</f>
        <v>125.92229999999999</v>
      </c>
    </row>
    <row r="14" spans="1:6" s="81" customFormat="1" ht="15.6">
      <c r="A14" s="624" t="s">
        <v>75</v>
      </c>
      <c r="B14" s="624"/>
      <c r="C14" s="82">
        <f>C12+C13</f>
        <v>685.86430000000007</v>
      </c>
      <c r="D14" s="82">
        <f>D12+D13</f>
        <v>692.59190000000001</v>
      </c>
      <c r="E14" s="82">
        <f>E12+E13</f>
        <v>740.78620000000001</v>
      </c>
      <c r="F14" s="82">
        <f>F12+F13</f>
        <v>725.55229999999995</v>
      </c>
    </row>
  </sheetData>
  <mergeCells count="3">
    <mergeCell ref="A1:F1"/>
    <mergeCell ref="A12:B12"/>
    <mergeCell ref="A14:B14"/>
  </mergeCells>
  <pageMargins left="0.7" right="0.7" top="0.75" bottom="0.75" header="0.3" footer="0.3"/>
  <pageSetup paperSize="9" orientation="portrait"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2F3FAC7-F359-4B69-AEE1-1C83C34D9ED8}">
  <dimension ref="A1:J11"/>
  <sheetViews>
    <sheetView workbookViewId="0">
      <selection activeCell="B25" sqref="B25"/>
    </sheetView>
  </sheetViews>
  <sheetFormatPr baseColWidth="10" defaultColWidth="11.44140625" defaultRowHeight="14.4"/>
  <sheetData>
    <row r="1" spans="1:10" ht="15.6" thickTop="1" thickBot="1">
      <c r="A1" s="628" t="s">
        <v>94</v>
      </c>
      <c r="B1" s="629"/>
    </row>
    <row r="2" spans="1:10" ht="15.6" thickTop="1" thickBot="1">
      <c r="A2" s="102"/>
      <c r="B2" s="625" t="s">
        <v>93</v>
      </c>
      <c r="C2" s="626"/>
      <c r="D2" s="626"/>
      <c r="E2" s="626"/>
      <c r="F2" s="626"/>
      <c r="G2" s="627"/>
    </row>
    <row r="3" spans="1:10" ht="15" thickBot="1">
      <c r="A3" s="101" t="s">
        <v>92</v>
      </c>
      <c r="B3" s="99">
        <v>0.05</v>
      </c>
      <c r="C3" s="100">
        <v>0.1</v>
      </c>
      <c r="D3" s="100">
        <v>0.15</v>
      </c>
      <c r="E3" s="98">
        <v>0.2</v>
      </c>
      <c r="F3" s="99">
        <v>0.25</v>
      </c>
      <c r="G3" s="98">
        <v>0.3</v>
      </c>
    </row>
    <row r="4" spans="1:10">
      <c r="A4" s="97">
        <v>12</v>
      </c>
      <c r="B4" s="96">
        <f>A4*(1+B$3)</f>
        <v>12.600000000000001</v>
      </c>
      <c r="C4" s="96">
        <f>$A4*(1+C3)</f>
        <v>13.200000000000001</v>
      </c>
      <c r="D4" s="96">
        <f>$A4*(1+D3)</f>
        <v>13.799999999999999</v>
      </c>
      <c r="E4" s="96">
        <f>$A4*(1+E3)</f>
        <v>14.399999999999999</v>
      </c>
      <c r="F4" s="96">
        <f>$A4*(1+F3)</f>
        <v>15</v>
      </c>
      <c r="G4" s="95">
        <f>$A4*(1+G3)</f>
        <v>15.600000000000001</v>
      </c>
    </row>
    <row r="5" spans="1:10">
      <c r="A5" s="94">
        <v>15</v>
      </c>
      <c r="B5" s="93">
        <f>A5*(1+B$3)</f>
        <v>15.75</v>
      </c>
      <c r="C5" s="93">
        <f>$A5*(1+C3)</f>
        <v>16.5</v>
      </c>
      <c r="D5" s="93">
        <f>$A5*(1+D3)</f>
        <v>17.25</v>
      </c>
      <c r="E5" s="93">
        <f>$A5*(1+E3)</f>
        <v>18</v>
      </c>
      <c r="F5" s="93">
        <f>$A5*(1+F3)</f>
        <v>18.75</v>
      </c>
      <c r="G5" s="92">
        <f>$A5*(1+G3)</f>
        <v>19.5</v>
      </c>
    </row>
    <row r="6" spans="1:10">
      <c r="A6" s="94">
        <v>18</v>
      </c>
      <c r="B6" s="93">
        <f t="shared" ref="B6:G6" si="0">$A6*(1+B3)</f>
        <v>18.900000000000002</v>
      </c>
      <c r="C6" s="93">
        <f t="shared" si="0"/>
        <v>19.8</v>
      </c>
      <c r="D6" s="93">
        <f t="shared" si="0"/>
        <v>20.7</v>
      </c>
      <c r="E6" s="93">
        <f t="shared" si="0"/>
        <v>21.599999999999998</v>
      </c>
      <c r="F6" s="93">
        <f t="shared" si="0"/>
        <v>22.5</v>
      </c>
      <c r="G6" s="92">
        <f t="shared" si="0"/>
        <v>23.400000000000002</v>
      </c>
    </row>
    <row r="7" spans="1:10">
      <c r="A7" s="94">
        <v>24</v>
      </c>
      <c r="B7" s="93">
        <f t="shared" ref="B7:G7" si="1">$A7*(1+B3)</f>
        <v>25.200000000000003</v>
      </c>
      <c r="C7" s="93">
        <f t="shared" si="1"/>
        <v>26.400000000000002</v>
      </c>
      <c r="D7" s="93">
        <f t="shared" si="1"/>
        <v>27.599999999999998</v>
      </c>
      <c r="E7" s="93">
        <f t="shared" si="1"/>
        <v>28.799999999999997</v>
      </c>
      <c r="F7" s="93">
        <f t="shared" si="1"/>
        <v>30</v>
      </c>
      <c r="G7" s="92">
        <f t="shared" si="1"/>
        <v>31.200000000000003</v>
      </c>
      <c r="J7" s="93"/>
    </row>
    <row r="8" spans="1:10">
      <c r="A8" s="94">
        <v>26</v>
      </c>
      <c r="B8" s="93">
        <f t="shared" ref="B8:G8" si="2">$A8*(1+B3)</f>
        <v>27.3</v>
      </c>
      <c r="C8" s="93">
        <f t="shared" si="2"/>
        <v>28.6</v>
      </c>
      <c r="D8" s="93">
        <f t="shared" si="2"/>
        <v>29.9</v>
      </c>
      <c r="E8" s="93">
        <f t="shared" si="2"/>
        <v>31.2</v>
      </c>
      <c r="F8" s="93">
        <f t="shared" si="2"/>
        <v>32.5</v>
      </c>
      <c r="G8" s="92">
        <f t="shared" si="2"/>
        <v>33.800000000000004</v>
      </c>
    </row>
    <row r="9" spans="1:10">
      <c r="A9" s="94">
        <v>30</v>
      </c>
      <c r="B9" s="93">
        <f t="shared" ref="B9:G9" si="3">$A9*(1+B3)</f>
        <v>31.5</v>
      </c>
      <c r="C9" s="93">
        <f t="shared" si="3"/>
        <v>33</v>
      </c>
      <c r="D9" s="93">
        <f t="shared" si="3"/>
        <v>34.5</v>
      </c>
      <c r="E9" s="93">
        <f t="shared" si="3"/>
        <v>36</v>
      </c>
      <c r="F9" s="93">
        <f t="shared" si="3"/>
        <v>37.5</v>
      </c>
      <c r="G9" s="92">
        <f t="shared" si="3"/>
        <v>39</v>
      </c>
    </row>
    <row r="10" spans="1:10">
      <c r="A10" s="94">
        <v>37</v>
      </c>
      <c r="B10" s="93">
        <f t="shared" ref="B10:G10" si="4">$A10*(1+B3)</f>
        <v>38.85</v>
      </c>
      <c r="C10" s="93">
        <f t="shared" si="4"/>
        <v>40.700000000000003</v>
      </c>
      <c r="D10" s="93">
        <f t="shared" si="4"/>
        <v>42.55</v>
      </c>
      <c r="E10" s="93">
        <f t="shared" si="4"/>
        <v>44.4</v>
      </c>
      <c r="F10" s="93">
        <f t="shared" si="4"/>
        <v>46.25</v>
      </c>
      <c r="G10" s="92">
        <f t="shared" si="4"/>
        <v>48.1</v>
      </c>
    </row>
    <row r="11" spans="1:10" ht="15" thickBot="1">
      <c r="A11" s="91">
        <v>49</v>
      </c>
      <c r="B11" s="90">
        <f t="shared" ref="B11:G11" si="5">$A11*(1+B3)</f>
        <v>51.45</v>
      </c>
      <c r="C11" s="90">
        <f t="shared" si="5"/>
        <v>53.900000000000006</v>
      </c>
      <c r="D11" s="90">
        <f t="shared" si="5"/>
        <v>56.349999999999994</v>
      </c>
      <c r="E11" s="90">
        <f t="shared" si="5"/>
        <v>58.8</v>
      </c>
      <c r="F11" s="90">
        <f t="shared" si="5"/>
        <v>61.25</v>
      </c>
      <c r="G11" s="89">
        <f t="shared" si="5"/>
        <v>63.7</v>
      </c>
    </row>
  </sheetData>
  <mergeCells count="2">
    <mergeCell ref="B2:G2"/>
    <mergeCell ref="A1:B1"/>
  </mergeCells>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63481E1-61B1-4296-B6BB-17B509424059}">
  <dimension ref="A1:H22"/>
  <sheetViews>
    <sheetView workbookViewId="0">
      <selection activeCell="E20" sqref="E20"/>
    </sheetView>
  </sheetViews>
  <sheetFormatPr baseColWidth="10" defaultColWidth="11.44140625" defaultRowHeight="14.4"/>
  <cols>
    <col min="1" max="4" width="11.44140625" style="103"/>
    <col min="5" max="5" width="12.109375" style="103" bestFit="1" customWidth="1"/>
    <col min="6" max="7" width="11.44140625" style="103"/>
    <col min="8" max="8" width="13.33203125" style="103" customWidth="1"/>
    <col min="9" max="16384" width="11.44140625" style="103"/>
  </cols>
  <sheetData>
    <row r="1" spans="1:8" ht="51">
      <c r="A1" s="116" t="s">
        <v>114</v>
      </c>
      <c r="B1" s="115" t="s">
        <v>113</v>
      </c>
      <c r="C1" s="114" t="s">
        <v>112</v>
      </c>
      <c r="D1" s="114" t="s">
        <v>111</v>
      </c>
      <c r="E1" s="113" t="s">
        <v>110</v>
      </c>
      <c r="F1" s="113" t="s">
        <v>97</v>
      </c>
      <c r="G1" s="113" t="s">
        <v>96</v>
      </c>
      <c r="H1" s="113" t="s">
        <v>95</v>
      </c>
    </row>
    <row r="2" spans="1:8" ht="15.6">
      <c r="A2" s="112" t="s">
        <v>109</v>
      </c>
      <c r="B2" s="111">
        <v>8792</v>
      </c>
      <c r="C2" s="111">
        <v>10454</v>
      </c>
      <c r="D2" s="111">
        <v>5326</v>
      </c>
      <c r="E2" s="108">
        <f t="shared" ref="E2:E13" si="0">B2+C2+D2</f>
        <v>24572</v>
      </c>
      <c r="F2" s="107">
        <f t="shared" ref="F2:F13" si="1">AVERAGE(B2:D2)</f>
        <v>8190.666666666667</v>
      </c>
      <c r="G2" s="106">
        <f t="shared" ref="G2:G13" si="2">MIN(B2:D2)</f>
        <v>5326</v>
      </c>
      <c r="H2" s="105">
        <f t="shared" ref="H2:H13" si="3">MAX(B2:D2)</f>
        <v>10454</v>
      </c>
    </row>
    <row r="3" spans="1:8" ht="15.6">
      <c r="A3" s="112" t="s">
        <v>108</v>
      </c>
      <c r="B3" s="111">
        <v>10485</v>
      </c>
      <c r="C3" s="111">
        <v>14196</v>
      </c>
      <c r="D3" s="111">
        <v>8721</v>
      </c>
      <c r="E3" s="108">
        <f t="shared" si="0"/>
        <v>33402</v>
      </c>
      <c r="F3" s="107">
        <f t="shared" si="1"/>
        <v>11134</v>
      </c>
      <c r="G3" s="106">
        <f t="shared" si="2"/>
        <v>8721</v>
      </c>
      <c r="H3" s="105">
        <f t="shared" si="3"/>
        <v>14196</v>
      </c>
    </row>
    <row r="4" spans="1:8" ht="15.6">
      <c r="A4" s="112" t="s">
        <v>107</v>
      </c>
      <c r="B4" s="111">
        <v>11370</v>
      </c>
      <c r="C4" s="111">
        <v>5199</v>
      </c>
      <c r="D4" s="111">
        <v>9967</v>
      </c>
      <c r="E4" s="108">
        <f t="shared" si="0"/>
        <v>26536</v>
      </c>
      <c r="F4" s="107">
        <f t="shared" si="1"/>
        <v>8845.3333333333339</v>
      </c>
      <c r="G4" s="106">
        <f t="shared" si="2"/>
        <v>5199</v>
      </c>
      <c r="H4" s="105">
        <f t="shared" si="3"/>
        <v>11370</v>
      </c>
    </row>
    <row r="5" spans="1:8" ht="15.6">
      <c r="A5" s="112" t="s">
        <v>106</v>
      </c>
      <c r="B5" s="111">
        <v>12569</v>
      </c>
      <c r="C5" s="111">
        <v>13479</v>
      </c>
      <c r="D5" s="111">
        <v>10304</v>
      </c>
      <c r="E5" s="108">
        <f t="shared" si="0"/>
        <v>36352</v>
      </c>
      <c r="F5" s="107">
        <f t="shared" si="1"/>
        <v>12117.333333333334</v>
      </c>
      <c r="G5" s="106">
        <f t="shared" si="2"/>
        <v>10304</v>
      </c>
      <c r="H5" s="105">
        <f t="shared" si="3"/>
        <v>13479</v>
      </c>
    </row>
    <row r="6" spans="1:8" ht="15.6">
      <c r="A6" s="112" t="s">
        <v>105</v>
      </c>
      <c r="B6" s="111">
        <v>10248</v>
      </c>
      <c r="C6" s="111">
        <v>11373</v>
      </c>
      <c r="D6" s="111">
        <v>9965</v>
      </c>
      <c r="E6" s="108">
        <f t="shared" si="0"/>
        <v>31586</v>
      </c>
      <c r="F6" s="107">
        <f t="shared" si="1"/>
        <v>10528.666666666666</v>
      </c>
      <c r="G6" s="106">
        <f t="shared" si="2"/>
        <v>9965</v>
      </c>
      <c r="H6" s="105">
        <f t="shared" si="3"/>
        <v>11373</v>
      </c>
    </row>
    <row r="7" spans="1:8" ht="15.6">
      <c r="A7" s="112" t="s">
        <v>104</v>
      </c>
      <c r="B7" s="111">
        <v>6611</v>
      </c>
      <c r="C7" s="111">
        <v>11255</v>
      </c>
      <c r="D7" s="111">
        <v>10400</v>
      </c>
      <c r="E7" s="108">
        <f t="shared" si="0"/>
        <v>28266</v>
      </c>
      <c r="F7" s="107">
        <f t="shared" si="1"/>
        <v>9422</v>
      </c>
      <c r="G7" s="106">
        <f t="shared" si="2"/>
        <v>6611</v>
      </c>
      <c r="H7" s="105">
        <f t="shared" si="3"/>
        <v>11255</v>
      </c>
    </row>
    <row r="8" spans="1:8" ht="15.6">
      <c r="A8" s="112" t="s">
        <v>103</v>
      </c>
      <c r="B8" s="111">
        <v>11633</v>
      </c>
      <c r="C8" s="111">
        <v>13840</v>
      </c>
      <c r="D8" s="111">
        <v>10081</v>
      </c>
      <c r="E8" s="108">
        <f t="shared" si="0"/>
        <v>35554</v>
      </c>
      <c r="F8" s="107">
        <f t="shared" si="1"/>
        <v>11851.333333333334</v>
      </c>
      <c r="G8" s="106">
        <f t="shared" si="2"/>
        <v>10081</v>
      </c>
      <c r="H8" s="105">
        <f t="shared" si="3"/>
        <v>13840</v>
      </c>
    </row>
    <row r="9" spans="1:8" ht="15.6">
      <c r="A9" s="112" t="s">
        <v>102</v>
      </c>
      <c r="B9" s="111">
        <v>14534</v>
      </c>
      <c r="C9" s="111">
        <v>12672</v>
      </c>
      <c r="D9" s="111">
        <v>11465</v>
      </c>
      <c r="E9" s="108">
        <f t="shared" si="0"/>
        <v>38671</v>
      </c>
      <c r="F9" s="107">
        <f t="shared" si="1"/>
        <v>12890.333333333334</v>
      </c>
      <c r="G9" s="106">
        <f t="shared" si="2"/>
        <v>11465</v>
      </c>
      <c r="H9" s="105">
        <f t="shared" si="3"/>
        <v>14534</v>
      </c>
    </row>
    <row r="10" spans="1:8" ht="15.6">
      <c r="A10" s="112" t="s">
        <v>101</v>
      </c>
      <c r="B10" s="111">
        <v>8297</v>
      </c>
      <c r="C10" s="111">
        <v>7118</v>
      </c>
      <c r="D10" s="111">
        <v>14128</v>
      </c>
      <c r="E10" s="108">
        <f t="shared" si="0"/>
        <v>29543</v>
      </c>
      <c r="F10" s="107">
        <f t="shared" si="1"/>
        <v>9847.6666666666661</v>
      </c>
      <c r="G10" s="106">
        <f t="shared" si="2"/>
        <v>7118</v>
      </c>
      <c r="H10" s="105">
        <f t="shared" si="3"/>
        <v>14128</v>
      </c>
    </row>
    <row r="11" spans="1:8" ht="15.6">
      <c r="A11" s="112" t="s">
        <v>100</v>
      </c>
      <c r="B11" s="111">
        <v>6388</v>
      </c>
      <c r="C11" s="111">
        <v>13663</v>
      </c>
      <c r="D11" s="111">
        <v>12464</v>
      </c>
      <c r="E11" s="108">
        <f t="shared" si="0"/>
        <v>32515</v>
      </c>
      <c r="F11" s="107">
        <f t="shared" si="1"/>
        <v>10838.333333333334</v>
      </c>
      <c r="G11" s="106">
        <f t="shared" si="2"/>
        <v>6388</v>
      </c>
      <c r="H11" s="105">
        <f t="shared" si="3"/>
        <v>13663</v>
      </c>
    </row>
    <row r="12" spans="1:8" ht="15.6">
      <c r="A12" s="112" t="s">
        <v>99</v>
      </c>
      <c r="B12" s="111">
        <v>8260</v>
      </c>
      <c r="C12" s="111">
        <v>10585</v>
      </c>
      <c r="D12" s="111">
        <v>13470</v>
      </c>
      <c r="E12" s="108">
        <f t="shared" si="0"/>
        <v>32315</v>
      </c>
      <c r="F12" s="107">
        <f t="shared" si="1"/>
        <v>10771.666666666666</v>
      </c>
      <c r="G12" s="106">
        <f t="shared" si="2"/>
        <v>8260</v>
      </c>
      <c r="H12" s="105">
        <f t="shared" si="3"/>
        <v>13470</v>
      </c>
    </row>
    <row r="13" spans="1:8" ht="15.6">
      <c r="A13" s="112" t="s">
        <v>98</v>
      </c>
      <c r="B13" s="111">
        <v>10122</v>
      </c>
      <c r="C13" s="111">
        <v>6905</v>
      </c>
      <c r="D13" s="111">
        <v>5915</v>
      </c>
      <c r="E13" s="108">
        <f t="shared" si="0"/>
        <v>22942</v>
      </c>
      <c r="F13" s="107">
        <f t="shared" si="1"/>
        <v>7647.333333333333</v>
      </c>
      <c r="G13" s="106">
        <f t="shared" si="2"/>
        <v>5915</v>
      </c>
      <c r="H13" s="105">
        <f t="shared" si="3"/>
        <v>10122</v>
      </c>
    </row>
    <row r="14" spans="1:8" ht="15.6">
      <c r="A14" s="110" t="s">
        <v>8</v>
      </c>
      <c r="B14" s="107">
        <f t="shared" ref="B14:H14" si="4">SUM(B2:B13)</f>
        <v>119309</v>
      </c>
      <c r="C14" s="106">
        <f t="shared" si="4"/>
        <v>130739</v>
      </c>
      <c r="D14" s="109">
        <f t="shared" si="4"/>
        <v>122206</v>
      </c>
      <c r="E14" s="108">
        <f t="shared" si="4"/>
        <v>372254</v>
      </c>
      <c r="F14" s="107">
        <f t="shared" si="4"/>
        <v>124084.66666666666</v>
      </c>
      <c r="G14" s="106">
        <f t="shared" si="4"/>
        <v>95353</v>
      </c>
      <c r="H14" s="105">
        <f t="shared" si="4"/>
        <v>151884</v>
      </c>
    </row>
    <row r="15" spans="1:8" ht="15.6">
      <c r="A15" s="110" t="s">
        <v>97</v>
      </c>
      <c r="B15" s="107">
        <f t="shared" ref="B15:H15" si="5">AVERAGE(B2:B13)</f>
        <v>9942.4166666666661</v>
      </c>
      <c r="C15" s="106">
        <f t="shared" si="5"/>
        <v>10894.916666666666</v>
      </c>
      <c r="D15" s="109">
        <f t="shared" si="5"/>
        <v>10183.833333333334</v>
      </c>
      <c r="E15" s="108">
        <f t="shared" si="5"/>
        <v>31021.166666666668</v>
      </c>
      <c r="F15" s="107">
        <f t="shared" si="5"/>
        <v>10340.388888888889</v>
      </c>
      <c r="G15" s="106">
        <f t="shared" si="5"/>
        <v>7946.083333333333</v>
      </c>
      <c r="H15" s="105">
        <f t="shared" si="5"/>
        <v>12657</v>
      </c>
    </row>
    <row r="16" spans="1:8" ht="15.6">
      <c r="A16" s="110" t="s">
        <v>96</v>
      </c>
      <c r="B16" s="107">
        <f t="shared" ref="B16:H16" si="6">MIN(B2:B13)</f>
        <v>6388</v>
      </c>
      <c r="C16" s="106">
        <f t="shared" si="6"/>
        <v>5199</v>
      </c>
      <c r="D16" s="109">
        <f t="shared" si="6"/>
        <v>5326</v>
      </c>
      <c r="E16" s="108">
        <f t="shared" si="6"/>
        <v>22942</v>
      </c>
      <c r="F16" s="107">
        <f t="shared" si="6"/>
        <v>7647.333333333333</v>
      </c>
      <c r="G16" s="106">
        <f t="shared" si="6"/>
        <v>5199</v>
      </c>
      <c r="H16" s="105">
        <f t="shared" si="6"/>
        <v>10122</v>
      </c>
    </row>
    <row r="17" spans="1:8" ht="15.6">
      <c r="A17" s="110" t="s">
        <v>95</v>
      </c>
      <c r="B17" s="107">
        <f t="shared" ref="B17:H17" si="7">MAX(B2:B13)</f>
        <v>14534</v>
      </c>
      <c r="C17" s="106">
        <f t="shared" si="7"/>
        <v>14196</v>
      </c>
      <c r="D17" s="109">
        <f t="shared" si="7"/>
        <v>14128</v>
      </c>
      <c r="E17" s="108">
        <f t="shared" si="7"/>
        <v>38671</v>
      </c>
      <c r="F17" s="107">
        <f t="shared" si="7"/>
        <v>12890.333333333334</v>
      </c>
      <c r="G17" s="106">
        <f t="shared" si="7"/>
        <v>11465</v>
      </c>
      <c r="H17" s="105">
        <f t="shared" si="7"/>
        <v>14534</v>
      </c>
    </row>
    <row r="22" spans="1:8">
      <c r="C22" s="104"/>
    </row>
  </sheetData>
  <pageMargins left="0.7" right="0.7" top="0.75" bottom="0.75" header="0.3" footer="0.3"/>
  <pageSetup paperSize="9" orientation="portrait" horizontalDpi="4294967293" verticalDpi="0"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177B731-B970-4CDC-8989-89E4E5F5048E}">
  <dimension ref="A1:I12"/>
  <sheetViews>
    <sheetView topLeftCell="A2" workbookViewId="0">
      <selection activeCell="C8" sqref="C8"/>
    </sheetView>
  </sheetViews>
  <sheetFormatPr baseColWidth="10" defaultColWidth="11.44140625" defaultRowHeight="18"/>
  <cols>
    <col min="1" max="1" width="22.5546875" style="117" bestFit="1" customWidth="1"/>
    <col min="2" max="2" width="33" style="117" bestFit="1" customWidth="1"/>
    <col min="3" max="3" width="27.109375" style="117" bestFit="1" customWidth="1"/>
    <col min="4" max="8" width="11.44140625" style="117"/>
    <col min="9" max="9" width="29.33203125" style="117" bestFit="1" customWidth="1"/>
    <col min="10" max="16384" width="11.44140625" style="117"/>
  </cols>
  <sheetData>
    <row r="1" spans="1:9">
      <c r="A1" s="630" t="s">
        <v>127</v>
      </c>
      <c r="B1" s="630"/>
      <c r="C1" s="630"/>
    </row>
    <row r="3" spans="1:9">
      <c r="A3" s="126" t="s">
        <v>126</v>
      </c>
      <c r="B3" s="125">
        <f ca="1">NOW()</f>
        <v>44165.506064814814</v>
      </c>
    </row>
    <row r="4" spans="1:9">
      <c r="A4" s="121" t="s">
        <v>126</v>
      </c>
      <c r="B4" s="124">
        <v>44111</v>
      </c>
    </row>
    <row r="5" spans="1:9">
      <c r="A5" s="121" t="s">
        <v>125</v>
      </c>
      <c r="B5" s="120">
        <f>HOUR(B4)</f>
        <v>0</v>
      </c>
      <c r="C5" s="119" t="s">
        <v>124</v>
      </c>
    </row>
    <row r="6" spans="1:9">
      <c r="B6" s="120">
        <f>MINUTE(B4)</f>
        <v>0</v>
      </c>
      <c r="C6" s="119" t="s">
        <v>123</v>
      </c>
      <c r="I6" s="123">
        <f ca="1">TODAY()</f>
        <v>44165</v>
      </c>
    </row>
    <row r="7" spans="1:9">
      <c r="B7" s="120">
        <f>SECOND(B4)</f>
        <v>0</v>
      </c>
      <c r="C7" s="119" t="s">
        <v>122</v>
      </c>
    </row>
    <row r="8" spans="1:9">
      <c r="A8" s="121" t="s">
        <v>120</v>
      </c>
      <c r="B8" s="120">
        <f ca="1">MONTH(NOW())</f>
        <v>11</v>
      </c>
      <c r="C8" s="119" t="s">
        <v>121</v>
      </c>
    </row>
    <row r="9" spans="1:9">
      <c r="A9" s="121" t="s">
        <v>120</v>
      </c>
      <c r="B9" s="120">
        <f>WEEKDAY(B4,2)</f>
        <v>3</v>
      </c>
      <c r="C9" s="119" t="s">
        <v>119</v>
      </c>
    </row>
    <row r="10" spans="1:9">
      <c r="A10" s="121" t="s">
        <v>118</v>
      </c>
      <c r="B10" s="122">
        <f>B4</f>
        <v>44111</v>
      </c>
      <c r="C10" s="119" t="s">
        <v>117</v>
      </c>
    </row>
    <row r="11" spans="1:9">
      <c r="A11" s="121" t="s">
        <v>116</v>
      </c>
      <c r="B11" s="120">
        <f>YEAR(B4)</f>
        <v>2020</v>
      </c>
      <c r="C11" s="119" t="s">
        <v>115</v>
      </c>
    </row>
    <row r="12" spans="1:9">
      <c r="B12" s="118"/>
    </row>
  </sheetData>
  <mergeCells count="1">
    <mergeCell ref="A1:C1"/>
  </mergeCells>
  <pageMargins left="0.7" right="0.7" top="0.75" bottom="0.75" header="0.3" footer="0.3"/>
  <pageSetup paperSize="9" orientation="portrait" verticalDpi="2"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21E975-4FAE-41CE-B1B2-48E7D27F0332}">
  <dimension ref="A1:F12"/>
  <sheetViews>
    <sheetView workbookViewId="0">
      <selection activeCell="A27" sqref="A27"/>
    </sheetView>
  </sheetViews>
  <sheetFormatPr baseColWidth="10" defaultColWidth="11.44140625" defaultRowHeight="14.4"/>
  <cols>
    <col min="3" max="3" width="20" bestFit="1" customWidth="1"/>
    <col min="4" max="4" width="12.109375" bestFit="1" customWidth="1"/>
  </cols>
  <sheetData>
    <row r="1" spans="1:6">
      <c r="A1" s="103" t="s">
        <v>149</v>
      </c>
      <c r="C1" s="131">
        <v>44102</v>
      </c>
      <c r="F1">
        <v>365.25</v>
      </c>
    </row>
    <row r="3" spans="1:6">
      <c r="A3" s="130" t="s">
        <v>68</v>
      </c>
      <c r="B3" s="130" t="s">
        <v>148</v>
      </c>
      <c r="C3" s="130" t="s">
        <v>147</v>
      </c>
      <c r="D3" s="130" t="s">
        <v>146</v>
      </c>
    </row>
    <row r="4" spans="1:6">
      <c r="A4" t="s">
        <v>145</v>
      </c>
      <c r="B4" t="s">
        <v>144</v>
      </c>
      <c r="C4" s="128">
        <v>24496</v>
      </c>
      <c r="D4" s="127">
        <f t="shared" ref="D4:D12" si="0">ROUNDDOWN((C$1-C4)/F$1,0)</f>
        <v>53</v>
      </c>
    </row>
    <row r="5" spans="1:6">
      <c r="A5" t="s">
        <v>143</v>
      </c>
      <c r="B5" t="s">
        <v>142</v>
      </c>
      <c r="C5" s="128">
        <v>22234</v>
      </c>
      <c r="D5" s="127">
        <f t="shared" si="0"/>
        <v>59</v>
      </c>
    </row>
    <row r="6" spans="1:6">
      <c r="A6" t="s">
        <v>141</v>
      </c>
      <c r="B6" t="s">
        <v>140</v>
      </c>
      <c r="C6" s="128">
        <v>14252</v>
      </c>
      <c r="D6" s="127">
        <f t="shared" si="0"/>
        <v>81</v>
      </c>
    </row>
    <row r="7" spans="1:6">
      <c r="A7" t="s">
        <v>139</v>
      </c>
      <c r="B7" t="s">
        <v>138</v>
      </c>
      <c r="C7" s="128">
        <v>31318</v>
      </c>
      <c r="D7" s="127">
        <f t="shared" si="0"/>
        <v>35</v>
      </c>
    </row>
    <row r="8" spans="1:6">
      <c r="A8" t="s">
        <v>137</v>
      </c>
      <c r="B8" t="s">
        <v>136</v>
      </c>
      <c r="C8" s="128">
        <v>22741</v>
      </c>
      <c r="D8" s="127">
        <f t="shared" si="0"/>
        <v>58</v>
      </c>
    </row>
    <row r="9" spans="1:6">
      <c r="A9" t="s">
        <v>135</v>
      </c>
      <c r="B9" t="s">
        <v>134</v>
      </c>
      <c r="C9" s="128">
        <v>18257</v>
      </c>
      <c r="D9" s="127">
        <f t="shared" si="0"/>
        <v>70</v>
      </c>
    </row>
    <row r="10" spans="1:6">
      <c r="A10" t="s">
        <v>133</v>
      </c>
      <c r="B10" t="s">
        <v>132</v>
      </c>
      <c r="C10" s="128">
        <v>22098</v>
      </c>
      <c r="D10" s="127">
        <f t="shared" si="0"/>
        <v>60</v>
      </c>
    </row>
    <row r="11" spans="1:6">
      <c r="A11" t="s">
        <v>131</v>
      </c>
      <c r="B11" t="s">
        <v>130</v>
      </c>
      <c r="C11" s="128">
        <v>39780</v>
      </c>
      <c r="D11" s="127">
        <f t="shared" si="0"/>
        <v>11</v>
      </c>
    </row>
    <row r="12" spans="1:6" ht="18">
      <c r="A12" s="129" t="s">
        <v>129</v>
      </c>
      <c r="B12" t="s">
        <v>128</v>
      </c>
      <c r="C12" s="128">
        <v>37229</v>
      </c>
      <c r="D12" s="127">
        <f t="shared" si="0"/>
        <v>18</v>
      </c>
    </row>
  </sheetData>
  <pageMargins left="0.7" right="0.7" top="0.75" bottom="0.75" header="0.3" footer="0.3"/>
  <drawing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B435B2-37B2-47AD-97C4-AFC4B47198F0}">
  <dimension ref="A1:K18"/>
  <sheetViews>
    <sheetView workbookViewId="0">
      <selection activeCell="I9" sqref="I9"/>
    </sheetView>
  </sheetViews>
  <sheetFormatPr baseColWidth="10" defaultColWidth="11.44140625" defaultRowHeight="14.4"/>
  <cols>
    <col min="1" max="5" width="12.109375" style="103" bestFit="1" customWidth="1"/>
    <col min="6" max="16384" width="11.44140625" style="103"/>
  </cols>
  <sheetData>
    <row r="1" spans="1:11" ht="15" thickBot="1">
      <c r="A1" s="632" t="s">
        <v>158</v>
      </c>
      <c r="B1" s="632"/>
      <c r="C1" s="150">
        <v>44077</v>
      </c>
    </row>
    <row r="2" spans="1:11">
      <c r="B2" s="149" t="s">
        <v>157</v>
      </c>
      <c r="C2" s="148" t="s">
        <v>156</v>
      </c>
      <c r="D2" s="147" t="s">
        <v>155</v>
      </c>
    </row>
    <row r="3" spans="1:11" ht="15" thickBot="1">
      <c r="B3" s="146">
        <v>7</v>
      </c>
      <c r="C3" s="145">
        <v>12</v>
      </c>
      <c r="D3" s="144">
        <v>3</v>
      </c>
    </row>
    <row r="4" spans="1:11">
      <c r="A4" s="631" t="s">
        <v>154</v>
      </c>
      <c r="B4" s="631"/>
      <c r="C4" s="631"/>
      <c r="D4" s="631"/>
      <c r="E4" s="631"/>
    </row>
    <row r="5" spans="1:11">
      <c r="A5" s="143" t="s">
        <v>153</v>
      </c>
      <c r="B5" s="142" t="s">
        <v>152</v>
      </c>
      <c r="C5" s="142" t="s">
        <v>114</v>
      </c>
      <c r="D5" s="142" t="s">
        <v>151</v>
      </c>
      <c r="E5" s="141" t="s">
        <v>150</v>
      </c>
    </row>
    <row r="6" spans="1:11">
      <c r="A6" s="140">
        <v>5</v>
      </c>
      <c r="B6" s="139">
        <v>2</v>
      </c>
      <c r="C6" s="139">
        <v>2</v>
      </c>
      <c r="D6" s="139">
        <v>1</v>
      </c>
      <c r="E6" s="138">
        <v>2</v>
      </c>
    </row>
    <row r="7" spans="1:11">
      <c r="A7" s="137">
        <f>$C1</f>
        <v>44077</v>
      </c>
      <c r="B7" s="137">
        <f>$C1</f>
        <v>44077</v>
      </c>
      <c r="C7" s="137">
        <f>$C1</f>
        <v>44077</v>
      </c>
      <c r="D7" s="137">
        <f>$C1</f>
        <v>44077</v>
      </c>
      <c r="E7" s="137">
        <f>$C1</f>
        <v>44077</v>
      </c>
      <c r="K7" s="132"/>
    </row>
    <row r="8" spans="1:11">
      <c r="A8" s="136">
        <f t="shared" ref="A8:A15" si="0">A7+A$6</f>
        <v>44082</v>
      </c>
      <c r="B8" s="44">
        <f>B7+(B$3*2)</f>
        <v>44091</v>
      </c>
      <c r="C8" s="44">
        <f t="shared" ref="C8:C15" si="1">DATE(YEAR(C7),MONTH(C7)+C$6,DAY(C7))</f>
        <v>44138</v>
      </c>
      <c r="D8" s="44">
        <f t="shared" ref="D8:D15" si="2">DATE(YEAR(D7),MONTH(D7)+D$6*3,DAY(D7))</f>
        <v>44168</v>
      </c>
      <c r="E8" s="135">
        <f t="shared" ref="E8:E15" si="3">E7+365.25*2</f>
        <v>44807.5</v>
      </c>
    </row>
    <row r="9" spans="1:11">
      <c r="A9" s="136">
        <f t="shared" si="0"/>
        <v>44087</v>
      </c>
      <c r="B9" s="44">
        <f t="shared" ref="B9:B15" si="4">B8+(B$3*B$6)</f>
        <v>44105</v>
      </c>
      <c r="C9" s="44">
        <f t="shared" si="1"/>
        <v>44199</v>
      </c>
      <c r="D9" s="44">
        <f t="shared" si="2"/>
        <v>44258</v>
      </c>
      <c r="E9" s="135">
        <f t="shared" si="3"/>
        <v>45538</v>
      </c>
      <c r="K9" s="132"/>
    </row>
    <row r="10" spans="1:11">
      <c r="A10" s="136">
        <f t="shared" si="0"/>
        <v>44092</v>
      </c>
      <c r="B10" s="44">
        <f t="shared" si="4"/>
        <v>44119</v>
      </c>
      <c r="C10" s="44">
        <f t="shared" si="1"/>
        <v>44258</v>
      </c>
      <c r="D10" s="44">
        <f t="shared" si="2"/>
        <v>44350</v>
      </c>
      <c r="E10" s="135">
        <f t="shared" si="3"/>
        <v>46268.5</v>
      </c>
    </row>
    <row r="11" spans="1:11">
      <c r="A11" s="136">
        <f t="shared" si="0"/>
        <v>44097</v>
      </c>
      <c r="B11" s="44">
        <f t="shared" si="4"/>
        <v>44133</v>
      </c>
      <c r="C11" s="44">
        <f t="shared" si="1"/>
        <v>44319</v>
      </c>
      <c r="D11" s="44">
        <f t="shared" si="2"/>
        <v>44442</v>
      </c>
      <c r="E11" s="135">
        <f t="shared" si="3"/>
        <v>46999</v>
      </c>
    </row>
    <row r="12" spans="1:11">
      <c r="A12" s="136">
        <f t="shared" si="0"/>
        <v>44102</v>
      </c>
      <c r="B12" s="44">
        <f t="shared" si="4"/>
        <v>44147</v>
      </c>
      <c r="C12" s="44">
        <f t="shared" si="1"/>
        <v>44380</v>
      </c>
      <c r="D12" s="44">
        <f t="shared" si="2"/>
        <v>44533</v>
      </c>
      <c r="E12" s="135">
        <f t="shared" si="3"/>
        <v>47729.5</v>
      </c>
    </row>
    <row r="13" spans="1:11">
      <c r="A13" s="136">
        <f t="shared" si="0"/>
        <v>44107</v>
      </c>
      <c r="B13" s="44">
        <f t="shared" si="4"/>
        <v>44161</v>
      </c>
      <c r="C13" s="44">
        <f t="shared" si="1"/>
        <v>44442</v>
      </c>
      <c r="D13" s="44">
        <f t="shared" si="2"/>
        <v>44623</v>
      </c>
      <c r="E13" s="135">
        <f t="shared" si="3"/>
        <v>48460</v>
      </c>
    </row>
    <row r="14" spans="1:11">
      <c r="A14" s="136">
        <f t="shared" si="0"/>
        <v>44112</v>
      </c>
      <c r="B14" s="44">
        <f t="shared" si="4"/>
        <v>44175</v>
      </c>
      <c r="C14" s="44">
        <f t="shared" si="1"/>
        <v>44503</v>
      </c>
      <c r="D14" s="44">
        <f t="shared" si="2"/>
        <v>44715</v>
      </c>
      <c r="E14" s="135">
        <f t="shared" si="3"/>
        <v>49190.5</v>
      </c>
    </row>
    <row r="15" spans="1:11">
      <c r="A15" s="136">
        <f t="shared" si="0"/>
        <v>44117</v>
      </c>
      <c r="B15" s="44">
        <f t="shared" si="4"/>
        <v>44189</v>
      </c>
      <c r="C15" s="44">
        <f t="shared" si="1"/>
        <v>44564</v>
      </c>
      <c r="D15" s="44">
        <f t="shared" si="2"/>
        <v>44807</v>
      </c>
      <c r="E15" s="135">
        <f t="shared" si="3"/>
        <v>49921</v>
      </c>
    </row>
    <row r="16" spans="1:11">
      <c r="A16" s="134"/>
    </row>
    <row r="17" spans="1:2">
      <c r="A17" s="133"/>
    </row>
    <row r="18" spans="1:2">
      <c r="A18" s="132"/>
      <c r="B18" s="132"/>
    </row>
  </sheetData>
  <mergeCells count="2">
    <mergeCell ref="A4:E4"/>
    <mergeCell ref="A1:B1"/>
  </mergeCells>
  <pageMargins left="0.7" right="0.7" top="0.75" bottom="0.75" header="0.3" footer="0.3"/>
  <pageSetup paperSize="9" orientation="portrait" horizontalDpi="4294967293" verticalDpi="0"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A0AA9C-30C8-485D-ACC2-D2EBDF549545}">
  <dimension ref="A1:G10"/>
  <sheetViews>
    <sheetView zoomScale="120" zoomScaleNormal="120" workbookViewId="0">
      <selection activeCell="G3" sqref="G3"/>
    </sheetView>
  </sheetViews>
  <sheetFormatPr baseColWidth="10" defaultColWidth="11.44140625" defaultRowHeight="14.4"/>
  <cols>
    <col min="1" max="1" width="12" style="103" bestFit="1" customWidth="1"/>
    <col min="2" max="2" width="8.6640625" style="103" bestFit="1" customWidth="1"/>
    <col min="3" max="3" width="5.44140625" style="103" bestFit="1" customWidth="1"/>
    <col min="4" max="4" width="10.6640625" style="103" bestFit="1" customWidth="1"/>
    <col min="5" max="5" width="17.44140625" style="103" bestFit="1" customWidth="1"/>
    <col min="6" max="6" width="6.6640625" style="103" bestFit="1" customWidth="1"/>
    <col min="7" max="7" width="13.88671875" style="103" bestFit="1" customWidth="1"/>
    <col min="8" max="16384" width="11.44140625" style="103"/>
  </cols>
  <sheetData>
    <row r="1" spans="1:7" ht="15" thickBot="1">
      <c r="A1" s="157" t="s">
        <v>177</v>
      </c>
      <c r="B1" s="157" t="s">
        <v>148</v>
      </c>
      <c r="C1" s="157" t="s">
        <v>176</v>
      </c>
      <c r="D1" s="157" t="s">
        <v>175</v>
      </c>
      <c r="E1" s="157" t="s">
        <v>174</v>
      </c>
      <c r="F1" s="157" t="s">
        <v>173</v>
      </c>
      <c r="G1" s="157" t="s">
        <v>172</v>
      </c>
    </row>
    <row r="2" spans="1:7" ht="15" thickBot="1">
      <c r="A2" s="103" t="s">
        <v>171</v>
      </c>
      <c r="B2" s="103" t="s">
        <v>170</v>
      </c>
      <c r="C2" s="154">
        <v>1</v>
      </c>
      <c r="D2" s="156" t="str">
        <f>LEFT(B2,1)&amp;LEFT(A2)</f>
        <v>TD</v>
      </c>
      <c r="E2" s="155">
        <v>36427</v>
      </c>
      <c r="F2" s="154" t="s">
        <v>169</v>
      </c>
      <c r="G2" s="153" t="str">
        <f>C2&amp;D2&amp;" "&amp;RIGHT(YEAR(E2),2)&amp;"_"&amp;F2</f>
        <v>1TD 99_3eBA1</v>
      </c>
    </row>
    <row r="3" spans="1:7" ht="15" thickBot="1">
      <c r="A3" s="103" t="s">
        <v>168</v>
      </c>
      <c r="B3" s="103" t="s">
        <v>167</v>
      </c>
      <c r="C3" s="154">
        <v>2</v>
      </c>
      <c r="D3" s="156" t="str">
        <f>LEFT(B3,1)&amp;LEFT(A3)</f>
        <v>ND</v>
      </c>
      <c r="E3" s="155">
        <v>30830</v>
      </c>
      <c r="F3" s="154" t="s">
        <v>166</v>
      </c>
      <c r="G3" s="153" t="str">
        <f>C3&amp;D3&amp;" "&amp;RIGHT(YEAR(E3),2)&amp;"_"&amp;F3</f>
        <v>2ND 84_1DB2</v>
      </c>
    </row>
    <row r="4" spans="1:7" ht="15" thickBot="1">
      <c r="A4" s="103" t="s">
        <v>165</v>
      </c>
      <c r="B4" s="103" t="s">
        <v>164</v>
      </c>
      <c r="C4" s="154">
        <v>2</v>
      </c>
      <c r="D4" s="156" t="str">
        <f>LEFT(B4,1)&amp;LEFT(A4)</f>
        <v>CC</v>
      </c>
      <c r="E4" s="155">
        <v>29910</v>
      </c>
      <c r="F4" s="154" t="s">
        <v>163</v>
      </c>
      <c r="G4" s="153" t="str">
        <f>C4&amp;D4&amp;" "&amp;RIGHT(YEAR(E4),2)&amp;"_"&amp;F4</f>
        <v>2CC 81_2XC1</v>
      </c>
    </row>
    <row r="5" spans="1:7" ht="15" thickBot="1">
      <c r="A5" s="103" t="s">
        <v>162</v>
      </c>
      <c r="B5" s="103" t="s">
        <v>142</v>
      </c>
      <c r="C5" s="154">
        <v>1</v>
      </c>
      <c r="D5" s="156" t="str">
        <f>LEFT(B5,1)&amp;LEFT(A5)</f>
        <v>LM</v>
      </c>
      <c r="E5" s="155">
        <v>34712</v>
      </c>
      <c r="F5" s="154" t="s">
        <v>161</v>
      </c>
      <c r="G5" s="153" t="str">
        <f>C5&amp;D5&amp;" "&amp;RIGHT(YEAR(E5),2)&amp;"_"&amp;F5</f>
        <v>1LM 95_1JB2</v>
      </c>
    </row>
    <row r="6" spans="1:7" ht="15" thickBot="1">
      <c r="A6" s="103" t="s">
        <v>160</v>
      </c>
      <c r="B6" s="103" t="s">
        <v>55</v>
      </c>
      <c r="C6" s="154">
        <v>1</v>
      </c>
      <c r="D6" s="153" t="str">
        <f>LEFT(B6,1)&amp;LEFT(A6)</f>
        <v>PM</v>
      </c>
      <c r="E6" s="155">
        <v>27733</v>
      </c>
      <c r="F6" s="154" t="s">
        <v>159</v>
      </c>
      <c r="G6" s="153" t="str">
        <f>C6&amp;D6&amp;" "&amp;RIGHT(YEAR(E6),2)&amp;"_"&amp;F6</f>
        <v>1PM 75_3DD2</v>
      </c>
    </row>
    <row r="10" spans="1:7">
      <c r="E10" s="152"/>
      <c r="G10" s="151"/>
    </row>
  </sheetData>
  <pageMargins left="0.7" right="0.7" top="0.75" bottom="0.75" header="0.3" footer="0.3"/>
  <pageSetup paperSize="9" orientation="portrait" horizontalDpi="4294967293" verticalDpi="0" r:id="rId1"/>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478A240-85EE-46C8-8275-DCD6A49DD79D}">
  <dimension ref="A3:G12"/>
  <sheetViews>
    <sheetView workbookViewId="0">
      <selection activeCell="H8" sqref="H8"/>
    </sheetView>
  </sheetViews>
  <sheetFormatPr baseColWidth="10" defaultColWidth="11.44140625" defaultRowHeight="13.2"/>
  <cols>
    <col min="1" max="1" width="11.44140625" style="175"/>
    <col min="2" max="3" width="11.5546875" style="175" bestFit="1" customWidth="1"/>
    <col min="4" max="5" width="13" style="175" bestFit="1" customWidth="1"/>
    <col min="6" max="16384" width="11.44140625" style="175"/>
  </cols>
  <sheetData>
    <row r="3" spans="1:7" ht="14.4">
      <c r="A3" s="398" t="s">
        <v>496</v>
      </c>
    </row>
    <row r="4" spans="1:7" ht="13.8" thickBot="1"/>
    <row r="5" spans="1:7" ht="15" thickBot="1">
      <c r="A5" s="392" t="s">
        <v>7</v>
      </c>
      <c r="B5" s="393" t="s">
        <v>497</v>
      </c>
      <c r="C5" s="393" t="s">
        <v>498</v>
      </c>
      <c r="D5" s="393" t="s">
        <v>499</v>
      </c>
      <c r="E5" s="394" t="s">
        <v>500</v>
      </c>
      <c r="F5" s="394" t="s">
        <v>505</v>
      </c>
      <c r="G5" s="402"/>
    </row>
    <row r="6" spans="1:7" ht="14.4">
      <c r="A6" s="395" t="s">
        <v>501</v>
      </c>
      <c r="B6" s="390">
        <v>125</v>
      </c>
      <c r="C6" s="390">
        <v>20</v>
      </c>
      <c r="D6" s="390">
        <f>B6*C6</f>
        <v>2500</v>
      </c>
      <c r="E6" s="400">
        <f>D6</f>
        <v>2500</v>
      </c>
      <c r="F6" s="399">
        <f>D6/D$11</f>
        <v>5.9808612440191387E-3</v>
      </c>
      <c r="G6" s="401"/>
    </row>
    <row r="7" spans="1:7" ht="14.4">
      <c r="A7" s="396" t="s">
        <v>502</v>
      </c>
      <c r="B7" s="390">
        <v>1500</v>
      </c>
      <c r="C7" s="390">
        <v>115</v>
      </c>
      <c r="D7" s="390">
        <f t="shared" ref="D7:D9" si="0">B7*C7</f>
        <v>172500</v>
      </c>
      <c r="E7" s="390">
        <f>D7+E6</f>
        <v>175000</v>
      </c>
      <c r="F7" s="399">
        <f t="shared" ref="F7:F9" si="1">D7/D$11</f>
        <v>0.41267942583732059</v>
      </c>
    </row>
    <row r="8" spans="1:7" ht="14.4">
      <c r="A8" s="396" t="s">
        <v>503</v>
      </c>
      <c r="B8" s="390">
        <v>2600</v>
      </c>
      <c r="C8" s="390">
        <v>60</v>
      </c>
      <c r="D8" s="390">
        <f t="shared" si="0"/>
        <v>156000</v>
      </c>
      <c r="E8" s="390">
        <f t="shared" ref="E8:E9" si="2">D8+E7</f>
        <v>331000</v>
      </c>
      <c r="F8" s="399">
        <f t="shared" si="1"/>
        <v>0.37320574162679426</v>
      </c>
    </row>
    <row r="9" spans="1:7" ht="15" thickBot="1">
      <c r="A9" s="397" t="s">
        <v>504</v>
      </c>
      <c r="B9" s="391">
        <v>2900</v>
      </c>
      <c r="C9" s="391">
        <v>30</v>
      </c>
      <c r="D9" s="391">
        <f t="shared" si="0"/>
        <v>87000</v>
      </c>
      <c r="E9" s="391">
        <f t="shared" si="2"/>
        <v>418000</v>
      </c>
      <c r="F9" s="399">
        <f t="shared" si="1"/>
        <v>0.20813397129186603</v>
      </c>
    </row>
    <row r="10" spans="1:7">
      <c r="B10" s="387"/>
      <c r="E10" s="387"/>
    </row>
    <row r="11" spans="1:7" ht="15" thickBot="1">
      <c r="A11" s="389" t="s">
        <v>8</v>
      </c>
      <c r="C11" s="387">
        <f>SUM(C6:C9)</f>
        <v>225</v>
      </c>
      <c r="D11" s="387">
        <f>SUM(D6:D9)</f>
        <v>418000</v>
      </c>
      <c r="F11" s="403">
        <f>SUM(F6:F9)</f>
        <v>1</v>
      </c>
    </row>
    <row r="12" spans="1:7" ht="13.8" thickTop="1"/>
  </sheetData>
  <pageMargins left="0.7" right="0.7" top="0.75" bottom="0.75" header="0.3" footer="0.3"/>
  <pageSetup paperSize="9" orientation="portrait" r:id="rId1"/>
  <drawing r:id="rId2"/>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550460-2F9C-4B20-9D53-131E45D5EF46}">
  <dimension ref="A1:D9"/>
  <sheetViews>
    <sheetView workbookViewId="0">
      <selection activeCell="M18" sqref="M18"/>
    </sheetView>
  </sheetViews>
  <sheetFormatPr baseColWidth="10" defaultColWidth="11.44140625" defaultRowHeight="13.8"/>
  <cols>
    <col min="1" max="1" width="4.109375" style="165" customWidth="1"/>
    <col min="2" max="2" width="10" style="165" customWidth="1"/>
    <col min="3" max="3" width="11.44140625" style="165"/>
    <col min="4" max="4" width="13" style="165" customWidth="1"/>
    <col min="5" max="16384" width="11.44140625" style="165"/>
  </cols>
  <sheetData>
    <row r="1" spans="1:4">
      <c r="A1" s="174"/>
      <c r="B1" s="173" t="s">
        <v>202</v>
      </c>
      <c r="C1" s="173" t="s">
        <v>201</v>
      </c>
      <c r="D1" s="173" t="s">
        <v>200</v>
      </c>
    </row>
    <row r="2" spans="1:4">
      <c r="A2" s="172" t="s">
        <v>199</v>
      </c>
      <c r="B2" s="171">
        <v>22.45</v>
      </c>
      <c r="C2" s="170">
        <v>10000</v>
      </c>
      <c r="D2" s="169">
        <f t="shared" ref="D2:D8" si="0">B2*C2</f>
        <v>224500</v>
      </c>
    </row>
    <row r="3" spans="1:4">
      <c r="A3" s="172" t="s">
        <v>198</v>
      </c>
      <c r="B3" s="171">
        <v>18.989999999999998</v>
      </c>
      <c r="C3" s="170">
        <v>4500</v>
      </c>
      <c r="D3" s="169">
        <f t="shared" si="0"/>
        <v>85455</v>
      </c>
    </row>
    <row r="4" spans="1:4">
      <c r="A4" s="172" t="s">
        <v>197</v>
      </c>
      <c r="B4" s="171">
        <v>2.6</v>
      </c>
      <c r="C4" s="170">
        <v>30000</v>
      </c>
      <c r="D4" s="169">
        <f t="shared" si="0"/>
        <v>78000</v>
      </c>
    </row>
    <row r="5" spans="1:4">
      <c r="A5" s="172" t="s">
        <v>196</v>
      </c>
      <c r="B5" s="171">
        <v>18.5</v>
      </c>
      <c r="C5" s="170">
        <v>2400</v>
      </c>
      <c r="D5" s="169">
        <f t="shared" si="0"/>
        <v>44400</v>
      </c>
    </row>
    <row r="6" spans="1:4">
      <c r="A6" s="172" t="s">
        <v>195</v>
      </c>
      <c r="B6" s="171">
        <v>30</v>
      </c>
      <c r="C6" s="170">
        <v>5000</v>
      </c>
      <c r="D6" s="169">
        <f t="shared" si="0"/>
        <v>150000</v>
      </c>
    </row>
    <row r="7" spans="1:4">
      <c r="A7" s="172" t="s">
        <v>194</v>
      </c>
      <c r="B7" s="171">
        <v>4.7699999999999996</v>
      </c>
      <c r="C7" s="170">
        <v>10000</v>
      </c>
      <c r="D7" s="169">
        <f t="shared" si="0"/>
        <v>47699.999999999993</v>
      </c>
    </row>
    <row r="8" spans="1:4">
      <c r="A8" s="172" t="s">
        <v>193</v>
      </c>
      <c r="B8" s="171">
        <v>7.87</v>
      </c>
      <c r="C8" s="170">
        <v>10000</v>
      </c>
      <c r="D8" s="169">
        <f t="shared" si="0"/>
        <v>78700</v>
      </c>
    </row>
    <row r="9" spans="1:4">
      <c r="B9" s="168"/>
      <c r="C9" s="167"/>
      <c r="D9" s="166"/>
    </row>
  </sheetData>
  <pageMargins left="0.78740157499999996" right="0.78740157499999996" top="0.984251969" bottom="0.984251969" header="0.4921259845" footer="0.4921259845"/>
  <pageSetup paperSize="9" orientation="landscape" r:id="rId1"/>
  <headerFooter alignWithMargins="0"/>
  <drawing r:id="rId2"/>
  <legacyDrawing r:id="rId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C1B5A7A-BFF7-46E9-8891-CE856F55EF9B}">
  <dimension ref="A1:D13"/>
  <sheetViews>
    <sheetView workbookViewId="0">
      <selection activeCell="D21" sqref="D21"/>
    </sheetView>
  </sheetViews>
  <sheetFormatPr baseColWidth="10" defaultColWidth="11.44140625" defaultRowHeight="14.4"/>
  <cols>
    <col min="1" max="1" width="25.88671875" style="158" bestFit="1" customWidth="1"/>
    <col min="2" max="2" width="12" style="158" customWidth="1"/>
    <col min="3" max="3" width="9.33203125" style="158" bestFit="1" customWidth="1"/>
    <col min="4" max="4" width="9" style="158" customWidth="1"/>
    <col min="5" max="16384" width="11.44140625" style="158"/>
  </cols>
  <sheetData>
    <row r="1" spans="1:4">
      <c r="A1" s="164" t="s">
        <v>192</v>
      </c>
      <c r="B1" s="163" t="s">
        <v>191</v>
      </c>
      <c r="C1" s="163" t="s">
        <v>190</v>
      </c>
      <c r="D1" s="163" t="s">
        <v>189</v>
      </c>
    </row>
    <row r="2" spans="1:4">
      <c r="A2" s="160" t="s">
        <v>188</v>
      </c>
      <c r="B2" s="161">
        <v>42425</v>
      </c>
      <c r="C2" s="162">
        <v>1</v>
      </c>
      <c r="D2" s="161">
        <f t="shared" ref="D2:D11" si="0">B2+C2-1</f>
        <v>42425</v>
      </c>
    </row>
    <row r="3" spans="1:4">
      <c r="A3" s="160" t="s">
        <v>187</v>
      </c>
      <c r="B3" s="161">
        <v>42428</v>
      </c>
      <c r="C3" s="162">
        <v>8</v>
      </c>
      <c r="D3" s="161">
        <f t="shared" si="0"/>
        <v>42435</v>
      </c>
    </row>
    <row r="4" spans="1:4">
      <c r="A4" s="160" t="s">
        <v>186</v>
      </c>
      <c r="B4" s="161">
        <v>42437</v>
      </c>
      <c r="C4" s="162">
        <v>4</v>
      </c>
      <c r="D4" s="161">
        <f t="shared" si="0"/>
        <v>42440</v>
      </c>
    </row>
    <row r="5" spans="1:4">
      <c r="A5" s="160" t="s">
        <v>185</v>
      </c>
      <c r="B5" s="161">
        <v>42438</v>
      </c>
      <c r="C5" s="162">
        <v>15</v>
      </c>
      <c r="D5" s="161">
        <f t="shared" si="0"/>
        <v>42452</v>
      </c>
    </row>
    <row r="6" spans="1:4">
      <c r="A6" s="160" t="s">
        <v>184</v>
      </c>
      <c r="B6" s="161">
        <v>42441</v>
      </c>
      <c r="C6" s="162">
        <v>15</v>
      </c>
      <c r="D6" s="161">
        <f t="shared" si="0"/>
        <v>42455</v>
      </c>
    </row>
    <row r="7" spans="1:4">
      <c r="A7" s="160" t="s">
        <v>183</v>
      </c>
      <c r="B7" s="161">
        <v>42457</v>
      </c>
      <c r="C7" s="162">
        <v>3</v>
      </c>
      <c r="D7" s="161">
        <f t="shared" si="0"/>
        <v>42459</v>
      </c>
    </row>
    <row r="8" spans="1:4">
      <c r="A8" s="160" t="s">
        <v>182</v>
      </c>
      <c r="B8" s="161">
        <v>42461</v>
      </c>
      <c r="C8" s="162">
        <v>8</v>
      </c>
      <c r="D8" s="161">
        <f t="shared" si="0"/>
        <v>42468</v>
      </c>
    </row>
    <row r="9" spans="1:4">
      <c r="A9" s="160" t="s">
        <v>181</v>
      </c>
      <c r="B9" s="161">
        <v>42470</v>
      </c>
      <c r="C9" s="162">
        <v>5</v>
      </c>
      <c r="D9" s="161">
        <f t="shared" si="0"/>
        <v>42474</v>
      </c>
    </row>
    <row r="10" spans="1:4">
      <c r="A10" s="160" t="s">
        <v>180</v>
      </c>
      <c r="B10" s="161">
        <v>42476</v>
      </c>
      <c r="C10" s="162">
        <v>8</v>
      </c>
      <c r="D10" s="161">
        <f t="shared" si="0"/>
        <v>42483</v>
      </c>
    </row>
    <row r="11" spans="1:4">
      <c r="A11" s="160" t="s">
        <v>179</v>
      </c>
      <c r="B11" s="161">
        <v>42488</v>
      </c>
      <c r="C11" s="162">
        <v>1</v>
      </c>
      <c r="D11" s="161">
        <f t="shared" si="0"/>
        <v>42488</v>
      </c>
    </row>
    <row r="12" spans="1:4">
      <c r="A12" s="160"/>
      <c r="B12" s="160"/>
      <c r="C12" s="160"/>
      <c r="D12" s="160"/>
    </row>
    <row r="13" spans="1:4">
      <c r="A13" s="160" t="s">
        <v>178</v>
      </c>
      <c r="B13" s="159">
        <v>42425</v>
      </c>
      <c r="C13" s="160"/>
      <c r="D13" s="159">
        <f>B13+C13-1</f>
        <v>42424</v>
      </c>
    </row>
  </sheetData>
  <pageMargins left="0.78740157499999996" right="0.78740157499999996" top="0.984251969" bottom="0.984251969" header="0.4921259845" footer="0.4921259845"/>
  <pageSetup paperSize="9" orientation="landscape" verticalDpi="0" r:id="rId1"/>
  <headerFooter alignWithMargins="0"/>
  <drawing r:id="rId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44E8F8-4CAA-4971-9BCB-3A9A3B9E55D1}">
  <dimension ref="A1:E17"/>
  <sheetViews>
    <sheetView workbookViewId="0">
      <selection activeCell="E25" sqref="E25"/>
    </sheetView>
  </sheetViews>
  <sheetFormatPr baseColWidth="10" defaultColWidth="11.44140625" defaultRowHeight="13.8"/>
  <cols>
    <col min="1" max="1" width="3.109375" style="165" customWidth="1"/>
    <col min="2" max="2" width="14.33203125" style="165" bestFit="1" customWidth="1"/>
    <col min="3" max="5" width="11.44140625" style="165"/>
    <col min="6" max="6" width="6.33203125" style="165" customWidth="1"/>
    <col min="7" max="16384" width="11.44140625" style="165"/>
  </cols>
  <sheetData>
    <row r="1" spans="1:5">
      <c r="A1" s="178"/>
      <c r="B1" s="174"/>
      <c r="C1" s="182" t="s">
        <v>206</v>
      </c>
      <c r="D1" s="182" t="s">
        <v>205</v>
      </c>
      <c r="E1" s="182" t="s">
        <v>204</v>
      </c>
    </row>
    <row r="2" spans="1:5">
      <c r="A2" s="182">
        <v>1</v>
      </c>
      <c r="B2" s="181">
        <v>42736</v>
      </c>
      <c r="C2" s="180">
        <v>2000</v>
      </c>
      <c r="D2" s="180">
        <v>4000</v>
      </c>
      <c r="E2" s="180">
        <v>8000</v>
      </c>
    </row>
    <row r="3" spans="1:5">
      <c r="A3" s="182">
        <v>2</v>
      </c>
      <c r="B3" s="181">
        <v>42767</v>
      </c>
      <c r="C3" s="180">
        <v>1676</v>
      </c>
      <c r="D3" s="180">
        <v>3256</v>
      </c>
      <c r="E3" s="180">
        <v>8020</v>
      </c>
    </row>
    <row r="4" spans="1:5">
      <c r="A4" s="182">
        <v>3</v>
      </c>
      <c r="B4" s="181">
        <v>42795</v>
      </c>
      <c r="C4" s="180">
        <v>1478</v>
      </c>
      <c r="D4" s="180">
        <v>3100</v>
      </c>
      <c r="E4" s="180">
        <v>8500</v>
      </c>
    </row>
    <row r="5" spans="1:5">
      <c r="A5" s="182">
        <v>4</v>
      </c>
      <c r="B5" s="181">
        <v>42826</v>
      </c>
      <c r="C5" s="180">
        <v>1244</v>
      </c>
      <c r="D5" s="180">
        <v>245</v>
      </c>
      <c r="E5" s="180">
        <v>4200</v>
      </c>
    </row>
    <row r="6" spans="1:5">
      <c r="A6" s="182">
        <v>5</v>
      </c>
      <c r="B6" s="181">
        <v>42856</v>
      </c>
      <c r="C6" s="180">
        <v>1000</v>
      </c>
      <c r="D6" s="180">
        <v>540</v>
      </c>
      <c r="E6" s="180">
        <v>3000</v>
      </c>
    </row>
    <row r="7" spans="1:5">
      <c r="A7" s="182">
        <v>6</v>
      </c>
      <c r="B7" s="181">
        <v>42887</v>
      </c>
      <c r="C7" s="180">
        <v>2000</v>
      </c>
      <c r="D7" s="180">
        <v>4000</v>
      </c>
      <c r="E7" s="180">
        <v>8000</v>
      </c>
    </row>
    <row r="8" spans="1:5">
      <c r="A8" s="182">
        <v>7</v>
      </c>
      <c r="B8" s="181">
        <v>42917</v>
      </c>
      <c r="C8" s="180">
        <v>1676</v>
      </c>
      <c r="D8" s="180">
        <v>3256</v>
      </c>
      <c r="E8" s="180">
        <v>8020</v>
      </c>
    </row>
    <row r="9" spans="1:5">
      <c r="A9" s="182">
        <v>8</v>
      </c>
      <c r="B9" s="181">
        <v>42948</v>
      </c>
      <c r="C9" s="180">
        <v>1478</v>
      </c>
      <c r="D9" s="180">
        <v>3100</v>
      </c>
      <c r="E9" s="180">
        <v>8500</v>
      </c>
    </row>
    <row r="10" spans="1:5">
      <c r="A10" s="182">
        <v>9</v>
      </c>
      <c r="B10" s="181">
        <v>42979</v>
      </c>
      <c r="C10" s="180">
        <v>1244</v>
      </c>
      <c r="D10" s="180">
        <v>20</v>
      </c>
      <c r="E10" s="180">
        <v>4200</v>
      </c>
    </row>
    <row r="11" spans="1:5">
      <c r="A11" s="182">
        <v>10</v>
      </c>
      <c r="B11" s="181">
        <v>43009</v>
      </c>
      <c r="C11" s="180">
        <v>1000</v>
      </c>
      <c r="D11" s="180">
        <v>540</v>
      </c>
      <c r="E11" s="180">
        <v>3000</v>
      </c>
    </row>
    <row r="12" spans="1:5">
      <c r="A12" s="182">
        <v>11</v>
      </c>
      <c r="B12" s="181">
        <v>43040</v>
      </c>
      <c r="C12" s="180">
        <v>1478</v>
      </c>
      <c r="D12" s="180">
        <v>3100</v>
      </c>
      <c r="E12" s="180">
        <v>8500</v>
      </c>
    </row>
    <row r="13" spans="1:5">
      <c r="A13" s="182">
        <v>12</v>
      </c>
      <c r="B13" s="181">
        <v>43070</v>
      </c>
      <c r="C13" s="180">
        <v>1000</v>
      </c>
      <c r="D13" s="180">
        <v>540</v>
      </c>
      <c r="E13" s="180">
        <v>3000</v>
      </c>
    </row>
    <row r="14" spans="1:5">
      <c r="A14" s="178"/>
      <c r="B14" s="174"/>
      <c r="C14" s="174"/>
      <c r="D14" s="174"/>
      <c r="E14" s="174"/>
    </row>
    <row r="15" spans="1:5">
      <c r="A15" s="178"/>
      <c r="B15" s="174"/>
      <c r="C15" s="174"/>
      <c r="D15" s="174"/>
      <c r="E15" s="174"/>
    </row>
    <row r="16" spans="1:5">
      <c r="A16" s="178"/>
      <c r="B16" s="179" t="s">
        <v>203</v>
      </c>
      <c r="C16" s="179" t="str">
        <f>C1</f>
        <v>Entrepôt 1</v>
      </c>
      <c r="D16" s="179" t="str">
        <f>D1</f>
        <v>Entrepôt 2</v>
      </c>
      <c r="E16" s="179" t="str">
        <f>E1</f>
        <v>Entrepôt 3</v>
      </c>
    </row>
    <row r="17" spans="1:5">
      <c r="A17" s="178">
        <v>5</v>
      </c>
      <c r="B17" s="177">
        <f>VLOOKUP($A17,$A$2:$E$13,2)</f>
        <v>42856</v>
      </c>
      <c r="C17" s="176">
        <f>VLOOKUP(A17,$A$2:$E$13,3)</f>
        <v>1000</v>
      </c>
      <c r="D17" s="176">
        <f>VLOOKUP(A17,$A$2:$E$13,4)</f>
        <v>540</v>
      </c>
      <c r="E17" s="176">
        <f>VLOOKUP(A17,$A$2:$E$13,5)</f>
        <v>3000</v>
      </c>
    </row>
  </sheetData>
  <printOptions gridLines="1"/>
  <pageMargins left="0.78740157499999996" right="0.78740157499999996" top="0.984251969" bottom="0.984251969" header="0.4921259845" footer="0.4921259845"/>
  <pageSetup paperSize="9" orientation="landscape" r:id="rId1"/>
  <headerFooter alignWithMargins="0"/>
  <drawing r:id="rId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A833D45-9360-403D-B073-3CE564EE6B80}">
  <dimension ref="A1:D16"/>
  <sheetViews>
    <sheetView workbookViewId="0">
      <selection activeCell="F17" sqref="F17"/>
    </sheetView>
  </sheetViews>
  <sheetFormatPr baseColWidth="10" defaultRowHeight="14.4"/>
  <cols>
    <col min="2" max="2" width="12.77734375" bestFit="1" customWidth="1"/>
    <col min="4" max="4" width="17.77734375" customWidth="1"/>
  </cols>
  <sheetData>
    <row r="1" spans="1:4">
      <c r="A1" s="186" t="s">
        <v>223</v>
      </c>
      <c r="B1" s="186" t="s">
        <v>222</v>
      </c>
      <c r="C1" s="186" t="s">
        <v>208</v>
      </c>
      <c r="D1" s="186" t="s">
        <v>221</v>
      </c>
    </row>
    <row r="2" spans="1:4">
      <c r="A2" s="185" t="s">
        <v>220</v>
      </c>
      <c r="B2" s="4">
        <v>8000</v>
      </c>
      <c r="C2" t="str">
        <f t="shared" ref="C2:C13" si="0">IF(B2&gt;B$16,"OUI","NON")</f>
        <v>NON</v>
      </c>
      <c r="D2" s="184">
        <f t="shared" ref="D2:D13" si="1">IF(B2&gt;B$16,B2*(1-B$15),B2)</f>
        <v>8000</v>
      </c>
    </row>
    <row r="3" spans="1:4">
      <c r="A3" s="185" t="s">
        <v>219</v>
      </c>
      <c r="B3" s="4">
        <v>7500</v>
      </c>
      <c r="C3" t="str">
        <f t="shared" si="0"/>
        <v>NON</v>
      </c>
      <c r="D3" s="184">
        <f t="shared" si="1"/>
        <v>7500</v>
      </c>
    </row>
    <row r="4" spans="1:4">
      <c r="A4" s="185" t="s">
        <v>218</v>
      </c>
      <c r="B4" s="4">
        <v>18500</v>
      </c>
      <c r="C4" t="str">
        <f t="shared" si="0"/>
        <v>OUI</v>
      </c>
      <c r="D4" s="184">
        <f t="shared" si="1"/>
        <v>18130</v>
      </c>
    </row>
    <row r="5" spans="1:4">
      <c r="A5" s="185" t="s">
        <v>217</v>
      </c>
      <c r="B5" s="4">
        <v>12600</v>
      </c>
      <c r="C5" t="str">
        <f t="shared" si="0"/>
        <v>OUI</v>
      </c>
      <c r="D5" s="184">
        <f t="shared" si="1"/>
        <v>12348</v>
      </c>
    </row>
    <row r="6" spans="1:4">
      <c r="A6" s="185" t="s">
        <v>216</v>
      </c>
      <c r="B6" s="4">
        <v>6000</v>
      </c>
      <c r="C6" t="str">
        <f t="shared" si="0"/>
        <v>NON</v>
      </c>
      <c r="D6" s="184">
        <f t="shared" si="1"/>
        <v>6000</v>
      </c>
    </row>
    <row r="7" spans="1:4">
      <c r="A7" s="185" t="s">
        <v>215</v>
      </c>
      <c r="B7" s="4">
        <v>14000</v>
      </c>
      <c r="C7" t="str">
        <f t="shared" si="0"/>
        <v>OUI</v>
      </c>
      <c r="D7" s="184">
        <f t="shared" si="1"/>
        <v>13720</v>
      </c>
    </row>
    <row r="8" spans="1:4">
      <c r="A8" s="185" t="s">
        <v>214</v>
      </c>
      <c r="B8" s="4">
        <v>14000</v>
      </c>
      <c r="C8" t="str">
        <f t="shared" si="0"/>
        <v>OUI</v>
      </c>
      <c r="D8" s="184">
        <f t="shared" si="1"/>
        <v>13720</v>
      </c>
    </row>
    <row r="9" spans="1:4">
      <c r="A9" s="185" t="s">
        <v>213</v>
      </c>
      <c r="B9" s="4">
        <v>1200</v>
      </c>
      <c r="C9" t="str">
        <f t="shared" si="0"/>
        <v>NON</v>
      </c>
      <c r="D9" s="184">
        <f t="shared" si="1"/>
        <v>1200</v>
      </c>
    </row>
    <row r="10" spans="1:4">
      <c r="A10" s="185" t="s">
        <v>212</v>
      </c>
      <c r="B10" s="4">
        <v>11000</v>
      </c>
      <c r="C10" t="str">
        <f t="shared" si="0"/>
        <v>OUI</v>
      </c>
      <c r="D10" s="184">
        <f t="shared" si="1"/>
        <v>10780</v>
      </c>
    </row>
    <row r="11" spans="1:4">
      <c r="A11" s="185" t="s">
        <v>211</v>
      </c>
      <c r="B11" s="4">
        <v>100</v>
      </c>
      <c r="C11" t="str">
        <f t="shared" si="0"/>
        <v>NON</v>
      </c>
      <c r="D11" s="184">
        <f t="shared" si="1"/>
        <v>100</v>
      </c>
    </row>
    <row r="12" spans="1:4">
      <c r="A12" s="185" t="s">
        <v>210</v>
      </c>
      <c r="B12" s="4">
        <v>3000</v>
      </c>
      <c r="C12" t="str">
        <f t="shared" si="0"/>
        <v>NON</v>
      </c>
      <c r="D12" s="184">
        <f t="shared" si="1"/>
        <v>3000</v>
      </c>
    </row>
    <row r="13" spans="1:4">
      <c r="A13" s="185" t="s">
        <v>209</v>
      </c>
      <c r="B13" s="4">
        <v>800</v>
      </c>
      <c r="C13" t="str">
        <f t="shared" si="0"/>
        <v>NON</v>
      </c>
      <c r="D13" s="184">
        <f t="shared" si="1"/>
        <v>800</v>
      </c>
    </row>
    <row r="14" spans="1:4">
      <c r="D14" s="184"/>
    </row>
    <row r="15" spans="1:4">
      <c r="A15" s="183" t="s">
        <v>208</v>
      </c>
      <c r="B15" s="79">
        <v>0.02</v>
      </c>
    </row>
    <row r="16" spans="1:4">
      <c r="A16" s="183" t="s">
        <v>207</v>
      </c>
      <c r="B16" s="4">
        <v>10000</v>
      </c>
    </row>
  </sheetData>
  <conditionalFormatting sqref="C2:C13">
    <cfRule type="containsText" dxfId="25" priority="1" operator="containsText" text="OUI">
      <formula>NOT(ISERROR(SEARCH("OUI",C2)))</formula>
    </cfRule>
    <cfRule type="containsText" dxfId="24" priority="2" operator="containsText" text="NON">
      <formula>NOT(ISERROR(SEARCH("NON",C2)))</formula>
    </cfRule>
  </conditionalFormatting>
  <pageMargins left="0.7" right="0.7" top="0.75" bottom="0.75" header="0.3" footer="0.3"/>
  <drawing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3387A47-BC2B-4DB1-9E6C-449A56F3B271}">
  <dimension ref="A1:E33"/>
  <sheetViews>
    <sheetView topLeftCell="A15" workbookViewId="0">
      <selection activeCell="G29" sqref="G29"/>
    </sheetView>
  </sheetViews>
  <sheetFormatPr baseColWidth="10" defaultRowHeight="14.4"/>
  <sheetData>
    <row r="1" spans="1:5">
      <c r="A1" s="6" t="s">
        <v>241</v>
      </c>
      <c r="B1" s="6" t="s">
        <v>76</v>
      </c>
    </row>
    <row r="2" spans="1:5">
      <c r="A2" s="7" t="s">
        <v>230</v>
      </c>
      <c r="B2" s="187">
        <v>0.06</v>
      </c>
    </row>
    <row r="3" spans="1:5">
      <c r="A3" s="7" t="s">
        <v>228</v>
      </c>
      <c r="B3" s="187">
        <v>0.21</v>
      </c>
    </row>
    <row r="5" spans="1:5">
      <c r="A5" s="6" t="s">
        <v>240</v>
      </c>
      <c r="B5" s="6" t="s">
        <v>239</v>
      </c>
      <c r="C5" s="6" t="s">
        <v>74</v>
      </c>
      <c r="D5" s="6" t="s">
        <v>238</v>
      </c>
      <c r="E5" s="6" t="s">
        <v>72</v>
      </c>
    </row>
    <row r="6" spans="1:5">
      <c r="A6" s="185" t="s">
        <v>237</v>
      </c>
      <c r="B6" t="s">
        <v>230</v>
      </c>
      <c r="C6" s="79">
        <f t="shared" ref="C6:C14" si="0">VLOOKUP(B6,A$2:B$3,2)</f>
        <v>0.06</v>
      </c>
      <c r="D6">
        <v>10.45</v>
      </c>
      <c r="E6" s="66">
        <f t="shared" ref="E6:E14" si="1">D6*(1+C6)</f>
        <v>11.077</v>
      </c>
    </row>
    <row r="7" spans="1:5">
      <c r="A7" s="185" t="s">
        <v>236</v>
      </c>
      <c r="B7" t="s">
        <v>228</v>
      </c>
      <c r="C7" s="79">
        <f t="shared" si="0"/>
        <v>0.21</v>
      </c>
      <c r="D7">
        <v>53.26</v>
      </c>
      <c r="E7" s="66">
        <f t="shared" si="1"/>
        <v>64.444599999999994</v>
      </c>
    </row>
    <row r="8" spans="1:5">
      <c r="A8" s="185" t="s">
        <v>235</v>
      </c>
      <c r="B8" t="s">
        <v>230</v>
      </c>
      <c r="C8" s="79">
        <f t="shared" si="0"/>
        <v>0.06</v>
      </c>
      <c r="D8">
        <v>6.75</v>
      </c>
      <c r="E8" s="66">
        <f t="shared" si="1"/>
        <v>7.1550000000000002</v>
      </c>
    </row>
    <row r="9" spans="1:5">
      <c r="A9" s="185" t="s">
        <v>233</v>
      </c>
      <c r="B9" t="s">
        <v>230</v>
      </c>
      <c r="C9" s="79">
        <f t="shared" si="0"/>
        <v>0.06</v>
      </c>
      <c r="D9">
        <v>12.3</v>
      </c>
      <c r="E9" s="66">
        <f t="shared" si="1"/>
        <v>13.038000000000002</v>
      </c>
    </row>
    <row r="10" spans="1:5">
      <c r="A10" s="185" t="s">
        <v>232</v>
      </c>
      <c r="B10" t="s">
        <v>230</v>
      </c>
      <c r="C10" s="79">
        <f t="shared" si="0"/>
        <v>0.06</v>
      </c>
      <c r="D10">
        <v>14.65</v>
      </c>
      <c r="E10" s="66">
        <f t="shared" si="1"/>
        <v>15.529000000000002</v>
      </c>
    </row>
    <row r="11" spans="1:5">
      <c r="A11" s="185" t="s">
        <v>231</v>
      </c>
      <c r="B11" t="s">
        <v>230</v>
      </c>
      <c r="C11" s="79">
        <f t="shared" si="0"/>
        <v>0.06</v>
      </c>
      <c r="D11">
        <v>18.72</v>
      </c>
      <c r="E11" s="66">
        <f t="shared" si="1"/>
        <v>19.8432</v>
      </c>
    </row>
    <row r="12" spans="1:5">
      <c r="A12" s="185" t="s">
        <v>227</v>
      </c>
      <c r="B12" t="s">
        <v>228</v>
      </c>
      <c r="C12" s="79">
        <f t="shared" si="0"/>
        <v>0.21</v>
      </c>
      <c r="D12">
        <v>20.7</v>
      </c>
      <c r="E12" s="66">
        <f t="shared" si="1"/>
        <v>25.046999999999997</v>
      </c>
    </row>
    <row r="13" spans="1:5">
      <c r="A13" s="185" t="s">
        <v>226</v>
      </c>
      <c r="B13" t="s">
        <v>228</v>
      </c>
      <c r="C13" s="79">
        <f t="shared" si="0"/>
        <v>0.21</v>
      </c>
      <c r="D13">
        <v>23</v>
      </c>
      <c r="E13" s="66">
        <f t="shared" si="1"/>
        <v>27.83</v>
      </c>
    </row>
    <row r="14" spans="1:5">
      <c r="A14" s="185" t="s">
        <v>225</v>
      </c>
      <c r="B14" t="s">
        <v>228</v>
      </c>
      <c r="C14" s="79">
        <f t="shared" si="0"/>
        <v>0.21</v>
      </c>
      <c r="D14">
        <v>25</v>
      </c>
      <c r="E14" s="66">
        <f t="shared" si="1"/>
        <v>30.25</v>
      </c>
    </row>
    <row r="17" spans="1:5">
      <c r="A17" s="6" t="s">
        <v>241</v>
      </c>
      <c r="B17" s="6" t="s">
        <v>76</v>
      </c>
    </row>
    <row r="18" spans="1:5">
      <c r="A18" s="7" t="s">
        <v>230</v>
      </c>
      <c r="B18" s="187">
        <v>0.06</v>
      </c>
    </row>
    <row r="19" spans="1:5">
      <c r="A19" s="7" t="s">
        <v>228</v>
      </c>
      <c r="B19" s="187">
        <v>0.12</v>
      </c>
    </row>
    <row r="20" spans="1:5">
      <c r="A20" s="7" t="s">
        <v>224</v>
      </c>
      <c r="B20" s="187">
        <v>0.21</v>
      </c>
    </row>
    <row r="22" spans="1:5">
      <c r="A22" s="6" t="s">
        <v>240</v>
      </c>
      <c r="B22" s="6" t="s">
        <v>239</v>
      </c>
      <c r="C22" s="6" t="s">
        <v>74</v>
      </c>
      <c r="D22" s="6" t="s">
        <v>238</v>
      </c>
      <c r="E22" s="6" t="s">
        <v>72</v>
      </c>
    </row>
    <row r="23" spans="1:5">
      <c r="A23" s="186" t="s">
        <v>237</v>
      </c>
      <c r="B23" t="s">
        <v>230</v>
      </c>
      <c r="C23" s="79">
        <f t="shared" ref="C23:C33" si="2">VLOOKUP(B23,A$18:B$20,2)</f>
        <v>0.06</v>
      </c>
      <c r="D23">
        <v>10.45</v>
      </c>
      <c r="E23" s="66">
        <f t="shared" ref="E23:E33" si="3">D23*(C23+1)</f>
        <v>11.077</v>
      </c>
    </row>
    <row r="24" spans="1:5">
      <c r="A24" s="186" t="s">
        <v>236</v>
      </c>
      <c r="B24" t="s">
        <v>224</v>
      </c>
      <c r="C24" s="79">
        <f t="shared" si="2"/>
        <v>0.21</v>
      </c>
      <c r="D24">
        <v>53.26</v>
      </c>
      <c r="E24" s="66">
        <f t="shared" si="3"/>
        <v>64.444599999999994</v>
      </c>
    </row>
    <row r="25" spans="1:5">
      <c r="A25" s="186" t="s">
        <v>235</v>
      </c>
      <c r="B25" t="s">
        <v>230</v>
      </c>
      <c r="C25" s="79">
        <f t="shared" si="2"/>
        <v>0.06</v>
      </c>
      <c r="D25">
        <v>6.75</v>
      </c>
      <c r="E25" s="66">
        <f t="shared" si="3"/>
        <v>7.1550000000000002</v>
      </c>
    </row>
    <row r="26" spans="1:5">
      <c r="A26" s="186" t="s">
        <v>234</v>
      </c>
      <c r="B26" t="s">
        <v>228</v>
      </c>
      <c r="C26" s="79">
        <f t="shared" si="2"/>
        <v>0.12</v>
      </c>
      <c r="D26">
        <v>9.5</v>
      </c>
      <c r="E26" s="66">
        <f t="shared" si="3"/>
        <v>10.64</v>
      </c>
    </row>
    <row r="27" spans="1:5">
      <c r="A27" s="186" t="s">
        <v>233</v>
      </c>
      <c r="B27" t="s">
        <v>230</v>
      </c>
      <c r="C27" s="79">
        <f t="shared" si="2"/>
        <v>0.06</v>
      </c>
      <c r="D27">
        <v>12.3</v>
      </c>
      <c r="E27" s="66">
        <f t="shared" si="3"/>
        <v>13.038000000000002</v>
      </c>
    </row>
    <row r="28" spans="1:5">
      <c r="A28" s="186" t="s">
        <v>232</v>
      </c>
      <c r="B28" t="s">
        <v>230</v>
      </c>
      <c r="C28" s="79">
        <f t="shared" si="2"/>
        <v>0.06</v>
      </c>
      <c r="D28">
        <v>14.65</v>
      </c>
      <c r="E28" s="66">
        <f t="shared" si="3"/>
        <v>15.529000000000002</v>
      </c>
    </row>
    <row r="29" spans="1:5">
      <c r="A29" s="186" t="s">
        <v>231</v>
      </c>
      <c r="B29" t="s">
        <v>230</v>
      </c>
      <c r="C29" s="79">
        <f t="shared" si="2"/>
        <v>0.06</v>
      </c>
      <c r="D29">
        <v>18.72</v>
      </c>
      <c r="E29" s="66">
        <f t="shared" si="3"/>
        <v>19.8432</v>
      </c>
    </row>
    <row r="30" spans="1:5">
      <c r="A30" s="186" t="s">
        <v>229</v>
      </c>
      <c r="B30" t="s">
        <v>228</v>
      </c>
      <c r="C30" s="79">
        <f t="shared" si="2"/>
        <v>0.12</v>
      </c>
      <c r="D30">
        <v>2.15</v>
      </c>
      <c r="E30" s="66">
        <f t="shared" si="3"/>
        <v>2.4079999999999999</v>
      </c>
    </row>
    <row r="31" spans="1:5">
      <c r="A31" s="186" t="s">
        <v>227</v>
      </c>
      <c r="B31" t="s">
        <v>224</v>
      </c>
      <c r="C31" s="79">
        <f t="shared" si="2"/>
        <v>0.21</v>
      </c>
      <c r="D31">
        <v>20.7</v>
      </c>
      <c r="E31" s="66">
        <f t="shared" si="3"/>
        <v>25.046999999999997</v>
      </c>
    </row>
    <row r="32" spans="1:5">
      <c r="A32" s="186" t="s">
        <v>226</v>
      </c>
      <c r="B32" t="s">
        <v>224</v>
      </c>
      <c r="C32" s="79">
        <f t="shared" si="2"/>
        <v>0.21</v>
      </c>
      <c r="D32">
        <v>23</v>
      </c>
      <c r="E32" s="66">
        <f t="shared" si="3"/>
        <v>27.83</v>
      </c>
    </row>
    <row r="33" spans="1:5">
      <c r="A33" s="186" t="s">
        <v>225</v>
      </c>
      <c r="B33" t="s">
        <v>224</v>
      </c>
      <c r="C33" s="79">
        <f t="shared" si="2"/>
        <v>0.21</v>
      </c>
      <c r="D33">
        <v>25</v>
      </c>
      <c r="E33" s="66">
        <f t="shared" si="3"/>
        <v>30.25</v>
      </c>
    </row>
  </sheetData>
  <pageMargins left="0.7" right="0.7" top="0.75" bottom="0.75" header="0.3" footer="0.3"/>
  <drawing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0885E8-6099-4299-9398-967D0DE70C45}">
  <dimension ref="A1:D8"/>
  <sheetViews>
    <sheetView workbookViewId="0">
      <selection activeCell="B24" sqref="B24"/>
    </sheetView>
  </sheetViews>
  <sheetFormatPr baseColWidth="10" defaultRowHeight="14.4"/>
  <sheetData>
    <row r="1" spans="1:4" ht="15" thickBot="1"/>
    <row r="2" spans="1:4">
      <c r="A2" s="197" t="s">
        <v>248</v>
      </c>
      <c r="B2" s="196" t="s">
        <v>247</v>
      </c>
      <c r="C2" s="196" t="s">
        <v>55</v>
      </c>
      <c r="D2" s="195" t="s">
        <v>246</v>
      </c>
    </row>
    <row r="3" spans="1:4">
      <c r="A3" s="194" t="s">
        <v>245</v>
      </c>
      <c r="B3">
        <v>89</v>
      </c>
      <c r="C3">
        <v>45</v>
      </c>
      <c r="D3" s="193">
        <v>78</v>
      </c>
    </row>
    <row r="4" spans="1:4">
      <c r="A4" s="194" t="s">
        <v>244</v>
      </c>
      <c r="B4">
        <v>41</v>
      </c>
      <c r="C4">
        <v>23</v>
      </c>
      <c r="D4" s="193">
        <v>57</v>
      </c>
    </row>
    <row r="5" spans="1:4">
      <c r="A5" s="194" t="s">
        <v>8</v>
      </c>
      <c r="B5">
        <f>B3+B4</f>
        <v>130</v>
      </c>
      <c r="C5">
        <v>68</v>
      </c>
      <c r="D5" s="193">
        <f>D3+D4</f>
        <v>135</v>
      </c>
    </row>
    <row r="6" spans="1:4" ht="15" thickBot="1">
      <c r="A6" s="192" t="s">
        <v>243</v>
      </c>
      <c r="B6" s="191" t="str">
        <f>IF(B5&gt;$C8, "Gagné", "Perdu")</f>
        <v>Gagné</v>
      </c>
      <c r="C6" s="190" t="str">
        <f>IF(C5&gt;$C8, "Gagné", "Perdu")</f>
        <v>Perdu</v>
      </c>
      <c r="D6" s="189" t="str">
        <f>IF(D5&gt;$C8, "Gagné", "Perdu")</f>
        <v>Gagné</v>
      </c>
    </row>
    <row r="8" spans="1:4">
      <c r="A8" s="633" t="s">
        <v>242</v>
      </c>
      <c r="B8" s="633"/>
      <c r="C8" s="188">
        <v>100</v>
      </c>
    </row>
  </sheetData>
  <mergeCells count="1">
    <mergeCell ref="A8:B8"/>
  </mergeCells>
  <pageMargins left="0.7" right="0.7" top="0.75" bottom="0.75" header="0.3" footer="0.3"/>
  <drawing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8B5778-9453-4BD5-A130-40857ACEC7E2}">
  <dimension ref="A1:F11"/>
  <sheetViews>
    <sheetView workbookViewId="0">
      <selection activeCell="E22" sqref="E22"/>
    </sheetView>
  </sheetViews>
  <sheetFormatPr baseColWidth="10" defaultRowHeight="14.4"/>
  <sheetData>
    <row r="1" spans="1:6">
      <c r="A1" s="404" t="s">
        <v>257</v>
      </c>
      <c r="B1" s="405" t="s">
        <v>256</v>
      </c>
      <c r="C1" s="405" t="s">
        <v>255</v>
      </c>
      <c r="D1" s="405" t="s">
        <v>254</v>
      </c>
      <c r="E1" s="405" t="s">
        <v>253</v>
      </c>
      <c r="F1" s="406" t="s">
        <v>243</v>
      </c>
    </row>
    <row r="2" spans="1:6">
      <c r="A2" s="407" t="s">
        <v>252</v>
      </c>
      <c r="B2" s="408">
        <v>8</v>
      </c>
      <c r="C2" s="408">
        <v>15</v>
      </c>
      <c r="D2" s="408">
        <v>9</v>
      </c>
      <c r="E2" s="409">
        <f>AVERAGE(B2:D2)</f>
        <v>10.666666666666666</v>
      </c>
      <c r="F2" s="193" t="str">
        <f>IF(E2&gt;$B$10,"Admis","Non admis")</f>
        <v>Admis</v>
      </c>
    </row>
    <row r="3" spans="1:6">
      <c r="A3" s="407" t="s">
        <v>246</v>
      </c>
      <c r="B3" s="408">
        <v>4</v>
      </c>
      <c r="C3" s="408">
        <v>15</v>
      </c>
      <c r="D3" s="408">
        <v>16</v>
      </c>
      <c r="E3" s="409">
        <f t="shared" ref="E3:E8" si="0">AVERAGE(B3:D3)</f>
        <v>11.666666666666666</v>
      </c>
      <c r="F3" s="193" t="str">
        <f t="shared" ref="F3:F8" si="1">IF(E3&gt;$B$10,"Admis","Non admis")</f>
        <v>Admis</v>
      </c>
    </row>
    <row r="4" spans="1:6">
      <c r="A4" s="407" t="s">
        <v>55</v>
      </c>
      <c r="B4" s="408">
        <v>11</v>
      </c>
      <c r="C4" s="408">
        <v>6</v>
      </c>
      <c r="D4" s="408">
        <v>8</v>
      </c>
      <c r="E4" s="409">
        <f t="shared" si="0"/>
        <v>8.3333333333333339</v>
      </c>
      <c r="F4" s="193" t="str">
        <f t="shared" si="1"/>
        <v>Non admis</v>
      </c>
    </row>
    <row r="5" spans="1:6">
      <c r="A5" s="407" t="s">
        <v>251</v>
      </c>
      <c r="B5" s="408">
        <v>17</v>
      </c>
      <c r="C5" s="408">
        <v>16</v>
      </c>
      <c r="D5" s="408">
        <v>3</v>
      </c>
      <c r="E5" s="409">
        <f t="shared" si="0"/>
        <v>12</v>
      </c>
      <c r="F5" s="193" t="str">
        <f t="shared" si="1"/>
        <v>Admis</v>
      </c>
    </row>
    <row r="6" spans="1:6">
      <c r="A6" s="407" t="s">
        <v>142</v>
      </c>
      <c r="B6" s="408">
        <v>7</v>
      </c>
      <c r="C6" s="408">
        <v>7</v>
      </c>
      <c r="D6" s="408">
        <v>10</v>
      </c>
      <c r="E6" s="409">
        <f t="shared" si="0"/>
        <v>8</v>
      </c>
      <c r="F6" s="193" t="str">
        <f t="shared" si="1"/>
        <v>Non admis</v>
      </c>
    </row>
    <row r="7" spans="1:6">
      <c r="A7" s="407" t="s">
        <v>250</v>
      </c>
      <c r="B7" s="408">
        <v>6</v>
      </c>
      <c r="C7" s="408">
        <v>5</v>
      </c>
      <c r="D7" s="408">
        <v>13</v>
      </c>
      <c r="E7" s="409">
        <f t="shared" si="0"/>
        <v>8</v>
      </c>
      <c r="F7" s="193" t="str">
        <f t="shared" si="1"/>
        <v>Non admis</v>
      </c>
    </row>
    <row r="8" spans="1:6" ht="15" thickBot="1">
      <c r="A8" s="410" t="s">
        <v>249</v>
      </c>
      <c r="B8" s="411">
        <v>14</v>
      </c>
      <c r="C8" s="411">
        <v>13</v>
      </c>
      <c r="D8" s="411">
        <v>7</v>
      </c>
      <c r="E8" s="412">
        <f t="shared" si="0"/>
        <v>11.333333333333334</v>
      </c>
      <c r="F8" s="413" t="str">
        <f t="shared" si="1"/>
        <v>Admis</v>
      </c>
    </row>
    <row r="9" spans="1:6" ht="15" thickBot="1"/>
    <row r="10" spans="1:6" ht="15.6" thickTop="1" thickBot="1">
      <c r="A10" s="388" t="s">
        <v>506</v>
      </c>
      <c r="B10" s="414">
        <v>10</v>
      </c>
    </row>
    <row r="11" spans="1:6" ht="15" thickTop="1"/>
  </sheetData>
  <conditionalFormatting sqref="F2:F8">
    <cfRule type="containsText" dxfId="23" priority="1" operator="containsText" text="Non admis">
      <formula>NOT(ISERROR(SEARCH("Non admis",F2)))</formula>
    </cfRule>
    <cfRule type="containsText" dxfId="22" priority="2" operator="containsText" text="Admis">
      <formula>NOT(ISERROR(SEARCH("Admis",F2)))</formula>
    </cfRule>
  </conditionalFormatting>
  <pageMargins left="0.7" right="0.7" top="0.75" bottom="0.75" header="0.3" footer="0.3"/>
  <drawing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949623A-0CAE-44AD-A07C-61405DFFF90C}">
  <dimension ref="A1:E15"/>
  <sheetViews>
    <sheetView workbookViewId="0">
      <selection activeCell="A26" sqref="A26"/>
    </sheetView>
  </sheetViews>
  <sheetFormatPr baseColWidth="10" defaultRowHeight="14.4"/>
  <cols>
    <col min="1" max="1" width="24.44140625" customWidth="1"/>
    <col min="2" max="2" width="28.109375" customWidth="1"/>
    <col min="3" max="3" width="11.77734375" bestFit="1" customWidth="1"/>
  </cols>
  <sheetData>
    <row r="1" spans="1:5" ht="18">
      <c r="A1" s="634" t="s">
        <v>284</v>
      </c>
      <c r="B1" s="634"/>
      <c r="C1" s="634"/>
    </row>
    <row r="3" spans="1:5">
      <c r="B3" s="212" t="s">
        <v>283</v>
      </c>
      <c r="C3" s="635" t="s">
        <v>282</v>
      </c>
      <c r="D3" s="635"/>
      <c r="E3" s="635"/>
    </row>
    <row r="4" spans="1:5">
      <c r="A4" s="211" t="s">
        <v>281</v>
      </c>
      <c r="B4" s="205">
        <v>14.4</v>
      </c>
      <c r="C4" t="s">
        <v>280</v>
      </c>
      <c r="D4" t="s">
        <v>279</v>
      </c>
    </row>
    <row r="5" spans="1:5">
      <c r="A5" s="211" t="s">
        <v>278</v>
      </c>
      <c r="B5" s="205">
        <v>16</v>
      </c>
      <c r="C5" t="s">
        <v>277</v>
      </c>
      <c r="D5" t="s">
        <v>276</v>
      </c>
    </row>
    <row r="6" spans="1:5">
      <c r="A6" s="211" t="s">
        <v>275</v>
      </c>
      <c r="B6" s="205">
        <v>18</v>
      </c>
      <c r="C6" t="s">
        <v>274</v>
      </c>
      <c r="D6" t="s">
        <v>273</v>
      </c>
    </row>
    <row r="7" spans="1:5" ht="15" thickBot="1">
      <c r="A7" s="210" t="s">
        <v>272</v>
      </c>
      <c r="B7" s="209">
        <v>19</v>
      </c>
      <c r="C7" t="s">
        <v>271</v>
      </c>
      <c r="D7" t="s">
        <v>270</v>
      </c>
    </row>
    <row r="9" spans="1:5" ht="15" thickBot="1"/>
    <row r="10" spans="1:5">
      <c r="A10" s="208" t="s">
        <v>269</v>
      </c>
      <c r="B10" s="207">
        <v>0.25</v>
      </c>
      <c r="C10" s="198"/>
      <c r="D10" s="199" t="s">
        <v>268</v>
      </c>
      <c r="E10" s="199"/>
    </row>
    <row r="11" spans="1:5">
      <c r="A11" s="204" t="s">
        <v>267</v>
      </c>
      <c r="B11" s="205">
        <v>1.5</v>
      </c>
      <c r="C11" s="206">
        <v>18</v>
      </c>
      <c r="D11" s="199" t="s">
        <v>266</v>
      </c>
      <c r="E11" s="199" t="s">
        <v>265</v>
      </c>
    </row>
    <row r="12" spans="1:5">
      <c r="A12" s="204" t="s">
        <v>264</v>
      </c>
      <c r="B12" s="205">
        <v>18</v>
      </c>
      <c r="D12" s="199" t="s">
        <v>263</v>
      </c>
      <c r="E12" s="199"/>
    </row>
    <row r="13" spans="1:5">
      <c r="A13" s="204" t="s">
        <v>262</v>
      </c>
      <c r="B13" s="203">
        <v>0.1</v>
      </c>
      <c r="C13" s="202">
        <v>30</v>
      </c>
      <c r="D13" s="199" t="s">
        <v>262</v>
      </c>
      <c r="E13" s="199" t="s">
        <v>261</v>
      </c>
    </row>
    <row r="14" spans="1:5" ht="15" thickBot="1">
      <c r="A14" s="201" t="s">
        <v>260</v>
      </c>
      <c r="B14" s="200">
        <v>0.12</v>
      </c>
      <c r="C14" t="s">
        <v>259</v>
      </c>
      <c r="D14" s="199" t="s">
        <v>258</v>
      </c>
      <c r="E14" s="199"/>
    </row>
    <row r="15" spans="1:5">
      <c r="C15" s="198"/>
    </row>
  </sheetData>
  <mergeCells count="2">
    <mergeCell ref="A1:C1"/>
    <mergeCell ref="C3:E3"/>
  </mergeCells>
  <pageMargins left="0.7" right="0.7" top="0.75" bottom="0.75" header="0.3" footer="0.3"/>
  <pageSetup paperSize="9" orientation="portrait" horizontalDpi="4294967293" verticalDpi="0" r:id="rId1"/>
  <drawing r:id="rId2"/>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A9E898-A6D7-44EC-96D9-1BC92AE3890F}">
  <dimension ref="A1:F24"/>
  <sheetViews>
    <sheetView workbookViewId="0">
      <selection activeCell="C22" sqref="C22"/>
    </sheetView>
  </sheetViews>
  <sheetFormatPr baseColWidth="10" defaultRowHeight="14.4"/>
  <cols>
    <col min="1" max="1" width="15" customWidth="1"/>
    <col min="2" max="2" width="10.44140625" customWidth="1"/>
    <col min="3" max="3" width="29.5546875" customWidth="1"/>
    <col min="4" max="4" width="14.6640625" customWidth="1"/>
    <col min="5" max="5" width="14.109375" customWidth="1"/>
  </cols>
  <sheetData>
    <row r="1" spans="1:6" ht="18" customHeight="1" thickBot="1">
      <c r="A1" s="244"/>
      <c r="B1" s="242" t="s">
        <v>296</v>
      </c>
      <c r="C1" s="243" t="s">
        <v>295</v>
      </c>
      <c r="D1" s="242" t="s">
        <v>292</v>
      </c>
      <c r="E1" s="242" t="s">
        <v>291</v>
      </c>
      <c r="F1" s="241" t="s">
        <v>290</v>
      </c>
    </row>
    <row r="2" spans="1:6" ht="15" thickBot="1">
      <c r="A2" s="228" t="s">
        <v>281</v>
      </c>
      <c r="B2" s="240">
        <v>0</v>
      </c>
      <c r="C2" s="238">
        <v>14.4</v>
      </c>
      <c r="D2" s="239">
        <f>B2*C2*15</f>
        <v>0</v>
      </c>
      <c r="E2" s="238">
        <v>0</v>
      </c>
      <c r="F2" s="237">
        <v>0</v>
      </c>
    </row>
    <row r="3" spans="1:6" ht="15" thickBot="1">
      <c r="A3" s="228" t="s">
        <v>278</v>
      </c>
      <c r="B3" s="236">
        <v>15</v>
      </c>
      <c r="C3" s="235">
        <v>16</v>
      </c>
      <c r="D3" s="222">
        <f>B3*C3*15</f>
        <v>3600</v>
      </c>
      <c r="E3" s="235">
        <v>22.5</v>
      </c>
      <c r="F3" s="234">
        <v>270</v>
      </c>
    </row>
    <row r="4" spans="1:6" ht="15" thickBot="1">
      <c r="A4" s="228" t="s">
        <v>275</v>
      </c>
      <c r="B4" s="236">
        <v>5</v>
      </c>
      <c r="C4" s="235">
        <v>18</v>
      </c>
      <c r="D4" s="222">
        <f>B4*C4*15</f>
        <v>1350</v>
      </c>
      <c r="E4" s="235">
        <v>7.5</v>
      </c>
      <c r="F4" s="234">
        <v>90</v>
      </c>
    </row>
    <row r="5" spans="1:6" ht="15" thickBot="1">
      <c r="A5" s="228" t="s">
        <v>272</v>
      </c>
      <c r="B5" s="233">
        <v>11</v>
      </c>
      <c r="C5" s="231">
        <v>19</v>
      </c>
      <c r="D5" s="232">
        <f>B5*C5*15</f>
        <v>3135</v>
      </c>
      <c r="E5" s="231">
        <v>16.5</v>
      </c>
      <c r="F5" s="230">
        <v>198</v>
      </c>
    </row>
    <row r="6" spans="1:6" ht="15" thickBot="1">
      <c r="A6" s="229"/>
      <c r="B6" s="217"/>
      <c r="C6" s="217"/>
      <c r="D6" s="217"/>
      <c r="E6" s="217"/>
      <c r="F6" s="217"/>
    </row>
    <row r="7" spans="1:6" ht="43.8" thickBot="1">
      <c r="A7" s="228" t="s">
        <v>294</v>
      </c>
      <c r="B7" s="227">
        <f>SUM(B2:B5)</f>
        <v>31</v>
      </c>
      <c r="C7" s="217"/>
      <c r="D7" s="217"/>
      <c r="E7" s="217"/>
      <c r="F7" s="217"/>
    </row>
    <row r="8" spans="1:6" ht="15" thickBot="1">
      <c r="A8" s="226"/>
      <c r="B8" s="217"/>
      <c r="C8" s="217"/>
      <c r="D8" s="217"/>
      <c r="E8" s="217"/>
      <c r="F8" s="217"/>
    </row>
    <row r="9" spans="1:6" ht="15" thickBot="1">
      <c r="A9" s="636" t="s">
        <v>293</v>
      </c>
      <c r="B9" s="637"/>
      <c r="C9" s="217"/>
      <c r="D9" s="217"/>
      <c r="E9" s="217"/>
      <c r="F9" s="217"/>
    </row>
    <row r="10" spans="1:6">
      <c r="A10" s="225" t="s">
        <v>292</v>
      </c>
      <c r="B10" s="222">
        <f>D2+D3+D4+D5</f>
        <v>8085</v>
      </c>
      <c r="C10" s="224"/>
      <c r="D10" s="217"/>
      <c r="E10" s="217"/>
      <c r="F10" s="217"/>
    </row>
    <row r="11" spans="1:6">
      <c r="A11" s="223" t="s">
        <v>291</v>
      </c>
      <c r="B11" s="222">
        <f>SUM(E2:E5)</f>
        <v>46.5</v>
      </c>
      <c r="C11" s="217"/>
      <c r="D11" s="217"/>
      <c r="E11" s="217"/>
      <c r="F11" s="217"/>
    </row>
    <row r="12" spans="1:6">
      <c r="A12" s="223" t="s">
        <v>290</v>
      </c>
      <c r="B12" s="222">
        <f>SUM(F2:F5)</f>
        <v>558</v>
      </c>
      <c r="C12" s="217"/>
      <c r="E12" s="217"/>
      <c r="F12" s="217"/>
    </row>
    <row r="13" spans="1:6" ht="28.8">
      <c r="A13" s="223" t="s">
        <v>289</v>
      </c>
      <c r="B13" s="222">
        <v>300</v>
      </c>
      <c r="C13" s="217"/>
      <c r="D13" s="217"/>
      <c r="E13" s="217"/>
      <c r="F13" s="217"/>
    </row>
    <row r="14" spans="1:6">
      <c r="A14" s="223"/>
      <c r="B14" s="217"/>
      <c r="C14" s="217"/>
      <c r="D14" s="217"/>
      <c r="E14" s="217"/>
      <c r="F14" s="217"/>
    </row>
    <row r="15" spans="1:6">
      <c r="A15" s="223" t="s">
        <v>262</v>
      </c>
      <c r="B15" s="222">
        <v>808.5</v>
      </c>
      <c r="C15" s="217"/>
      <c r="D15" s="217"/>
      <c r="E15" s="217"/>
      <c r="F15" s="217"/>
    </row>
    <row r="16" spans="1:6">
      <c r="A16" s="223"/>
      <c r="B16" s="217"/>
      <c r="C16" s="217"/>
      <c r="E16" s="217"/>
      <c r="F16" s="217"/>
    </row>
    <row r="17" spans="1:6">
      <c r="A17" s="223" t="s">
        <v>260</v>
      </c>
      <c r="B17" s="222">
        <v>1073.1599999999999</v>
      </c>
      <c r="C17" s="217"/>
      <c r="E17" s="217"/>
      <c r="F17" s="217"/>
    </row>
    <row r="18" spans="1:6">
      <c r="A18" s="217"/>
      <c r="B18" s="217"/>
      <c r="C18" s="217"/>
      <c r="D18" s="217"/>
      <c r="E18" s="217"/>
      <c r="F18" s="217"/>
    </row>
    <row r="19" spans="1:6">
      <c r="A19" s="221" t="s">
        <v>288</v>
      </c>
      <c r="B19" s="220">
        <f>B10+B12+B17+B11+B13-B15</f>
        <v>9254.16</v>
      </c>
      <c r="C19" s="217"/>
      <c r="D19" s="217"/>
      <c r="E19" s="217"/>
    </row>
    <row r="20" spans="1:6">
      <c r="A20" s="219" t="s">
        <v>287</v>
      </c>
      <c r="B20" s="218">
        <f>B19/B7</f>
        <v>298.52129032258063</v>
      </c>
      <c r="C20" s="217"/>
    </row>
    <row r="22" spans="1:6" ht="15" thickBot="1"/>
    <row r="23" spans="1:6">
      <c r="A23" s="216" t="s">
        <v>286</v>
      </c>
      <c r="B23" s="215">
        <v>15</v>
      </c>
    </row>
    <row r="24" spans="1:6" ht="15" thickBot="1">
      <c r="A24" s="214" t="s">
        <v>285</v>
      </c>
      <c r="B24" s="213">
        <v>1200</v>
      </c>
    </row>
  </sheetData>
  <mergeCells count="1">
    <mergeCell ref="A9:B9"/>
  </mergeCells>
  <pageMargins left="0.7" right="0.7" top="0.75" bottom="0.75" header="0.3" footer="0.3"/>
  <pageSetup paperSize="9" orientation="portrait" r:id="rId1"/>
  <drawing r:id="rId2"/>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690137-104E-4DE4-B0C2-1F1875B577B5}">
  <dimension ref="A1:D24"/>
  <sheetViews>
    <sheetView workbookViewId="0">
      <selection activeCell="F13" sqref="F13:F14"/>
    </sheetView>
  </sheetViews>
  <sheetFormatPr baseColWidth="10" defaultRowHeight="14.4"/>
  <cols>
    <col min="2" max="2" width="14.5546875" bestFit="1" customWidth="1"/>
  </cols>
  <sheetData>
    <row r="1" spans="1:4">
      <c r="A1" s="640" t="s">
        <v>302</v>
      </c>
      <c r="B1" s="640"/>
    </row>
    <row r="2" spans="1:4">
      <c r="A2" s="418" t="s">
        <v>301</v>
      </c>
      <c r="B2" s="419">
        <v>600</v>
      </c>
      <c r="C2" s="4">
        <v>8.6999999999999993</v>
      </c>
    </row>
    <row r="3" spans="1:4">
      <c r="A3" s="418" t="s">
        <v>300</v>
      </c>
      <c r="C3" s="4">
        <v>14.8</v>
      </c>
    </row>
    <row r="4" spans="1:4">
      <c r="C4" s="4"/>
    </row>
    <row r="5" spans="1:4" ht="28.8">
      <c r="B5" s="415" t="s">
        <v>299</v>
      </c>
      <c r="C5" s="416" t="s">
        <v>507</v>
      </c>
      <c r="D5" s="416" t="s">
        <v>508</v>
      </c>
    </row>
    <row r="6" spans="1:4">
      <c r="A6" s="417">
        <v>44166</v>
      </c>
      <c r="B6">
        <v>25</v>
      </c>
      <c r="C6">
        <f>B6</f>
        <v>25</v>
      </c>
      <c r="D6" s="4">
        <f>IF(C6&lt;$B$2,$C$2*B6,$C$3*B6)</f>
        <v>217.49999999999997</v>
      </c>
    </row>
    <row r="7" spans="1:4">
      <c r="A7" s="417">
        <v>44167</v>
      </c>
      <c r="B7">
        <v>26</v>
      </c>
      <c r="C7">
        <f>B7+C6</f>
        <v>51</v>
      </c>
      <c r="D7" s="4">
        <f>IF(C7&lt;$B$2,$C$2*B7+D6,$C$3*B7+D6)</f>
        <v>443.69999999999993</v>
      </c>
    </row>
    <row r="8" spans="1:4">
      <c r="A8" s="417">
        <v>44168</v>
      </c>
      <c r="B8">
        <v>32</v>
      </c>
      <c r="C8">
        <f t="shared" ref="C8:C20" si="0">B8+C7</f>
        <v>83</v>
      </c>
      <c r="D8" s="4">
        <f t="shared" ref="D8:D14" si="1">IF(C8&lt;$B$2,$C$2*B8+D7,$C$3*B8+D7)</f>
        <v>722.09999999999991</v>
      </c>
    </row>
    <row r="9" spans="1:4">
      <c r="A9" s="417">
        <v>44169</v>
      </c>
      <c r="B9">
        <v>50</v>
      </c>
      <c r="C9">
        <f t="shared" si="0"/>
        <v>133</v>
      </c>
      <c r="D9" s="4">
        <f t="shared" si="1"/>
        <v>1157.0999999999999</v>
      </c>
    </row>
    <row r="10" spans="1:4">
      <c r="A10" s="417">
        <v>44170</v>
      </c>
      <c r="B10">
        <v>75</v>
      </c>
      <c r="C10">
        <f t="shared" si="0"/>
        <v>208</v>
      </c>
      <c r="D10" s="4">
        <f t="shared" si="1"/>
        <v>1809.6</v>
      </c>
    </row>
    <row r="11" spans="1:4">
      <c r="A11" s="417">
        <v>44171</v>
      </c>
      <c r="B11">
        <v>68</v>
      </c>
      <c r="C11">
        <f t="shared" si="0"/>
        <v>276</v>
      </c>
      <c r="D11" s="4">
        <f t="shared" si="1"/>
        <v>2401.1999999999998</v>
      </c>
    </row>
    <row r="12" spans="1:4">
      <c r="A12" s="417">
        <v>44172</v>
      </c>
      <c r="B12">
        <v>75</v>
      </c>
      <c r="C12">
        <f t="shared" si="0"/>
        <v>351</v>
      </c>
      <c r="D12" s="4">
        <f t="shared" si="1"/>
        <v>3053.7</v>
      </c>
    </row>
    <row r="13" spans="1:4">
      <c r="A13" s="417">
        <v>44173</v>
      </c>
      <c r="B13">
        <v>82</v>
      </c>
      <c r="C13">
        <f t="shared" si="0"/>
        <v>433</v>
      </c>
      <c r="D13" s="4">
        <f t="shared" si="1"/>
        <v>3767.1</v>
      </c>
    </row>
    <row r="14" spans="1:4">
      <c r="A14" s="417">
        <v>44174</v>
      </c>
      <c r="B14">
        <v>49</v>
      </c>
      <c r="C14">
        <f t="shared" si="0"/>
        <v>482</v>
      </c>
      <c r="D14" s="4">
        <f t="shared" si="1"/>
        <v>4193.3999999999996</v>
      </c>
    </row>
    <row r="15" spans="1:4">
      <c r="A15" s="417">
        <v>44175</v>
      </c>
      <c r="B15">
        <v>76</v>
      </c>
      <c r="C15">
        <f t="shared" si="0"/>
        <v>558</v>
      </c>
      <c r="D15" s="4">
        <f>IF(C15&lt;$B$2,$C$2*B15+D14,$C$3*B15+D14)</f>
        <v>4854.5999999999995</v>
      </c>
    </row>
    <row r="16" spans="1:4">
      <c r="A16" s="417">
        <v>44176</v>
      </c>
      <c r="B16">
        <v>46</v>
      </c>
      <c r="C16">
        <f t="shared" si="0"/>
        <v>604</v>
      </c>
      <c r="D16" s="4">
        <f t="shared" ref="D16:D20" si="2">IF(C16&lt;$B$2,$C$2*B16+D15,$C$3*B16+D15)</f>
        <v>5535.4</v>
      </c>
    </row>
    <row r="17" spans="1:4">
      <c r="A17" s="417">
        <v>44177</v>
      </c>
      <c r="B17">
        <v>10</v>
      </c>
      <c r="C17">
        <f t="shared" si="0"/>
        <v>614</v>
      </c>
      <c r="D17" s="4">
        <f t="shared" si="2"/>
        <v>5683.4</v>
      </c>
    </row>
    <row r="18" spans="1:4">
      <c r="A18" s="417">
        <v>44178</v>
      </c>
      <c r="B18">
        <v>53</v>
      </c>
      <c r="C18">
        <f t="shared" si="0"/>
        <v>667</v>
      </c>
      <c r="D18" s="4">
        <f t="shared" si="2"/>
        <v>6467.7999999999993</v>
      </c>
    </row>
    <row r="19" spans="1:4">
      <c r="A19" s="417">
        <v>44179</v>
      </c>
      <c r="B19">
        <v>65</v>
      </c>
      <c r="C19">
        <f t="shared" si="0"/>
        <v>732</v>
      </c>
      <c r="D19" s="4">
        <f t="shared" si="2"/>
        <v>7429.7999999999993</v>
      </c>
    </row>
    <row r="20" spans="1:4">
      <c r="A20" s="417">
        <v>44180</v>
      </c>
      <c r="B20">
        <v>28</v>
      </c>
      <c r="C20">
        <f t="shared" si="0"/>
        <v>760</v>
      </c>
      <c r="D20" s="4">
        <f t="shared" si="2"/>
        <v>7844.1999999999989</v>
      </c>
    </row>
    <row r="21" spans="1:4" ht="15" thickBot="1">
      <c r="A21" s="417">
        <v>44181</v>
      </c>
      <c r="D21" s="4"/>
    </row>
    <row r="22" spans="1:4" ht="15.6" thickTop="1" thickBot="1">
      <c r="A22" s="638" t="s">
        <v>298</v>
      </c>
      <c r="B22" s="639"/>
      <c r="C22">
        <f>SUM(B6:B21)</f>
        <v>760</v>
      </c>
    </row>
    <row r="23" spans="1:4" ht="15.6" thickTop="1" thickBot="1">
      <c r="A23" s="388" t="s">
        <v>297</v>
      </c>
      <c r="C23">
        <v>1000</v>
      </c>
      <c r="D23" s="79">
        <f>C22/C23</f>
        <v>0.76</v>
      </c>
    </row>
    <row r="24" spans="1:4" ht="15" thickTop="1"/>
  </sheetData>
  <mergeCells count="2">
    <mergeCell ref="A22:B22"/>
    <mergeCell ref="A1:B1"/>
  </mergeCells>
  <pageMargins left="0.7" right="0.7" top="0.75" bottom="0.75" header="0.3" footer="0.3"/>
  <drawing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F8CA69-09C6-47A9-8E5A-68FAC830AC74}">
  <sheetPr>
    <pageSetUpPr fitToPage="1"/>
  </sheetPr>
  <dimension ref="A1:L37"/>
  <sheetViews>
    <sheetView showZeros="0" zoomScaleNormal="100" workbookViewId="0">
      <selection activeCell="D30" sqref="D30"/>
    </sheetView>
  </sheetViews>
  <sheetFormatPr baseColWidth="10" defaultRowHeight="15.6"/>
  <cols>
    <col min="1" max="1" width="25.6640625" style="245" customWidth="1"/>
    <col min="2" max="2" width="19.5546875" style="245" customWidth="1"/>
    <col min="3" max="3" width="15.5546875" style="245" customWidth="1"/>
    <col min="4" max="4" width="19.109375" style="245" customWidth="1"/>
    <col min="5" max="7" width="11.5546875" style="245"/>
    <col min="8" max="8" width="17.6640625" style="245" bestFit="1" customWidth="1"/>
    <col min="9" max="11" width="11.5546875" style="245"/>
    <col min="12" max="12" width="18.88671875" style="245" bestFit="1" customWidth="1"/>
    <col min="13" max="255" width="11.5546875" style="245"/>
    <col min="256" max="256" width="6.5546875" style="245" customWidth="1"/>
    <col min="257" max="257" width="18.6640625" style="245" bestFit="1" customWidth="1"/>
    <col min="258" max="511" width="11.5546875" style="245"/>
    <col min="512" max="512" width="6.5546875" style="245" customWidth="1"/>
    <col min="513" max="513" width="18.6640625" style="245" bestFit="1" customWidth="1"/>
    <col min="514" max="767" width="11.5546875" style="245"/>
    <col min="768" max="768" width="6.5546875" style="245" customWidth="1"/>
    <col min="769" max="769" width="18.6640625" style="245" bestFit="1" customWidth="1"/>
    <col min="770" max="1023" width="11.5546875" style="245"/>
    <col min="1024" max="1024" width="6.5546875" style="245" customWidth="1"/>
    <col min="1025" max="1025" width="18.6640625" style="245" bestFit="1" customWidth="1"/>
    <col min="1026" max="1279" width="11.5546875" style="245"/>
    <col min="1280" max="1280" width="6.5546875" style="245" customWidth="1"/>
    <col min="1281" max="1281" width="18.6640625" style="245" bestFit="1" customWidth="1"/>
    <col min="1282" max="1535" width="11.5546875" style="245"/>
    <col min="1536" max="1536" width="6.5546875" style="245" customWidth="1"/>
    <col min="1537" max="1537" width="18.6640625" style="245" bestFit="1" customWidth="1"/>
    <col min="1538" max="1791" width="11.5546875" style="245"/>
    <col min="1792" max="1792" width="6.5546875" style="245" customWidth="1"/>
    <col min="1793" max="1793" width="18.6640625" style="245" bestFit="1" customWidth="1"/>
    <col min="1794" max="2047" width="11.5546875" style="245"/>
    <col min="2048" max="2048" width="6.5546875" style="245" customWidth="1"/>
    <col min="2049" max="2049" width="18.6640625" style="245" bestFit="1" customWidth="1"/>
    <col min="2050" max="2303" width="11.5546875" style="245"/>
    <col min="2304" max="2304" width="6.5546875" style="245" customWidth="1"/>
    <col min="2305" max="2305" width="18.6640625" style="245" bestFit="1" customWidth="1"/>
    <col min="2306" max="2559" width="11.5546875" style="245"/>
    <col min="2560" max="2560" width="6.5546875" style="245" customWidth="1"/>
    <col min="2561" max="2561" width="18.6640625" style="245" bestFit="1" customWidth="1"/>
    <col min="2562" max="2815" width="11.5546875" style="245"/>
    <col min="2816" max="2816" width="6.5546875" style="245" customWidth="1"/>
    <col min="2817" max="2817" width="18.6640625" style="245" bestFit="1" customWidth="1"/>
    <col min="2818" max="3071" width="11.5546875" style="245"/>
    <col min="3072" max="3072" width="6.5546875" style="245" customWidth="1"/>
    <col min="3073" max="3073" width="18.6640625" style="245" bestFit="1" customWidth="1"/>
    <col min="3074" max="3327" width="11.5546875" style="245"/>
    <col min="3328" max="3328" width="6.5546875" style="245" customWidth="1"/>
    <col min="3329" max="3329" width="18.6640625" style="245" bestFit="1" customWidth="1"/>
    <col min="3330" max="3583" width="11.5546875" style="245"/>
    <col min="3584" max="3584" width="6.5546875" style="245" customWidth="1"/>
    <col min="3585" max="3585" width="18.6640625" style="245" bestFit="1" customWidth="1"/>
    <col min="3586" max="3839" width="11.5546875" style="245"/>
    <col min="3840" max="3840" width="6.5546875" style="245" customWidth="1"/>
    <col min="3841" max="3841" width="18.6640625" style="245" bestFit="1" customWidth="1"/>
    <col min="3842" max="4095" width="11.5546875" style="245"/>
    <col min="4096" max="4096" width="6.5546875" style="245" customWidth="1"/>
    <col min="4097" max="4097" width="18.6640625" style="245" bestFit="1" customWidth="1"/>
    <col min="4098" max="4351" width="11.5546875" style="245"/>
    <col min="4352" max="4352" width="6.5546875" style="245" customWidth="1"/>
    <col min="4353" max="4353" width="18.6640625" style="245" bestFit="1" customWidth="1"/>
    <col min="4354" max="4607" width="11.5546875" style="245"/>
    <col min="4608" max="4608" width="6.5546875" style="245" customWidth="1"/>
    <col min="4609" max="4609" width="18.6640625" style="245" bestFit="1" customWidth="1"/>
    <col min="4610" max="4863" width="11.5546875" style="245"/>
    <col min="4864" max="4864" width="6.5546875" style="245" customWidth="1"/>
    <col min="4865" max="4865" width="18.6640625" style="245" bestFit="1" customWidth="1"/>
    <col min="4866" max="5119" width="11.5546875" style="245"/>
    <col min="5120" max="5120" width="6.5546875" style="245" customWidth="1"/>
    <col min="5121" max="5121" width="18.6640625" style="245" bestFit="1" customWidth="1"/>
    <col min="5122" max="5375" width="11.5546875" style="245"/>
    <col min="5376" max="5376" width="6.5546875" style="245" customWidth="1"/>
    <col min="5377" max="5377" width="18.6640625" style="245" bestFit="1" customWidth="1"/>
    <col min="5378" max="5631" width="11.5546875" style="245"/>
    <col min="5632" max="5632" width="6.5546875" style="245" customWidth="1"/>
    <col min="5633" max="5633" width="18.6640625" style="245" bestFit="1" customWidth="1"/>
    <col min="5634" max="5887" width="11.5546875" style="245"/>
    <col min="5888" max="5888" width="6.5546875" style="245" customWidth="1"/>
    <col min="5889" max="5889" width="18.6640625" style="245" bestFit="1" customWidth="1"/>
    <col min="5890" max="6143" width="11.5546875" style="245"/>
    <col min="6144" max="6144" width="6.5546875" style="245" customWidth="1"/>
    <col min="6145" max="6145" width="18.6640625" style="245" bestFit="1" customWidth="1"/>
    <col min="6146" max="6399" width="11.5546875" style="245"/>
    <col min="6400" max="6400" width="6.5546875" style="245" customWidth="1"/>
    <col min="6401" max="6401" width="18.6640625" style="245" bestFit="1" customWidth="1"/>
    <col min="6402" max="6655" width="11.5546875" style="245"/>
    <col min="6656" max="6656" width="6.5546875" style="245" customWidth="1"/>
    <col min="6657" max="6657" width="18.6640625" style="245" bestFit="1" customWidth="1"/>
    <col min="6658" max="6911" width="11.5546875" style="245"/>
    <col min="6912" max="6912" width="6.5546875" style="245" customWidth="1"/>
    <col min="6913" max="6913" width="18.6640625" style="245" bestFit="1" customWidth="1"/>
    <col min="6914" max="7167" width="11.5546875" style="245"/>
    <col min="7168" max="7168" width="6.5546875" style="245" customWidth="1"/>
    <col min="7169" max="7169" width="18.6640625" style="245" bestFit="1" customWidth="1"/>
    <col min="7170" max="7423" width="11.5546875" style="245"/>
    <col min="7424" max="7424" width="6.5546875" style="245" customWidth="1"/>
    <col min="7425" max="7425" width="18.6640625" style="245" bestFit="1" customWidth="1"/>
    <col min="7426" max="7679" width="11.5546875" style="245"/>
    <col min="7680" max="7680" width="6.5546875" style="245" customWidth="1"/>
    <col min="7681" max="7681" width="18.6640625" style="245" bestFit="1" customWidth="1"/>
    <col min="7682" max="7935" width="11.5546875" style="245"/>
    <col min="7936" max="7936" width="6.5546875" style="245" customWidth="1"/>
    <col min="7937" max="7937" width="18.6640625" style="245" bestFit="1" customWidth="1"/>
    <col min="7938" max="8191" width="11.5546875" style="245"/>
    <col min="8192" max="8192" width="6.5546875" style="245" customWidth="1"/>
    <col min="8193" max="8193" width="18.6640625" style="245" bestFit="1" customWidth="1"/>
    <col min="8194" max="8447" width="11.5546875" style="245"/>
    <col min="8448" max="8448" width="6.5546875" style="245" customWidth="1"/>
    <col min="8449" max="8449" width="18.6640625" style="245" bestFit="1" customWidth="1"/>
    <col min="8450" max="8703" width="11.5546875" style="245"/>
    <col min="8704" max="8704" width="6.5546875" style="245" customWidth="1"/>
    <col min="8705" max="8705" width="18.6640625" style="245" bestFit="1" customWidth="1"/>
    <col min="8706" max="8959" width="11.5546875" style="245"/>
    <col min="8960" max="8960" width="6.5546875" style="245" customWidth="1"/>
    <col min="8961" max="8961" width="18.6640625" style="245" bestFit="1" customWidth="1"/>
    <col min="8962" max="9215" width="11.5546875" style="245"/>
    <col min="9216" max="9216" width="6.5546875" style="245" customWidth="1"/>
    <col min="9217" max="9217" width="18.6640625" style="245" bestFit="1" customWidth="1"/>
    <col min="9218" max="9471" width="11.5546875" style="245"/>
    <col min="9472" max="9472" width="6.5546875" style="245" customWidth="1"/>
    <col min="9473" max="9473" width="18.6640625" style="245" bestFit="1" customWidth="1"/>
    <col min="9474" max="9727" width="11.5546875" style="245"/>
    <col min="9728" max="9728" width="6.5546875" style="245" customWidth="1"/>
    <col min="9729" max="9729" width="18.6640625" style="245" bestFit="1" customWidth="1"/>
    <col min="9730" max="9983" width="11.5546875" style="245"/>
    <col min="9984" max="9984" width="6.5546875" style="245" customWidth="1"/>
    <col min="9985" max="9985" width="18.6640625" style="245" bestFit="1" customWidth="1"/>
    <col min="9986" max="10239" width="11.5546875" style="245"/>
    <col min="10240" max="10240" width="6.5546875" style="245" customWidth="1"/>
    <col min="10241" max="10241" width="18.6640625" style="245" bestFit="1" customWidth="1"/>
    <col min="10242" max="10495" width="11.5546875" style="245"/>
    <col min="10496" max="10496" width="6.5546875" style="245" customWidth="1"/>
    <col min="10497" max="10497" width="18.6640625" style="245" bestFit="1" customWidth="1"/>
    <col min="10498" max="10751" width="11.5546875" style="245"/>
    <col min="10752" max="10752" width="6.5546875" style="245" customWidth="1"/>
    <col min="10753" max="10753" width="18.6640625" style="245" bestFit="1" customWidth="1"/>
    <col min="10754" max="11007" width="11.5546875" style="245"/>
    <col min="11008" max="11008" width="6.5546875" style="245" customWidth="1"/>
    <col min="11009" max="11009" width="18.6640625" style="245" bestFit="1" customWidth="1"/>
    <col min="11010" max="11263" width="11.5546875" style="245"/>
    <col min="11264" max="11264" width="6.5546875" style="245" customWidth="1"/>
    <col min="11265" max="11265" width="18.6640625" style="245" bestFit="1" customWidth="1"/>
    <col min="11266" max="11519" width="11.5546875" style="245"/>
    <col min="11520" max="11520" width="6.5546875" style="245" customWidth="1"/>
    <col min="11521" max="11521" width="18.6640625" style="245" bestFit="1" customWidth="1"/>
    <col min="11522" max="11775" width="11.5546875" style="245"/>
    <col min="11776" max="11776" width="6.5546875" style="245" customWidth="1"/>
    <col min="11777" max="11777" width="18.6640625" style="245" bestFit="1" customWidth="1"/>
    <col min="11778" max="12031" width="11.5546875" style="245"/>
    <col min="12032" max="12032" width="6.5546875" style="245" customWidth="1"/>
    <col min="12033" max="12033" width="18.6640625" style="245" bestFit="1" customWidth="1"/>
    <col min="12034" max="12287" width="11.5546875" style="245"/>
    <col min="12288" max="12288" width="6.5546875" style="245" customWidth="1"/>
    <col min="12289" max="12289" width="18.6640625" style="245" bestFit="1" customWidth="1"/>
    <col min="12290" max="12543" width="11.5546875" style="245"/>
    <col min="12544" max="12544" width="6.5546875" style="245" customWidth="1"/>
    <col min="12545" max="12545" width="18.6640625" style="245" bestFit="1" customWidth="1"/>
    <col min="12546" max="12799" width="11.5546875" style="245"/>
    <col min="12800" max="12800" width="6.5546875" style="245" customWidth="1"/>
    <col min="12801" max="12801" width="18.6640625" style="245" bestFit="1" customWidth="1"/>
    <col min="12802" max="13055" width="11.5546875" style="245"/>
    <col min="13056" max="13056" width="6.5546875" style="245" customWidth="1"/>
    <col min="13057" max="13057" width="18.6640625" style="245" bestFit="1" customWidth="1"/>
    <col min="13058" max="13311" width="11.5546875" style="245"/>
    <col min="13312" max="13312" width="6.5546875" style="245" customWidth="1"/>
    <col min="13313" max="13313" width="18.6640625" style="245" bestFit="1" customWidth="1"/>
    <col min="13314" max="13567" width="11.5546875" style="245"/>
    <col min="13568" max="13568" width="6.5546875" style="245" customWidth="1"/>
    <col min="13569" max="13569" width="18.6640625" style="245" bestFit="1" customWidth="1"/>
    <col min="13570" max="13823" width="11.5546875" style="245"/>
    <col min="13824" max="13824" width="6.5546875" style="245" customWidth="1"/>
    <col min="13825" max="13825" width="18.6640625" style="245" bestFit="1" customWidth="1"/>
    <col min="13826" max="14079" width="11.5546875" style="245"/>
    <col min="14080" max="14080" width="6.5546875" style="245" customWidth="1"/>
    <col min="14081" max="14081" width="18.6640625" style="245" bestFit="1" customWidth="1"/>
    <col min="14082" max="14335" width="11.5546875" style="245"/>
    <col min="14336" max="14336" width="6.5546875" style="245" customWidth="1"/>
    <col min="14337" max="14337" width="18.6640625" style="245" bestFit="1" customWidth="1"/>
    <col min="14338" max="14591" width="11.5546875" style="245"/>
    <col min="14592" max="14592" width="6.5546875" style="245" customWidth="1"/>
    <col min="14593" max="14593" width="18.6640625" style="245" bestFit="1" customWidth="1"/>
    <col min="14594" max="14847" width="11.5546875" style="245"/>
    <col min="14848" max="14848" width="6.5546875" style="245" customWidth="1"/>
    <col min="14849" max="14849" width="18.6640625" style="245" bestFit="1" customWidth="1"/>
    <col min="14850" max="15103" width="11.5546875" style="245"/>
    <col min="15104" max="15104" width="6.5546875" style="245" customWidth="1"/>
    <col min="15105" max="15105" width="18.6640625" style="245" bestFit="1" customWidth="1"/>
    <col min="15106" max="15359" width="11.5546875" style="245"/>
    <col min="15360" max="15360" width="6.5546875" style="245" customWidth="1"/>
    <col min="15361" max="15361" width="18.6640625" style="245" bestFit="1" customWidth="1"/>
    <col min="15362" max="15615" width="11.5546875" style="245"/>
    <col min="15616" max="15616" width="6.5546875" style="245" customWidth="1"/>
    <col min="15617" max="15617" width="18.6640625" style="245" bestFit="1" customWidth="1"/>
    <col min="15618" max="15871" width="11.5546875" style="245"/>
    <col min="15872" max="15872" width="6.5546875" style="245" customWidth="1"/>
    <col min="15873" max="15873" width="18.6640625" style="245" bestFit="1" customWidth="1"/>
    <col min="15874" max="16127" width="11.5546875" style="245"/>
    <col min="16128" max="16128" width="6.5546875" style="245" customWidth="1"/>
    <col min="16129" max="16129" width="18.6640625" style="245" bestFit="1" customWidth="1"/>
    <col min="16130" max="16383" width="11.5546875" style="245"/>
    <col min="16384" max="16384" width="11.44140625" style="245" customWidth="1"/>
  </cols>
  <sheetData>
    <row r="1" spans="1:12">
      <c r="A1" s="641" t="s">
        <v>336</v>
      </c>
      <c r="B1" s="641"/>
      <c r="C1" s="641"/>
      <c r="D1" s="641"/>
      <c r="E1" s="641"/>
    </row>
    <row r="2" spans="1:12" ht="37.5" customHeight="1">
      <c r="A2" s="261" t="s">
        <v>335</v>
      </c>
      <c r="B2" s="260" t="s">
        <v>334</v>
      </c>
      <c r="C2" s="260" t="s">
        <v>333</v>
      </c>
      <c r="D2" s="260" t="s">
        <v>332</v>
      </c>
      <c r="E2" s="260" t="s">
        <v>331</v>
      </c>
    </row>
    <row r="3" spans="1:12">
      <c r="A3" s="257" t="s">
        <v>330</v>
      </c>
      <c r="B3" s="245" t="s">
        <v>315</v>
      </c>
      <c r="C3" s="256">
        <v>1200</v>
      </c>
      <c r="D3" s="256">
        <v>1000</v>
      </c>
      <c r="E3" s="252">
        <f t="shared" ref="E3:E19" si="0">C3-D3</f>
        <v>200</v>
      </c>
      <c r="G3" s="258"/>
      <c r="H3" s="258"/>
      <c r="K3" s="245" t="s">
        <v>315</v>
      </c>
      <c r="L3" s="257" t="s">
        <v>330</v>
      </c>
    </row>
    <row r="4" spans="1:12">
      <c r="A4" s="257" t="s">
        <v>330</v>
      </c>
      <c r="B4" s="245" t="s">
        <v>327</v>
      </c>
      <c r="C4" s="256">
        <v>1200</v>
      </c>
      <c r="D4" s="256">
        <v>230</v>
      </c>
      <c r="E4" s="252">
        <f t="shared" si="0"/>
        <v>970</v>
      </c>
      <c r="G4" s="258"/>
      <c r="H4" s="258"/>
      <c r="K4" s="245" t="s">
        <v>327</v>
      </c>
      <c r="L4" s="257" t="s">
        <v>330</v>
      </c>
    </row>
    <row r="5" spans="1:12">
      <c r="A5" s="257" t="s">
        <v>329</v>
      </c>
      <c r="B5" s="245" t="s">
        <v>313</v>
      </c>
      <c r="C5" s="256">
        <v>1200</v>
      </c>
      <c r="D5" s="256">
        <v>400</v>
      </c>
      <c r="E5" s="252">
        <f t="shared" si="0"/>
        <v>800</v>
      </c>
      <c r="G5" s="259"/>
      <c r="H5" s="258"/>
      <c r="K5" s="245" t="s">
        <v>313</v>
      </c>
      <c r="L5" s="257" t="s">
        <v>329</v>
      </c>
    </row>
    <row r="6" spans="1:12">
      <c r="A6" s="257" t="s">
        <v>328</v>
      </c>
      <c r="B6" s="245" t="s">
        <v>315</v>
      </c>
      <c r="C6" s="256">
        <v>800</v>
      </c>
      <c r="D6" s="256">
        <v>690</v>
      </c>
      <c r="E6" s="252">
        <f t="shared" si="0"/>
        <v>110</v>
      </c>
      <c r="G6"/>
      <c r="H6"/>
      <c r="K6" s="245" t="s">
        <v>308</v>
      </c>
      <c r="L6" s="257" t="s">
        <v>328</v>
      </c>
    </row>
    <row r="7" spans="1:12">
      <c r="A7" s="257" t="s">
        <v>311</v>
      </c>
      <c r="B7" s="245" t="s">
        <v>327</v>
      </c>
      <c r="C7" s="256">
        <v>3000</v>
      </c>
      <c r="D7" s="256">
        <v>2700</v>
      </c>
      <c r="E7" s="252">
        <f t="shared" si="0"/>
        <v>300</v>
      </c>
      <c r="G7"/>
      <c r="H7"/>
      <c r="K7" s="245" t="s">
        <v>324</v>
      </c>
      <c r="L7" s="257" t="s">
        <v>311</v>
      </c>
    </row>
    <row r="8" spans="1:12">
      <c r="A8" s="257" t="s">
        <v>326</v>
      </c>
      <c r="B8" s="245" t="s">
        <v>315</v>
      </c>
      <c r="C8" s="256">
        <v>2000</v>
      </c>
      <c r="D8" s="256">
        <v>1000</v>
      </c>
      <c r="E8" s="252">
        <f t="shared" si="0"/>
        <v>1000</v>
      </c>
      <c r="G8"/>
      <c r="H8"/>
      <c r="K8" s="245" t="s">
        <v>317</v>
      </c>
      <c r="L8" s="257" t="s">
        <v>326</v>
      </c>
    </row>
    <row r="9" spans="1:12">
      <c r="A9" s="257" t="s">
        <v>325</v>
      </c>
      <c r="B9" s="245" t="s">
        <v>308</v>
      </c>
      <c r="C9" s="256">
        <v>800</v>
      </c>
      <c r="D9" s="256">
        <v>670</v>
      </c>
      <c r="E9" s="252">
        <f t="shared" si="0"/>
        <v>130</v>
      </c>
      <c r="G9"/>
      <c r="H9"/>
      <c r="L9" s="257" t="s">
        <v>325</v>
      </c>
    </row>
    <row r="10" spans="1:12">
      <c r="A10" s="257" t="s">
        <v>318</v>
      </c>
      <c r="B10" s="245" t="s">
        <v>313</v>
      </c>
      <c r="C10" s="256">
        <v>1500</v>
      </c>
      <c r="D10" s="256">
        <v>500</v>
      </c>
      <c r="E10" s="252">
        <f t="shared" si="0"/>
        <v>1000</v>
      </c>
      <c r="G10"/>
      <c r="H10"/>
      <c r="K10"/>
      <c r="L10" s="257" t="s">
        <v>318</v>
      </c>
    </row>
    <row r="11" spans="1:12">
      <c r="A11" s="257" t="s">
        <v>323</v>
      </c>
      <c r="B11" s="245" t="s">
        <v>324</v>
      </c>
      <c r="C11" s="256">
        <v>1300</v>
      </c>
      <c r="D11" s="256">
        <v>500</v>
      </c>
      <c r="E11" s="252">
        <f t="shared" si="0"/>
        <v>800</v>
      </c>
      <c r="G11"/>
      <c r="H11"/>
      <c r="K11"/>
      <c r="L11" s="257" t="s">
        <v>323</v>
      </c>
    </row>
    <row r="12" spans="1:12">
      <c r="A12" s="257" t="s">
        <v>323</v>
      </c>
      <c r="B12" s="245" t="s">
        <v>308</v>
      </c>
      <c r="C12" s="256">
        <v>1200</v>
      </c>
      <c r="D12" s="256">
        <v>900</v>
      </c>
      <c r="E12" s="252">
        <f t="shared" si="0"/>
        <v>300</v>
      </c>
      <c r="G12"/>
      <c r="H12"/>
      <c r="K12"/>
      <c r="L12" s="257" t="s">
        <v>322</v>
      </c>
    </row>
    <row r="13" spans="1:12">
      <c r="A13" s="257" t="s">
        <v>322</v>
      </c>
      <c r="B13" s="245" t="s">
        <v>308</v>
      </c>
      <c r="C13" s="256">
        <v>900</v>
      </c>
      <c r="D13" s="256">
        <v>900</v>
      </c>
      <c r="E13" s="252">
        <f t="shared" si="0"/>
        <v>0</v>
      </c>
      <c r="G13"/>
      <c r="H13"/>
      <c r="K13"/>
      <c r="L13" s="257" t="s">
        <v>320</v>
      </c>
    </row>
    <row r="14" spans="1:12">
      <c r="A14" s="257" t="s">
        <v>322</v>
      </c>
      <c r="B14" s="245" t="s">
        <v>313</v>
      </c>
      <c r="C14" s="256">
        <v>1100</v>
      </c>
      <c r="D14" s="256">
        <v>400</v>
      </c>
      <c r="E14" s="252">
        <f t="shared" si="0"/>
        <v>700</v>
      </c>
      <c r="G14"/>
      <c r="H14"/>
      <c r="K14"/>
      <c r="L14" s="257" t="s">
        <v>321</v>
      </c>
    </row>
    <row r="15" spans="1:12">
      <c r="A15" s="257" t="s">
        <v>320</v>
      </c>
      <c r="B15" s="245" t="s">
        <v>313</v>
      </c>
      <c r="C15" s="256">
        <v>1200</v>
      </c>
      <c r="D15" s="256">
        <v>400</v>
      </c>
      <c r="E15" s="252">
        <f t="shared" si="0"/>
        <v>800</v>
      </c>
      <c r="G15"/>
      <c r="H15"/>
      <c r="K15"/>
      <c r="L15" s="257" t="s">
        <v>319</v>
      </c>
    </row>
    <row r="16" spans="1:12">
      <c r="A16" s="257" t="s">
        <v>321</v>
      </c>
      <c r="B16" s="245" t="s">
        <v>308</v>
      </c>
      <c r="C16" s="256">
        <v>1700</v>
      </c>
      <c r="D16" s="256">
        <v>400</v>
      </c>
      <c r="E16" s="252">
        <f t="shared" si="0"/>
        <v>1300</v>
      </c>
      <c r="G16"/>
      <c r="H16"/>
      <c r="K16"/>
      <c r="L16"/>
    </row>
    <row r="17" spans="1:12">
      <c r="A17" s="257" t="s">
        <v>320</v>
      </c>
      <c r="B17" s="245" t="s">
        <v>308</v>
      </c>
      <c r="C17" s="256">
        <v>900</v>
      </c>
      <c r="D17" s="256">
        <v>600</v>
      </c>
      <c r="E17" s="252">
        <f t="shared" si="0"/>
        <v>300</v>
      </c>
      <c r="G17"/>
      <c r="H17"/>
      <c r="K17"/>
      <c r="L17"/>
    </row>
    <row r="18" spans="1:12">
      <c r="A18" s="257" t="s">
        <v>319</v>
      </c>
      <c r="B18" s="245" t="s">
        <v>308</v>
      </c>
      <c r="C18" s="256">
        <v>1000</v>
      </c>
      <c r="D18" s="256">
        <v>400</v>
      </c>
      <c r="E18" s="252">
        <f t="shared" si="0"/>
        <v>600</v>
      </c>
      <c r="G18"/>
      <c r="H18"/>
      <c r="K18"/>
      <c r="L18"/>
    </row>
    <row r="19" spans="1:12" ht="16.2" thickBot="1">
      <c r="A19" s="255" t="s">
        <v>318</v>
      </c>
      <c r="B19" s="254" t="s">
        <v>317</v>
      </c>
      <c r="C19" s="253">
        <v>2000</v>
      </c>
      <c r="D19" s="253">
        <v>2000</v>
      </c>
      <c r="E19" s="252">
        <f t="shared" si="0"/>
        <v>0</v>
      </c>
      <c r="G19"/>
      <c r="H19"/>
      <c r="K19"/>
      <c r="L19"/>
    </row>
    <row r="20" spans="1:12" ht="16.2" thickBot="1">
      <c r="K20"/>
    </row>
    <row r="21" spans="1:12" ht="16.2" thickBot="1">
      <c r="A21" s="250" t="s">
        <v>316</v>
      </c>
      <c r="B21" s="251"/>
      <c r="C21" s="247" t="s">
        <v>315</v>
      </c>
      <c r="D21" s="248">
        <f>SUMIF(pays,C21,QV)</f>
        <v>2690</v>
      </c>
    </row>
    <row r="22" spans="1:12" ht="16.2" thickBot="1">
      <c r="F22" s="246"/>
    </row>
    <row r="23" spans="1:12" ht="16.2" thickBot="1">
      <c r="A23" s="250" t="s">
        <v>314</v>
      </c>
      <c r="B23" s="249"/>
      <c r="C23" s="247" t="s">
        <v>313</v>
      </c>
      <c r="D23" s="248">
        <f>COUNTIF(pays,C23)</f>
        <v>4</v>
      </c>
    </row>
    <row r="24" spans="1:12" ht="16.2" thickBot="1"/>
    <row r="25" spans="1:12" ht="16.2" thickBot="1">
      <c r="A25" s="245" t="s">
        <v>312</v>
      </c>
      <c r="C25" s="247" t="s">
        <v>311</v>
      </c>
      <c r="D25" s="248">
        <f>COUNTIF(produit,C25)</f>
        <v>1</v>
      </c>
    </row>
    <row r="26" spans="1:12" ht="16.2" thickBot="1"/>
    <row r="27" spans="1:12" ht="16.2" thickBot="1">
      <c r="A27" s="245" t="s">
        <v>310</v>
      </c>
      <c r="D27" s="246">
        <f>AVERAGE(QV)</f>
        <v>805.29411764705878</v>
      </c>
    </row>
    <row r="28" spans="1:12" ht="16.2" thickBot="1"/>
    <row r="29" spans="1:12" ht="16.2" thickBot="1">
      <c r="A29" s="245" t="s">
        <v>309</v>
      </c>
      <c r="C29" s="247" t="s">
        <v>308</v>
      </c>
      <c r="D29" s="246">
        <f>AVERAGEIF(pays,C29,QV)</f>
        <v>645</v>
      </c>
    </row>
    <row r="30" spans="1:12" ht="16.2" thickBot="1"/>
    <row r="31" spans="1:12" ht="16.2" thickBot="1">
      <c r="A31" s="245" t="s">
        <v>307</v>
      </c>
      <c r="D31" s="246">
        <f>SUM(QV)</f>
        <v>13690</v>
      </c>
    </row>
    <row r="32" spans="1:12" ht="16.2" thickBot="1"/>
    <row r="33" spans="1:5" ht="16.2" thickBot="1">
      <c r="A33" s="245" t="s">
        <v>306</v>
      </c>
      <c r="D33" s="246">
        <f>COUNTIF(Stock,"&lt;&gt;0")</f>
        <v>15</v>
      </c>
    </row>
    <row r="34" spans="1:5" ht="16.2" thickBot="1"/>
    <row r="35" spans="1:5" ht="16.2" thickBot="1">
      <c r="A35" s="245" t="s">
        <v>305</v>
      </c>
      <c r="E35" s="246">
        <f>SUMIF(pays,"*e",QV)</f>
        <v>11190</v>
      </c>
    </row>
    <row r="36" spans="1:5" ht="16.2" thickBot="1">
      <c r="A36" s="245" t="s">
        <v>304</v>
      </c>
      <c r="E36" s="246">
        <f>SUMIF(pays,"&lt;&gt;*e",QV)</f>
        <v>2500</v>
      </c>
    </row>
    <row r="37" spans="1:5" ht="16.2" thickBot="1">
      <c r="A37" s="245" t="s">
        <v>303</v>
      </c>
      <c r="E37" s="246">
        <f>SUMIF(produit,"?o*",QV)</f>
        <v>6020</v>
      </c>
    </row>
  </sheetData>
  <mergeCells count="1">
    <mergeCell ref="A1:E1"/>
  </mergeCells>
  <dataValidations count="6">
    <dataValidation type="list" allowBlank="1" showInputMessage="1" showErrorMessage="1" sqref="C25" xr:uid="{751BD4C9-1C7F-4395-BC6F-517A03145623}">
      <formula1>$L$3:$L$15</formula1>
    </dataValidation>
    <dataValidation type="list" allowBlank="1" showInputMessage="1" showErrorMessage="1" sqref="C21 C23 C29" xr:uid="{5F5EBC84-DB10-4851-8852-B21937F5A78E}">
      <formula1>$K$3:$K$8</formula1>
    </dataValidation>
    <dataValidation type="list" allowBlank="1" showInputMessage="1" showErrorMessage="1" sqref="IW3 WVI983034 WLM983034 WBQ983034 VRU983034 VHY983034 UYC983034 UOG983034 UEK983034 TUO983034 TKS983034 TAW983034 SRA983034 SHE983034 RXI983034 RNM983034 RDQ983034 QTU983034 QJY983034 QAC983034 PQG983034 PGK983034 OWO983034 OMS983034 OCW983034 NTA983034 NJE983034 MZI983034 MPM983034 MFQ983034 LVU983034 LLY983034 LCC983034 KSG983034 KIK983034 JYO983034 JOS983034 JEW983034 IVA983034 ILE983034 IBI983034 HRM983034 HHQ983034 GXU983034 GNY983034 GEC983034 FUG983034 FKK983034 FAO983034 EQS983034 EGW983034 DXA983034 DNE983034 DDI983034 CTM983034 CJQ983034 BZU983034 BPY983034 BGC983034 AWG983034 AMK983034 ACO983034 SS983034 IW983034 A983034 WVI917498 WLM917498 WBQ917498 VRU917498 VHY917498 UYC917498 UOG917498 UEK917498 TUO917498 TKS917498 TAW917498 SRA917498 SHE917498 RXI917498 RNM917498 RDQ917498 QTU917498 QJY917498 QAC917498 PQG917498 PGK917498 OWO917498 OMS917498 OCW917498 NTA917498 NJE917498 MZI917498 MPM917498 MFQ917498 LVU917498 LLY917498 LCC917498 KSG917498 KIK917498 JYO917498 JOS917498 JEW917498 IVA917498 ILE917498 IBI917498 HRM917498 HHQ917498 GXU917498 GNY917498 GEC917498 FUG917498 FKK917498 FAO917498 EQS917498 EGW917498 DXA917498 DNE917498 DDI917498 CTM917498 CJQ917498 BZU917498 BPY917498 BGC917498 AWG917498 AMK917498 ACO917498 SS917498 IW917498 A917498 WVI851962 WLM851962 WBQ851962 VRU851962 VHY851962 UYC851962 UOG851962 UEK851962 TUO851962 TKS851962 TAW851962 SRA851962 SHE851962 RXI851962 RNM851962 RDQ851962 QTU851962 QJY851962 QAC851962 PQG851962 PGK851962 OWO851962 OMS851962 OCW851962 NTA851962 NJE851962 MZI851962 MPM851962 MFQ851962 LVU851962 LLY851962 LCC851962 KSG851962 KIK851962 JYO851962 JOS851962 JEW851962 IVA851962 ILE851962 IBI851962 HRM851962 HHQ851962 GXU851962 GNY851962 GEC851962 FUG851962 FKK851962 FAO851962 EQS851962 EGW851962 DXA851962 DNE851962 DDI851962 CTM851962 CJQ851962 BZU851962 BPY851962 BGC851962 AWG851962 AMK851962 ACO851962 SS851962 IW851962 A851962 WVI786426 WLM786426 WBQ786426 VRU786426 VHY786426 UYC786426 UOG786426 UEK786426 TUO786426 TKS786426 TAW786426 SRA786426 SHE786426 RXI786426 RNM786426 RDQ786426 QTU786426 QJY786426 QAC786426 PQG786426 PGK786426 OWO786426 OMS786426 OCW786426 NTA786426 NJE786426 MZI786426 MPM786426 MFQ786426 LVU786426 LLY786426 LCC786426 KSG786426 KIK786426 JYO786426 JOS786426 JEW786426 IVA786426 ILE786426 IBI786426 HRM786426 HHQ786426 GXU786426 GNY786426 GEC786426 FUG786426 FKK786426 FAO786426 EQS786426 EGW786426 DXA786426 DNE786426 DDI786426 CTM786426 CJQ786426 BZU786426 BPY786426 BGC786426 AWG786426 AMK786426 ACO786426 SS786426 IW786426 A786426 WVI720890 WLM720890 WBQ720890 VRU720890 VHY720890 UYC720890 UOG720890 UEK720890 TUO720890 TKS720890 TAW720890 SRA720890 SHE720890 RXI720890 RNM720890 RDQ720890 QTU720890 QJY720890 QAC720890 PQG720890 PGK720890 OWO720890 OMS720890 OCW720890 NTA720890 NJE720890 MZI720890 MPM720890 MFQ720890 LVU720890 LLY720890 LCC720890 KSG720890 KIK720890 JYO720890 JOS720890 JEW720890 IVA720890 ILE720890 IBI720890 HRM720890 HHQ720890 GXU720890 GNY720890 GEC720890 FUG720890 FKK720890 FAO720890 EQS720890 EGW720890 DXA720890 DNE720890 DDI720890 CTM720890 CJQ720890 BZU720890 BPY720890 BGC720890 AWG720890 AMK720890 ACO720890 SS720890 IW720890 A720890 WVI655354 WLM655354 WBQ655354 VRU655354 VHY655354 UYC655354 UOG655354 UEK655354 TUO655354 TKS655354 TAW655354 SRA655354 SHE655354 RXI655354 RNM655354 RDQ655354 QTU655354 QJY655354 QAC655354 PQG655354 PGK655354 OWO655354 OMS655354 OCW655354 NTA655354 NJE655354 MZI655354 MPM655354 MFQ655354 LVU655354 LLY655354 LCC655354 KSG655354 KIK655354 JYO655354 JOS655354 JEW655354 IVA655354 ILE655354 IBI655354 HRM655354 HHQ655354 GXU655354 GNY655354 GEC655354 FUG655354 FKK655354 FAO655354 EQS655354 EGW655354 DXA655354 DNE655354 DDI655354 CTM655354 CJQ655354 BZU655354 BPY655354 BGC655354 AWG655354 AMK655354 ACO655354 SS655354 IW655354 A655354 WVI589818 WLM589818 WBQ589818 VRU589818 VHY589818 UYC589818 UOG589818 UEK589818 TUO589818 TKS589818 TAW589818 SRA589818 SHE589818 RXI589818 RNM589818 RDQ589818 QTU589818 QJY589818 QAC589818 PQG589818 PGK589818 OWO589818 OMS589818 OCW589818 NTA589818 NJE589818 MZI589818 MPM589818 MFQ589818 LVU589818 LLY589818 LCC589818 KSG589818 KIK589818 JYO589818 JOS589818 JEW589818 IVA589818 ILE589818 IBI589818 HRM589818 HHQ589818 GXU589818 GNY589818 GEC589818 FUG589818 FKK589818 FAO589818 EQS589818 EGW589818 DXA589818 DNE589818 DDI589818 CTM589818 CJQ589818 BZU589818 BPY589818 BGC589818 AWG589818 AMK589818 ACO589818 SS589818 IW589818 A589818 WVI524282 WLM524282 WBQ524282 VRU524282 VHY524282 UYC524282 UOG524282 UEK524282 TUO524282 TKS524282 TAW524282 SRA524282 SHE524282 RXI524282 RNM524282 RDQ524282 QTU524282 QJY524282 QAC524282 PQG524282 PGK524282 OWO524282 OMS524282 OCW524282 NTA524282 NJE524282 MZI524282 MPM524282 MFQ524282 LVU524282 LLY524282 LCC524282 KSG524282 KIK524282 JYO524282 JOS524282 JEW524282 IVA524282 ILE524282 IBI524282 HRM524282 HHQ524282 GXU524282 GNY524282 GEC524282 FUG524282 FKK524282 FAO524282 EQS524282 EGW524282 DXA524282 DNE524282 DDI524282 CTM524282 CJQ524282 BZU524282 BPY524282 BGC524282 AWG524282 AMK524282 ACO524282 SS524282 IW524282 A524282 WVI458746 WLM458746 WBQ458746 VRU458746 VHY458746 UYC458746 UOG458746 UEK458746 TUO458746 TKS458746 TAW458746 SRA458746 SHE458746 RXI458746 RNM458746 RDQ458746 QTU458746 QJY458746 QAC458746 PQG458746 PGK458746 OWO458746 OMS458746 OCW458746 NTA458746 NJE458746 MZI458746 MPM458746 MFQ458746 LVU458746 LLY458746 LCC458746 KSG458746 KIK458746 JYO458746 JOS458746 JEW458746 IVA458746 ILE458746 IBI458746 HRM458746 HHQ458746 GXU458746 GNY458746 GEC458746 FUG458746 FKK458746 FAO458746 EQS458746 EGW458746 DXA458746 DNE458746 DDI458746 CTM458746 CJQ458746 BZU458746 BPY458746 BGC458746 AWG458746 AMK458746 ACO458746 SS458746 IW458746 A458746 WVI393210 WLM393210 WBQ393210 VRU393210 VHY393210 UYC393210 UOG393210 UEK393210 TUO393210 TKS393210 TAW393210 SRA393210 SHE393210 RXI393210 RNM393210 RDQ393210 QTU393210 QJY393210 QAC393210 PQG393210 PGK393210 OWO393210 OMS393210 OCW393210 NTA393210 NJE393210 MZI393210 MPM393210 MFQ393210 LVU393210 LLY393210 LCC393210 KSG393210 KIK393210 JYO393210 JOS393210 JEW393210 IVA393210 ILE393210 IBI393210 HRM393210 HHQ393210 GXU393210 GNY393210 GEC393210 FUG393210 FKK393210 FAO393210 EQS393210 EGW393210 DXA393210 DNE393210 DDI393210 CTM393210 CJQ393210 BZU393210 BPY393210 BGC393210 AWG393210 AMK393210 ACO393210 SS393210 IW393210 A393210 WVI327674 WLM327674 WBQ327674 VRU327674 VHY327674 UYC327674 UOG327674 UEK327674 TUO327674 TKS327674 TAW327674 SRA327674 SHE327674 RXI327674 RNM327674 RDQ327674 QTU327674 QJY327674 QAC327674 PQG327674 PGK327674 OWO327674 OMS327674 OCW327674 NTA327674 NJE327674 MZI327674 MPM327674 MFQ327674 LVU327674 LLY327674 LCC327674 KSG327674 KIK327674 JYO327674 JOS327674 JEW327674 IVA327674 ILE327674 IBI327674 HRM327674 HHQ327674 GXU327674 GNY327674 GEC327674 FUG327674 FKK327674 FAO327674 EQS327674 EGW327674 DXA327674 DNE327674 DDI327674 CTM327674 CJQ327674 BZU327674 BPY327674 BGC327674 AWG327674 AMK327674 ACO327674 SS327674 IW327674 A327674 WVI262138 WLM262138 WBQ262138 VRU262138 VHY262138 UYC262138 UOG262138 UEK262138 TUO262138 TKS262138 TAW262138 SRA262138 SHE262138 RXI262138 RNM262138 RDQ262138 QTU262138 QJY262138 QAC262138 PQG262138 PGK262138 OWO262138 OMS262138 OCW262138 NTA262138 NJE262138 MZI262138 MPM262138 MFQ262138 LVU262138 LLY262138 LCC262138 KSG262138 KIK262138 JYO262138 JOS262138 JEW262138 IVA262138 ILE262138 IBI262138 HRM262138 HHQ262138 GXU262138 GNY262138 GEC262138 FUG262138 FKK262138 FAO262138 EQS262138 EGW262138 DXA262138 DNE262138 DDI262138 CTM262138 CJQ262138 BZU262138 BPY262138 BGC262138 AWG262138 AMK262138 ACO262138 SS262138 IW262138 A262138 WVI196602 WLM196602 WBQ196602 VRU196602 VHY196602 UYC196602 UOG196602 UEK196602 TUO196602 TKS196602 TAW196602 SRA196602 SHE196602 RXI196602 RNM196602 RDQ196602 QTU196602 QJY196602 QAC196602 PQG196602 PGK196602 OWO196602 OMS196602 OCW196602 NTA196602 NJE196602 MZI196602 MPM196602 MFQ196602 LVU196602 LLY196602 LCC196602 KSG196602 KIK196602 JYO196602 JOS196602 JEW196602 IVA196602 ILE196602 IBI196602 HRM196602 HHQ196602 GXU196602 GNY196602 GEC196602 FUG196602 FKK196602 FAO196602 EQS196602 EGW196602 DXA196602 DNE196602 DDI196602 CTM196602 CJQ196602 BZU196602 BPY196602 BGC196602 AWG196602 AMK196602 ACO196602 SS196602 IW196602 A196602 WVI131066 WLM131066 WBQ131066 VRU131066 VHY131066 UYC131066 UOG131066 UEK131066 TUO131066 TKS131066 TAW131066 SRA131066 SHE131066 RXI131066 RNM131066 RDQ131066 QTU131066 QJY131066 QAC131066 PQG131066 PGK131066 OWO131066 OMS131066 OCW131066 NTA131066 NJE131066 MZI131066 MPM131066 MFQ131066 LVU131066 LLY131066 LCC131066 KSG131066 KIK131066 JYO131066 JOS131066 JEW131066 IVA131066 ILE131066 IBI131066 HRM131066 HHQ131066 GXU131066 GNY131066 GEC131066 FUG131066 FKK131066 FAO131066 EQS131066 EGW131066 DXA131066 DNE131066 DDI131066 CTM131066 CJQ131066 BZU131066 BPY131066 BGC131066 AWG131066 AMK131066 ACO131066 SS131066 IW131066 A131066 WVI65530 WLM65530 WBQ65530 VRU65530 VHY65530 UYC65530 UOG65530 UEK65530 TUO65530 TKS65530 TAW65530 SRA65530 SHE65530 RXI65530 RNM65530 RDQ65530 QTU65530 QJY65530 QAC65530 PQG65530 PGK65530 OWO65530 OMS65530 OCW65530 NTA65530 NJE65530 MZI65530 MPM65530 MFQ65530 LVU65530 LLY65530 LCC65530 KSG65530 KIK65530 JYO65530 JOS65530 JEW65530 IVA65530 ILE65530 IBI65530 HRM65530 HHQ65530 GXU65530 GNY65530 GEC65530 FUG65530 FKK65530 FAO65530 EQS65530 EGW65530 DXA65530 DNE65530 DDI65530 CTM65530 CJQ65530 BZU65530 BPY65530 BGC65530 AWG65530 AMK65530 ACO65530 SS65530 IW65530 A65530 WVI3 WLM3 WBQ3 VRU3 VHY3 UYC3 UOG3 UEK3 TUO3 TKS3 TAW3 SRA3 SHE3 RXI3 RNM3 RDQ3 QTU3 QJY3 QAC3 PQG3 PGK3 OWO3 OMS3 OCW3 NTA3 NJE3 MZI3 MPM3 MFQ3 LVU3 LLY3 LCC3 KSG3 KIK3 JYO3 JOS3 JEW3 IVA3 ILE3 IBI3 HRM3 HHQ3 GXU3 GNY3 GEC3 FUG3 FKK3 FAO3 EQS3 EGW3 DXA3 DNE3 DDI3 CTM3 CJQ3 BZU3 BPY3 BGC3 AWG3 AMK3 ACO3 SS3" xr:uid="{00000000-0002-0000-0000-000003000000}">
      <formula1>Fruits</formula1>
    </dataValidation>
    <dataValidation type="list" allowBlank="1" showInputMessage="1" showErrorMessage="1" sqref="WBS983069 IY21 SU21 ACQ21 AMM21 AWI21 BGE21 BQA21 BZW21 CJS21 CTO21 DDK21 DNG21 DXC21 EGY21 EQU21 FAQ21 FKM21 FUI21 GEE21 GOA21 GXW21 HHS21 HRO21 IBK21 ILG21 IVC21 JEY21 JOU21 JYQ21 KIM21 KSI21 LCE21 LMA21 LVW21 MFS21 MPO21 MZK21 NJG21 NTC21 OCY21 OMU21 OWQ21 PGM21 PQI21 QAE21 QKA21 QTW21 RDS21 RNO21 RXK21 SHG21 SRC21 TAY21 TKU21 TUQ21 UEM21 UOI21 UYE21 VIA21 VRW21 WBS21 WLO21 WVK21 C65557 IY65557 SU65557 ACQ65557 AMM65557 AWI65557 BGE65557 BQA65557 BZW65557 CJS65557 CTO65557 DDK65557 DNG65557 DXC65557 EGY65557 EQU65557 FAQ65557 FKM65557 FUI65557 GEE65557 GOA65557 GXW65557 HHS65557 HRO65557 IBK65557 ILG65557 IVC65557 JEY65557 JOU65557 JYQ65557 KIM65557 KSI65557 LCE65557 LMA65557 LVW65557 MFS65557 MPO65557 MZK65557 NJG65557 NTC65557 OCY65557 OMU65557 OWQ65557 PGM65557 PQI65557 QAE65557 QKA65557 QTW65557 RDS65557 RNO65557 RXK65557 SHG65557 SRC65557 TAY65557 TKU65557 TUQ65557 UEM65557 UOI65557 UYE65557 VIA65557 VRW65557 WBS65557 WLO65557 WVK65557 C131093 IY131093 SU131093 ACQ131093 AMM131093 AWI131093 BGE131093 BQA131093 BZW131093 CJS131093 CTO131093 DDK131093 DNG131093 DXC131093 EGY131093 EQU131093 FAQ131093 FKM131093 FUI131093 GEE131093 GOA131093 GXW131093 HHS131093 HRO131093 IBK131093 ILG131093 IVC131093 JEY131093 JOU131093 JYQ131093 KIM131093 KSI131093 LCE131093 LMA131093 LVW131093 MFS131093 MPO131093 MZK131093 NJG131093 NTC131093 OCY131093 OMU131093 OWQ131093 PGM131093 PQI131093 QAE131093 QKA131093 QTW131093 RDS131093 RNO131093 RXK131093 SHG131093 SRC131093 TAY131093 TKU131093 TUQ131093 UEM131093 UOI131093 UYE131093 VIA131093 VRW131093 WBS131093 WLO131093 WVK131093 C196629 IY196629 SU196629 ACQ196629 AMM196629 AWI196629 BGE196629 BQA196629 BZW196629 CJS196629 CTO196629 DDK196629 DNG196629 DXC196629 EGY196629 EQU196629 FAQ196629 FKM196629 FUI196629 GEE196629 GOA196629 GXW196629 HHS196629 HRO196629 IBK196629 ILG196629 IVC196629 JEY196629 JOU196629 JYQ196629 KIM196629 KSI196629 LCE196629 LMA196629 LVW196629 MFS196629 MPO196629 MZK196629 NJG196629 NTC196629 OCY196629 OMU196629 OWQ196629 PGM196629 PQI196629 QAE196629 QKA196629 QTW196629 RDS196629 RNO196629 RXK196629 SHG196629 SRC196629 TAY196629 TKU196629 TUQ196629 UEM196629 UOI196629 UYE196629 VIA196629 VRW196629 WBS196629 WLO196629 WVK196629 C262165 IY262165 SU262165 ACQ262165 AMM262165 AWI262165 BGE262165 BQA262165 BZW262165 CJS262165 CTO262165 DDK262165 DNG262165 DXC262165 EGY262165 EQU262165 FAQ262165 FKM262165 FUI262165 GEE262165 GOA262165 GXW262165 HHS262165 HRO262165 IBK262165 ILG262165 IVC262165 JEY262165 JOU262165 JYQ262165 KIM262165 KSI262165 LCE262165 LMA262165 LVW262165 MFS262165 MPO262165 MZK262165 NJG262165 NTC262165 OCY262165 OMU262165 OWQ262165 PGM262165 PQI262165 QAE262165 QKA262165 QTW262165 RDS262165 RNO262165 RXK262165 SHG262165 SRC262165 TAY262165 TKU262165 TUQ262165 UEM262165 UOI262165 UYE262165 VIA262165 VRW262165 WBS262165 WLO262165 WVK262165 C327701 IY327701 SU327701 ACQ327701 AMM327701 AWI327701 BGE327701 BQA327701 BZW327701 CJS327701 CTO327701 DDK327701 DNG327701 DXC327701 EGY327701 EQU327701 FAQ327701 FKM327701 FUI327701 GEE327701 GOA327701 GXW327701 HHS327701 HRO327701 IBK327701 ILG327701 IVC327701 JEY327701 JOU327701 JYQ327701 KIM327701 KSI327701 LCE327701 LMA327701 LVW327701 MFS327701 MPO327701 MZK327701 NJG327701 NTC327701 OCY327701 OMU327701 OWQ327701 PGM327701 PQI327701 QAE327701 QKA327701 QTW327701 RDS327701 RNO327701 RXK327701 SHG327701 SRC327701 TAY327701 TKU327701 TUQ327701 UEM327701 UOI327701 UYE327701 VIA327701 VRW327701 WBS327701 WLO327701 WVK327701 C393237 IY393237 SU393237 ACQ393237 AMM393237 AWI393237 BGE393237 BQA393237 BZW393237 CJS393237 CTO393237 DDK393237 DNG393237 DXC393237 EGY393237 EQU393237 FAQ393237 FKM393237 FUI393237 GEE393237 GOA393237 GXW393237 HHS393237 HRO393237 IBK393237 ILG393237 IVC393237 JEY393237 JOU393237 JYQ393237 KIM393237 KSI393237 LCE393237 LMA393237 LVW393237 MFS393237 MPO393237 MZK393237 NJG393237 NTC393237 OCY393237 OMU393237 OWQ393237 PGM393237 PQI393237 QAE393237 QKA393237 QTW393237 RDS393237 RNO393237 RXK393237 SHG393237 SRC393237 TAY393237 TKU393237 TUQ393237 UEM393237 UOI393237 UYE393237 VIA393237 VRW393237 WBS393237 WLO393237 WVK393237 C458773 IY458773 SU458773 ACQ458773 AMM458773 AWI458773 BGE458773 BQA458773 BZW458773 CJS458773 CTO458773 DDK458773 DNG458773 DXC458773 EGY458773 EQU458773 FAQ458773 FKM458773 FUI458773 GEE458773 GOA458773 GXW458773 HHS458773 HRO458773 IBK458773 ILG458773 IVC458773 JEY458773 JOU458773 JYQ458773 KIM458773 KSI458773 LCE458773 LMA458773 LVW458773 MFS458773 MPO458773 MZK458773 NJG458773 NTC458773 OCY458773 OMU458773 OWQ458773 PGM458773 PQI458773 QAE458773 QKA458773 QTW458773 RDS458773 RNO458773 RXK458773 SHG458773 SRC458773 TAY458773 TKU458773 TUQ458773 UEM458773 UOI458773 UYE458773 VIA458773 VRW458773 WBS458773 WLO458773 WVK458773 C524309 IY524309 SU524309 ACQ524309 AMM524309 AWI524309 BGE524309 BQA524309 BZW524309 CJS524309 CTO524309 DDK524309 DNG524309 DXC524309 EGY524309 EQU524309 FAQ524309 FKM524309 FUI524309 GEE524309 GOA524309 GXW524309 HHS524309 HRO524309 IBK524309 ILG524309 IVC524309 JEY524309 JOU524309 JYQ524309 KIM524309 KSI524309 LCE524309 LMA524309 LVW524309 MFS524309 MPO524309 MZK524309 NJG524309 NTC524309 OCY524309 OMU524309 OWQ524309 PGM524309 PQI524309 QAE524309 QKA524309 QTW524309 RDS524309 RNO524309 RXK524309 SHG524309 SRC524309 TAY524309 TKU524309 TUQ524309 UEM524309 UOI524309 UYE524309 VIA524309 VRW524309 WBS524309 WLO524309 WVK524309 C589845 IY589845 SU589845 ACQ589845 AMM589845 AWI589845 BGE589845 BQA589845 BZW589845 CJS589845 CTO589845 DDK589845 DNG589845 DXC589845 EGY589845 EQU589845 FAQ589845 FKM589845 FUI589845 GEE589845 GOA589845 GXW589845 HHS589845 HRO589845 IBK589845 ILG589845 IVC589845 JEY589845 JOU589845 JYQ589845 KIM589845 KSI589845 LCE589845 LMA589845 LVW589845 MFS589845 MPO589845 MZK589845 NJG589845 NTC589845 OCY589845 OMU589845 OWQ589845 PGM589845 PQI589845 QAE589845 QKA589845 QTW589845 RDS589845 RNO589845 RXK589845 SHG589845 SRC589845 TAY589845 TKU589845 TUQ589845 UEM589845 UOI589845 UYE589845 VIA589845 VRW589845 WBS589845 WLO589845 WVK589845 C655381 IY655381 SU655381 ACQ655381 AMM655381 AWI655381 BGE655381 BQA655381 BZW655381 CJS655381 CTO655381 DDK655381 DNG655381 DXC655381 EGY655381 EQU655381 FAQ655381 FKM655381 FUI655381 GEE655381 GOA655381 GXW655381 HHS655381 HRO655381 IBK655381 ILG655381 IVC655381 JEY655381 JOU655381 JYQ655381 KIM655381 KSI655381 LCE655381 LMA655381 LVW655381 MFS655381 MPO655381 MZK655381 NJG655381 NTC655381 OCY655381 OMU655381 OWQ655381 PGM655381 PQI655381 QAE655381 QKA655381 QTW655381 RDS655381 RNO655381 RXK655381 SHG655381 SRC655381 TAY655381 TKU655381 TUQ655381 UEM655381 UOI655381 UYE655381 VIA655381 VRW655381 WBS655381 WLO655381 WVK655381 C720917 IY720917 SU720917 ACQ720917 AMM720917 AWI720917 BGE720917 BQA720917 BZW720917 CJS720917 CTO720917 DDK720917 DNG720917 DXC720917 EGY720917 EQU720917 FAQ720917 FKM720917 FUI720917 GEE720917 GOA720917 GXW720917 HHS720917 HRO720917 IBK720917 ILG720917 IVC720917 JEY720917 JOU720917 JYQ720917 KIM720917 KSI720917 LCE720917 LMA720917 LVW720917 MFS720917 MPO720917 MZK720917 NJG720917 NTC720917 OCY720917 OMU720917 OWQ720917 PGM720917 PQI720917 QAE720917 QKA720917 QTW720917 RDS720917 RNO720917 RXK720917 SHG720917 SRC720917 TAY720917 TKU720917 TUQ720917 UEM720917 UOI720917 UYE720917 VIA720917 VRW720917 WBS720917 WLO720917 WVK720917 C786453 IY786453 SU786453 ACQ786453 AMM786453 AWI786453 BGE786453 BQA786453 BZW786453 CJS786453 CTO786453 DDK786453 DNG786453 DXC786453 EGY786453 EQU786453 FAQ786453 FKM786453 FUI786453 GEE786453 GOA786453 GXW786453 HHS786453 HRO786453 IBK786453 ILG786453 IVC786453 JEY786453 JOU786453 JYQ786453 KIM786453 KSI786453 LCE786453 LMA786453 LVW786453 MFS786453 MPO786453 MZK786453 NJG786453 NTC786453 OCY786453 OMU786453 OWQ786453 PGM786453 PQI786453 QAE786453 QKA786453 QTW786453 RDS786453 RNO786453 RXK786453 SHG786453 SRC786453 TAY786453 TKU786453 TUQ786453 UEM786453 UOI786453 UYE786453 VIA786453 VRW786453 WBS786453 WLO786453 WVK786453 C851989 IY851989 SU851989 ACQ851989 AMM851989 AWI851989 BGE851989 BQA851989 BZW851989 CJS851989 CTO851989 DDK851989 DNG851989 DXC851989 EGY851989 EQU851989 FAQ851989 FKM851989 FUI851989 GEE851989 GOA851989 GXW851989 HHS851989 HRO851989 IBK851989 ILG851989 IVC851989 JEY851989 JOU851989 JYQ851989 KIM851989 KSI851989 LCE851989 LMA851989 LVW851989 MFS851989 MPO851989 MZK851989 NJG851989 NTC851989 OCY851989 OMU851989 OWQ851989 PGM851989 PQI851989 QAE851989 QKA851989 QTW851989 RDS851989 RNO851989 RXK851989 SHG851989 SRC851989 TAY851989 TKU851989 TUQ851989 UEM851989 UOI851989 UYE851989 VIA851989 VRW851989 WBS851989 WLO851989 WVK851989 C917525 IY917525 SU917525 ACQ917525 AMM917525 AWI917525 BGE917525 BQA917525 BZW917525 CJS917525 CTO917525 DDK917525 DNG917525 DXC917525 EGY917525 EQU917525 FAQ917525 FKM917525 FUI917525 GEE917525 GOA917525 GXW917525 HHS917525 HRO917525 IBK917525 ILG917525 IVC917525 JEY917525 JOU917525 JYQ917525 KIM917525 KSI917525 LCE917525 LMA917525 LVW917525 MFS917525 MPO917525 MZK917525 NJG917525 NTC917525 OCY917525 OMU917525 OWQ917525 PGM917525 PQI917525 QAE917525 QKA917525 QTW917525 RDS917525 RNO917525 RXK917525 SHG917525 SRC917525 TAY917525 TKU917525 TUQ917525 UEM917525 UOI917525 UYE917525 VIA917525 VRW917525 WBS917525 WLO917525 WVK917525 C983061 IY983061 SU983061 ACQ983061 AMM983061 AWI983061 BGE983061 BQA983061 BZW983061 CJS983061 CTO983061 DDK983061 DNG983061 DXC983061 EGY983061 EQU983061 FAQ983061 FKM983061 FUI983061 GEE983061 GOA983061 GXW983061 HHS983061 HRO983061 IBK983061 ILG983061 IVC983061 JEY983061 JOU983061 JYQ983061 KIM983061 KSI983061 LCE983061 LMA983061 LVW983061 MFS983061 MPO983061 MZK983061 NJG983061 NTC983061 OCY983061 OMU983061 OWQ983061 PGM983061 PQI983061 QAE983061 QKA983061 QTW983061 RDS983061 RNO983061 RXK983061 SHG983061 SRC983061 TAY983061 TKU983061 TUQ983061 UEM983061 UOI983061 UYE983061 VIA983061 VRW983061 WBS983061 WLO983061 WVK983061 WLO983069 IY23 SU23 ACQ23 AMM23 AWI23 BGE23 BQA23 BZW23 CJS23 CTO23 DDK23 DNG23 DXC23 EGY23 EQU23 FAQ23 FKM23 FUI23 GEE23 GOA23 GXW23 HHS23 HRO23 IBK23 ILG23 IVC23 JEY23 JOU23 JYQ23 KIM23 KSI23 LCE23 LMA23 LVW23 MFS23 MPO23 MZK23 NJG23 NTC23 OCY23 OMU23 OWQ23 PGM23 PQI23 QAE23 QKA23 QTW23 RDS23 RNO23 RXK23 SHG23 SRC23 TAY23 TKU23 TUQ23 UEM23 UOI23 UYE23 VIA23 VRW23 WBS23 WLO23 WVK23 C65559 IY65559 SU65559 ACQ65559 AMM65559 AWI65559 BGE65559 BQA65559 BZW65559 CJS65559 CTO65559 DDK65559 DNG65559 DXC65559 EGY65559 EQU65559 FAQ65559 FKM65559 FUI65559 GEE65559 GOA65559 GXW65559 HHS65559 HRO65559 IBK65559 ILG65559 IVC65559 JEY65559 JOU65559 JYQ65559 KIM65559 KSI65559 LCE65559 LMA65559 LVW65559 MFS65559 MPO65559 MZK65559 NJG65559 NTC65559 OCY65559 OMU65559 OWQ65559 PGM65559 PQI65559 QAE65559 QKA65559 QTW65559 RDS65559 RNO65559 RXK65559 SHG65559 SRC65559 TAY65559 TKU65559 TUQ65559 UEM65559 UOI65559 UYE65559 VIA65559 VRW65559 WBS65559 WLO65559 WVK65559 C131095 IY131095 SU131095 ACQ131095 AMM131095 AWI131095 BGE131095 BQA131095 BZW131095 CJS131095 CTO131095 DDK131095 DNG131095 DXC131095 EGY131095 EQU131095 FAQ131095 FKM131095 FUI131095 GEE131095 GOA131095 GXW131095 HHS131095 HRO131095 IBK131095 ILG131095 IVC131095 JEY131095 JOU131095 JYQ131095 KIM131095 KSI131095 LCE131095 LMA131095 LVW131095 MFS131095 MPO131095 MZK131095 NJG131095 NTC131095 OCY131095 OMU131095 OWQ131095 PGM131095 PQI131095 QAE131095 QKA131095 QTW131095 RDS131095 RNO131095 RXK131095 SHG131095 SRC131095 TAY131095 TKU131095 TUQ131095 UEM131095 UOI131095 UYE131095 VIA131095 VRW131095 WBS131095 WLO131095 WVK131095 C196631 IY196631 SU196631 ACQ196631 AMM196631 AWI196631 BGE196631 BQA196631 BZW196631 CJS196631 CTO196631 DDK196631 DNG196631 DXC196631 EGY196631 EQU196631 FAQ196631 FKM196631 FUI196631 GEE196631 GOA196631 GXW196631 HHS196631 HRO196631 IBK196631 ILG196631 IVC196631 JEY196631 JOU196631 JYQ196631 KIM196631 KSI196631 LCE196631 LMA196631 LVW196631 MFS196631 MPO196631 MZK196631 NJG196631 NTC196631 OCY196631 OMU196631 OWQ196631 PGM196631 PQI196631 QAE196631 QKA196631 QTW196631 RDS196631 RNO196631 RXK196631 SHG196631 SRC196631 TAY196631 TKU196631 TUQ196631 UEM196631 UOI196631 UYE196631 VIA196631 VRW196631 WBS196631 WLO196631 WVK196631 C262167 IY262167 SU262167 ACQ262167 AMM262167 AWI262167 BGE262167 BQA262167 BZW262167 CJS262167 CTO262167 DDK262167 DNG262167 DXC262167 EGY262167 EQU262167 FAQ262167 FKM262167 FUI262167 GEE262167 GOA262167 GXW262167 HHS262167 HRO262167 IBK262167 ILG262167 IVC262167 JEY262167 JOU262167 JYQ262167 KIM262167 KSI262167 LCE262167 LMA262167 LVW262167 MFS262167 MPO262167 MZK262167 NJG262167 NTC262167 OCY262167 OMU262167 OWQ262167 PGM262167 PQI262167 QAE262167 QKA262167 QTW262167 RDS262167 RNO262167 RXK262167 SHG262167 SRC262167 TAY262167 TKU262167 TUQ262167 UEM262167 UOI262167 UYE262167 VIA262167 VRW262167 WBS262167 WLO262167 WVK262167 C327703 IY327703 SU327703 ACQ327703 AMM327703 AWI327703 BGE327703 BQA327703 BZW327703 CJS327703 CTO327703 DDK327703 DNG327703 DXC327703 EGY327703 EQU327703 FAQ327703 FKM327703 FUI327703 GEE327703 GOA327703 GXW327703 HHS327703 HRO327703 IBK327703 ILG327703 IVC327703 JEY327703 JOU327703 JYQ327703 KIM327703 KSI327703 LCE327703 LMA327703 LVW327703 MFS327703 MPO327703 MZK327703 NJG327703 NTC327703 OCY327703 OMU327703 OWQ327703 PGM327703 PQI327703 QAE327703 QKA327703 QTW327703 RDS327703 RNO327703 RXK327703 SHG327703 SRC327703 TAY327703 TKU327703 TUQ327703 UEM327703 UOI327703 UYE327703 VIA327703 VRW327703 WBS327703 WLO327703 WVK327703 C393239 IY393239 SU393239 ACQ393239 AMM393239 AWI393239 BGE393239 BQA393239 BZW393239 CJS393239 CTO393239 DDK393239 DNG393239 DXC393239 EGY393239 EQU393239 FAQ393239 FKM393239 FUI393239 GEE393239 GOA393239 GXW393239 HHS393239 HRO393239 IBK393239 ILG393239 IVC393239 JEY393239 JOU393239 JYQ393239 KIM393239 KSI393239 LCE393239 LMA393239 LVW393239 MFS393239 MPO393239 MZK393239 NJG393239 NTC393239 OCY393239 OMU393239 OWQ393239 PGM393239 PQI393239 QAE393239 QKA393239 QTW393239 RDS393239 RNO393239 RXK393239 SHG393239 SRC393239 TAY393239 TKU393239 TUQ393239 UEM393239 UOI393239 UYE393239 VIA393239 VRW393239 WBS393239 WLO393239 WVK393239 C458775 IY458775 SU458775 ACQ458775 AMM458775 AWI458775 BGE458775 BQA458775 BZW458775 CJS458775 CTO458775 DDK458775 DNG458775 DXC458775 EGY458775 EQU458775 FAQ458775 FKM458775 FUI458775 GEE458775 GOA458775 GXW458775 HHS458775 HRO458775 IBK458775 ILG458775 IVC458775 JEY458775 JOU458775 JYQ458775 KIM458775 KSI458775 LCE458775 LMA458775 LVW458775 MFS458775 MPO458775 MZK458775 NJG458775 NTC458775 OCY458775 OMU458775 OWQ458775 PGM458775 PQI458775 QAE458775 QKA458775 QTW458775 RDS458775 RNO458775 RXK458775 SHG458775 SRC458775 TAY458775 TKU458775 TUQ458775 UEM458775 UOI458775 UYE458775 VIA458775 VRW458775 WBS458775 WLO458775 WVK458775 C524311 IY524311 SU524311 ACQ524311 AMM524311 AWI524311 BGE524311 BQA524311 BZW524311 CJS524311 CTO524311 DDK524311 DNG524311 DXC524311 EGY524311 EQU524311 FAQ524311 FKM524311 FUI524311 GEE524311 GOA524311 GXW524311 HHS524311 HRO524311 IBK524311 ILG524311 IVC524311 JEY524311 JOU524311 JYQ524311 KIM524311 KSI524311 LCE524311 LMA524311 LVW524311 MFS524311 MPO524311 MZK524311 NJG524311 NTC524311 OCY524311 OMU524311 OWQ524311 PGM524311 PQI524311 QAE524311 QKA524311 QTW524311 RDS524311 RNO524311 RXK524311 SHG524311 SRC524311 TAY524311 TKU524311 TUQ524311 UEM524311 UOI524311 UYE524311 VIA524311 VRW524311 WBS524311 WLO524311 WVK524311 C589847 IY589847 SU589847 ACQ589847 AMM589847 AWI589847 BGE589847 BQA589847 BZW589847 CJS589847 CTO589847 DDK589847 DNG589847 DXC589847 EGY589847 EQU589847 FAQ589847 FKM589847 FUI589847 GEE589847 GOA589847 GXW589847 HHS589847 HRO589847 IBK589847 ILG589847 IVC589847 JEY589847 JOU589847 JYQ589847 KIM589847 KSI589847 LCE589847 LMA589847 LVW589847 MFS589847 MPO589847 MZK589847 NJG589847 NTC589847 OCY589847 OMU589847 OWQ589847 PGM589847 PQI589847 QAE589847 QKA589847 QTW589847 RDS589847 RNO589847 RXK589847 SHG589847 SRC589847 TAY589847 TKU589847 TUQ589847 UEM589847 UOI589847 UYE589847 VIA589847 VRW589847 WBS589847 WLO589847 WVK589847 C655383 IY655383 SU655383 ACQ655383 AMM655383 AWI655383 BGE655383 BQA655383 BZW655383 CJS655383 CTO655383 DDK655383 DNG655383 DXC655383 EGY655383 EQU655383 FAQ655383 FKM655383 FUI655383 GEE655383 GOA655383 GXW655383 HHS655383 HRO655383 IBK655383 ILG655383 IVC655383 JEY655383 JOU655383 JYQ655383 KIM655383 KSI655383 LCE655383 LMA655383 LVW655383 MFS655383 MPO655383 MZK655383 NJG655383 NTC655383 OCY655383 OMU655383 OWQ655383 PGM655383 PQI655383 QAE655383 QKA655383 QTW655383 RDS655383 RNO655383 RXK655383 SHG655383 SRC655383 TAY655383 TKU655383 TUQ655383 UEM655383 UOI655383 UYE655383 VIA655383 VRW655383 WBS655383 WLO655383 WVK655383 C720919 IY720919 SU720919 ACQ720919 AMM720919 AWI720919 BGE720919 BQA720919 BZW720919 CJS720919 CTO720919 DDK720919 DNG720919 DXC720919 EGY720919 EQU720919 FAQ720919 FKM720919 FUI720919 GEE720919 GOA720919 GXW720919 HHS720919 HRO720919 IBK720919 ILG720919 IVC720919 JEY720919 JOU720919 JYQ720919 KIM720919 KSI720919 LCE720919 LMA720919 LVW720919 MFS720919 MPO720919 MZK720919 NJG720919 NTC720919 OCY720919 OMU720919 OWQ720919 PGM720919 PQI720919 QAE720919 QKA720919 QTW720919 RDS720919 RNO720919 RXK720919 SHG720919 SRC720919 TAY720919 TKU720919 TUQ720919 UEM720919 UOI720919 UYE720919 VIA720919 VRW720919 WBS720919 WLO720919 WVK720919 C786455 IY786455 SU786455 ACQ786455 AMM786455 AWI786455 BGE786455 BQA786455 BZW786455 CJS786455 CTO786455 DDK786455 DNG786455 DXC786455 EGY786455 EQU786455 FAQ786455 FKM786455 FUI786455 GEE786455 GOA786455 GXW786455 HHS786455 HRO786455 IBK786455 ILG786455 IVC786455 JEY786455 JOU786455 JYQ786455 KIM786455 KSI786455 LCE786455 LMA786455 LVW786455 MFS786455 MPO786455 MZK786455 NJG786455 NTC786455 OCY786455 OMU786455 OWQ786455 PGM786455 PQI786455 QAE786455 QKA786455 QTW786455 RDS786455 RNO786455 RXK786455 SHG786455 SRC786455 TAY786455 TKU786455 TUQ786455 UEM786455 UOI786455 UYE786455 VIA786455 VRW786455 WBS786455 WLO786455 WVK786455 C851991 IY851991 SU851991 ACQ851991 AMM851991 AWI851991 BGE851991 BQA851991 BZW851991 CJS851991 CTO851991 DDK851991 DNG851991 DXC851991 EGY851991 EQU851991 FAQ851991 FKM851991 FUI851991 GEE851991 GOA851991 GXW851991 HHS851991 HRO851991 IBK851991 ILG851991 IVC851991 JEY851991 JOU851991 JYQ851991 KIM851991 KSI851991 LCE851991 LMA851991 LVW851991 MFS851991 MPO851991 MZK851991 NJG851991 NTC851991 OCY851991 OMU851991 OWQ851991 PGM851991 PQI851991 QAE851991 QKA851991 QTW851991 RDS851991 RNO851991 RXK851991 SHG851991 SRC851991 TAY851991 TKU851991 TUQ851991 UEM851991 UOI851991 UYE851991 VIA851991 VRW851991 WBS851991 WLO851991 WVK851991 C917527 IY917527 SU917527 ACQ917527 AMM917527 AWI917527 BGE917527 BQA917527 BZW917527 CJS917527 CTO917527 DDK917527 DNG917527 DXC917527 EGY917527 EQU917527 FAQ917527 FKM917527 FUI917527 GEE917527 GOA917527 GXW917527 HHS917527 HRO917527 IBK917527 ILG917527 IVC917527 JEY917527 JOU917527 JYQ917527 KIM917527 KSI917527 LCE917527 LMA917527 LVW917527 MFS917527 MPO917527 MZK917527 NJG917527 NTC917527 OCY917527 OMU917527 OWQ917527 PGM917527 PQI917527 QAE917527 QKA917527 QTW917527 RDS917527 RNO917527 RXK917527 SHG917527 SRC917527 TAY917527 TKU917527 TUQ917527 UEM917527 UOI917527 UYE917527 VIA917527 VRW917527 WBS917527 WLO917527 WVK917527 C983063 IY983063 SU983063 ACQ983063 AMM983063 AWI983063 BGE983063 BQA983063 BZW983063 CJS983063 CTO983063 DDK983063 DNG983063 DXC983063 EGY983063 EQU983063 FAQ983063 FKM983063 FUI983063 GEE983063 GOA983063 GXW983063 HHS983063 HRO983063 IBK983063 ILG983063 IVC983063 JEY983063 JOU983063 JYQ983063 KIM983063 KSI983063 LCE983063 LMA983063 LVW983063 MFS983063 MPO983063 MZK983063 NJG983063 NTC983063 OCY983063 OMU983063 OWQ983063 PGM983063 PQI983063 QAE983063 QKA983063 QTW983063 RDS983063 RNO983063 RXK983063 SHG983063 SRC983063 TAY983063 TKU983063 TUQ983063 UEM983063 UOI983063 UYE983063 VIA983063 VRW983063 WBS983063 WLO983063 WVK983063 WVK983069 IY29 SU29 ACQ29 AMM29 AWI29 BGE29 BQA29 BZW29 CJS29 CTO29 DDK29 DNG29 DXC29 EGY29 EQU29 FAQ29 FKM29 FUI29 GEE29 GOA29 GXW29 HHS29 HRO29 IBK29 ILG29 IVC29 JEY29 JOU29 JYQ29 KIM29 KSI29 LCE29 LMA29 LVW29 MFS29 MPO29 MZK29 NJG29 NTC29 OCY29 OMU29 OWQ29 PGM29 PQI29 QAE29 QKA29 QTW29 RDS29 RNO29 RXK29 SHG29 SRC29 TAY29 TKU29 TUQ29 UEM29 UOI29 UYE29 VIA29 VRW29 WBS29 WLO29 WVK29 C65565 IY65565 SU65565 ACQ65565 AMM65565 AWI65565 BGE65565 BQA65565 BZW65565 CJS65565 CTO65565 DDK65565 DNG65565 DXC65565 EGY65565 EQU65565 FAQ65565 FKM65565 FUI65565 GEE65565 GOA65565 GXW65565 HHS65565 HRO65565 IBK65565 ILG65565 IVC65565 JEY65565 JOU65565 JYQ65565 KIM65565 KSI65565 LCE65565 LMA65565 LVW65565 MFS65565 MPO65565 MZK65565 NJG65565 NTC65565 OCY65565 OMU65565 OWQ65565 PGM65565 PQI65565 QAE65565 QKA65565 QTW65565 RDS65565 RNO65565 RXK65565 SHG65565 SRC65565 TAY65565 TKU65565 TUQ65565 UEM65565 UOI65565 UYE65565 VIA65565 VRW65565 WBS65565 WLO65565 WVK65565 C131101 IY131101 SU131101 ACQ131101 AMM131101 AWI131101 BGE131101 BQA131101 BZW131101 CJS131101 CTO131101 DDK131101 DNG131101 DXC131101 EGY131101 EQU131101 FAQ131101 FKM131101 FUI131101 GEE131101 GOA131101 GXW131101 HHS131101 HRO131101 IBK131101 ILG131101 IVC131101 JEY131101 JOU131101 JYQ131101 KIM131101 KSI131101 LCE131101 LMA131101 LVW131101 MFS131101 MPO131101 MZK131101 NJG131101 NTC131101 OCY131101 OMU131101 OWQ131101 PGM131101 PQI131101 QAE131101 QKA131101 QTW131101 RDS131101 RNO131101 RXK131101 SHG131101 SRC131101 TAY131101 TKU131101 TUQ131101 UEM131101 UOI131101 UYE131101 VIA131101 VRW131101 WBS131101 WLO131101 WVK131101 C196637 IY196637 SU196637 ACQ196637 AMM196637 AWI196637 BGE196637 BQA196637 BZW196637 CJS196637 CTO196637 DDK196637 DNG196637 DXC196637 EGY196637 EQU196637 FAQ196637 FKM196637 FUI196637 GEE196637 GOA196637 GXW196637 HHS196637 HRO196637 IBK196637 ILG196637 IVC196637 JEY196637 JOU196637 JYQ196637 KIM196637 KSI196637 LCE196637 LMA196637 LVW196637 MFS196637 MPO196637 MZK196637 NJG196637 NTC196637 OCY196637 OMU196637 OWQ196637 PGM196637 PQI196637 QAE196637 QKA196637 QTW196637 RDS196637 RNO196637 RXK196637 SHG196637 SRC196637 TAY196637 TKU196637 TUQ196637 UEM196637 UOI196637 UYE196637 VIA196637 VRW196637 WBS196637 WLO196637 WVK196637 C262173 IY262173 SU262173 ACQ262173 AMM262173 AWI262173 BGE262173 BQA262173 BZW262173 CJS262173 CTO262173 DDK262173 DNG262173 DXC262173 EGY262173 EQU262173 FAQ262173 FKM262173 FUI262173 GEE262173 GOA262173 GXW262173 HHS262173 HRO262173 IBK262173 ILG262173 IVC262173 JEY262173 JOU262173 JYQ262173 KIM262173 KSI262173 LCE262173 LMA262173 LVW262173 MFS262173 MPO262173 MZK262173 NJG262173 NTC262173 OCY262173 OMU262173 OWQ262173 PGM262173 PQI262173 QAE262173 QKA262173 QTW262173 RDS262173 RNO262173 RXK262173 SHG262173 SRC262173 TAY262173 TKU262173 TUQ262173 UEM262173 UOI262173 UYE262173 VIA262173 VRW262173 WBS262173 WLO262173 WVK262173 C327709 IY327709 SU327709 ACQ327709 AMM327709 AWI327709 BGE327709 BQA327709 BZW327709 CJS327709 CTO327709 DDK327709 DNG327709 DXC327709 EGY327709 EQU327709 FAQ327709 FKM327709 FUI327709 GEE327709 GOA327709 GXW327709 HHS327709 HRO327709 IBK327709 ILG327709 IVC327709 JEY327709 JOU327709 JYQ327709 KIM327709 KSI327709 LCE327709 LMA327709 LVW327709 MFS327709 MPO327709 MZK327709 NJG327709 NTC327709 OCY327709 OMU327709 OWQ327709 PGM327709 PQI327709 QAE327709 QKA327709 QTW327709 RDS327709 RNO327709 RXK327709 SHG327709 SRC327709 TAY327709 TKU327709 TUQ327709 UEM327709 UOI327709 UYE327709 VIA327709 VRW327709 WBS327709 WLO327709 WVK327709 C393245 IY393245 SU393245 ACQ393245 AMM393245 AWI393245 BGE393245 BQA393245 BZW393245 CJS393245 CTO393245 DDK393245 DNG393245 DXC393245 EGY393245 EQU393245 FAQ393245 FKM393245 FUI393245 GEE393245 GOA393245 GXW393245 HHS393245 HRO393245 IBK393245 ILG393245 IVC393245 JEY393245 JOU393245 JYQ393245 KIM393245 KSI393245 LCE393245 LMA393245 LVW393245 MFS393245 MPO393245 MZK393245 NJG393245 NTC393245 OCY393245 OMU393245 OWQ393245 PGM393245 PQI393245 QAE393245 QKA393245 QTW393245 RDS393245 RNO393245 RXK393245 SHG393245 SRC393245 TAY393245 TKU393245 TUQ393245 UEM393245 UOI393245 UYE393245 VIA393245 VRW393245 WBS393245 WLO393245 WVK393245 C458781 IY458781 SU458781 ACQ458781 AMM458781 AWI458781 BGE458781 BQA458781 BZW458781 CJS458781 CTO458781 DDK458781 DNG458781 DXC458781 EGY458781 EQU458781 FAQ458781 FKM458781 FUI458781 GEE458781 GOA458781 GXW458781 HHS458781 HRO458781 IBK458781 ILG458781 IVC458781 JEY458781 JOU458781 JYQ458781 KIM458781 KSI458781 LCE458781 LMA458781 LVW458781 MFS458781 MPO458781 MZK458781 NJG458781 NTC458781 OCY458781 OMU458781 OWQ458781 PGM458781 PQI458781 QAE458781 QKA458781 QTW458781 RDS458781 RNO458781 RXK458781 SHG458781 SRC458781 TAY458781 TKU458781 TUQ458781 UEM458781 UOI458781 UYE458781 VIA458781 VRW458781 WBS458781 WLO458781 WVK458781 C524317 IY524317 SU524317 ACQ524317 AMM524317 AWI524317 BGE524317 BQA524317 BZW524317 CJS524317 CTO524317 DDK524317 DNG524317 DXC524317 EGY524317 EQU524317 FAQ524317 FKM524317 FUI524317 GEE524317 GOA524317 GXW524317 HHS524317 HRO524317 IBK524317 ILG524317 IVC524317 JEY524317 JOU524317 JYQ524317 KIM524317 KSI524317 LCE524317 LMA524317 LVW524317 MFS524317 MPO524317 MZK524317 NJG524317 NTC524317 OCY524317 OMU524317 OWQ524317 PGM524317 PQI524317 QAE524317 QKA524317 QTW524317 RDS524317 RNO524317 RXK524317 SHG524317 SRC524317 TAY524317 TKU524317 TUQ524317 UEM524317 UOI524317 UYE524317 VIA524317 VRW524317 WBS524317 WLO524317 WVK524317 C589853 IY589853 SU589853 ACQ589853 AMM589853 AWI589853 BGE589853 BQA589853 BZW589853 CJS589853 CTO589853 DDK589853 DNG589853 DXC589853 EGY589853 EQU589853 FAQ589853 FKM589853 FUI589853 GEE589853 GOA589853 GXW589853 HHS589853 HRO589853 IBK589853 ILG589853 IVC589853 JEY589853 JOU589853 JYQ589853 KIM589853 KSI589853 LCE589853 LMA589853 LVW589853 MFS589853 MPO589853 MZK589853 NJG589853 NTC589853 OCY589853 OMU589853 OWQ589853 PGM589853 PQI589853 QAE589853 QKA589853 QTW589853 RDS589853 RNO589853 RXK589853 SHG589853 SRC589853 TAY589853 TKU589853 TUQ589853 UEM589853 UOI589853 UYE589853 VIA589853 VRW589853 WBS589853 WLO589853 WVK589853 C655389 IY655389 SU655389 ACQ655389 AMM655389 AWI655389 BGE655389 BQA655389 BZW655389 CJS655389 CTO655389 DDK655389 DNG655389 DXC655389 EGY655389 EQU655389 FAQ655389 FKM655389 FUI655389 GEE655389 GOA655389 GXW655389 HHS655389 HRO655389 IBK655389 ILG655389 IVC655389 JEY655389 JOU655389 JYQ655389 KIM655389 KSI655389 LCE655389 LMA655389 LVW655389 MFS655389 MPO655389 MZK655389 NJG655389 NTC655389 OCY655389 OMU655389 OWQ655389 PGM655389 PQI655389 QAE655389 QKA655389 QTW655389 RDS655389 RNO655389 RXK655389 SHG655389 SRC655389 TAY655389 TKU655389 TUQ655389 UEM655389 UOI655389 UYE655389 VIA655389 VRW655389 WBS655389 WLO655389 WVK655389 C720925 IY720925 SU720925 ACQ720925 AMM720925 AWI720925 BGE720925 BQA720925 BZW720925 CJS720925 CTO720925 DDK720925 DNG720925 DXC720925 EGY720925 EQU720925 FAQ720925 FKM720925 FUI720925 GEE720925 GOA720925 GXW720925 HHS720925 HRO720925 IBK720925 ILG720925 IVC720925 JEY720925 JOU720925 JYQ720925 KIM720925 KSI720925 LCE720925 LMA720925 LVW720925 MFS720925 MPO720925 MZK720925 NJG720925 NTC720925 OCY720925 OMU720925 OWQ720925 PGM720925 PQI720925 QAE720925 QKA720925 QTW720925 RDS720925 RNO720925 RXK720925 SHG720925 SRC720925 TAY720925 TKU720925 TUQ720925 UEM720925 UOI720925 UYE720925 VIA720925 VRW720925 WBS720925 WLO720925 WVK720925 C786461 IY786461 SU786461 ACQ786461 AMM786461 AWI786461 BGE786461 BQA786461 BZW786461 CJS786461 CTO786461 DDK786461 DNG786461 DXC786461 EGY786461 EQU786461 FAQ786461 FKM786461 FUI786461 GEE786461 GOA786461 GXW786461 HHS786461 HRO786461 IBK786461 ILG786461 IVC786461 JEY786461 JOU786461 JYQ786461 KIM786461 KSI786461 LCE786461 LMA786461 LVW786461 MFS786461 MPO786461 MZK786461 NJG786461 NTC786461 OCY786461 OMU786461 OWQ786461 PGM786461 PQI786461 QAE786461 QKA786461 QTW786461 RDS786461 RNO786461 RXK786461 SHG786461 SRC786461 TAY786461 TKU786461 TUQ786461 UEM786461 UOI786461 UYE786461 VIA786461 VRW786461 WBS786461 WLO786461 WVK786461 C851997 IY851997 SU851997 ACQ851997 AMM851997 AWI851997 BGE851997 BQA851997 BZW851997 CJS851997 CTO851997 DDK851997 DNG851997 DXC851997 EGY851997 EQU851997 FAQ851997 FKM851997 FUI851997 GEE851997 GOA851997 GXW851997 HHS851997 HRO851997 IBK851997 ILG851997 IVC851997 JEY851997 JOU851997 JYQ851997 KIM851997 KSI851997 LCE851997 LMA851997 LVW851997 MFS851997 MPO851997 MZK851997 NJG851997 NTC851997 OCY851997 OMU851997 OWQ851997 PGM851997 PQI851997 QAE851997 QKA851997 QTW851997 RDS851997 RNO851997 RXK851997 SHG851997 SRC851997 TAY851997 TKU851997 TUQ851997 UEM851997 UOI851997 UYE851997 VIA851997 VRW851997 WBS851997 WLO851997 WVK851997 C917533 IY917533 SU917533 ACQ917533 AMM917533 AWI917533 BGE917533 BQA917533 BZW917533 CJS917533 CTO917533 DDK917533 DNG917533 DXC917533 EGY917533 EQU917533 FAQ917533 FKM917533 FUI917533 GEE917533 GOA917533 GXW917533 HHS917533 HRO917533 IBK917533 ILG917533 IVC917533 JEY917533 JOU917533 JYQ917533 KIM917533 KSI917533 LCE917533 LMA917533 LVW917533 MFS917533 MPO917533 MZK917533 NJG917533 NTC917533 OCY917533 OMU917533 OWQ917533 PGM917533 PQI917533 QAE917533 QKA917533 QTW917533 RDS917533 RNO917533 RXK917533 SHG917533 SRC917533 TAY917533 TKU917533 TUQ917533 UEM917533 UOI917533 UYE917533 VIA917533 VRW917533 WBS917533 WLO917533 WVK917533 C983069 IY983069 SU983069 ACQ983069 AMM983069 AWI983069 BGE983069 BQA983069 BZW983069 CJS983069 CTO983069 DDK983069 DNG983069 DXC983069 EGY983069 EQU983069 FAQ983069 FKM983069 FUI983069 GEE983069 GOA983069 GXW983069 HHS983069 HRO983069 IBK983069 ILG983069 IVC983069 JEY983069 JOU983069 JYQ983069 KIM983069 KSI983069 LCE983069 LMA983069 LVW983069 MFS983069 MPO983069 MZK983069 NJG983069 NTC983069 OCY983069 OMU983069 OWQ983069 PGM983069 PQI983069 QAE983069 QKA983069 QTW983069 RDS983069 RNO983069 RXK983069 SHG983069 SRC983069 TAY983069 TKU983069 TUQ983069 UEM983069 UOI983069 UYE983069 VIA983069 VRW983069" xr:uid="{00000000-0002-0000-0000-000002000000}">
      <formula1>$H$3:$H$11</formula1>
    </dataValidation>
    <dataValidation type="list" allowBlank="1" showInputMessage="1" showErrorMessage="1" sqref="WVJ983034:WVJ983055 IX3:IX19 ST3:ST19 ACP3:ACP19 AML3:AML19 AWH3:AWH19 BGD3:BGD19 BPZ3:BPZ19 BZV3:BZV19 CJR3:CJR19 CTN3:CTN19 DDJ3:DDJ19 DNF3:DNF19 DXB3:DXB19 EGX3:EGX19 EQT3:EQT19 FAP3:FAP19 FKL3:FKL19 FUH3:FUH19 GED3:GED19 GNZ3:GNZ19 GXV3:GXV19 HHR3:HHR19 HRN3:HRN19 IBJ3:IBJ19 ILF3:ILF19 IVB3:IVB19 JEX3:JEX19 JOT3:JOT19 JYP3:JYP19 KIL3:KIL19 KSH3:KSH19 LCD3:LCD19 LLZ3:LLZ19 LVV3:LVV19 MFR3:MFR19 MPN3:MPN19 MZJ3:MZJ19 NJF3:NJF19 NTB3:NTB19 OCX3:OCX19 OMT3:OMT19 OWP3:OWP19 PGL3:PGL19 PQH3:PQH19 QAD3:QAD19 QJZ3:QJZ19 QTV3:QTV19 RDR3:RDR19 RNN3:RNN19 RXJ3:RXJ19 SHF3:SHF19 SRB3:SRB19 TAX3:TAX19 TKT3:TKT19 TUP3:TUP19 UEL3:UEL19 UOH3:UOH19 UYD3:UYD19 VHZ3:VHZ19 VRV3:VRV19 WBR3:WBR19 WLN3:WLN19 WVJ3:WVJ19 B65530:B65551 IX65530:IX65551 ST65530:ST65551 ACP65530:ACP65551 AML65530:AML65551 AWH65530:AWH65551 BGD65530:BGD65551 BPZ65530:BPZ65551 BZV65530:BZV65551 CJR65530:CJR65551 CTN65530:CTN65551 DDJ65530:DDJ65551 DNF65530:DNF65551 DXB65530:DXB65551 EGX65530:EGX65551 EQT65530:EQT65551 FAP65530:FAP65551 FKL65530:FKL65551 FUH65530:FUH65551 GED65530:GED65551 GNZ65530:GNZ65551 GXV65530:GXV65551 HHR65530:HHR65551 HRN65530:HRN65551 IBJ65530:IBJ65551 ILF65530:ILF65551 IVB65530:IVB65551 JEX65530:JEX65551 JOT65530:JOT65551 JYP65530:JYP65551 KIL65530:KIL65551 KSH65530:KSH65551 LCD65530:LCD65551 LLZ65530:LLZ65551 LVV65530:LVV65551 MFR65530:MFR65551 MPN65530:MPN65551 MZJ65530:MZJ65551 NJF65530:NJF65551 NTB65530:NTB65551 OCX65530:OCX65551 OMT65530:OMT65551 OWP65530:OWP65551 PGL65530:PGL65551 PQH65530:PQH65551 QAD65530:QAD65551 QJZ65530:QJZ65551 QTV65530:QTV65551 RDR65530:RDR65551 RNN65530:RNN65551 RXJ65530:RXJ65551 SHF65530:SHF65551 SRB65530:SRB65551 TAX65530:TAX65551 TKT65530:TKT65551 TUP65530:TUP65551 UEL65530:UEL65551 UOH65530:UOH65551 UYD65530:UYD65551 VHZ65530:VHZ65551 VRV65530:VRV65551 WBR65530:WBR65551 WLN65530:WLN65551 WVJ65530:WVJ65551 B131066:B131087 IX131066:IX131087 ST131066:ST131087 ACP131066:ACP131087 AML131066:AML131087 AWH131066:AWH131087 BGD131066:BGD131087 BPZ131066:BPZ131087 BZV131066:BZV131087 CJR131066:CJR131087 CTN131066:CTN131087 DDJ131066:DDJ131087 DNF131066:DNF131087 DXB131066:DXB131087 EGX131066:EGX131087 EQT131066:EQT131087 FAP131066:FAP131087 FKL131066:FKL131087 FUH131066:FUH131087 GED131066:GED131087 GNZ131066:GNZ131087 GXV131066:GXV131087 HHR131066:HHR131087 HRN131066:HRN131087 IBJ131066:IBJ131087 ILF131066:ILF131087 IVB131066:IVB131087 JEX131066:JEX131087 JOT131066:JOT131087 JYP131066:JYP131087 KIL131066:KIL131087 KSH131066:KSH131087 LCD131066:LCD131087 LLZ131066:LLZ131087 LVV131066:LVV131087 MFR131066:MFR131087 MPN131066:MPN131087 MZJ131066:MZJ131087 NJF131066:NJF131087 NTB131066:NTB131087 OCX131066:OCX131087 OMT131066:OMT131087 OWP131066:OWP131087 PGL131066:PGL131087 PQH131066:PQH131087 QAD131066:QAD131087 QJZ131066:QJZ131087 QTV131066:QTV131087 RDR131066:RDR131087 RNN131066:RNN131087 RXJ131066:RXJ131087 SHF131066:SHF131087 SRB131066:SRB131087 TAX131066:TAX131087 TKT131066:TKT131087 TUP131066:TUP131087 UEL131066:UEL131087 UOH131066:UOH131087 UYD131066:UYD131087 VHZ131066:VHZ131087 VRV131066:VRV131087 WBR131066:WBR131087 WLN131066:WLN131087 WVJ131066:WVJ131087 B196602:B196623 IX196602:IX196623 ST196602:ST196623 ACP196602:ACP196623 AML196602:AML196623 AWH196602:AWH196623 BGD196602:BGD196623 BPZ196602:BPZ196623 BZV196602:BZV196623 CJR196602:CJR196623 CTN196602:CTN196623 DDJ196602:DDJ196623 DNF196602:DNF196623 DXB196602:DXB196623 EGX196602:EGX196623 EQT196602:EQT196623 FAP196602:FAP196623 FKL196602:FKL196623 FUH196602:FUH196623 GED196602:GED196623 GNZ196602:GNZ196623 GXV196602:GXV196623 HHR196602:HHR196623 HRN196602:HRN196623 IBJ196602:IBJ196623 ILF196602:ILF196623 IVB196602:IVB196623 JEX196602:JEX196623 JOT196602:JOT196623 JYP196602:JYP196623 KIL196602:KIL196623 KSH196602:KSH196623 LCD196602:LCD196623 LLZ196602:LLZ196623 LVV196602:LVV196623 MFR196602:MFR196623 MPN196602:MPN196623 MZJ196602:MZJ196623 NJF196602:NJF196623 NTB196602:NTB196623 OCX196602:OCX196623 OMT196602:OMT196623 OWP196602:OWP196623 PGL196602:PGL196623 PQH196602:PQH196623 QAD196602:QAD196623 QJZ196602:QJZ196623 QTV196602:QTV196623 RDR196602:RDR196623 RNN196602:RNN196623 RXJ196602:RXJ196623 SHF196602:SHF196623 SRB196602:SRB196623 TAX196602:TAX196623 TKT196602:TKT196623 TUP196602:TUP196623 UEL196602:UEL196623 UOH196602:UOH196623 UYD196602:UYD196623 VHZ196602:VHZ196623 VRV196602:VRV196623 WBR196602:WBR196623 WLN196602:WLN196623 WVJ196602:WVJ196623 B262138:B262159 IX262138:IX262159 ST262138:ST262159 ACP262138:ACP262159 AML262138:AML262159 AWH262138:AWH262159 BGD262138:BGD262159 BPZ262138:BPZ262159 BZV262138:BZV262159 CJR262138:CJR262159 CTN262138:CTN262159 DDJ262138:DDJ262159 DNF262138:DNF262159 DXB262138:DXB262159 EGX262138:EGX262159 EQT262138:EQT262159 FAP262138:FAP262159 FKL262138:FKL262159 FUH262138:FUH262159 GED262138:GED262159 GNZ262138:GNZ262159 GXV262138:GXV262159 HHR262138:HHR262159 HRN262138:HRN262159 IBJ262138:IBJ262159 ILF262138:ILF262159 IVB262138:IVB262159 JEX262138:JEX262159 JOT262138:JOT262159 JYP262138:JYP262159 KIL262138:KIL262159 KSH262138:KSH262159 LCD262138:LCD262159 LLZ262138:LLZ262159 LVV262138:LVV262159 MFR262138:MFR262159 MPN262138:MPN262159 MZJ262138:MZJ262159 NJF262138:NJF262159 NTB262138:NTB262159 OCX262138:OCX262159 OMT262138:OMT262159 OWP262138:OWP262159 PGL262138:PGL262159 PQH262138:PQH262159 QAD262138:QAD262159 QJZ262138:QJZ262159 QTV262138:QTV262159 RDR262138:RDR262159 RNN262138:RNN262159 RXJ262138:RXJ262159 SHF262138:SHF262159 SRB262138:SRB262159 TAX262138:TAX262159 TKT262138:TKT262159 TUP262138:TUP262159 UEL262138:UEL262159 UOH262138:UOH262159 UYD262138:UYD262159 VHZ262138:VHZ262159 VRV262138:VRV262159 WBR262138:WBR262159 WLN262138:WLN262159 WVJ262138:WVJ262159 B327674:B327695 IX327674:IX327695 ST327674:ST327695 ACP327674:ACP327695 AML327674:AML327695 AWH327674:AWH327695 BGD327674:BGD327695 BPZ327674:BPZ327695 BZV327674:BZV327695 CJR327674:CJR327695 CTN327674:CTN327695 DDJ327674:DDJ327695 DNF327674:DNF327695 DXB327674:DXB327695 EGX327674:EGX327695 EQT327674:EQT327695 FAP327674:FAP327695 FKL327674:FKL327695 FUH327674:FUH327695 GED327674:GED327695 GNZ327674:GNZ327695 GXV327674:GXV327695 HHR327674:HHR327695 HRN327674:HRN327695 IBJ327674:IBJ327695 ILF327674:ILF327695 IVB327674:IVB327695 JEX327674:JEX327695 JOT327674:JOT327695 JYP327674:JYP327695 KIL327674:KIL327695 KSH327674:KSH327695 LCD327674:LCD327695 LLZ327674:LLZ327695 LVV327674:LVV327695 MFR327674:MFR327695 MPN327674:MPN327695 MZJ327674:MZJ327695 NJF327674:NJF327695 NTB327674:NTB327695 OCX327674:OCX327695 OMT327674:OMT327695 OWP327674:OWP327695 PGL327674:PGL327695 PQH327674:PQH327695 QAD327674:QAD327695 QJZ327674:QJZ327695 QTV327674:QTV327695 RDR327674:RDR327695 RNN327674:RNN327695 RXJ327674:RXJ327695 SHF327674:SHF327695 SRB327674:SRB327695 TAX327674:TAX327695 TKT327674:TKT327695 TUP327674:TUP327695 UEL327674:UEL327695 UOH327674:UOH327695 UYD327674:UYD327695 VHZ327674:VHZ327695 VRV327674:VRV327695 WBR327674:WBR327695 WLN327674:WLN327695 WVJ327674:WVJ327695 B393210:B393231 IX393210:IX393231 ST393210:ST393231 ACP393210:ACP393231 AML393210:AML393231 AWH393210:AWH393231 BGD393210:BGD393231 BPZ393210:BPZ393231 BZV393210:BZV393231 CJR393210:CJR393231 CTN393210:CTN393231 DDJ393210:DDJ393231 DNF393210:DNF393231 DXB393210:DXB393231 EGX393210:EGX393231 EQT393210:EQT393231 FAP393210:FAP393231 FKL393210:FKL393231 FUH393210:FUH393231 GED393210:GED393231 GNZ393210:GNZ393231 GXV393210:GXV393231 HHR393210:HHR393231 HRN393210:HRN393231 IBJ393210:IBJ393231 ILF393210:ILF393231 IVB393210:IVB393231 JEX393210:JEX393231 JOT393210:JOT393231 JYP393210:JYP393231 KIL393210:KIL393231 KSH393210:KSH393231 LCD393210:LCD393231 LLZ393210:LLZ393231 LVV393210:LVV393231 MFR393210:MFR393231 MPN393210:MPN393231 MZJ393210:MZJ393231 NJF393210:NJF393231 NTB393210:NTB393231 OCX393210:OCX393231 OMT393210:OMT393231 OWP393210:OWP393231 PGL393210:PGL393231 PQH393210:PQH393231 QAD393210:QAD393231 QJZ393210:QJZ393231 QTV393210:QTV393231 RDR393210:RDR393231 RNN393210:RNN393231 RXJ393210:RXJ393231 SHF393210:SHF393231 SRB393210:SRB393231 TAX393210:TAX393231 TKT393210:TKT393231 TUP393210:TUP393231 UEL393210:UEL393231 UOH393210:UOH393231 UYD393210:UYD393231 VHZ393210:VHZ393231 VRV393210:VRV393231 WBR393210:WBR393231 WLN393210:WLN393231 WVJ393210:WVJ393231 B458746:B458767 IX458746:IX458767 ST458746:ST458767 ACP458746:ACP458767 AML458746:AML458767 AWH458746:AWH458767 BGD458746:BGD458767 BPZ458746:BPZ458767 BZV458746:BZV458767 CJR458746:CJR458767 CTN458746:CTN458767 DDJ458746:DDJ458767 DNF458746:DNF458767 DXB458746:DXB458767 EGX458746:EGX458767 EQT458746:EQT458767 FAP458746:FAP458767 FKL458746:FKL458767 FUH458746:FUH458767 GED458746:GED458767 GNZ458746:GNZ458767 GXV458746:GXV458767 HHR458746:HHR458767 HRN458746:HRN458767 IBJ458746:IBJ458767 ILF458746:ILF458767 IVB458746:IVB458767 JEX458746:JEX458767 JOT458746:JOT458767 JYP458746:JYP458767 KIL458746:KIL458767 KSH458746:KSH458767 LCD458746:LCD458767 LLZ458746:LLZ458767 LVV458746:LVV458767 MFR458746:MFR458767 MPN458746:MPN458767 MZJ458746:MZJ458767 NJF458746:NJF458767 NTB458746:NTB458767 OCX458746:OCX458767 OMT458746:OMT458767 OWP458746:OWP458767 PGL458746:PGL458767 PQH458746:PQH458767 QAD458746:QAD458767 QJZ458746:QJZ458767 QTV458746:QTV458767 RDR458746:RDR458767 RNN458746:RNN458767 RXJ458746:RXJ458767 SHF458746:SHF458767 SRB458746:SRB458767 TAX458746:TAX458767 TKT458746:TKT458767 TUP458746:TUP458767 UEL458746:UEL458767 UOH458746:UOH458767 UYD458746:UYD458767 VHZ458746:VHZ458767 VRV458746:VRV458767 WBR458746:WBR458767 WLN458746:WLN458767 WVJ458746:WVJ458767 B524282:B524303 IX524282:IX524303 ST524282:ST524303 ACP524282:ACP524303 AML524282:AML524303 AWH524282:AWH524303 BGD524282:BGD524303 BPZ524282:BPZ524303 BZV524282:BZV524303 CJR524282:CJR524303 CTN524282:CTN524303 DDJ524282:DDJ524303 DNF524282:DNF524303 DXB524282:DXB524303 EGX524282:EGX524303 EQT524282:EQT524303 FAP524282:FAP524303 FKL524282:FKL524303 FUH524282:FUH524303 GED524282:GED524303 GNZ524282:GNZ524303 GXV524282:GXV524303 HHR524282:HHR524303 HRN524282:HRN524303 IBJ524282:IBJ524303 ILF524282:ILF524303 IVB524282:IVB524303 JEX524282:JEX524303 JOT524282:JOT524303 JYP524282:JYP524303 KIL524282:KIL524303 KSH524282:KSH524303 LCD524282:LCD524303 LLZ524282:LLZ524303 LVV524282:LVV524303 MFR524282:MFR524303 MPN524282:MPN524303 MZJ524282:MZJ524303 NJF524282:NJF524303 NTB524282:NTB524303 OCX524282:OCX524303 OMT524282:OMT524303 OWP524282:OWP524303 PGL524282:PGL524303 PQH524282:PQH524303 QAD524282:QAD524303 QJZ524282:QJZ524303 QTV524282:QTV524303 RDR524282:RDR524303 RNN524282:RNN524303 RXJ524282:RXJ524303 SHF524282:SHF524303 SRB524282:SRB524303 TAX524282:TAX524303 TKT524282:TKT524303 TUP524282:TUP524303 UEL524282:UEL524303 UOH524282:UOH524303 UYD524282:UYD524303 VHZ524282:VHZ524303 VRV524282:VRV524303 WBR524282:WBR524303 WLN524282:WLN524303 WVJ524282:WVJ524303 B589818:B589839 IX589818:IX589839 ST589818:ST589839 ACP589818:ACP589839 AML589818:AML589839 AWH589818:AWH589839 BGD589818:BGD589839 BPZ589818:BPZ589839 BZV589818:BZV589839 CJR589818:CJR589839 CTN589818:CTN589839 DDJ589818:DDJ589839 DNF589818:DNF589839 DXB589818:DXB589839 EGX589818:EGX589839 EQT589818:EQT589839 FAP589818:FAP589839 FKL589818:FKL589839 FUH589818:FUH589839 GED589818:GED589839 GNZ589818:GNZ589839 GXV589818:GXV589839 HHR589818:HHR589839 HRN589818:HRN589839 IBJ589818:IBJ589839 ILF589818:ILF589839 IVB589818:IVB589839 JEX589818:JEX589839 JOT589818:JOT589839 JYP589818:JYP589839 KIL589818:KIL589839 KSH589818:KSH589839 LCD589818:LCD589839 LLZ589818:LLZ589839 LVV589818:LVV589839 MFR589818:MFR589839 MPN589818:MPN589839 MZJ589818:MZJ589839 NJF589818:NJF589839 NTB589818:NTB589839 OCX589818:OCX589839 OMT589818:OMT589839 OWP589818:OWP589839 PGL589818:PGL589839 PQH589818:PQH589839 QAD589818:QAD589839 QJZ589818:QJZ589839 QTV589818:QTV589839 RDR589818:RDR589839 RNN589818:RNN589839 RXJ589818:RXJ589839 SHF589818:SHF589839 SRB589818:SRB589839 TAX589818:TAX589839 TKT589818:TKT589839 TUP589818:TUP589839 UEL589818:UEL589839 UOH589818:UOH589839 UYD589818:UYD589839 VHZ589818:VHZ589839 VRV589818:VRV589839 WBR589818:WBR589839 WLN589818:WLN589839 WVJ589818:WVJ589839 B655354:B655375 IX655354:IX655375 ST655354:ST655375 ACP655354:ACP655375 AML655354:AML655375 AWH655354:AWH655375 BGD655354:BGD655375 BPZ655354:BPZ655375 BZV655354:BZV655375 CJR655354:CJR655375 CTN655354:CTN655375 DDJ655354:DDJ655375 DNF655354:DNF655375 DXB655354:DXB655375 EGX655354:EGX655375 EQT655354:EQT655375 FAP655354:FAP655375 FKL655354:FKL655375 FUH655354:FUH655375 GED655354:GED655375 GNZ655354:GNZ655375 GXV655354:GXV655375 HHR655354:HHR655375 HRN655354:HRN655375 IBJ655354:IBJ655375 ILF655354:ILF655375 IVB655354:IVB655375 JEX655354:JEX655375 JOT655354:JOT655375 JYP655354:JYP655375 KIL655354:KIL655375 KSH655354:KSH655375 LCD655354:LCD655375 LLZ655354:LLZ655375 LVV655354:LVV655375 MFR655354:MFR655375 MPN655354:MPN655375 MZJ655354:MZJ655375 NJF655354:NJF655375 NTB655354:NTB655375 OCX655354:OCX655375 OMT655354:OMT655375 OWP655354:OWP655375 PGL655354:PGL655375 PQH655354:PQH655375 QAD655354:QAD655375 QJZ655354:QJZ655375 QTV655354:QTV655375 RDR655354:RDR655375 RNN655354:RNN655375 RXJ655354:RXJ655375 SHF655354:SHF655375 SRB655354:SRB655375 TAX655354:TAX655375 TKT655354:TKT655375 TUP655354:TUP655375 UEL655354:UEL655375 UOH655354:UOH655375 UYD655354:UYD655375 VHZ655354:VHZ655375 VRV655354:VRV655375 WBR655354:WBR655375 WLN655354:WLN655375 WVJ655354:WVJ655375 B720890:B720911 IX720890:IX720911 ST720890:ST720911 ACP720890:ACP720911 AML720890:AML720911 AWH720890:AWH720911 BGD720890:BGD720911 BPZ720890:BPZ720911 BZV720890:BZV720911 CJR720890:CJR720911 CTN720890:CTN720911 DDJ720890:DDJ720911 DNF720890:DNF720911 DXB720890:DXB720911 EGX720890:EGX720911 EQT720890:EQT720911 FAP720890:FAP720911 FKL720890:FKL720911 FUH720890:FUH720911 GED720890:GED720911 GNZ720890:GNZ720911 GXV720890:GXV720911 HHR720890:HHR720911 HRN720890:HRN720911 IBJ720890:IBJ720911 ILF720890:ILF720911 IVB720890:IVB720911 JEX720890:JEX720911 JOT720890:JOT720911 JYP720890:JYP720911 KIL720890:KIL720911 KSH720890:KSH720911 LCD720890:LCD720911 LLZ720890:LLZ720911 LVV720890:LVV720911 MFR720890:MFR720911 MPN720890:MPN720911 MZJ720890:MZJ720911 NJF720890:NJF720911 NTB720890:NTB720911 OCX720890:OCX720911 OMT720890:OMT720911 OWP720890:OWP720911 PGL720890:PGL720911 PQH720890:PQH720911 QAD720890:QAD720911 QJZ720890:QJZ720911 QTV720890:QTV720911 RDR720890:RDR720911 RNN720890:RNN720911 RXJ720890:RXJ720911 SHF720890:SHF720911 SRB720890:SRB720911 TAX720890:TAX720911 TKT720890:TKT720911 TUP720890:TUP720911 UEL720890:UEL720911 UOH720890:UOH720911 UYD720890:UYD720911 VHZ720890:VHZ720911 VRV720890:VRV720911 WBR720890:WBR720911 WLN720890:WLN720911 WVJ720890:WVJ720911 B786426:B786447 IX786426:IX786447 ST786426:ST786447 ACP786426:ACP786447 AML786426:AML786447 AWH786426:AWH786447 BGD786426:BGD786447 BPZ786426:BPZ786447 BZV786426:BZV786447 CJR786426:CJR786447 CTN786426:CTN786447 DDJ786426:DDJ786447 DNF786426:DNF786447 DXB786426:DXB786447 EGX786426:EGX786447 EQT786426:EQT786447 FAP786426:FAP786447 FKL786426:FKL786447 FUH786426:FUH786447 GED786426:GED786447 GNZ786426:GNZ786447 GXV786426:GXV786447 HHR786426:HHR786447 HRN786426:HRN786447 IBJ786426:IBJ786447 ILF786426:ILF786447 IVB786426:IVB786447 JEX786426:JEX786447 JOT786426:JOT786447 JYP786426:JYP786447 KIL786426:KIL786447 KSH786426:KSH786447 LCD786426:LCD786447 LLZ786426:LLZ786447 LVV786426:LVV786447 MFR786426:MFR786447 MPN786426:MPN786447 MZJ786426:MZJ786447 NJF786426:NJF786447 NTB786426:NTB786447 OCX786426:OCX786447 OMT786426:OMT786447 OWP786426:OWP786447 PGL786426:PGL786447 PQH786426:PQH786447 QAD786426:QAD786447 QJZ786426:QJZ786447 QTV786426:QTV786447 RDR786426:RDR786447 RNN786426:RNN786447 RXJ786426:RXJ786447 SHF786426:SHF786447 SRB786426:SRB786447 TAX786426:TAX786447 TKT786426:TKT786447 TUP786426:TUP786447 UEL786426:UEL786447 UOH786426:UOH786447 UYD786426:UYD786447 VHZ786426:VHZ786447 VRV786426:VRV786447 WBR786426:WBR786447 WLN786426:WLN786447 WVJ786426:WVJ786447 B851962:B851983 IX851962:IX851983 ST851962:ST851983 ACP851962:ACP851983 AML851962:AML851983 AWH851962:AWH851983 BGD851962:BGD851983 BPZ851962:BPZ851983 BZV851962:BZV851983 CJR851962:CJR851983 CTN851962:CTN851983 DDJ851962:DDJ851983 DNF851962:DNF851983 DXB851962:DXB851983 EGX851962:EGX851983 EQT851962:EQT851983 FAP851962:FAP851983 FKL851962:FKL851983 FUH851962:FUH851983 GED851962:GED851983 GNZ851962:GNZ851983 GXV851962:GXV851983 HHR851962:HHR851983 HRN851962:HRN851983 IBJ851962:IBJ851983 ILF851962:ILF851983 IVB851962:IVB851983 JEX851962:JEX851983 JOT851962:JOT851983 JYP851962:JYP851983 KIL851962:KIL851983 KSH851962:KSH851983 LCD851962:LCD851983 LLZ851962:LLZ851983 LVV851962:LVV851983 MFR851962:MFR851983 MPN851962:MPN851983 MZJ851962:MZJ851983 NJF851962:NJF851983 NTB851962:NTB851983 OCX851962:OCX851983 OMT851962:OMT851983 OWP851962:OWP851983 PGL851962:PGL851983 PQH851962:PQH851983 QAD851962:QAD851983 QJZ851962:QJZ851983 QTV851962:QTV851983 RDR851962:RDR851983 RNN851962:RNN851983 RXJ851962:RXJ851983 SHF851962:SHF851983 SRB851962:SRB851983 TAX851962:TAX851983 TKT851962:TKT851983 TUP851962:TUP851983 UEL851962:UEL851983 UOH851962:UOH851983 UYD851962:UYD851983 VHZ851962:VHZ851983 VRV851962:VRV851983 WBR851962:WBR851983 WLN851962:WLN851983 WVJ851962:WVJ851983 B917498:B917519 IX917498:IX917519 ST917498:ST917519 ACP917498:ACP917519 AML917498:AML917519 AWH917498:AWH917519 BGD917498:BGD917519 BPZ917498:BPZ917519 BZV917498:BZV917519 CJR917498:CJR917519 CTN917498:CTN917519 DDJ917498:DDJ917519 DNF917498:DNF917519 DXB917498:DXB917519 EGX917498:EGX917519 EQT917498:EQT917519 FAP917498:FAP917519 FKL917498:FKL917519 FUH917498:FUH917519 GED917498:GED917519 GNZ917498:GNZ917519 GXV917498:GXV917519 HHR917498:HHR917519 HRN917498:HRN917519 IBJ917498:IBJ917519 ILF917498:ILF917519 IVB917498:IVB917519 JEX917498:JEX917519 JOT917498:JOT917519 JYP917498:JYP917519 KIL917498:KIL917519 KSH917498:KSH917519 LCD917498:LCD917519 LLZ917498:LLZ917519 LVV917498:LVV917519 MFR917498:MFR917519 MPN917498:MPN917519 MZJ917498:MZJ917519 NJF917498:NJF917519 NTB917498:NTB917519 OCX917498:OCX917519 OMT917498:OMT917519 OWP917498:OWP917519 PGL917498:PGL917519 PQH917498:PQH917519 QAD917498:QAD917519 QJZ917498:QJZ917519 QTV917498:QTV917519 RDR917498:RDR917519 RNN917498:RNN917519 RXJ917498:RXJ917519 SHF917498:SHF917519 SRB917498:SRB917519 TAX917498:TAX917519 TKT917498:TKT917519 TUP917498:TUP917519 UEL917498:UEL917519 UOH917498:UOH917519 UYD917498:UYD917519 VHZ917498:VHZ917519 VRV917498:VRV917519 WBR917498:WBR917519 WLN917498:WLN917519 WVJ917498:WVJ917519 B983034:B983055 IX983034:IX983055 ST983034:ST983055 ACP983034:ACP983055 AML983034:AML983055 AWH983034:AWH983055 BGD983034:BGD983055 BPZ983034:BPZ983055 BZV983034:BZV983055 CJR983034:CJR983055 CTN983034:CTN983055 DDJ983034:DDJ983055 DNF983034:DNF983055 DXB983034:DXB983055 EGX983034:EGX983055 EQT983034:EQT983055 FAP983034:FAP983055 FKL983034:FKL983055 FUH983034:FUH983055 GED983034:GED983055 GNZ983034:GNZ983055 GXV983034:GXV983055 HHR983034:HHR983055 HRN983034:HRN983055 IBJ983034:IBJ983055 ILF983034:ILF983055 IVB983034:IVB983055 JEX983034:JEX983055 JOT983034:JOT983055 JYP983034:JYP983055 KIL983034:KIL983055 KSH983034:KSH983055 LCD983034:LCD983055 LLZ983034:LLZ983055 LVV983034:LVV983055 MFR983034:MFR983055 MPN983034:MPN983055 MZJ983034:MZJ983055 NJF983034:NJF983055 NTB983034:NTB983055 OCX983034:OCX983055 OMT983034:OMT983055 OWP983034:OWP983055 PGL983034:PGL983055 PQH983034:PQH983055 QAD983034:QAD983055 QJZ983034:QJZ983055 QTV983034:QTV983055 RDR983034:RDR983055 RNN983034:RNN983055 RXJ983034:RXJ983055 SHF983034:SHF983055 SRB983034:SRB983055 TAX983034:TAX983055 TKT983034:TKT983055 TUP983034:TUP983055 UEL983034:UEL983055 UOH983034:UOH983055 UYD983034:UYD983055 VHZ983034:VHZ983055 VRV983034:VRV983055 WBR983034:WBR983055 WLN983034:WLN983055" xr:uid="{00000000-0002-0000-0000-000001000000}">
      <formula1>$H$3:$H$10</formula1>
    </dataValidation>
    <dataValidation type="list" allowBlank="1" showInputMessage="1" showErrorMessage="1" sqref="WVI983035:WVI983055 IY25 SU25 ACQ25 AMM25 AWI25 BGE25 BQA25 BZW25 CJS25 CTO25 DDK25 DNG25 DXC25 EGY25 EQU25 FAQ25 FKM25 FUI25 GEE25 GOA25 GXW25 HHS25 HRO25 IBK25 ILG25 IVC25 JEY25 JOU25 JYQ25 KIM25 KSI25 LCE25 LMA25 LVW25 MFS25 MPO25 MZK25 NJG25 NTC25 OCY25 OMU25 OWQ25 PGM25 PQI25 QAE25 QKA25 QTW25 RDS25 RNO25 RXK25 SHG25 SRC25 TAY25 TKU25 TUQ25 UEM25 UOI25 UYE25 VIA25 VRW25 WBS25 WLO25 WVK25 C65561 IY65561 SU65561 ACQ65561 AMM65561 AWI65561 BGE65561 BQA65561 BZW65561 CJS65561 CTO65561 DDK65561 DNG65561 DXC65561 EGY65561 EQU65561 FAQ65561 FKM65561 FUI65561 GEE65561 GOA65561 GXW65561 HHS65561 HRO65561 IBK65561 ILG65561 IVC65561 JEY65561 JOU65561 JYQ65561 KIM65561 KSI65561 LCE65561 LMA65561 LVW65561 MFS65561 MPO65561 MZK65561 NJG65561 NTC65561 OCY65561 OMU65561 OWQ65561 PGM65561 PQI65561 QAE65561 QKA65561 QTW65561 RDS65561 RNO65561 RXK65561 SHG65561 SRC65561 TAY65561 TKU65561 TUQ65561 UEM65561 UOI65561 UYE65561 VIA65561 VRW65561 WBS65561 WLO65561 WVK65561 C131097 IY131097 SU131097 ACQ131097 AMM131097 AWI131097 BGE131097 BQA131097 BZW131097 CJS131097 CTO131097 DDK131097 DNG131097 DXC131097 EGY131097 EQU131097 FAQ131097 FKM131097 FUI131097 GEE131097 GOA131097 GXW131097 HHS131097 HRO131097 IBK131097 ILG131097 IVC131097 JEY131097 JOU131097 JYQ131097 KIM131097 KSI131097 LCE131097 LMA131097 LVW131097 MFS131097 MPO131097 MZK131097 NJG131097 NTC131097 OCY131097 OMU131097 OWQ131097 PGM131097 PQI131097 QAE131097 QKA131097 QTW131097 RDS131097 RNO131097 RXK131097 SHG131097 SRC131097 TAY131097 TKU131097 TUQ131097 UEM131097 UOI131097 UYE131097 VIA131097 VRW131097 WBS131097 WLO131097 WVK131097 C196633 IY196633 SU196633 ACQ196633 AMM196633 AWI196633 BGE196633 BQA196633 BZW196633 CJS196633 CTO196633 DDK196633 DNG196633 DXC196633 EGY196633 EQU196633 FAQ196633 FKM196633 FUI196633 GEE196633 GOA196633 GXW196633 HHS196633 HRO196633 IBK196633 ILG196633 IVC196633 JEY196633 JOU196633 JYQ196633 KIM196633 KSI196633 LCE196633 LMA196633 LVW196633 MFS196633 MPO196633 MZK196633 NJG196633 NTC196633 OCY196633 OMU196633 OWQ196633 PGM196633 PQI196633 QAE196633 QKA196633 QTW196633 RDS196633 RNO196633 RXK196633 SHG196633 SRC196633 TAY196633 TKU196633 TUQ196633 UEM196633 UOI196633 UYE196633 VIA196633 VRW196633 WBS196633 WLO196633 WVK196633 C262169 IY262169 SU262169 ACQ262169 AMM262169 AWI262169 BGE262169 BQA262169 BZW262169 CJS262169 CTO262169 DDK262169 DNG262169 DXC262169 EGY262169 EQU262169 FAQ262169 FKM262169 FUI262169 GEE262169 GOA262169 GXW262169 HHS262169 HRO262169 IBK262169 ILG262169 IVC262169 JEY262169 JOU262169 JYQ262169 KIM262169 KSI262169 LCE262169 LMA262169 LVW262169 MFS262169 MPO262169 MZK262169 NJG262169 NTC262169 OCY262169 OMU262169 OWQ262169 PGM262169 PQI262169 QAE262169 QKA262169 QTW262169 RDS262169 RNO262169 RXK262169 SHG262169 SRC262169 TAY262169 TKU262169 TUQ262169 UEM262169 UOI262169 UYE262169 VIA262169 VRW262169 WBS262169 WLO262169 WVK262169 C327705 IY327705 SU327705 ACQ327705 AMM327705 AWI327705 BGE327705 BQA327705 BZW327705 CJS327705 CTO327705 DDK327705 DNG327705 DXC327705 EGY327705 EQU327705 FAQ327705 FKM327705 FUI327705 GEE327705 GOA327705 GXW327705 HHS327705 HRO327705 IBK327705 ILG327705 IVC327705 JEY327705 JOU327705 JYQ327705 KIM327705 KSI327705 LCE327705 LMA327705 LVW327705 MFS327705 MPO327705 MZK327705 NJG327705 NTC327705 OCY327705 OMU327705 OWQ327705 PGM327705 PQI327705 QAE327705 QKA327705 QTW327705 RDS327705 RNO327705 RXK327705 SHG327705 SRC327705 TAY327705 TKU327705 TUQ327705 UEM327705 UOI327705 UYE327705 VIA327705 VRW327705 WBS327705 WLO327705 WVK327705 C393241 IY393241 SU393241 ACQ393241 AMM393241 AWI393241 BGE393241 BQA393241 BZW393241 CJS393241 CTO393241 DDK393241 DNG393241 DXC393241 EGY393241 EQU393241 FAQ393241 FKM393241 FUI393241 GEE393241 GOA393241 GXW393241 HHS393241 HRO393241 IBK393241 ILG393241 IVC393241 JEY393241 JOU393241 JYQ393241 KIM393241 KSI393241 LCE393241 LMA393241 LVW393241 MFS393241 MPO393241 MZK393241 NJG393241 NTC393241 OCY393241 OMU393241 OWQ393241 PGM393241 PQI393241 QAE393241 QKA393241 QTW393241 RDS393241 RNO393241 RXK393241 SHG393241 SRC393241 TAY393241 TKU393241 TUQ393241 UEM393241 UOI393241 UYE393241 VIA393241 VRW393241 WBS393241 WLO393241 WVK393241 C458777 IY458777 SU458777 ACQ458777 AMM458777 AWI458777 BGE458777 BQA458777 BZW458777 CJS458777 CTO458777 DDK458777 DNG458777 DXC458777 EGY458777 EQU458777 FAQ458777 FKM458777 FUI458777 GEE458777 GOA458777 GXW458777 HHS458777 HRO458777 IBK458777 ILG458777 IVC458777 JEY458777 JOU458777 JYQ458777 KIM458777 KSI458777 LCE458777 LMA458777 LVW458777 MFS458777 MPO458777 MZK458777 NJG458777 NTC458777 OCY458777 OMU458777 OWQ458777 PGM458777 PQI458777 QAE458777 QKA458777 QTW458777 RDS458777 RNO458777 RXK458777 SHG458777 SRC458777 TAY458777 TKU458777 TUQ458777 UEM458777 UOI458777 UYE458777 VIA458777 VRW458777 WBS458777 WLO458777 WVK458777 C524313 IY524313 SU524313 ACQ524313 AMM524313 AWI524313 BGE524313 BQA524313 BZW524313 CJS524313 CTO524313 DDK524313 DNG524313 DXC524313 EGY524313 EQU524313 FAQ524313 FKM524313 FUI524313 GEE524313 GOA524313 GXW524313 HHS524313 HRO524313 IBK524313 ILG524313 IVC524313 JEY524313 JOU524313 JYQ524313 KIM524313 KSI524313 LCE524313 LMA524313 LVW524313 MFS524313 MPO524313 MZK524313 NJG524313 NTC524313 OCY524313 OMU524313 OWQ524313 PGM524313 PQI524313 QAE524313 QKA524313 QTW524313 RDS524313 RNO524313 RXK524313 SHG524313 SRC524313 TAY524313 TKU524313 TUQ524313 UEM524313 UOI524313 UYE524313 VIA524313 VRW524313 WBS524313 WLO524313 WVK524313 C589849 IY589849 SU589849 ACQ589849 AMM589849 AWI589849 BGE589849 BQA589849 BZW589849 CJS589849 CTO589849 DDK589849 DNG589849 DXC589849 EGY589849 EQU589849 FAQ589849 FKM589849 FUI589849 GEE589849 GOA589849 GXW589849 HHS589849 HRO589849 IBK589849 ILG589849 IVC589849 JEY589849 JOU589849 JYQ589849 KIM589849 KSI589849 LCE589849 LMA589849 LVW589849 MFS589849 MPO589849 MZK589849 NJG589849 NTC589849 OCY589849 OMU589849 OWQ589849 PGM589849 PQI589849 QAE589849 QKA589849 QTW589849 RDS589849 RNO589849 RXK589849 SHG589849 SRC589849 TAY589849 TKU589849 TUQ589849 UEM589849 UOI589849 UYE589849 VIA589849 VRW589849 WBS589849 WLO589849 WVK589849 C655385 IY655385 SU655385 ACQ655385 AMM655385 AWI655385 BGE655385 BQA655385 BZW655385 CJS655385 CTO655385 DDK655385 DNG655385 DXC655385 EGY655385 EQU655385 FAQ655385 FKM655385 FUI655385 GEE655385 GOA655385 GXW655385 HHS655385 HRO655385 IBK655385 ILG655385 IVC655385 JEY655385 JOU655385 JYQ655385 KIM655385 KSI655385 LCE655385 LMA655385 LVW655385 MFS655385 MPO655385 MZK655385 NJG655385 NTC655385 OCY655385 OMU655385 OWQ655385 PGM655385 PQI655385 QAE655385 QKA655385 QTW655385 RDS655385 RNO655385 RXK655385 SHG655385 SRC655385 TAY655385 TKU655385 TUQ655385 UEM655385 UOI655385 UYE655385 VIA655385 VRW655385 WBS655385 WLO655385 WVK655385 C720921 IY720921 SU720921 ACQ720921 AMM720921 AWI720921 BGE720921 BQA720921 BZW720921 CJS720921 CTO720921 DDK720921 DNG720921 DXC720921 EGY720921 EQU720921 FAQ720921 FKM720921 FUI720921 GEE720921 GOA720921 GXW720921 HHS720921 HRO720921 IBK720921 ILG720921 IVC720921 JEY720921 JOU720921 JYQ720921 KIM720921 KSI720921 LCE720921 LMA720921 LVW720921 MFS720921 MPO720921 MZK720921 NJG720921 NTC720921 OCY720921 OMU720921 OWQ720921 PGM720921 PQI720921 QAE720921 QKA720921 QTW720921 RDS720921 RNO720921 RXK720921 SHG720921 SRC720921 TAY720921 TKU720921 TUQ720921 UEM720921 UOI720921 UYE720921 VIA720921 VRW720921 WBS720921 WLO720921 WVK720921 C786457 IY786457 SU786457 ACQ786457 AMM786457 AWI786457 BGE786457 BQA786457 BZW786457 CJS786457 CTO786457 DDK786457 DNG786457 DXC786457 EGY786457 EQU786457 FAQ786457 FKM786457 FUI786457 GEE786457 GOA786457 GXW786457 HHS786457 HRO786457 IBK786457 ILG786457 IVC786457 JEY786457 JOU786457 JYQ786457 KIM786457 KSI786457 LCE786457 LMA786457 LVW786457 MFS786457 MPO786457 MZK786457 NJG786457 NTC786457 OCY786457 OMU786457 OWQ786457 PGM786457 PQI786457 QAE786457 QKA786457 QTW786457 RDS786457 RNO786457 RXK786457 SHG786457 SRC786457 TAY786457 TKU786457 TUQ786457 UEM786457 UOI786457 UYE786457 VIA786457 VRW786457 WBS786457 WLO786457 WVK786457 C851993 IY851993 SU851993 ACQ851993 AMM851993 AWI851993 BGE851993 BQA851993 BZW851993 CJS851993 CTO851993 DDK851993 DNG851993 DXC851993 EGY851993 EQU851993 FAQ851993 FKM851993 FUI851993 GEE851993 GOA851993 GXW851993 HHS851993 HRO851993 IBK851993 ILG851993 IVC851993 JEY851993 JOU851993 JYQ851993 KIM851993 KSI851993 LCE851993 LMA851993 LVW851993 MFS851993 MPO851993 MZK851993 NJG851993 NTC851993 OCY851993 OMU851993 OWQ851993 PGM851993 PQI851993 QAE851993 QKA851993 QTW851993 RDS851993 RNO851993 RXK851993 SHG851993 SRC851993 TAY851993 TKU851993 TUQ851993 UEM851993 UOI851993 UYE851993 VIA851993 VRW851993 WBS851993 WLO851993 WVK851993 C917529 IY917529 SU917529 ACQ917529 AMM917529 AWI917529 BGE917529 BQA917529 BZW917529 CJS917529 CTO917529 DDK917529 DNG917529 DXC917529 EGY917529 EQU917529 FAQ917529 FKM917529 FUI917529 GEE917529 GOA917529 GXW917529 HHS917529 HRO917529 IBK917529 ILG917529 IVC917529 JEY917529 JOU917529 JYQ917529 KIM917529 KSI917529 LCE917529 LMA917529 LVW917529 MFS917529 MPO917529 MZK917529 NJG917529 NTC917529 OCY917529 OMU917529 OWQ917529 PGM917529 PQI917529 QAE917529 QKA917529 QTW917529 RDS917529 RNO917529 RXK917529 SHG917529 SRC917529 TAY917529 TKU917529 TUQ917529 UEM917529 UOI917529 UYE917529 VIA917529 VRW917529 WBS917529 WLO917529 WVK917529 C983065 IY983065 SU983065 ACQ983065 AMM983065 AWI983065 BGE983065 BQA983065 BZW983065 CJS983065 CTO983065 DDK983065 DNG983065 DXC983065 EGY983065 EQU983065 FAQ983065 FKM983065 FUI983065 GEE983065 GOA983065 GXW983065 HHS983065 HRO983065 IBK983065 ILG983065 IVC983065 JEY983065 JOU983065 JYQ983065 KIM983065 KSI983065 LCE983065 LMA983065 LVW983065 MFS983065 MPO983065 MZK983065 NJG983065 NTC983065 OCY983065 OMU983065 OWQ983065 PGM983065 PQI983065 QAE983065 QKA983065 QTW983065 RDS983065 RNO983065 RXK983065 SHG983065 SRC983065 TAY983065 TKU983065 TUQ983065 UEM983065 UOI983065 UYE983065 VIA983065 VRW983065 WBS983065 WLO983065 WVK983065 WLM983035:WLM983055 IW4:IW19 SS4:SS19 ACO4:ACO19 AMK4:AMK19 AWG4:AWG19 BGC4:BGC19 BPY4:BPY19 BZU4:BZU19 CJQ4:CJQ19 CTM4:CTM19 DDI4:DDI19 DNE4:DNE19 DXA4:DXA19 EGW4:EGW19 EQS4:EQS19 FAO4:FAO19 FKK4:FKK19 FUG4:FUG19 GEC4:GEC19 GNY4:GNY19 GXU4:GXU19 HHQ4:HHQ19 HRM4:HRM19 IBI4:IBI19 ILE4:ILE19 IVA4:IVA19 JEW4:JEW19 JOS4:JOS19 JYO4:JYO19 KIK4:KIK19 KSG4:KSG19 LCC4:LCC19 LLY4:LLY19 LVU4:LVU19 MFQ4:MFQ19 MPM4:MPM19 MZI4:MZI19 NJE4:NJE19 NTA4:NTA19 OCW4:OCW19 OMS4:OMS19 OWO4:OWO19 PGK4:PGK19 PQG4:PQG19 QAC4:QAC19 QJY4:QJY19 QTU4:QTU19 RDQ4:RDQ19 RNM4:RNM19 RXI4:RXI19 SHE4:SHE19 SRA4:SRA19 TAW4:TAW19 TKS4:TKS19 TUO4:TUO19 UEK4:UEK19 UOG4:UOG19 UYC4:UYC19 VHY4:VHY19 VRU4:VRU19 WBQ4:WBQ19 WLM4:WLM19 WVI4:WVI19 A65531:A65551 IW65531:IW65551 SS65531:SS65551 ACO65531:ACO65551 AMK65531:AMK65551 AWG65531:AWG65551 BGC65531:BGC65551 BPY65531:BPY65551 BZU65531:BZU65551 CJQ65531:CJQ65551 CTM65531:CTM65551 DDI65531:DDI65551 DNE65531:DNE65551 DXA65531:DXA65551 EGW65531:EGW65551 EQS65531:EQS65551 FAO65531:FAO65551 FKK65531:FKK65551 FUG65531:FUG65551 GEC65531:GEC65551 GNY65531:GNY65551 GXU65531:GXU65551 HHQ65531:HHQ65551 HRM65531:HRM65551 IBI65531:IBI65551 ILE65531:ILE65551 IVA65531:IVA65551 JEW65531:JEW65551 JOS65531:JOS65551 JYO65531:JYO65551 KIK65531:KIK65551 KSG65531:KSG65551 LCC65531:LCC65551 LLY65531:LLY65551 LVU65531:LVU65551 MFQ65531:MFQ65551 MPM65531:MPM65551 MZI65531:MZI65551 NJE65531:NJE65551 NTA65531:NTA65551 OCW65531:OCW65551 OMS65531:OMS65551 OWO65531:OWO65551 PGK65531:PGK65551 PQG65531:PQG65551 QAC65531:QAC65551 QJY65531:QJY65551 QTU65531:QTU65551 RDQ65531:RDQ65551 RNM65531:RNM65551 RXI65531:RXI65551 SHE65531:SHE65551 SRA65531:SRA65551 TAW65531:TAW65551 TKS65531:TKS65551 TUO65531:TUO65551 UEK65531:UEK65551 UOG65531:UOG65551 UYC65531:UYC65551 VHY65531:VHY65551 VRU65531:VRU65551 WBQ65531:WBQ65551 WLM65531:WLM65551 WVI65531:WVI65551 A131067:A131087 IW131067:IW131087 SS131067:SS131087 ACO131067:ACO131087 AMK131067:AMK131087 AWG131067:AWG131087 BGC131067:BGC131087 BPY131067:BPY131087 BZU131067:BZU131087 CJQ131067:CJQ131087 CTM131067:CTM131087 DDI131067:DDI131087 DNE131067:DNE131087 DXA131067:DXA131087 EGW131067:EGW131087 EQS131067:EQS131087 FAO131067:FAO131087 FKK131067:FKK131087 FUG131067:FUG131087 GEC131067:GEC131087 GNY131067:GNY131087 GXU131067:GXU131087 HHQ131067:HHQ131087 HRM131067:HRM131087 IBI131067:IBI131087 ILE131067:ILE131087 IVA131067:IVA131087 JEW131067:JEW131087 JOS131067:JOS131087 JYO131067:JYO131087 KIK131067:KIK131087 KSG131067:KSG131087 LCC131067:LCC131087 LLY131067:LLY131087 LVU131067:LVU131087 MFQ131067:MFQ131087 MPM131067:MPM131087 MZI131067:MZI131087 NJE131067:NJE131087 NTA131067:NTA131087 OCW131067:OCW131087 OMS131067:OMS131087 OWO131067:OWO131087 PGK131067:PGK131087 PQG131067:PQG131087 QAC131067:QAC131087 QJY131067:QJY131087 QTU131067:QTU131087 RDQ131067:RDQ131087 RNM131067:RNM131087 RXI131067:RXI131087 SHE131067:SHE131087 SRA131067:SRA131087 TAW131067:TAW131087 TKS131067:TKS131087 TUO131067:TUO131087 UEK131067:UEK131087 UOG131067:UOG131087 UYC131067:UYC131087 VHY131067:VHY131087 VRU131067:VRU131087 WBQ131067:WBQ131087 WLM131067:WLM131087 WVI131067:WVI131087 A196603:A196623 IW196603:IW196623 SS196603:SS196623 ACO196603:ACO196623 AMK196603:AMK196623 AWG196603:AWG196623 BGC196603:BGC196623 BPY196603:BPY196623 BZU196603:BZU196623 CJQ196603:CJQ196623 CTM196603:CTM196623 DDI196603:DDI196623 DNE196603:DNE196623 DXA196603:DXA196623 EGW196603:EGW196623 EQS196603:EQS196623 FAO196603:FAO196623 FKK196603:FKK196623 FUG196603:FUG196623 GEC196603:GEC196623 GNY196603:GNY196623 GXU196603:GXU196623 HHQ196603:HHQ196623 HRM196603:HRM196623 IBI196603:IBI196623 ILE196603:ILE196623 IVA196603:IVA196623 JEW196603:JEW196623 JOS196603:JOS196623 JYO196603:JYO196623 KIK196603:KIK196623 KSG196603:KSG196623 LCC196603:LCC196623 LLY196603:LLY196623 LVU196603:LVU196623 MFQ196603:MFQ196623 MPM196603:MPM196623 MZI196603:MZI196623 NJE196603:NJE196623 NTA196603:NTA196623 OCW196603:OCW196623 OMS196603:OMS196623 OWO196603:OWO196623 PGK196603:PGK196623 PQG196603:PQG196623 QAC196603:QAC196623 QJY196603:QJY196623 QTU196603:QTU196623 RDQ196603:RDQ196623 RNM196603:RNM196623 RXI196603:RXI196623 SHE196603:SHE196623 SRA196603:SRA196623 TAW196603:TAW196623 TKS196603:TKS196623 TUO196603:TUO196623 UEK196603:UEK196623 UOG196603:UOG196623 UYC196603:UYC196623 VHY196603:VHY196623 VRU196603:VRU196623 WBQ196603:WBQ196623 WLM196603:WLM196623 WVI196603:WVI196623 A262139:A262159 IW262139:IW262159 SS262139:SS262159 ACO262139:ACO262159 AMK262139:AMK262159 AWG262139:AWG262159 BGC262139:BGC262159 BPY262139:BPY262159 BZU262139:BZU262159 CJQ262139:CJQ262159 CTM262139:CTM262159 DDI262139:DDI262159 DNE262139:DNE262159 DXA262139:DXA262159 EGW262139:EGW262159 EQS262139:EQS262159 FAO262139:FAO262159 FKK262139:FKK262159 FUG262139:FUG262159 GEC262139:GEC262159 GNY262139:GNY262159 GXU262139:GXU262159 HHQ262139:HHQ262159 HRM262139:HRM262159 IBI262139:IBI262159 ILE262139:ILE262159 IVA262139:IVA262159 JEW262139:JEW262159 JOS262139:JOS262159 JYO262139:JYO262159 KIK262139:KIK262159 KSG262139:KSG262159 LCC262139:LCC262159 LLY262139:LLY262159 LVU262139:LVU262159 MFQ262139:MFQ262159 MPM262139:MPM262159 MZI262139:MZI262159 NJE262139:NJE262159 NTA262139:NTA262159 OCW262139:OCW262159 OMS262139:OMS262159 OWO262139:OWO262159 PGK262139:PGK262159 PQG262139:PQG262159 QAC262139:QAC262159 QJY262139:QJY262159 QTU262139:QTU262159 RDQ262139:RDQ262159 RNM262139:RNM262159 RXI262139:RXI262159 SHE262139:SHE262159 SRA262139:SRA262159 TAW262139:TAW262159 TKS262139:TKS262159 TUO262139:TUO262159 UEK262139:UEK262159 UOG262139:UOG262159 UYC262139:UYC262159 VHY262139:VHY262159 VRU262139:VRU262159 WBQ262139:WBQ262159 WLM262139:WLM262159 WVI262139:WVI262159 A327675:A327695 IW327675:IW327695 SS327675:SS327695 ACO327675:ACO327695 AMK327675:AMK327695 AWG327675:AWG327695 BGC327675:BGC327695 BPY327675:BPY327695 BZU327675:BZU327695 CJQ327675:CJQ327695 CTM327675:CTM327695 DDI327675:DDI327695 DNE327675:DNE327695 DXA327675:DXA327695 EGW327675:EGW327695 EQS327675:EQS327695 FAO327675:FAO327695 FKK327675:FKK327695 FUG327675:FUG327695 GEC327675:GEC327695 GNY327675:GNY327695 GXU327675:GXU327695 HHQ327675:HHQ327695 HRM327675:HRM327695 IBI327675:IBI327695 ILE327675:ILE327695 IVA327675:IVA327695 JEW327675:JEW327695 JOS327675:JOS327695 JYO327675:JYO327695 KIK327675:KIK327695 KSG327675:KSG327695 LCC327675:LCC327695 LLY327675:LLY327695 LVU327675:LVU327695 MFQ327675:MFQ327695 MPM327675:MPM327695 MZI327675:MZI327695 NJE327675:NJE327695 NTA327675:NTA327695 OCW327675:OCW327695 OMS327675:OMS327695 OWO327675:OWO327695 PGK327675:PGK327695 PQG327675:PQG327695 QAC327675:QAC327695 QJY327675:QJY327695 QTU327675:QTU327695 RDQ327675:RDQ327695 RNM327675:RNM327695 RXI327675:RXI327695 SHE327675:SHE327695 SRA327675:SRA327695 TAW327675:TAW327695 TKS327675:TKS327695 TUO327675:TUO327695 UEK327675:UEK327695 UOG327675:UOG327695 UYC327675:UYC327695 VHY327675:VHY327695 VRU327675:VRU327695 WBQ327675:WBQ327695 WLM327675:WLM327695 WVI327675:WVI327695 A393211:A393231 IW393211:IW393231 SS393211:SS393231 ACO393211:ACO393231 AMK393211:AMK393231 AWG393211:AWG393231 BGC393211:BGC393231 BPY393211:BPY393231 BZU393211:BZU393231 CJQ393211:CJQ393231 CTM393211:CTM393231 DDI393211:DDI393231 DNE393211:DNE393231 DXA393211:DXA393231 EGW393211:EGW393231 EQS393211:EQS393231 FAO393211:FAO393231 FKK393211:FKK393231 FUG393211:FUG393231 GEC393211:GEC393231 GNY393211:GNY393231 GXU393211:GXU393231 HHQ393211:HHQ393231 HRM393211:HRM393231 IBI393211:IBI393231 ILE393211:ILE393231 IVA393211:IVA393231 JEW393211:JEW393231 JOS393211:JOS393231 JYO393211:JYO393231 KIK393211:KIK393231 KSG393211:KSG393231 LCC393211:LCC393231 LLY393211:LLY393231 LVU393211:LVU393231 MFQ393211:MFQ393231 MPM393211:MPM393231 MZI393211:MZI393231 NJE393211:NJE393231 NTA393211:NTA393231 OCW393211:OCW393231 OMS393211:OMS393231 OWO393211:OWO393231 PGK393211:PGK393231 PQG393211:PQG393231 QAC393211:QAC393231 QJY393211:QJY393231 QTU393211:QTU393231 RDQ393211:RDQ393231 RNM393211:RNM393231 RXI393211:RXI393231 SHE393211:SHE393231 SRA393211:SRA393231 TAW393211:TAW393231 TKS393211:TKS393231 TUO393211:TUO393231 UEK393211:UEK393231 UOG393211:UOG393231 UYC393211:UYC393231 VHY393211:VHY393231 VRU393211:VRU393231 WBQ393211:WBQ393231 WLM393211:WLM393231 WVI393211:WVI393231 A458747:A458767 IW458747:IW458767 SS458747:SS458767 ACO458747:ACO458767 AMK458747:AMK458767 AWG458747:AWG458767 BGC458747:BGC458767 BPY458747:BPY458767 BZU458747:BZU458767 CJQ458747:CJQ458767 CTM458747:CTM458767 DDI458747:DDI458767 DNE458747:DNE458767 DXA458747:DXA458767 EGW458747:EGW458767 EQS458747:EQS458767 FAO458747:FAO458767 FKK458747:FKK458767 FUG458747:FUG458767 GEC458747:GEC458767 GNY458747:GNY458767 GXU458747:GXU458767 HHQ458747:HHQ458767 HRM458747:HRM458767 IBI458747:IBI458767 ILE458747:ILE458767 IVA458747:IVA458767 JEW458747:JEW458767 JOS458747:JOS458767 JYO458747:JYO458767 KIK458747:KIK458767 KSG458747:KSG458767 LCC458747:LCC458767 LLY458747:LLY458767 LVU458747:LVU458767 MFQ458747:MFQ458767 MPM458747:MPM458767 MZI458747:MZI458767 NJE458747:NJE458767 NTA458747:NTA458767 OCW458747:OCW458767 OMS458747:OMS458767 OWO458747:OWO458767 PGK458747:PGK458767 PQG458747:PQG458767 QAC458747:QAC458767 QJY458747:QJY458767 QTU458747:QTU458767 RDQ458747:RDQ458767 RNM458747:RNM458767 RXI458747:RXI458767 SHE458747:SHE458767 SRA458747:SRA458767 TAW458747:TAW458767 TKS458747:TKS458767 TUO458747:TUO458767 UEK458747:UEK458767 UOG458747:UOG458767 UYC458747:UYC458767 VHY458747:VHY458767 VRU458747:VRU458767 WBQ458747:WBQ458767 WLM458747:WLM458767 WVI458747:WVI458767 A524283:A524303 IW524283:IW524303 SS524283:SS524303 ACO524283:ACO524303 AMK524283:AMK524303 AWG524283:AWG524303 BGC524283:BGC524303 BPY524283:BPY524303 BZU524283:BZU524303 CJQ524283:CJQ524303 CTM524283:CTM524303 DDI524283:DDI524303 DNE524283:DNE524303 DXA524283:DXA524303 EGW524283:EGW524303 EQS524283:EQS524303 FAO524283:FAO524303 FKK524283:FKK524303 FUG524283:FUG524303 GEC524283:GEC524303 GNY524283:GNY524303 GXU524283:GXU524303 HHQ524283:HHQ524303 HRM524283:HRM524303 IBI524283:IBI524303 ILE524283:ILE524303 IVA524283:IVA524303 JEW524283:JEW524303 JOS524283:JOS524303 JYO524283:JYO524303 KIK524283:KIK524303 KSG524283:KSG524303 LCC524283:LCC524303 LLY524283:LLY524303 LVU524283:LVU524303 MFQ524283:MFQ524303 MPM524283:MPM524303 MZI524283:MZI524303 NJE524283:NJE524303 NTA524283:NTA524303 OCW524283:OCW524303 OMS524283:OMS524303 OWO524283:OWO524303 PGK524283:PGK524303 PQG524283:PQG524303 QAC524283:QAC524303 QJY524283:QJY524303 QTU524283:QTU524303 RDQ524283:RDQ524303 RNM524283:RNM524303 RXI524283:RXI524303 SHE524283:SHE524303 SRA524283:SRA524303 TAW524283:TAW524303 TKS524283:TKS524303 TUO524283:TUO524303 UEK524283:UEK524303 UOG524283:UOG524303 UYC524283:UYC524303 VHY524283:VHY524303 VRU524283:VRU524303 WBQ524283:WBQ524303 WLM524283:WLM524303 WVI524283:WVI524303 A589819:A589839 IW589819:IW589839 SS589819:SS589839 ACO589819:ACO589839 AMK589819:AMK589839 AWG589819:AWG589839 BGC589819:BGC589839 BPY589819:BPY589839 BZU589819:BZU589839 CJQ589819:CJQ589839 CTM589819:CTM589839 DDI589819:DDI589839 DNE589819:DNE589839 DXA589819:DXA589839 EGW589819:EGW589839 EQS589819:EQS589839 FAO589819:FAO589839 FKK589819:FKK589839 FUG589819:FUG589839 GEC589819:GEC589839 GNY589819:GNY589839 GXU589819:GXU589839 HHQ589819:HHQ589839 HRM589819:HRM589839 IBI589819:IBI589839 ILE589819:ILE589839 IVA589819:IVA589839 JEW589819:JEW589839 JOS589819:JOS589839 JYO589819:JYO589839 KIK589819:KIK589839 KSG589819:KSG589839 LCC589819:LCC589839 LLY589819:LLY589839 LVU589819:LVU589839 MFQ589819:MFQ589839 MPM589819:MPM589839 MZI589819:MZI589839 NJE589819:NJE589839 NTA589819:NTA589839 OCW589819:OCW589839 OMS589819:OMS589839 OWO589819:OWO589839 PGK589819:PGK589839 PQG589819:PQG589839 QAC589819:QAC589839 QJY589819:QJY589839 QTU589819:QTU589839 RDQ589819:RDQ589839 RNM589819:RNM589839 RXI589819:RXI589839 SHE589819:SHE589839 SRA589819:SRA589839 TAW589819:TAW589839 TKS589819:TKS589839 TUO589819:TUO589839 UEK589819:UEK589839 UOG589819:UOG589839 UYC589819:UYC589839 VHY589819:VHY589839 VRU589819:VRU589839 WBQ589819:WBQ589839 WLM589819:WLM589839 WVI589819:WVI589839 A655355:A655375 IW655355:IW655375 SS655355:SS655375 ACO655355:ACO655375 AMK655355:AMK655375 AWG655355:AWG655375 BGC655355:BGC655375 BPY655355:BPY655375 BZU655355:BZU655375 CJQ655355:CJQ655375 CTM655355:CTM655375 DDI655355:DDI655375 DNE655355:DNE655375 DXA655355:DXA655375 EGW655355:EGW655375 EQS655355:EQS655375 FAO655355:FAO655375 FKK655355:FKK655375 FUG655355:FUG655375 GEC655355:GEC655375 GNY655355:GNY655375 GXU655355:GXU655375 HHQ655355:HHQ655375 HRM655355:HRM655375 IBI655355:IBI655375 ILE655355:ILE655375 IVA655355:IVA655375 JEW655355:JEW655375 JOS655355:JOS655375 JYO655355:JYO655375 KIK655355:KIK655375 KSG655355:KSG655375 LCC655355:LCC655375 LLY655355:LLY655375 LVU655355:LVU655375 MFQ655355:MFQ655375 MPM655355:MPM655375 MZI655355:MZI655375 NJE655355:NJE655375 NTA655355:NTA655375 OCW655355:OCW655375 OMS655355:OMS655375 OWO655355:OWO655375 PGK655355:PGK655375 PQG655355:PQG655375 QAC655355:QAC655375 QJY655355:QJY655375 QTU655355:QTU655375 RDQ655355:RDQ655375 RNM655355:RNM655375 RXI655355:RXI655375 SHE655355:SHE655375 SRA655355:SRA655375 TAW655355:TAW655375 TKS655355:TKS655375 TUO655355:TUO655375 UEK655355:UEK655375 UOG655355:UOG655375 UYC655355:UYC655375 VHY655355:VHY655375 VRU655355:VRU655375 WBQ655355:WBQ655375 WLM655355:WLM655375 WVI655355:WVI655375 A720891:A720911 IW720891:IW720911 SS720891:SS720911 ACO720891:ACO720911 AMK720891:AMK720911 AWG720891:AWG720911 BGC720891:BGC720911 BPY720891:BPY720911 BZU720891:BZU720911 CJQ720891:CJQ720911 CTM720891:CTM720911 DDI720891:DDI720911 DNE720891:DNE720911 DXA720891:DXA720911 EGW720891:EGW720911 EQS720891:EQS720911 FAO720891:FAO720911 FKK720891:FKK720911 FUG720891:FUG720911 GEC720891:GEC720911 GNY720891:GNY720911 GXU720891:GXU720911 HHQ720891:HHQ720911 HRM720891:HRM720911 IBI720891:IBI720911 ILE720891:ILE720911 IVA720891:IVA720911 JEW720891:JEW720911 JOS720891:JOS720911 JYO720891:JYO720911 KIK720891:KIK720911 KSG720891:KSG720911 LCC720891:LCC720911 LLY720891:LLY720911 LVU720891:LVU720911 MFQ720891:MFQ720911 MPM720891:MPM720911 MZI720891:MZI720911 NJE720891:NJE720911 NTA720891:NTA720911 OCW720891:OCW720911 OMS720891:OMS720911 OWO720891:OWO720911 PGK720891:PGK720911 PQG720891:PQG720911 QAC720891:QAC720911 QJY720891:QJY720911 QTU720891:QTU720911 RDQ720891:RDQ720911 RNM720891:RNM720911 RXI720891:RXI720911 SHE720891:SHE720911 SRA720891:SRA720911 TAW720891:TAW720911 TKS720891:TKS720911 TUO720891:TUO720911 UEK720891:UEK720911 UOG720891:UOG720911 UYC720891:UYC720911 VHY720891:VHY720911 VRU720891:VRU720911 WBQ720891:WBQ720911 WLM720891:WLM720911 WVI720891:WVI720911 A786427:A786447 IW786427:IW786447 SS786427:SS786447 ACO786427:ACO786447 AMK786427:AMK786447 AWG786427:AWG786447 BGC786427:BGC786447 BPY786427:BPY786447 BZU786427:BZU786447 CJQ786427:CJQ786447 CTM786427:CTM786447 DDI786427:DDI786447 DNE786427:DNE786447 DXA786427:DXA786447 EGW786427:EGW786447 EQS786427:EQS786447 FAO786427:FAO786447 FKK786427:FKK786447 FUG786427:FUG786447 GEC786427:GEC786447 GNY786427:GNY786447 GXU786427:GXU786447 HHQ786427:HHQ786447 HRM786427:HRM786447 IBI786427:IBI786447 ILE786427:ILE786447 IVA786427:IVA786447 JEW786427:JEW786447 JOS786427:JOS786447 JYO786427:JYO786447 KIK786427:KIK786447 KSG786427:KSG786447 LCC786427:LCC786447 LLY786427:LLY786447 LVU786427:LVU786447 MFQ786427:MFQ786447 MPM786427:MPM786447 MZI786427:MZI786447 NJE786427:NJE786447 NTA786427:NTA786447 OCW786427:OCW786447 OMS786427:OMS786447 OWO786427:OWO786447 PGK786427:PGK786447 PQG786427:PQG786447 QAC786427:QAC786447 QJY786427:QJY786447 QTU786427:QTU786447 RDQ786427:RDQ786447 RNM786427:RNM786447 RXI786427:RXI786447 SHE786427:SHE786447 SRA786427:SRA786447 TAW786427:TAW786447 TKS786427:TKS786447 TUO786427:TUO786447 UEK786427:UEK786447 UOG786427:UOG786447 UYC786427:UYC786447 VHY786427:VHY786447 VRU786427:VRU786447 WBQ786427:WBQ786447 WLM786427:WLM786447 WVI786427:WVI786447 A851963:A851983 IW851963:IW851983 SS851963:SS851983 ACO851963:ACO851983 AMK851963:AMK851983 AWG851963:AWG851983 BGC851963:BGC851983 BPY851963:BPY851983 BZU851963:BZU851983 CJQ851963:CJQ851983 CTM851963:CTM851983 DDI851963:DDI851983 DNE851963:DNE851983 DXA851963:DXA851983 EGW851963:EGW851983 EQS851963:EQS851983 FAO851963:FAO851983 FKK851963:FKK851983 FUG851963:FUG851983 GEC851963:GEC851983 GNY851963:GNY851983 GXU851963:GXU851983 HHQ851963:HHQ851983 HRM851963:HRM851983 IBI851963:IBI851983 ILE851963:ILE851983 IVA851963:IVA851983 JEW851963:JEW851983 JOS851963:JOS851983 JYO851963:JYO851983 KIK851963:KIK851983 KSG851963:KSG851983 LCC851963:LCC851983 LLY851963:LLY851983 LVU851963:LVU851983 MFQ851963:MFQ851983 MPM851963:MPM851983 MZI851963:MZI851983 NJE851963:NJE851983 NTA851963:NTA851983 OCW851963:OCW851983 OMS851963:OMS851983 OWO851963:OWO851983 PGK851963:PGK851983 PQG851963:PQG851983 QAC851963:QAC851983 QJY851963:QJY851983 QTU851963:QTU851983 RDQ851963:RDQ851983 RNM851963:RNM851983 RXI851963:RXI851983 SHE851963:SHE851983 SRA851963:SRA851983 TAW851963:TAW851983 TKS851963:TKS851983 TUO851963:TUO851983 UEK851963:UEK851983 UOG851963:UOG851983 UYC851963:UYC851983 VHY851963:VHY851983 VRU851963:VRU851983 WBQ851963:WBQ851983 WLM851963:WLM851983 WVI851963:WVI851983 A917499:A917519 IW917499:IW917519 SS917499:SS917519 ACO917499:ACO917519 AMK917499:AMK917519 AWG917499:AWG917519 BGC917499:BGC917519 BPY917499:BPY917519 BZU917499:BZU917519 CJQ917499:CJQ917519 CTM917499:CTM917519 DDI917499:DDI917519 DNE917499:DNE917519 DXA917499:DXA917519 EGW917499:EGW917519 EQS917499:EQS917519 FAO917499:FAO917519 FKK917499:FKK917519 FUG917499:FUG917519 GEC917499:GEC917519 GNY917499:GNY917519 GXU917499:GXU917519 HHQ917499:HHQ917519 HRM917499:HRM917519 IBI917499:IBI917519 ILE917499:ILE917519 IVA917499:IVA917519 JEW917499:JEW917519 JOS917499:JOS917519 JYO917499:JYO917519 KIK917499:KIK917519 KSG917499:KSG917519 LCC917499:LCC917519 LLY917499:LLY917519 LVU917499:LVU917519 MFQ917499:MFQ917519 MPM917499:MPM917519 MZI917499:MZI917519 NJE917499:NJE917519 NTA917499:NTA917519 OCW917499:OCW917519 OMS917499:OMS917519 OWO917499:OWO917519 PGK917499:PGK917519 PQG917499:PQG917519 QAC917499:QAC917519 QJY917499:QJY917519 QTU917499:QTU917519 RDQ917499:RDQ917519 RNM917499:RNM917519 RXI917499:RXI917519 SHE917499:SHE917519 SRA917499:SRA917519 TAW917499:TAW917519 TKS917499:TKS917519 TUO917499:TUO917519 UEK917499:UEK917519 UOG917499:UOG917519 UYC917499:UYC917519 VHY917499:VHY917519 VRU917499:VRU917519 WBQ917499:WBQ917519 WLM917499:WLM917519 WVI917499:WVI917519 A983035:A983055 IW983035:IW983055 SS983035:SS983055 ACO983035:ACO983055 AMK983035:AMK983055 AWG983035:AWG983055 BGC983035:BGC983055 BPY983035:BPY983055 BZU983035:BZU983055 CJQ983035:CJQ983055 CTM983035:CTM983055 DDI983035:DDI983055 DNE983035:DNE983055 DXA983035:DXA983055 EGW983035:EGW983055 EQS983035:EQS983055 FAO983035:FAO983055 FKK983035:FKK983055 FUG983035:FUG983055 GEC983035:GEC983055 GNY983035:GNY983055 GXU983035:GXU983055 HHQ983035:HHQ983055 HRM983035:HRM983055 IBI983035:IBI983055 ILE983035:ILE983055 IVA983035:IVA983055 JEW983035:JEW983055 JOS983035:JOS983055 JYO983035:JYO983055 KIK983035:KIK983055 KSG983035:KSG983055 LCC983035:LCC983055 LLY983035:LLY983055 LVU983035:LVU983055 MFQ983035:MFQ983055 MPM983035:MPM983055 MZI983035:MZI983055 NJE983035:NJE983055 NTA983035:NTA983055 OCW983035:OCW983055 OMS983035:OMS983055 OWO983035:OWO983055 PGK983035:PGK983055 PQG983035:PQG983055 QAC983035:QAC983055 QJY983035:QJY983055 QTU983035:QTU983055 RDQ983035:RDQ983055 RNM983035:RNM983055 RXI983035:RXI983055 SHE983035:SHE983055 SRA983035:SRA983055 TAW983035:TAW983055 TKS983035:TKS983055 TUO983035:TUO983055 UEK983035:UEK983055 UOG983035:UOG983055 UYC983035:UYC983055 VHY983035:VHY983055 VRU983035:VRU983055 WBQ983035:WBQ983055" xr:uid="{00000000-0002-0000-0000-000000000000}">
      <formula1>$G$3:$G$11</formula1>
    </dataValidation>
  </dataValidations>
  <pageMargins left="0.39370078740157483" right="0.39370078740157483" top="0.39370078740157483" bottom="0.39370078740157483" header="0.31496062992125984" footer="0.31496062992125984"/>
  <pageSetup paperSize="9" scale="73" orientation="landscape" horizontalDpi="4294967293" r:id="rId1"/>
  <headerFooter alignWithMargins="0"/>
  <drawing r:id="rId2"/>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AB8EBF-A8F3-4BE1-A437-BBDE0AEEEE79}">
  <dimension ref="A1:F17"/>
  <sheetViews>
    <sheetView workbookViewId="0">
      <selection activeCell="E14" sqref="E14"/>
    </sheetView>
  </sheetViews>
  <sheetFormatPr baseColWidth="10" defaultRowHeight="14.4"/>
  <cols>
    <col min="1" max="1" width="12.5546875" style="103" customWidth="1"/>
    <col min="2" max="2" width="16" style="103" customWidth="1"/>
    <col min="3" max="3" width="12.88671875" style="103" customWidth="1"/>
    <col min="4" max="4" width="12.88671875" style="103" bestFit="1" customWidth="1"/>
    <col min="5" max="259" width="11.5546875" style="103"/>
    <col min="260" max="260" width="8.109375" style="103" bestFit="1" customWidth="1"/>
    <col min="261" max="515" width="11.5546875" style="103"/>
    <col min="516" max="516" width="8.109375" style="103" bestFit="1" customWidth="1"/>
    <col min="517" max="771" width="11.5546875" style="103"/>
    <col min="772" max="772" width="8.109375" style="103" bestFit="1" customWidth="1"/>
    <col min="773" max="1027" width="11.5546875" style="103"/>
    <col min="1028" max="1028" width="8.109375" style="103" bestFit="1" customWidth="1"/>
    <col min="1029" max="1283" width="11.5546875" style="103"/>
    <col min="1284" max="1284" width="8.109375" style="103" bestFit="1" customWidth="1"/>
    <col min="1285" max="1539" width="11.5546875" style="103"/>
    <col min="1540" max="1540" width="8.109375" style="103" bestFit="1" customWidth="1"/>
    <col min="1541" max="1795" width="11.5546875" style="103"/>
    <col min="1796" max="1796" width="8.109375" style="103" bestFit="1" customWidth="1"/>
    <col min="1797" max="2051" width="11.5546875" style="103"/>
    <col min="2052" max="2052" width="8.109375" style="103" bestFit="1" customWidth="1"/>
    <col min="2053" max="2307" width="11.5546875" style="103"/>
    <col min="2308" max="2308" width="8.109375" style="103" bestFit="1" customWidth="1"/>
    <col min="2309" max="2563" width="11.5546875" style="103"/>
    <col min="2564" max="2564" width="8.109375" style="103" bestFit="1" customWidth="1"/>
    <col min="2565" max="2819" width="11.5546875" style="103"/>
    <col min="2820" max="2820" width="8.109375" style="103" bestFit="1" customWidth="1"/>
    <col min="2821" max="3075" width="11.5546875" style="103"/>
    <col min="3076" max="3076" width="8.109375" style="103" bestFit="1" customWidth="1"/>
    <col min="3077" max="3331" width="11.5546875" style="103"/>
    <col min="3332" max="3332" width="8.109375" style="103" bestFit="1" customWidth="1"/>
    <col min="3333" max="3587" width="11.5546875" style="103"/>
    <col min="3588" max="3588" width="8.109375" style="103" bestFit="1" customWidth="1"/>
    <col min="3589" max="3843" width="11.5546875" style="103"/>
    <col min="3844" max="3844" width="8.109375" style="103" bestFit="1" customWidth="1"/>
    <col min="3845" max="4099" width="11.5546875" style="103"/>
    <col min="4100" max="4100" width="8.109375" style="103" bestFit="1" customWidth="1"/>
    <col min="4101" max="4355" width="11.5546875" style="103"/>
    <col min="4356" max="4356" width="8.109375" style="103" bestFit="1" customWidth="1"/>
    <col min="4357" max="4611" width="11.5546875" style="103"/>
    <col min="4612" max="4612" width="8.109375" style="103" bestFit="1" customWidth="1"/>
    <col min="4613" max="4867" width="11.5546875" style="103"/>
    <col min="4868" max="4868" width="8.109375" style="103" bestFit="1" customWidth="1"/>
    <col min="4869" max="5123" width="11.5546875" style="103"/>
    <col min="5124" max="5124" width="8.109375" style="103" bestFit="1" customWidth="1"/>
    <col min="5125" max="5379" width="11.5546875" style="103"/>
    <col min="5380" max="5380" width="8.109375" style="103" bestFit="1" customWidth="1"/>
    <col min="5381" max="5635" width="11.5546875" style="103"/>
    <col min="5636" max="5636" width="8.109375" style="103" bestFit="1" customWidth="1"/>
    <col min="5637" max="5891" width="11.5546875" style="103"/>
    <col min="5892" max="5892" width="8.109375" style="103" bestFit="1" customWidth="1"/>
    <col min="5893" max="6147" width="11.5546875" style="103"/>
    <col min="6148" max="6148" width="8.109375" style="103" bestFit="1" customWidth="1"/>
    <col min="6149" max="6403" width="11.5546875" style="103"/>
    <col min="6404" max="6404" width="8.109375" style="103" bestFit="1" customWidth="1"/>
    <col min="6405" max="6659" width="11.5546875" style="103"/>
    <col min="6660" max="6660" width="8.109375" style="103" bestFit="1" customWidth="1"/>
    <col min="6661" max="6915" width="11.5546875" style="103"/>
    <col min="6916" max="6916" width="8.109375" style="103" bestFit="1" customWidth="1"/>
    <col min="6917" max="7171" width="11.5546875" style="103"/>
    <col min="7172" max="7172" width="8.109375" style="103" bestFit="1" customWidth="1"/>
    <col min="7173" max="7427" width="11.5546875" style="103"/>
    <col min="7428" max="7428" width="8.109375" style="103" bestFit="1" customWidth="1"/>
    <col min="7429" max="7683" width="11.5546875" style="103"/>
    <col min="7684" max="7684" width="8.109375" style="103" bestFit="1" customWidth="1"/>
    <col min="7685" max="7939" width="11.5546875" style="103"/>
    <col min="7940" max="7940" width="8.109375" style="103" bestFit="1" customWidth="1"/>
    <col min="7941" max="8195" width="11.5546875" style="103"/>
    <col min="8196" max="8196" width="8.109375" style="103" bestFit="1" customWidth="1"/>
    <col min="8197" max="8451" width="11.5546875" style="103"/>
    <col min="8452" max="8452" width="8.109375" style="103" bestFit="1" customWidth="1"/>
    <col min="8453" max="8707" width="11.5546875" style="103"/>
    <col min="8708" max="8708" width="8.109375" style="103" bestFit="1" customWidth="1"/>
    <col min="8709" max="8963" width="11.5546875" style="103"/>
    <col min="8964" max="8964" width="8.109375" style="103" bestFit="1" customWidth="1"/>
    <col min="8965" max="9219" width="11.5546875" style="103"/>
    <col min="9220" max="9220" width="8.109375" style="103" bestFit="1" customWidth="1"/>
    <col min="9221" max="9475" width="11.5546875" style="103"/>
    <col min="9476" max="9476" width="8.109375" style="103" bestFit="1" customWidth="1"/>
    <col min="9477" max="9731" width="11.5546875" style="103"/>
    <col min="9732" max="9732" width="8.109375" style="103" bestFit="1" customWidth="1"/>
    <col min="9733" max="9987" width="11.5546875" style="103"/>
    <col min="9988" max="9988" width="8.109375" style="103" bestFit="1" customWidth="1"/>
    <col min="9989" max="10243" width="11.5546875" style="103"/>
    <col min="10244" max="10244" width="8.109375" style="103" bestFit="1" customWidth="1"/>
    <col min="10245" max="10499" width="11.5546875" style="103"/>
    <col min="10500" max="10500" width="8.109375" style="103" bestFit="1" customWidth="1"/>
    <col min="10501" max="10755" width="11.5546875" style="103"/>
    <col min="10756" max="10756" width="8.109375" style="103" bestFit="1" customWidth="1"/>
    <col min="10757" max="11011" width="11.5546875" style="103"/>
    <col min="11012" max="11012" width="8.109375" style="103" bestFit="1" customWidth="1"/>
    <col min="11013" max="11267" width="11.5546875" style="103"/>
    <col min="11268" max="11268" width="8.109375" style="103" bestFit="1" customWidth="1"/>
    <col min="11269" max="11523" width="11.5546875" style="103"/>
    <col min="11524" max="11524" width="8.109375" style="103" bestFit="1" customWidth="1"/>
    <col min="11525" max="11779" width="11.5546875" style="103"/>
    <col min="11780" max="11780" width="8.109375" style="103" bestFit="1" customWidth="1"/>
    <col min="11781" max="12035" width="11.5546875" style="103"/>
    <col min="12036" max="12036" width="8.109375" style="103" bestFit="1" customWidth="1"/>
    <col min="12037" max="12291" width="11.5546875" style="103"/>
    <col min="12292" max="12292" width="8.109375" style="103" bestFit="1" customWidth="1"/>
    <col min="12293" max="12547" width="11.5546875" style="103"/>
    <col min="12548" max="12548" width="8.109375" style="103" bestFit="1" customWidth="1"/>
    <col min="12549" max="12803" width="11.5546875" style="103"/>
    <col min="12804" max="12804" width="8.109375" style="103" bestFit="1" customWidth="1"/>
    <col min="12805" max="13059" width="11.5546875" style="103"/>
    <col min="13060" max="13060" width="8.109375" style="103" bestFit="1" customWidth="1"/>
    <col min="13061" max="13315" width="11.5546875" style="103"/>
    <col min="13316" max="13316" width="8.109375" style="103" bestFit="1" customWidth="1"/>
    <col min="13317" max="13571" width="11.5546875" style="103"/>
    <col min="13572" max="13572" width="8.109375" style="103" bestFit="1" customWidth="1"/>
    <col min="13573" max="13827" width="11.5546875" style="103"/>
    <col min="13828" max="13828" width="8.109375" style="103" bestFit="1" customWidth="1"/>
    <col min="13829" max="14083" width="11.5546875" style="103"/>
    <col min="14084" max="14084" width="8.109375" style="103" bestFit="1" customWidth="1"/>
    <col min="14085" max="14339" width="11.5546875" style="103"/>
    <col min="14340" max="14340" width="8.109375" style="103" bestFit="1" customWidth="1"/>
    <col min="14341" max="14595" width="11.5546875" style="103"/>
    <col min="14596" max="14596" width="8.109375" style="103" bestFit="1" customWidth="1"/>
    <col min="14597" max="14851" width="11.5546875" style="103"/>
    <col min="14852" max="14852" width="8.109375" style="103" bestFit="1" customWidth="1"/>
    <col min="14853" max="15107" width="11.5546875" style="103"/>
    <col min="15108" max="15108" width="8.109375" style="103" bestFit="1" customWidth="1"/>
    <col min="15109" max="15363" width="11.5546875" style="103"/>
    <col min="15364" max="15364" width="8.109375" style="103" bestFit="1" customWidth="1"/>
    <col min="15365" max="15619" width="11.5546875" style="103"/>
    <col min="15620" max="15620" width="8.109375" style="103" bestFit="1" customWidth="1"/>
    <col min="15621" max="15875" width="11.5546875" style="103"/>
    <col min="15876" max="15876" width="8.109375" style="103" bestFit="1" customWidth="1"/>
    <col min="15877" max="16131" width="11.5546875" style="103"/>
    <col min="16132" max="16132" width="8.109375" style="103" bestFit="1" customWidth="1"/>
    <col min="16133" max="16384" width="11.5546875" style="103"/>
  </cols>
  <sheetData>
    <row r="1" spans="1:6" ht="21">
      <c r="A1" s="642" t="s">
        <v>346</v>
      </c>
      <c r="B1" s="642"/>
      <c r="C1" s="642"/>
    </row>
    <row r="2" spans="1:6" ht="15" thickBot="1">
      <c r="B2" s="275" t="s">
        <v>345</v>
      </c>
      <c r="C2" s="275" t="s">
        <v>12</v>
      </c>
    </row>
    <row r="3" spans="1:6" ht="43.8" thickBot="1">
      <c r="A3" s="263" t="s">
        <v>344</v>
      </c>
      <c r="B3" s="274" t="s">
        <v>343</v>
      </c>
      <c r="C3" s="273" t="s">
        <v>342</v>
      </c>
    </row>
    <row r="4" spans="1:6">
      <c r="A4" s="103">
        <v>20031010</v>
      </c>
      <c r="B4" s="272">
        <v>120</v>
      </c>
      <c r="C4" s="420" t="s">
        <v>341</v>
      </c>
      <c r="F4"/>
    </row>
    <row r="5" spans="1:6">
      <c r="A5" s="103">
        <v>20031015</v>
      </c>
      <c r="B5" s="272">
        <v>1236</v>
      </c>
      <c r="C5" s="421" t="s">
        <v>339</v>
      </c>
    </row>
    <row r="6" spans="1:6">
      <c r="A6" s="103">
        <v>20030998</v>
      </c>
      <c r="B6" s="272">
        <v>85</v>
      </c>
      <c r="C6" s="421" t="s">
        <v>341</v>
      </c>
    </row>
    <row r="7" spans="1:6">
      <c r="A7" s="103">
        <v>20031002</v>
      </c>
      <c r="B7" s="272">
        <v>23654</v>
      </c>
      <c r="C7" s="421" t="s">
        <v>224</v>
      </c>
    </row>
    <row r="8" spans="1:6">
      <c r="A8" s="103">
        <v>20031018</v>
      </c>
      <c r="B8" s="272">
        <v>456</v>
      </c>
      <c r="C8" s="421" t="s">
        <v>339</v>
      </c>
    </row>
    <row r="9" spans="1:6">
      <c r="A9" s="103">
        <v>20031006</v>
      </c>
      <c r="B9" s="272">
        <v>7569</v>
      </c>
      <c r="C9" s="421" t="s">
        <v>224</v>
      </c>
    </row>
    <row r="10" spans="1:6">
      <c r="A10" s="103">
        <v>20031020</v>
      </c>
      <c r="B10" s="272">
        <v>3246</v>
      </c>
      <c r="C10" s="421" t="s">
        <v>224</v>
      </c>
    </row>
    <row r="11" spans="1:6" ht="15" thickBot="1">
      <c r="A11" s="103">
        <v>20031019</v>
      </c>
      <c r="B11" s="272">
        <v>1200</v>
      </c>
      <c r="C11" s="422" t="s">
        <v>341</v>
      </c>
    </row>
    <row r="12" spans="1:6" ht="15" thickBot="1">
      <c r="A12" s="263" t="s">
        <v>8</v>
      </c>
      <c r="B12" s="271">
        <f>SUM(montant)</f>
        <v>37566</v>
      </c>
      <c r="C12" s="270"/>
    </row>
    <row r="13" spans="1:6" ht="15" thickBot="1"/>
    <row r="14" spans="1:6" ht="15" thickBot="1">
      <c r="A14" s="269" t="s">
        <v>341</v>
      </c>
      <c r="B14" s="268" t="s">
        <v>340</v>
      </c>
      <c r="C14" s="268" t="s">
        <v>8</v>
      </c>
      <c r="D14" s="264">
        <f>SUMIF(mode,A14,montant)</f>
        <v>1405</v>
      </c>
    </row>
    <row r="15" spans="1:6" ht="15" thickBot="1">
      <c r="A15" s="267" t="s">
        <v>339</v>
      </c>
      <c r="B15" s="103" t="s">
        <v>338</v>
      </c>
      <c r="C15" s="103" t="s">
        <v>8</v>
      </c>
      <c r="D15" s="264">
        <f>SUMIF(mode,A15,montant)</f>
        <v>1692</v>
      </c>
    </row>
    <row r="16" spans="1:6" ht="15" thickBot="1">
      <c r="A16" s="266" t="s">
        <v>224</v>
      </c>
      <c r="B16" s="265" t="s">
        <v>337</v>
      </c>
      <c r="C16" s="265" t="s">
        <v>8</v>
      </c>
      <c r="D16" s="264">
        <f>SUMIF(mode,A16,montant)</f>
        <v>34469</v>
      </c>
    </row>
    <row r="17" spans="3:4" ht="15" thickBot="1">
      <c r="C17" s="263" t="s">
        <v>0</v>
      </c>
      <c r="D17" s="262">
        <f>SUM(D14:D16)</f>
        <v>37566</v>
      </c>
    </row>
  </sheetData>
  <mergeCells count="1">
    <mergeCell ref="A1:C1"/>
  </mergeCells>
  <dataValidations count="1">
    <dataValidation type="list" allowBlank="1" showInputMessage="1" showErrorMessage="1" sqref="WVK983035:WVK983047 IY4:IY12 SU4:SU12 ACQ4:ACQ12 AMM4:AMM12 AWI4:AWI12 BGE4:BGE12 BQA4:BQA12 BZW4:BZW12 CJS4:CJS12 CTO4:CTO12 DDK4:DDK12 DNG4:DNG12 DXC4:DXC12 EGY4:EGY12 EQU4:EQU12 FAQ4:FAQ12 FKM4:FKM12 FUI4:FUI12 GEE4:GEE12 GOA4:GOA12 GXW4:GXW12 HHS4:HHS12 HRO4:HRO12 IBK4:IBK12 ILG4:ILG12 IVC4:IVC12 JEY4:JEY12 JOU4:JOU12 JYQ4:JYQ12 KIM4:KIM12 KSI4:KSI12 LCE4:LCE12 LMA4:LMA12 LVW4:LVW12 MFS4:MFS12 MPO4:MPO12 MZK4:MZK12 NJG4:NJG12 NTC4:NTC12 OCY4:OCY12 OMU4:OMU12 OWQ4:OWQ12 PGM4:PGM12 PQI4:PQI12 QAE4:QAE12 QKA4:QKA12 QTW4:QTW12 RDS4:RDS12 RNO4:RNO12 RXK4:RXK12 SHG4:SHG12 SRC4:SRC12 TAY4:TAY12 TKU4:TKU12 TUQ4:TUQ12 UEM4:UEM12 UOI4:UOI12 UYE4:UYE12 VIA4:VIA12 VRW4:VRW12 WBS4:WBS12 WLO4:WLO12 WVK4:WVK12 WLO983035:WLO983047 WBS983035:WBS983047 VRW983035:VRW983047 VIA983035:VIA983047 UYE983035:UYE983047 UOI983035:UOI983047 UEM983035:UEM983047 TUQ983035:TUQ983047 TKU983035:TKU983047 TAY983035:TAY983047 SRC983035:SRC983047 SHG983035:SHG983047 RXK983035:RXK983047 RNO983035:RNO983047 RDS983035:RDS983047 QTW983035:QTW983047 QKA983035:QKA983047 QAE983035:QAE983047 PQI983035:PQI983047 PGM983035:PGM983047 OWQ983035:OWQ983047 OMU983035:OMU983047 OCY983035:OCY983047 NTC983035:NTC983047 NJG983035:NJG983047 MZK983035:MZK983047 MPO983035:MPO983047 MFS983035:MFS983047 LVW983035:LVW983047 LMA983035:LMA983047 LCE983035:LCE983047 KSI983035:KSI983047 KIM983035:KIM983047 JYQ983035:JYQ983047 JOU983035:JOU983047 JEY983035:JEY983047 IVC983035:IVC983047 ILG983035:ILG983047 IBK983035:IBK983047 HRO983035:HRO983047 HHS983035:HHS983047 GXW983035:GXW983047 GOA983035:GOA983047 GEE983035:GEE983047 FUI983035:FUI983047 FKM983035:FKM983047 FAQ983035:FAQ983047 EQU983035:EQU983047 EGY983035:EGY983047 DXC983035:DXC983047 DNG983035:DNG983047 DDK983035:DDK983047 CTO983035:CTO983047 CJS983035:CJS983047 BZW983035:BZW983047 BQA983035:BQA983047 BGE983035:BGE983047 AWI983035:AWI983047 AMM983035:AMM983047 ACQ983035:ACQ983047 SU983035:SU983047 IY983035:IY983047 C983035:C983047 WVK917499:WVK917511 WLO917499:WLO917511 WBS917499:WBS917511 VRW917499:VRW917511 VIA917499:VIA917511 UYE917499:UYE917511 UOI917499:UOI917511 UEM917499:UEM917511 TUQ917499:TUQ917511 TKU917499:TKU917511 TAY917499:TAY917511 SRC917499:SRC917511 SHG917499:SHG917511 RXK917499:RXK917511 RNO917499:RNO917511 RDS917499:RDS917511 QTW917499:QTW917511 QKA917499:QKA917511 QAE917499:QAE917511 PQI917499:PQI917511 PGM917499:PGM917511 OWQ917499:OWQ917511 OMU917499:OMU917511 OCY917499:OCY917511 NTC917499:NTC917511 NJG917499:NJG917511 MZK917499:MZK917511 MPO917499:MPO917511 MFS917499:MFS917511 LVW917499:LVW917511 LMA917499:LMA917511 LCE917499:LCE917511 KSI917499:KSI917511 KIM917499:KIM917511 JYQ917499:JYQ917511 JOU917499:JOU917511 JEY917499:JEY917511 IVC917499:IVC917511 ILG917499:ILG917511 IBK917499:IBK917511 HRO917499:HRO917511 HHS917499:HHS917511 GXW917499:GXW917511 GOA917499:GOA917511 GEE917499:GEE917511 FUI917499:FUI917511 FKM917499:FKM917511 FAQ917499:FAQ917511 EQU917499:EQU917511 EGY917499:EGY917511 DXC917499:DXC917511 DNG917499:DNG917511 DDK917499:DDK917511 CTO917499:CTO917511 CJS917499:CJS917511 BZW917499:BZW917511 BQA917499:BQA917511 BGE917499:BGE917511 AWI917499:AWI917511 AMM917499:AMM917511 ACQ917499:ACQ917511 SU917499:SU917511 IY917499:IY917511 C917499:C917511 WVK851963:WVK851975 WLO851963:WLO851975 WBS851963:WBS851975 VRW851963:VRW851975 VIA851963:VIA851975 UYE851963:UYE851975 UOI851963:UOI851975 UEM851963:UEM851975 TUQ851963:TUQ851975 TKU851963:TKU851975 TAY851963:TAY851975 SRC851963:SRC851975 SHG851963:SHG851975 RXK851963:RXK851975 RNO851963:RNO851975 RDS851963:RDS851975 QTW851963:QTW851975 QKA851963:QKA851975 QAE851963:QAE851975 PQI851963:PQI851975 PGM851963:PGM851975 OWQ851963:OWQ851975 OMU851963:OMU851975 OCY851963:OCY851975 NTC851963:NTC851975 NJG851963:NJG851975 MZK851963:MZK851975 MPO851963:MPO851975 MFS851963:MFS851975 LVW851963:LVW851975 LMA851963:LMA851975 LCE851963:LCE851975 KSI851963:KSI851975 KIM851963:KIM851975 JYQ851963:JYQ851975 JOU851963:JOU851975 JEY851963:JEY851975 IVC851963:IVC851975 ILG851963:ILG851975 IBK851963:IBK851975 HRO851963:HRO851975 HHS851963:HHS851975 GXW851963:GXW851975 GOA851963:GOA851975 GEE851963:GEE851975 FUI851963:FUI851975 FKM851963:FKM851975 FAQ851963:FAQ851975 EQU851963:EQU851975 EGY851963:EGY851975 DXC851963:DXC851975 DNG851963:DNG851975 DDK851963:DDK851975 CTO851963:CTO851975 CJS851963:CJS851975 BZW851963:BZW851975 BQA851963:BQA851975 BGE851963:BGE851975 AWI851963:AWI851975 AMM851963:AMM851975 ACQ851963:ACQ851975 SU851963:SU851975 IY851963:IY851975 C851963:C851975 WVK786427:WVK786439 WLO786427:WLO786439 WBS786427:WBS786439 VRW786427:VRW786439 VIA786427:VIA786439 UYE786427:UYE786439 UOI786427:UOI786439 UEM786427:UEM786439 TUQ786427:TUQ786439 TKU786427:TKU786439 TAY786427:TAY786439 SRC786427:SRC786439 SHG786427:SHG786439 RXK786427:RXK786439 RNO786427:RNO786439 RDS786427:RDS786439 QTW786427:QTW786439 QKA786427:QKA786439 QAE786427:QAE786439 PQI786427:PQI786439 PGM786427:PGM786439 OWQ786427:OWQ786439 OMU786427:OMU786439 OCY786427:OCY786439 NTC786427:NTC786439 NJG786427:NJG786439 MZK786427:MZK786439 MPO786427:MPO786439 MFS786427:MFS786439 LVW786427:LVW786439 LMA786427:LMA786439 LCE786427:LCE786439 KSI786427:KSI786439 KIM786427:KIM786439 JYQ786427:JYQ786439 JOU786427:JOU786439 JEY786427:JEY786439 IVC786427:IVC786439 ILG786427:ILG786439 IBK786427:IBK786439 HRO786427:HRO786439 HHS786427:HHS786439 GXW786427:GXW786439 GOA786427:GOA786439 GEE786427:GEE786439 FUI786427:FUI786439 FKM786427:FKM786439 FAQ786427:FAQ786439 EQU786427:EQU786439 EGY786427:EGY786439 DXC786427:DXC786439 DNG786427:DNG786439 DDK786427:DDK786439 CTO786427:CTO786439 CJS786427:CJS786439 BZW786427:BZW786439 BQA786427:BQA786439 BGE786427:BGE786439 AWI786427:AWI786439 AMM786427:AMM786439 ACQ786427:ACQ786439 SU786427:SU786439 IY786427:IY786439 C786427:C786439 WVK720891:WVK720903 WLO720891:WLO720903 WBS720891:WBS720903 VRW720891:VRW720903 VIA720891:VIA720903 UYE720891:UYE720903 UOI720891:UOI720903 UEM720891:UEM720903 TUQ720891:TUQ720903 TKU720891:TKU720903 TAY720891:TAY720903 SRC720891:SRC720903 SHG720891:SHG720903 RXK720891:RXK720903 RNO720891:RNO720903 RDS720891:RDS720903 QTW720891:QTW720903 QKA720891:QKA720903 QAE720891:QAE720903 PQI720891:PQI720903 PGM720891:PGM720903 OWQ720891:OWQ720903 OMU720891:OMU720903 OCY720891:OCY720903 NTC720891:NTC720903 NJG720891:NJG720903 MZK720891:MZK720903 MPO720891:MPO720903 MFS720891:MFS720903 LVW720891:LVW720903 LMA720891:LMA720903 LCE720891:LCE720903 KSI720891:KSI720903 KIM720891:KIM720903 JYQ720891:JYQ720903 JOU720891:JOU720903 JEY720891:JEY720903 IVC720891:IVC720903 ILG720891:ILG720903 IBK720891:IBK720903 HRO720891:HRO720903 HHS720891:HHS720903 GXW720891:GXW720903 GOA720891:GOA720903 GEE720891:GEE720903 FUI720891:FUI720903 FKM720891:FKM720903 FAQ720891:FAQ720903 EQU720891:EQU720903 EGY720891:EGY720903 DXC720891:DXC720903 DNG720891:DNG720903 DDK720891:DDK720903 CTO720891:CTO720903 CJS720891:CJS720903 BZW720891:BZW720903 BQA720891:BQA720903 BGE720891:BGE720903 AWI720891:AWI720903 AMM720891:AMM720903 ACQ720891:ACQ720903 SU720891:SU720903 IY720891:IY720903 C720891:C720903 WVK655355:WVK655367 WLO655355:WLO655367 WBS655355:WBS655367 VRW655355:VRW655367 VIA655355:VIA655367 UYE655355:UYE655367 UOI655355:UOI655367 UEM655355:UEM655367 TUQ655355:TUQ655367 TKU655355:TKU655367 TAY655355:TAY655367 SRC655355:SRC655367 SHG655355:SHG655367 RXK655355:RXK655367 RNO655355:RNO655367 RDS655355:RDS655367 QTW655355:QTW655367 QKA655355:QKA655367 QAE655355:QAE655367 PQI655355:PQI655367 PGM655355:PGM655367 OWQ655355:OWQ655367 OMU655355:OMU655367 OCY655355:OCY655367 NTC655355:NTC655367 NJG655355:NJG655367 MZK655355:MZK655367 MPO655355:MPO655367 MFS655355:MFS655367 LVW655355:LVW655367 LMA655355:LMA655367 LCE655355:LCE655367 KSI655355:KSI655367 KIM655355:KIM655367 JYQ655355:JYQ655367 JOU655355:JOU655367 JEY655355:JEY655367 IVC655355:IVC655367 ILG655355:ILG655367 IBK655355:IBK655367 HRO655355:HRO655367 HHS655355:HHS655367 GXW655355:GXW655367 GOA655355:GOA655367 GEE655355:GEE655367 FUI655355:FUI655367 FKM655355:FKM655367 FAQ655355:FAQ655367 EQU655355:EQU655367 EGY655355:EGY655367 DXC655355:DXC655367 DNG655355:DNG655367 DDK655355:DDK655367 CTO655355:CTO655367 CJS655355:CJS655367 BZW655355:BZW655367 BQA655355:BQA655367 BGE655355:BGE655367 AWI655355:AWI655367 AMM655355:AMM655367 ACQ655355:ACQ655367 SU655355:SU655367 IY655355:IY655367 C655355:C655367 WVK589819:WVK589831 WLO589819:WLO589831 WBS589819:WBS589831 VRW589819:VRW589831 VIA589819:VIA589831 UYE589819:UYE589831 UOI589819:UOI589831 UEM589819:UEM589831 TUQ589819:TUQ589831 TKU589819:TKU589831 TAY589819:TAY589831 SRC589819:SRC589831 SHG589819:SHG589831 RXK589819:RXK589831 RNO589819:RNO589831 RDS589819:RDS589831 QTW589819:QTW589831 QKA589819:QKA589831 QAE589819:QAE589831 PQI589819:PQI589831 PGM589819:PGM589831 OWQ589819:OWQ589831 OMU589819:OMU589831 OCY589819:OCY589831 NTC589819:NTC589831 NJG589819:NJG589831 MZK589819:MZK589831 MPO589819:MPO589831 MFS589819:MFS589831 LVW589819:LVW589831 LMA589819:LMA589831 LCE589819:LCE589831 KSI589819:KSI589831 KIM589819:KIM589831 JYQ589819:JYQ589831 JOU589819:JOU589831 JEY589819:JEY589831 IVC589819:IVC589831 ILG589819:ILG589831 IBK589819:IBK589831 HRO589819:HRO589831 HHS589819:HHS589831 GXW589819:GXW589831 GOA589819:GOA589831 GEE589819:GEE589831 FUI589819:FUI589831 FKM589819:FKM589831 FAQ589819:FAQ589831 EQU589819:EQU589831 EGY589819:EGY589831 DXC589819:DXC589831 DNG589819:DNG589831 DDK589819:DDK589831 CTO589819:CTO589831 CJS589819:CJS589831 BZW589819:BZW589831 BQA589819:BQA589831 BGE589819:BGE589831 AWI589819:AWI589831 AMM589819:AMM589831 ACQ589819:ACQ589831 SU589819:SU589831 IY589819:IY589831 C589819:C589831 WVK524283:WVK524295 WLO524283:WLO524295 WBS524283:WBS524295 VRW524283:VRW524295 VIA524283:VIA524295 UYE524283:UYE524295 UOI524283:UOI524295 UEM524283:UEM524295 TUQ524283:TUQ524295 TKU524283:TKU524295 TAY524283:TAY524295 SRC524283:SRC524295 SHG524283:SHG524295 RXK524283:RXK524295 RNO524283:RNO524295 RDS524283:RDS524295 QTW524283:QTW524295 QKA524283:QKA524295 QAE524283:QAE524295 PQI524283:PQI524295 PGM524283:PGM524295 OWQ524283:OWQ524295 OMU524283:OMU524295 OCY524283:OCY524295 NTC524283:NTC524295 NJG524283:NJG524295 MZK524283:MZK524295 MPO524283:MPO524295 MFS524283:MFS524295 LVW524283:LVW524295 LMA524283:LMA524295 LCE524283:LCE524295 KSI524283:KSI524295 KIM524283:KIM524295 JYQ524283:JYQ524295 JOU524283:JOU524295 JEY524283:JEY524295 IVC524283:IVC524295 ILG524283:ILG524295 IBK524283:IBK524295 HRO524283:HRO524295 HHS524283:HHS524295 GXW524283:GXW524295 GOA524283:GOA524295 GEE524283:GEE524295 FUI524283:FUI524295 FKM524283:FKM524295 FAQ524283:FAQ524295 EQU524283:EQU524295 EGY524283:EGY524295 DXC524283:DXC524295 DNG524283:DNG524295 DDK524283:DDK524295 CTO524283:CTO524295 CJS524283:CJS524295 BZW524283:BZW524295 BQA524283:BQA524295 BGE524283:BGE524295 AWI524283:AWI524295 AMM524283:AMM524295 ACQ524283:ACQ524295 SU524283:SU524295 IY524283:IY524295 C524283:C524295 WVK458747:WVK458759 WLO458747:WLO458759 WBS458747:WBS458759 VRW458747:VRW458759 VIA458747:VIA458759 UYE458747:UYE458759 UOI458747:UOI458759 UEM458747:UEM458759 TUQ458747:TUQ458759 TKU458747:TKU458759 TAY458747:TAY458759 SRC458747:SRC458759 SHG458747:SHG458759 RXK458747:RXK458759 RNO458747:RNO458759 RDS458747:RDS458759 QTW458747:QTW458759 QKA458747:QKA458759 QAE458747:QAE458759 PQI458747:PQI458759 PGM458747:PGM458759 OWQ458747:OWQ458759 OMU458747:OMU458759 OCY458747:OCY458759 NTC458747:NTC458759 NJG458747:NJG458759 MZK458747:MZK458759 MPO458747:MPO458759 MFS458747:MFS458759 LVW458747:LVW458759 LMA458747:LMA458759 LCE458747:LCE458759 KSI458747:KSI458759 KIM458747:KIM458759 JYQ458747:JYQ458759 JOU458747:JOU458759 JEY458747:JEY458759 IVC458747:IVC458759 ILG458747:ILG458759 IBK458747:IBK458759 HRO458747:HRO458759 HHS458747:HHS458759 GXW458747:GXW458759 GOA458747:GOA458759 GEE458747:GEE458759 FUI458747:FUI458759 FKM458747:FKM458759 FAQ458747:FAQ458759 EQU458747:EQU458759 EGY458747:EGY458759 DXC458747:DXC458759 DNG458747:DNG458759 DDK458747:DDK458759 CTO458747:CTO458759 CJS458747:CJS458759 BZW458747:BZW458759 BQA458747:BQA458759 BGE458747:BGE458759 AWI458747:AWI458759 AMM458747:AMM458759 ACQ458747:ACQ458759 SU458747:SU458759 IY458747:IY458759 C458747:C458759 WVK393211:WVK393223 WLO393211:WLO393223 WBS393211:WBS393223 VRW393211:VRW393223 VIA393211:VIA393223 UYE393211:UYE393223 UOI393211:UOI393223 UEM393211:UEM393223 TUQ393211:TUQ393223 TKU393211:TKU393223 TAY393211:TAY393223 SRC393211:SRC393223 SHG393211:SHG393223 RXK393211:RXK393223 RNO393211:RNO393223 RDS393211:RDS393223 QTW393211:QTW393223 QKA393211:QKA393223 QAE393211:QAE393223 PQI393211:PQI393223 PGM393211:PGM393223 OWQ393211:OWQ393223 OMU393211:OMU393223 OCY393211:OCY393223 NTC393211:NTC393223 NJG393211:NJG393223 MZK393211:MZK393223 MPO393211:MPO393223 MFS393211:MFS393223 LVW393211:LVW393223 LMA393211:LMA393223 LCE393211:LCE393223 KSI393211:KSI393223 KIM393211:KIM393223 JYQ393211:JYQ393223 JOU393211:JOU393223 JEY393211:JEY393223 IVC393211:IVC393223 ILG393211:ILG393223 IBK393211:IBK393223 HRO393211:HRO393223 HHS393211:HHS393223 GXW393211:GXW393223 GOA393211:GOA393223 GEE393211:GEE393223 FUI393211:FUI393223 FKM393211:FKM393223 FAQ393211:FAQ393223 EQU393211:EQU393223 EGY393211:EGY393223 DXC393211:DXC393223 DNG393211:DNG393223 DDK393211:DDK393223 CTO393211:CTO393223 CJS393211:CJS393223 BZW393211:BZW393223 BQA393211:BQA393223 BGE393211:BGE393223 AWI393211:AWI393223 AMM393211:AMM393223 ACQ393211:ACQ393223 SU393211:SU393223 IY393211:IY393223 C393211:C393223 WVK327675:WVK327687 WLO327675:WLO327687 WBS327675:WBS327687 VRW327675:VRW327687 VIA327675:VIA327687 UYE327675:UYE327687 UOI327675:UOI327687 UEM327675:UEM327687 TUQ327675:TUQ327687 TKU327675:TKU327687 TAY327675:TAY327687 SRC327675:SRC327687 SHG327675:SHG327687 RXK327675:RXK327687 RNO327675:RNO327687 RDS327675:RDS327687 QTW327675:QTW327687 QKA327675:QKA327687 QAE327675:QAE327687 PQI327675:PQI327687 PGM327675:PGM327687 OWQ327675:OWQ327687 OMU327675:OMU327687 OCY327675:OCY327687 NTC327675:NTC327687 NJG327675:NJG327687 MZK327675:MZK327687 MPO327675:MPO327687 MFS327675:MFS327687 LVW327675:LVW327687 LMA327675:LMA327687 LCE327675:LCE327687 KSI327675:KSI327687 KIM327675:KIM327687 JYQ327675:JYQ327687 JOU327675:JOU327687 JEY327675:JEY327687 IVC327675:IVC327687 ILG327675:ILG327687 IBK327675:IBK327687 HRO327675:HRO327687 HHS327675:HHS327687 GXW327675:GXW327687 GOA327675:GOA327687 GEE327675:GEE327687 FUI327675:FUI327687 FKM327675:FKM327687 FAQ327675:FAQ327687 EQU327675:EQU327687 EGY327675:EGY327687 DXC327675:DXC327687 DNG327675:DNG327687 DDK327675:DDK327687 CTO327675:CTO327687 CJS327675:CJS327687 BZW327675:BZW327687 BQA327675:BQA327687 BGE327675:BGE327687 AWI327675:AWI327687 AMM327675:AMM327687 ACQ327675:ACQ327687 SU327675:SU327687 IY327675:IY327687 C327675:C327687 WVK262139:WVK262151 WLO262139:WLO262151 WBS262139:WBS262151 VRW262139:VRW262151 VIA262139:VIA262151 UYE262139:UYE262151 UOI262139:UOI262151 UEM262139:UEM262151 TUQ262139:TUQ262151 TKU262139:TKU262151 TAY262139:TAY262151 SRC262139:SRC262151 SHG262139:SHG262151 RXK262139:RXK262151 RNO262139:RNO262151 RDS262139:RDS262151 QTW262139:QTW262151 QKA262139:QKA262151 QAE262139:QAE262151 PQI262139:PQI262151 PGM262139:PGM262151 OWQ262139:OWQ262151 OMU262139:OMU262151 OCY262139:OCY262151 NTC262139:NTC262151 NJG262139:NJG262151 MZK262139:MZK262151 MPO262139:MPO262151 MFS262139:MFS262151 LVW262139:LVW262151 LMA262139:LMA262151 LCE262139:LCE262151 KSI262139:KSI262151 KIM262139:KIM262151 JYQ262139:JYQ262151 JOU262139:JOU262151 JEY262139:JEY262151 IVC262139:IVC262151 ILG262139:ILG262151 IBK262139:IBK262151 HRO262139:HRO262151 HHS262139:HHS262151 GXW262139:GXW262151 GOA262139:GOA262151 GEE262139:GEE262151 FUI262139:FUI262151 FKM262139:FKM262151 FAQ262139:FAQ262151 EQU262139:EQU262151 EGY262139:EGY262151 DXC262139:DXC262151 DNG262139:DNG262151 DDK262139:DDK262151 CTO262139:CTO262151 CJS262139:CJS262151 BZW262139:BZW262151 BQA262139:BQA262151 BGE262139:BGE262151 AWI262139:AWI262151 AMM262139:AMM262151 ACQ262139:ACQ262151 SU262139:SU262151 IY262139:IY262151 C262139:C262151 WVK196603:WVK196615 WLO196603:WLO196615 WBS196603:WBS196615 VRW196603:VRW196615 VIA196603:VIA196615 UYE196603:UYE196615 UOI196603:UOI196615 UEM196603:UEM196615 TUQ196603:TUQ196615 TKU196603:TKU196615 TAY196603:TAY196615 SRC196603:SRC196615 SHG196603:SHG196615 RXK196603:RXK196615 RNO196603:RNO196615 RDS196603:RDS196615 QTW196603:QTW196615 QKA196603:QKA196615 QAE196603:QAE196615 PQI196603:PQI196615 PGM196603:PGM196615 OWQ196603:OWQ196615 OMU196603:OMU196615 OCY196603:OCY196615 NTC196603:NTC196615 NJG196603:NJG196615 MZK196603:MZK196615 MPO196603:MPO196615 MFS196603:MFS196615 LVW196603:LVW196615 LMA196603:LMA196615 LCE196603:LCE196615 KSI196603:KSI196615 KIM196603:KIM196615 JYQ196603:JYQ196615 JOU196603:JOU196615 JEY196603:JEY196615 IVC196603:IVC196615 ILG196603:ILG196615 IBK196603:IBK196615 HRO196603:HRO196615 HHS196603:HHS196615 GXW196603:GXW196615 GOA196603:GOA196615 GEE196603:GEE196615 FUI196603:FUI196615 FKM196603:FKM196615 FAQ196603:FAQ196615 EQU196603:EQU196615 EGY196603:EGY196615 DXC196603:DXC196615 DNG196603:DNG196615 DDK196603:DDK196615 CTO196603:CTO196615 CJS196603:CJS196615 BZW196603:BZW196615 BQA196603:BQA196615 BGE196603:BGE196615 AWI196603:AWI196615 AMM196603:AMM196615 ACQ196603:ACQ196615 SU196603:SU196615 IY196603:IY196615 C196603:C196615 WVK131067:WVK131079 WLO131067:WLO131079 WBS131067:WBS131079 VRW131067:VRW131079 VIA131067:VIA131079 UYE131067:UYE131079 UOI131067:UOI131079 UEM131067:UEM131079 TUQ131067:TUQ131079 TKU131067:TKU131079 TAY131067:TAY131079 SRC131067:SRC131079 SHG131067:SHG131079 RXK131067:RXK131079 RNO131067:RNO131079 RDS131067:RDS131079 QTW131067:QTW131079 QKA131067:QKA131079 QAE131067:QAE131079 PQI131067:PQI131079 PGM131067:PGM131079 OWQ131067:OWQ131079 OMU131067:OMU131079 OCY131067:OCY131079 NTC131067:NTC131079 NJG131067:NJG131079 MZK131067:MZK131079 MPO131067:MPO131079 MFS131067:MFS131079 LVW131067:LVW131079 LMA131067:LMA131079 LCE131067:LCE131079 KSI131067:KSI131079 KIM131067:KIM131079 JYQ131067:JYQ131079 JOU131067:JOU131079 JEY131067:JEY131079 IVC131067:IVC131079 ILG131067:ILG131079 IBK131067:IBK131079 HRO131067:HRO131079 HHS131067:HHS131079 GXW131067:GXW131079 GOA131067:GOA131079 GEE131067:GEE131079 FUI131067:FUI131079 FKM131067:FKM131079 FAQ131067:FAQ131079 EQU131067:EQU131079 EGY131067:EGY131079 DXC131067:DXC131079 DNG131067:DNG131079 DDK131067:DDK131079 CTO131067:CTO131079 CJS131067:CJS131079 BZW131067:BZW131079 BQA131067:BQA131079 BGE131067:BGE131079 AWI131067:AWI131079 AMM131067:AMM131079 ACQ131067:ACQ131079 SU131067:SU131079 IY131067:IY131079 C131067:C131079 WVK65531:WVK65543 WLO65531:WLO65543 WBS65531:WBS65543 VRW65531:VRW65543 VIA65531:VIA65543 UYE65531:UYE65543 UOI65531:UOI65543 UEM65531:UEM65543 TUQ65531:TUQ65543 TKU65531:TKU65543 TAY65531:TAY65543 SRC65531:SRC65543 SHG65531:SHG65543 RXK65531:RXK65543 RNO65531:RNO65543 RDS65531:RDS65543 QTW65531:QTW65543 QKA65531:QKA65543 QAE65531:QAE65543 PQI65531:PQI65543 PGM65531:PGM65543 OWQ65531:OWQ65543 OMU65531:OMU65543 OCY65531:OCY65543 NTC65531:NTC65543 NJG65531:NJG65543 MZK65531:MZK65543 MPO65531:MPO65543 MFS65531:MFS65543 LVW65531:LVW65543 LMA65531:LMA65543 LCE65531:LCE65543 KSI65531:KSI65543 KIM65531:KIM65543 JYQ65531:JYQ65543 JOU65531:JOU65543 JEY65531:JEY65543 IVC65531:IVC65543 ILG65531:ILG65543 IBK65531:IBK65543 HRO65531:HRO65543 HHS65531:HHS65543 GXW65531:GXW65543 GOA65531:GOA65543 GEE65531:GEE65543 FUI65531:FUI65543 FKM65531:FKM65543 FAQ65531:FAQ65543 EQU65531:EQU65543 EGY65531:EGY65543 DXC65531:DXC65543 DNG65531:DNG65543 DDK65531:DDK65543 CTO65531:CTO65543 CJS65531:CJS65543 BZW65531:BZW65543 BQA65531:BQA65543 BGE65531:BGE65543 AWI65531:AWI65543 AMM65531:AMM65543 ACQ65531:ACQ65543 SU65531:SU65543 IY65531:IY65543 C65531:C65543 C4:C11" xr:uid="{00000000-0002-0000-0100-000000000000}">
      <formula1>$A$14:$A$16</formula1>
    </dataValidation>
  </dataValidations>
  <printOptions headings="1"/>
  <pageMargins left="0.78740157499999996" right="0.78740157499999996" top="0.984251969" bottom="0.984251969" header="0.4921259845" footer="0.4921259845"/>
  <pageSetup paperSize="9" orientation="landscape" horizontalDpi="4294967293" verticalDpi="0" r:id="rId1"/>
  <headerFooter alignWithMargins="0"/>
  <drawing r:id="rId2"/>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AC6470-DBDC-4F28-B2D3-07E1984B1827}">
  <dimension ref="A1:G16"/>
  <sheetViews>
    <sheetView workbookViewId="0">
      <selection activeCell="C22" sqref="C22"/>
    </sheetView>
  </sheetViews>
  <sheetFormatPr baseColWidth="10" defaultRowHeight="15.6"/>
  <cols>
    <col min="1" max="1" width="11.5546875" style="245"/>
    <col min="2" max="2" width="8.6640625" style="245" customWidth="1"/>
    <col min="3" max="3" width="28.88671875" style="245" customWidth="1"/>
    <col min="4" max="4" width="11.5546875" style="245"/>
    <col min="5" max="5" width="6.88671875" style="245" bestFit="1" customWidth="1"/>
    <col min="6" max="257" width="11.5546875" style="245"/>
    <col min="258" max="258" width="5.5546875" style="245" customWidth="1"/>
    <col min="259" max="260" width="11.5546875" style="245"/>
    <col min="261" max="261" width="6.88671875" style="245" bestFit="1" customWidth="1"/>
    <col min="262" max="513" width="11.5546875" style="245"/>
    <col min="514" max="514" width="5.5546875" style="245" customWidth="1"/>
    <col min="515" max="516" width="11.5546875" style="245"/>
    <col min="517" max="517" width="6.88671875" style="245" bestFit="1" customWidth="1"/>
    <col min="518" max="769" width="11.5546875" style="245"/>
    <col min="770" max="770" width="5.5546875" style="245" customWidth="1"/>
    <col min="771" max="772" width="11.5546875" style="245"/>
    <col min="773" max="773" width="6.88671875" style="245" bestFit="1" customWidth="1"/>
    <col min="774" max="1025" width="11.5546875" style="245"/>
    <col min="1026" max="1026" width="5.5546875" style="245" customWidth="1"/>
    <col min="1027" max="1028" width="11.5546875" style="245"/>
    <col min="1029" max="1029" width="6.88671875" style="245" bestFit="1" customWidth="1"/>
    <col min="1030" max="1281" width="11.5546875" style="245"/>
    <col min="1282" max="1282" width="5.5546875" style="245" customWidth="1"/>
    <col min="1283" max="1284" width="11.5546875" style="245"/>
    <col min="1285" max="1285" width="6.88671875" style="245" bestFit="1" customWidth="1"/>
    <col min="1286" max="1537" width="11.5546875" style="245"/>
    <col min="1538" max="1538" width="5.5546875" style="245" customWidth="1"/>
    <col min="1539" max="1540" width="11.5546875" style="245"/>
    <col min="1541" max="1541" width="6.88671875" style="245" bestFit="1" customWidth="1"/>
    <col min="1542" max="1793" width="11.5546875" style="245"/>
    <col min="1794" max="1794" width="5.5546875" style="245" customWidth="1"/>
    <col min="1795" max="1796" width="11.5546875" style="245"/>
    <col min="1797" max="1797" width="6.88671875" style="245" bestFit="1" customWidth="1"/>
    <col min="1798" max="2049" width="11.5546875" style="245"/>
    <col min="2050" max="2050" width="5.5546875" style="245" customWidth="1"/>
    <col min="2051" max="2052" width="11.5546875" style="245"/>
    <col min="2053" max="2053" width="6.88671875" style="245" bestFit="1" customWidth="1"/>
    <col min="2054" max="2305" width="11.5546875" style="245"/>
    <col min="2306" max="2306" width="5.5546875" style="245" customWidth="1"/>
    <col min="2307" max="2308" width="11.5546875" style="245"/>
    <col min="2309" max="2309" width="6.88671875" style="245" bestFit="1" customWidth="1"/>
    <col min="2310" max="2561" width="11.5546875" style="245"/>
    <col min="2562" max="2562" width="5.5546875" style="245" customWidth="1"/>
    <col min="2563" max="2564" width="11.5546875" style="245"/>
    <col min="2565" max="2565" width="6.88671875" style="245" bestFit="1" customWidth="1"/>
    <col min="2566" max="2817" width="11.5546875" style="245"/>
    <col min="2818" max="2818" width="5.5546875" style="245" customWidth="1"/>
    <col min="2819" max="2820" width="11.5546875" style="245"/>
    <col min="2821" max="2821" width="6.88671875" style="245" bestFit="1" customWidth="1"/>
    <col min="2822" max="3073" width="11.5546875" style="245"/>
    <col min="3074" max="3074" width="5.5546875" style="245" customWidth="1"/>
    <col min="3075" max="3076" width="11.5546875" style="245"/>
    <col min="3077" max="3077" width="6.88671875" style="245" bestFit="1" customWidth="1"/>
    <col min="3078" max="3329" width="11.5546875" style="245"/>
    <col min="3330" max="3330" width="5.5546875" style="245" customWidth="1"/>
    <col min="3331" max="3332" width="11.5546875" style="245"/>
    <col min="3333" max="3333" width="6.88671875" style="245" bestFit="1" customWidth="1"/>
    <col min="3334" max="3585" width="11.5546875" style="245"/>
    <col min="3586" max="3586" width="5.5546875" style="245" customWidth="1"/>
    <col min="3587" max="3588" width="11.5546875" style="245"/>
    <col min="3589" max="3589" width="6.88671875" style="245" bestFit="1" customWidth="1"/>
    <col min="3590" max="3841" width="11.5546875" style="245"/>
    <col min="3842" max="3842" width="5.5546875" style="245" customWidth="1"/>
    <col min="3843" max="3844" width="11.5546875" style="245"/>
    <col min="3845" max="3845" width="6.88671875" style="245" bestFit="1" customWidth="1"/>
    <col min="3846" max="4097" width="11.5546875" style="245"/>
    <col min="4098" max="4098" width="5.5546875" style="245" customWidth="1"/>
    <col min="4099" max="4100" width="11.5546875" style="245"/>
    <col min="4101" max="4101" width="6.88671875" style="245" bestFit="1" customWidth="1"/>
    <col min="4102" max="4353" width="11.5546875" style="245"/>
    <col min="4354" max="4354" width="5.5546875" style="245" customWidth="1"/>
    <col min="4355" max="4356" width="11.5546875" style="245"/>
    <col min="4357" max="4357" width="6.88671875" style="245" bestFit="1" customWidth="1"/>
    <col min="4358" max="4609" width="11.5546875" style="245"/>
    <col min="4610" max="4610" width="5.5546875" style="245" customWidth="1"/>
    <col min="4611" max="4612" width="11.5546875" style="245"/>
    <col min="4613" max="4613" width="6.88671875" style="245" bestFit="1" customWidth="1"/>
    <col min="4614" max="4865" width="11.5546875" style="245"/>
    <col min="4866" max="4866" width="5.5546875" style="245" customWidth="1"/>
    <col min="4867" max="4868" width="11.5546875" style="245"/>
    <col min="4869" max="4869" width="6.88671875" style="245" bestFit="1" customWidth="1"/>
    <col min="4870" max="5121" width="11.5546875" style="245"/>
    <col min="5122" max="5122" width="5.5546875" style="245" customWidth="1"/>
    <col min="5123" max="5124" width="11.5546875" style="245"/>
    <col min="5125" max="5125" width="6.88671875" style="245" bestFit="1" customWidth="1"/>
    <col min="5126" max="5377" width="11.5546875" style="245"/>
    <col min="5378" max="5378" width="5.5546875" style="245" customWidth="1"/>
    <col min="5379" max="5380" width="11.5546875" style="245"/>
    <col min="5381" max="5381" width="6.88671875" style="245" bestFit="1" customWidth="1"/>
    <col min="5382" max="5633" width="11.5546875" style="245"/>
    <col min="5634" max="5634" width="5.5546875" style="245" customWidth="1"/>
    <col min="5635" max="5636" width="11.5546875" style="245"/>
    <col min="5637" max="5637" width="6.88671875" style="245" bestFit="1" customWidth="1"/>
    <col min="5638" max="5889" width="11.5546875" style="245"/>
    <col min="5890" max="5890" width="5.5546875" style="245" customWidth="1"/>
    <col min="5891" max="5892" width="11.5546875" style="245"/>
    <col min="5893" max="5893" width="6.88671875" style="245" bestFit="1" customWidth="1"/>
    <col min="5894" max="6145" width="11.5546875" style="245"/>
    <col min="6146" max="6146" width="5.5546875" style="245" customWidth="1"/>
    <col min="6147" max="6148" width="11.5546875" style="245"/>
    <col min="6149" max="6149" width="6.88671875" style="245" bestFit="1" customWidth="1"/>
    <col min="6150" max="6401" width="11.5546875" style="245"/>
    <col min="6402" max="6402" width="5.5546875" style="245" customWidth="1"/>
    <col min="6403" max="6404" width="11.5546875" style="245"/>
    <col min="6405" max="6405" width="6.88671875" style="245" bestFit="1" customWidth="1"/>
    <col min="6406" max="6657" width="11.5546875" style="245"/>
    <col min="6658" max="6658" width="5.5546875" style="245" customWidth="1"/>
    <col min="6659" max="6660" width="11.5546875" style="245"/>
    <col min="6661" max="6661" width="6.88671875" style="245" bestFit="1" customWidth="1"/>
    <col min="6662" max="6913" width="11.5546875" style="245"/>
    <col min="6914" max="6914" width="5.5546875" style="245" customWidth="1"/>
    <col min="6915" max="6916" width="11.5546875" style="245"/>
    <col min="6917" max="6917" width="6.88671875" style="245" bestFit="1" customWidth="1"/>
    <col min="6918" max="7169" width="11.5546875" style="245"/>
    <col min="7170" max="7170" width="5.5546875" style="245" customWidth="1"/>
    <col min="7171" max="7172" width="11.5546875" style="245"/>
    <col min="7173" max="7173" width="6.88671875" style="245" bestFit="1" customWidth="1"/>
    <col min="7174" max="7425" width="11.5546875" style="245"/>
    <col min="7426" max="7426" width="5.5546875" style="245" customWidth="1"/>
    <col min="7427" max="7428" width="11.5546875" style="245"/>
    <col min="7429" max="7429" width="6.88671875" style="245" bestFit="1" customWidth="1"/>
    <col min="7430" max="7681" width="11.5546875" style="245"/>
    <col min="7682" max="7682" width="5.5546875" style="245" customWidth="1"/>
    <col min="7683" max="7684" width="11.5546875" style="245"/>
    <col min="7685" max="7685" width="6.88671875" style="245" bestFit="1" customWidth="1"/>
    <col min="7686" max="7937" width="11.5546875" style="245"/>
    <col min="7938" max="7938" width="5.5546875" style="245" customWidth="1"/>
    <col min="7939" max="7940" width="11.5546875" style="245"/>
    <col min="7941" max="7941" width="6.88671875" style="245" bestFit="1" customWidth="1"/>
    <col min="7942" max="8193" width="11.5546875" style="245"/>
    <col min="8194" max="8194" width="5.5546875" style="245" customWidth="1"/>
    <col min="8195" max="8196" width="11.5546875" style="245"/>
    <col min="8197" max="8197" width="6.88671875" style="245" bestFit="1" customWidth="1"/>
    <col min="8198" max="8449" width="11.5546875" style="245"/>
    <col min="8450" max="8450" width="5.5546875" style="245" customWidth="1"/>
    <col min="8451" max="8452" width="11.5546875" style="245"/>
    <col min="8453" max="8453" width="6.88671875" style="245" bestFit="1" customWidth="1"/>
    <col min="8454" max="8705" width="11.5546875" style="245"/>
    <col min="8706" max="8706" width="5.5546875" style="245" customWidth="1"/>
    <col min="8707" max="8708" width="11.5546875" style="245"/>
    <col min="8709" max="8709" width="6.88671875" style="245" bestFit="1" customWidth="1"/>
    <col min="8710" max="8961" width="11.5546875" style="245"/>
    <col min="8962" max="8962" width="5.5546875" style="245" customWidth="1"/>
    <col min="8963" max="8964" width="11.5546875" style="245"/>
    <col min="8965" max="8965" width="6.88671875" style="245" bestFit="1" customWidth="1"/>
    <col min="8966" max="9217" width="11.5546875" style="245"/>
    <col min="9218" max="9218" width="5.5546875" style="245" customWidth="1"/>
    <col min="9219" max="9220" width="11.5546875" style="245"/>
    <col min="9221" max="9221" width="6.88671875" style="245" bestFit="1" customWidth="1"/>
    <col min="9222" max="9473" width="11.5546875" style="245"/>
    <col min="9474" max="9474" width="5.5546875" style="245" customWidth="1"/>
    <col min="9475" max="9476" width="11.5546875" style="245"/>
    <col min="9477" max="9477" width="6.88671875" style="245" bestFit="1" customWidth="1"/>
    <col min="9478" max="9729" width="11.5546875" style="245"/>
    <col min="9730" max="9730" width="5.5546875" style="245" customWidth="1"/>
    <col min="9731" max="9732" width="11.5546875" style="245"/>
    <col min="9733" max="9733" width="6.88671875" style="245" bestFit="1" customWidth="1"/>
    <col min="9734" max="9985" width="11.5546875" style="245"/>
    <col min="9986" max="9986" width="5.5546875" style="245" customWidth="1"/>
    <col min="9987" max="9988" width="11.5546875" style="245"/>
    <col min="9989" max="9989" width="6.88671875" style="245" bestFit="1" customWidth="1"/>
    <col min="9990" max="10241" width="11.5546875" style="245"/>
    <col min="10242" max="10242" width="5.5546875" style="245" customWidth="1"/>
    <col min="10243" max="10244" width="11.5546875" style="245"/>
    <col min="10245" max="10245" width="6.88671875" style="245" bestFit="1" customWidth="1"/>
    <col min="10246" max="10497" width="11.5546875" style="245"/>
    <col min="10498" max="10498" width="5.5546875" style="245" customWidth="1"/>
    <col min="10499" max="10500" width="11.5546875" style="245"/>
    <col min="10501" max="10501" width="6.88671875" style="245" bestFit="1" customWidth="1"/>
    <col min="10502" max="10753" width="11.5546875" style="245"/>
    <col min="10754" max="10754" width="5.5546875" style="245" customWidth="1"/>
    <col min="10755" max="10756" width="11.5546875" style="245"/>
    <col min="10757" max="10757" width="6.88671875" style="245" bestFit="1" customWidth="1"/>
    <col min="10758" max="11009" width="11.5546875" style="245"/>
    <col min="11010" max="11010" width="5.5546875" style="245" customWidth="1"/>
    <col min="11011" max="11012" width="11.5546875" style="245"/>
    <col min="11013" max="11013" width="6.88671875" style="245" bestFit="1" customWidth="1"/>
    <col min="11014" max="11265" width="11.5546875" style="245"/>
    <col min="11266" max="11266" width="5.5546875" style="245" customWidth="1"/>
    <col min="11267" max="11268" width="11.5546875" style="245"/>
    <col min="11269" max="11269" width="6.88671875" style="245" bestFit="1" customWidth="1"/>
    <col min="11270" max="11521" width="11.5546875" style="245"/>
    <col min="11522" max="11522" width="5.5546875" style="245" customWidth="1"/>
    <col min="11523" max="11524" width="11.5546875" style="245"/>
    <col min="11525" max="11525" width="6.88671875" style="245" bestFit="1" customWidth="1"/>
    <col min="11526" max="11777" width="11.5546875" style="245"/>
    <col min="11778" max="11778" width="5.5546875" style="245" customWidth="1"/>
    <col min="11779" max="11780" width="11.5546875" style="245"/>
    <col min="11781" max="11781" width="6.88671875" style="245" bestFit="1" customWidth="1"/>
    <col min="11782" max="12033" width="11.5546875" style="245"/>
    <col min="12034" max="12034" width="5.5546875" style="245" customWidth="1"/>
    <col min="12035" max="12036" width="11.5546875" style="245"/>
    <col min="12037" max="12037" width="6.88671875" style="245" bestFit="1" customWidth="1"/>
    <col min="12038" max="12289" width="11.5546875" style="245"/>
    <col min="12290" max="12290" width="5.5546875" style="245" customWidth="1"/>
    <col min="12291" max="12292" width="11.5546875" style="245"/>
    <col min="12293" max="12293" width="6.88671875" style="245" bestFit="1" customWidth="1"/>
    <col min="12294" max="12545" width="11.5546875" style="245"/>
    <col min="12546" max="12546" width="5.5546875" style="245" customWidth="1"/>
    <col min="12547" max="12548" width="11.5546875" style="245"/>
    <col min="12549" max="12549" width="6.88671875" style="245" bestFit="1" customWidth="1"/>
    <col min="12550" max="12801" width="11.5546875" style="245"/>
    <col min="12802" max="12802" width="5.5546875" style="245" customWidth="1"/>
    <col min="12803" max="12804" width="11.5546875" style="245"/>
    <col min="12805" max="12805" width="6.88671875" style="245" bestFit="1" customWidth="1"/>
    <col min="12806" max="13057" width="11.5546875" style="245"/>
    <col min="13058" max="13058" width="5.5546875" style="245" customWidth="1"/>
    <col min="13059" max="13060" width="11.5546875" style="245"/>
    <col min="13061" max="13061" width="6.88671875" style="245" bestFit="1" customWidth="1"/>
    <col min="13062" max="13313" width="11.5546875" style="245"/>
    <col min="13314" max="13314" width="5.5546875" style="245" customWidth="1"/>
    <col min="13315" max="13316" width="11.5546875" style="245"/>
    <col min="13317" max="13317" width="6.88671875" style="245" bestFit="1" customWidth="1"/>
    <col min="13318" max="13569" width="11.5546875" style="245"/>
    <col min="13570" max="13570" width="5.5546875" style="245" customWidth="1"/>
    <col min="13571" max="13572" width="11.5546875" style="245"/>
    <col min="13573" max="13573" width="6.88671875" style="245" bestFit="1" customWidth="1"/>
    <col min="13574" max="13825" width="11.5546875" style="245"/>
    <col min="13826" max="13826" width="5.5546875" style="245" customWidth="1"/>
    <col min="13827" max="13828" width="11.5546875" style="245"/>
    <col min="13829" max="13829" width="6.88671875" style="245" bestFit="1" customWidth="1"/>
    <col min="13830" max="14081" width="11.5546875" style="245"/>
    <col min="14082" max="14082" width="5.5546875" style="245" customWidth="1"/>
    <col min="14083" max="14084" width="11.5546875" style="245"/>
    <col min="14085" max="14085" width="6.88671875" style="245" bestFit="1" customWidth="1"/>
    <col min="14086" max="14337" width="11.5546875" style="245"/>
    <col min="14338" max="14338" width="5.5546875" style="245" customWidth="1"/>
    <col min="14339" max="14340" width="11.5546875" style="245"/>
    <col min="14341" max="14341" width="6.88671875" style="245" bestFit="1" customWidth="1"/>
    <col min="14342" max="14593" width="11.5546875" style="245"/>
    <col min="14594" max="14594" width="5.5546875" style="245" customWidth="1"/>
    <col min="14595" max="14596" width="11.5546875" style="245"/>
    <col min="14597" max="14597" width="6.88671875" style="245" bestFit="1" customWidth="1"/>
    <col min="14598" max="14849" width="11.5546875" style="245"/>
    <col min="14850" max="14850" width="5.5546875" style="245" customWidth="1"/>
    <col min="14851" max="14852" width="11.5546875" style="245"/>
    <col min="14853" max="14853" width="6.88671875" style="245" bestFit="1" customWidth="1"/>
    <col min="14854" max="15105" width="11.5546875" style="245"/>
    <col min="15106" max="15106" width="5.5546875" style="245" customWidth="1"/>
    <col min="15107" max="15108" width="11.5546875" style="245"/>
    <col min="15109" max="15109" width="6.88671875" style="245" bestFit="1" customWidth="1"/>
    <col min="15110" max="15361" width="11.5546875" style="245"/>
    <col min="15362" max="15362" width="5.5546875" style="245" customWidth="1"/>
    <col min="15363" max="15364" width="11.5546875" style="245"/>
    <col min="15365" max="15365" width="6.88671875" style="245" bestFit="1" customWidth="1"/>
    <col min="15366" max="15617" width="11.5546875" style="245"/>
    <col min="15618" max="15618" width="5.5546875" style="245" customWidth="1"/>
    <col min="15619" max="15620" width="11.5546875" style="245"/>
    <col min="15621" max="15621" width="6.88671875" style="245" bestFit="1" customWidth="1"/>
    <col min="15622" max="15873" width="11.5546875" style="245"/>
    <col min="15874" max="15874" width="5.5546875" style="245" customWidth="1"/>
    <col min="15875" max="15876" width="11.5546875" style="245"/>
    <col min="15877" max="15877" width="6.88671875" style="245" bestFit="1" customWidth="1"/>
    <col min="15878" max="16129" width="11.5546875" style="245"/>
    <col min="16130" max="16130" width="5.5546875" style="245" customWidth="1"/>
    <col min="16131" max="16132" width="11.5546875" style="245"/>
    <col min="16133" max="16133" width="6.88671875" style="245" bestFit="1" customWidth="1"/>
    <col min="16134" max="16384" width="11.5546875" style="245"/>
  </cols>
  <sheetData>
    <row r="1" spans="1:7" ht="48.6" customHeight="1">
      <c r="A1" s="643" t="s">
        <v>353</v>
      </c>
      <c r="B1" s="643"/>
      <c r="C1" s="288" t="s">
        <v>352</v>
      </c>
      <c r="D1" s="288" t="s">
        <v>351</v>
      </c>
    </row>
    <row r="2" spans="1:7">
      <c r="A2" s="251">
        <v>601</v>
      </c>
      <c r="B2" s="250" t="s">
        <v>341</v>
      </c>
      <c r="C2" s="249">
        <v>62</v>
      </c>
      <c r="D2" s="285" cm="1">
        <f t="array" ref="D2:D12">clientok-moyengé</f>
        <v>7.8181818181818201</v>
      </c>
      <c r="F2" s="287"/>
    </row>
    <row r="3" spans="1:7">
      <c r="A3" s="286">
        <v>601</v>
      </c>
      <c r="B3" s="250" t="s">
        <v>350</v>
      </c>
      <c r="C3" s="249">
        <v>67</v>
      </c>
      <c r="D3" s="285">
        <v>12.81818181818182</v>
      </c>
    </row>
    <row r="4" spans="1:7">
      <c r="A4" s="286">
        <v>602</v>
      </c>
      <c r="B4" s="250" t="s">
        <v>341</v>
      </c>
      <c r="C4" s="249">
        <v>29</v>
      </c>
      <c r="D4" s="285">
        <v>-25.18181818181818</v>
      </c>
    </row>
    <row r="5" spans="1:7">
      <c r="A5" s="286">
        <v>602</v>
      </c>
      <c r="B5" s="250" t="s">
        <v>350</v>
      </c>
      <c r="C5" s="249">
        <v>54</v>
      </c>
      <c r="D5" s="285">
        <v>-0.18181818181817988</v>
      </c>
      <c r="G5"/>
    </row>
    <row r="6" spans="1:7">
      <c r="A6" s="286">
        <v>603</v>
      </c>
      <c r="B6" s="250" t="s">
        <v>341</v>
      </c>
      <c r="C6" s="249">
        <v>56</v>
      </c>
      <c r="D6" s="285">
        <v>1.8181818181818201</v>
      </c>
    </row>
    <row r="7" spans="1:7">
      <c r="A7" s="286">
        <v>603</v>
      </c>
      <c r="B7" s="250" t="s">
        <v>350</v>
      </c>
      <c r="C7" s="249">
        <v>63</v>
      </c>
      <c r="D7" s="285">
        <v>8.8181818181818201</v>
      </c>
    </row>
    <row r="8" spans="1:7">
      <c r="A8" s="286">
        <v>500</v>
      </c>
      <c r="B8" s="250" t="s">
        <v>341</v>
      </c>
      <c r="C8" s="249">
        <v>29</v>
      </c>
      <c r="D8" s="285">
        <v>-25.18181818181818</v>
      </c>
    </row>
    <row r="9" spans="1:7">
      <c r="A9" s="286">
        <v>500</v>
      </c>
      <c r="B9" s="250" t="s">
        <v>350</v>
      </c>
      <c r="C9" s="249">
        <v>76</v>
      </c>
      <c r="D9" s="285">
        <v>21.81818181818182</v>
      </c>
    </row>
    <row r="10" spans="1:7">
      <c r="A10" s="286">
        <v>820</v>
      </c>
      <c r="B10" s="250" t="s">
        <v>341</v>
      </c>
      <c r="C10" s="249">
        <v>45</v>
      </c>
      <c r="D10" s="285">
        <v>-9.1818181818181799</v>
      </c>
    </row>
    <row r="11" spans="1:7">
      <c r="A11" s="286">
        <v>820</v>
      </c>
      <c r="B11" s="250" t="s">
        <v>350</v>
      </c>
      <c r="C11" s="249">
        <v>65</v>
      </c>
      <c r="D11" s="285">
        <v>10.81818181818182</v>
      </c>
    </row>
    <row r="12" spans="1:7" ht="16.2" thickBot="1">
      <c r="A12" s="284">
        <v>750</v>
      </c>
      <c r="B12" s="283" t="s">
        <v>350</v>
      </c>
      <c r="C12" s="282">
        <v>50</v>
      </c>
      <c r="D12" s="281">
        <v>-4.1818181818181799</v>
      </c>
    </row>
    <row r="13" spans="1:7" ht="16.2" thickBot="1"/>
    <row r="14" spans="1:7" ht="16.2" thickBot="1">
      <c r="A14" s="644" t="s">
        <v>349</v>
      </c>
      <c r="B14" s="645"/>
      <c r="C14" s="279">
        <f>AVERAGEIF(carburant,"E",clientok)</f>
        <v>44.2</v>
      </c>
      <c r="D14" s="280"/>
    </row>
    <row r="15" spans="1:7">
      <c r="A15" s="646" t="s">
        <v>348</v>
      </c>
      <c r="B15" s="647"/>
      <c r="C15" s="279">
        <f>AVERAGEIF(carburant,"D",clientok)</f>
        <v>62.5</v>
      </c>
      <c r="D15" s="278"/>
    </row>
    <row r="16" spans="1:7" ht="16.2" thickBot="1">
      <c r="A16" s="648" t="s">
        <v>347</v>
      </c>
      <c r="B16" s="649"/>
      <c r="C16" s="277">
        <f>AVERAGE(clientok)</f>
        <v>54.18181818181818</v>
      </c>
      <c r="D16" s="276"/>
    </row>
  </sheetData>
  <mergeCells count="4">
    <mergeCell ref="A1:B1"/>
    <mergeCell ref="A14:B14"/>
    <mergeCell ref="A15:B15"/>
    <mergeCell ref="A16:B16"/>
  </mergeCells>
  <conditionalFormatting sqref="D2:D12">
    <cfRule type="cellIs" dxfId="21" priority="1" operator="lessThan">
      <formula>0</formula>
    </cfRule>
  </conditionalFormatting>
  <printOptions headings="1"/>
  <pageMargins left="0.78740157499999996" right="0.78740157499999996" top="0.984251969" bottom="0.984251969" header="0.4921259845" footer="0.4921259845"/>
  <pageSetup paperSize="9" orientation="landscape" horizontalDpi="4294967293" r:id="rId1"/>
  <headerFooter alignWithMargins="0"/>
  <drawing r:id="rId2"/>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34F799-7587-43B0-AB36-67DDB52C69B5}">
  <dimension ref="A1:K17"/>
  <sheetViews>
    <sheetView zoomScaleNormal="100" workbookViewId="0">
      <selection activeCell="A26" sqref="A26"/>
    </sheetView>
  </sheetViews>
  <sheetFormatPr baseColWidth="10" defaultRowHeight="14.4"/>
  <cols>
    <col min="1" max="1" width="28.33203125" style="103" bestFit="1" customWidth="1"/>
    <col min="2" max="2" width="7.77734375" style="103" bestFit="1" customWidth="1"/>
    <col min="3" max="3" width="8" style="103" bestFit="1" customWidth="1"/>
    <col min="4" max="4" width="8.33203125" style="103" bestFit="1" customWidth="1"/>
    <col min="5" max="5" width="5.33203125" style="103" bestFit="1" customWidth="1"/>
    <col min="6" max="6" width="7.33203125" style="103" bestFit="1" customWidth="1"/>
    <col min="7" max="7" width="5.6640625" style="103" bestFit="1" customWidth="1"/>
    <col min="8" max="8" width="6.33203125" style="103" bestFit="1" customWidth="1"/>
    <col min="9" max="10" width="9.109375" style="103" bestFit="1" customWidth="1"/>
    <col min="11" max="11" width="9" style="103" bestFit="1" customWidth="1"/>
    <col min="12" max="12" width="28.5546875" style="103" bestFit="1" customWidth="1"/>
    <col min="13" max="256" width="11.5546875" style="103"/>
    <col min="257" max="257" width="14.109375" style="103" bestFit="1" customWidth="1"/>
    <col min="258" max="265" width="8.6640625" style="103" bestFit="1" customWidth="1"/>
    <col min="266" max="266" width="12.5546875" style="103" bestFit="1" customWidth="1"/>
    <col min="267" max="267" width="13.109375" style="103" bestFit="1" customWidth="1"/>
    <col min="268" max="512" width="11.5546875" style="103"/>
    <col min="513" max="513" width="14.109375" style="103" bestFit="1" customWidth="1"/>
    <col min="514" max="521" width="8.6640625" style="103" bestFit="1" customWidth="1"/>
    <col min="522" max="522" width="12.5546875" style="103" bestFit="1" customWidth="1"/>
    <col min="523" max="523" width="13.109375" style="103" bestFit="1" customWidth="1"/>
    <col min="524" max="768" width="11.5546875" style="103"/>
    <col min="769" max="769" width="14.109375" style="103" bestFit="1" customWidth="1"/>
    <col min="770" max="777" width="8.6640625" style="103" bestFit="1" customWidth="1"/>
    <col min="778" max="778" width="12.5546875" style="103" bestFit="1" customWidth="1"/>
    <col min="779" max="779" width="13.109375" style="103" bestFit="1" customWidth="1"/>
    <col min="780" max="1024" width="11.5546875" style="103"/>
    <col min="1025" max="1025" width="14.109375" style="103" bestFit="1" customWidth="1"/>
    <col min="1026" max="1033" width="8.6640625" style="103" bestFit="1" customWidth="1"/>
    <col min="1034" max="1034" width="12.5546875" style="103" bestFit="1" customWidth="1"/>
    <col min="1035" max="1035" width="13.109375" style="103" bestFit="1" customWidth="1"/>
    <col min="1036" max="1280" width="11.5546875" style="103"/>
    <col min="1281" max="1281" width="14.109375" style="103" bestFit="1" customWidth="1"/>
    <col min="1282" max="1289" width="8.6640625" style="103" bestFit="1" customWidth="1"/>
    <col min="1290" max="1290" width="12.5546875" style="103" bestFit="1" customWidth="1"/>
    <col min="1291" max="1291" width="13.109375" style="103" bestFit="1" customWidth="1"/>
    <col min="1292" max="1536" width="11.5546875" style="103"/>
    <col min="1537" max="1537" width="14.109375" style="103" bestFit="1" customWidth="1"/>
    <col min="1538" max="1545" width="8.6640625" style="103" bestFit="1" customWidth="1"/>
    <col min="1546" max="1546" width="12.5546875" style="103" bestFit="1" customWidth="1"/>
    <col min="1547" max="1547" width="13.109375" style="103" bestFit="1" customWidth="1"/>
    <col min="1548" max="1792" width="11.5546875" style="103"/>
    <col min="1793" max="1793" width="14.109375" style="103" bestFit="1" customWidth="1"/>
    <col min="1794" max="1801" width="8.6640625" style="103" bestFit="1" customWidth="1"/>
    <col min="1802" max="1802" width="12.5546875" style="103" bestFit="1" customWidth="1"/>
    <col min="1803" max="1803" width="13.109375" style="103" bestFit="1" customWidth="1"/>
    <col min="1804" max="2048" width="11.5546875" style="103"/>
    <col min="2049" max="2049" width="14.109375" style="103" bestFit="1" customWidth="1"/>
    <col min="2050" max="2057" width="8.6640625" style="103" bestFit="1" customWidth="1"/>
    <col min="2058" max="2058" width="12.5546875" style="103" bestFit="1" customWidth="1"/>
    <col min="2059" max="2059" width="13.109375" style="103" bestFit="1" customWidth="1"/>
    <col min="2060" max="2304" width="11.5546875" style="103"/>
    <col min="2305" max="2305" width="14.109375" style="103" bestFit="1" customWidth="1"/>
    <col min="2306" max="2313" width="8.6640625" style="103" bestFit="1" customWidth="1"/>
    <col min="2314" max="2314" width="12.5546875" style="103" bestFit="1" customWidth="1"/>
    <col min="2315" max="2315" width="13.109375" style="103" bestFit="1" customWidth="1"/>
    <col min="2316" max="2560" width="11.5546875" style="103"/>
    <col min="2561" max="2561" width="14.109375" style="103" bestFit="1" customWidth="1"/>
    <col min="2562" max="2569" width="8.6640625" style="103" bestFit="1" customWidth="1"/>
    <col min="2570" max="2570" width="12.5546875" style="103" bestFit="1" customWidth="1"/>
    <col min="2571" max="2571" width="13.109375" style="103" bestFit="1" customWidth="1"/>
    <col min="2572" max="2816" width="11.5546875" style="103"/>
    <col min="2817" max="2817" width="14.109375" style="103" bestFit="1" customWidth="1"/>
    <col min="2818" max="2825" width="8.6640625" style="103" bestFit="1" customWidth="1"/>
    <col min="2826" max="2826" width="12.5546875" style="103" bestFit="1" customWidth="1"/>
    <col min="2827" max="2827" width="13.109375" style="103" bestFit="1" customWidth="1"/>
    <col min="2828" max="3072" width="11.5546875" style="103"/>
    <col min="3073" max="3073" width="14.109375" style="103" bestFit="1" customWidth="1"/>
    <col min="3074" max="3081" width="8.6640625" style="103" bestFit="1" customWidth="1"/>
    <col min="3082" max="3082" width="12.5546875" style="103" bestFit="1" customWidth="1"/>
    <col min="3083" max="3083" width="13.109375" style="103" bestFit="1" customWidth="1"/>
    <col min="3084" max="3328" width="11.5546875" style="103"/>
    <col min="3329" max="3329" width="14.109375" style="103" bestFit="1" customWidth="1"/>
    <col min="3330" max="3337" width="8.6640625" style="103" bestFit="1" customWidth="1"/>
    <col min="3338" max="3338" width="12.5546875" style="103" bestFit="1" customWidth="1"/>
    <col min="3339" max="3339" width="13.109375" style="103" bestFit="1" customWidth="1"/>
    <col min="3340" max="3584" width="11.5546875" style="103"/>
    <col min="3585" max="3585" width="14.109375" style="103" bestFit="1" customWidth="1"/>
    <col min="3586" max="3593" width="8.6640625" style="103" bestFit="1" customWidth="1"/>
    <col min="3594" max="3594" width="12.5546875" style="103" bestFit="1" customWidth="1"/>
    <col min="3595" max="3595" width="13.109375" style="103" bestFit="1" customWidth="1"/>
    <col min="3596" max="3840" width="11.5546875" style="103"/>
    <col min="3841" max="3841" width="14.109375" style="103" bestFit="1" customWidth="1"/>
    <col min="3842" max="3849" width="8.6640625" style="103" bestFit="1" customWidth="1"/>
    <col min="3850" max="3850" width="12.5546875" style="103" bestFit="1" customWidth="1"/>
    <col min="3851" max="3851" width="13.109375" style="103" bestFit="1" customWidth="1"/>
    <col min="3852" max="4096" width="11.5546875" style="103"/>
    <col min="4097" max="4097" width="14.109375" style="103" bestFit="1" customWidth="1"/>
    <col min="4098" max="4105" width="8.6640625" style="103" bestFit="1" customWidth="1"/>
    <col min="4106" max="4106" width="12.5546875" style="103" bestFit="1" customWidth="1"/>
    <col min="4107" max="4107" width="13.109375" style="103" bestFit="1" customWidth="1"/>
    <col min="4108" max="4352" width="11.5546875" style="103"/>
    <col min="4353" max="4353" width="14.109375" style="103" bestFit="1" customWidth="1"/>
    <col min="4354" max="4361" width="8.6640625" style="103" bestFit="1" customWidth="1"/>
    <col min="4362" max="4362" width="12.5546875" style="103" bestFit="1" customWidth="1"/>
    <col min="4363" max="4363" width="13.109375" style="103" bestFit="1" customWidth="1"/>
    <col min="4364" max="4608" width="11.5546875" style="103"/>
    <col min="4609" max="4609" width="14.109375" style="103" bestFit="1" customWidth="1"/>
    <col min="4610" max="4617" width="8.6640625" style="103" bestFit="1" customWidth="1"/>
    <col min="4618" max="4618" width="12.5546875" style="103" bestFit="1" customWidth="1"/>
    <col min="4619" max="4619" width="13.109375" style="103" bestFit="1" customWidth="1"/>
    <col min="4620" max="4864" width="11.5546875" style="103"/>
    <col min="4865" max="4865" width="14.109375" style="103" bestFit="1" customWidth="1"/>
    <col min="4866" max="4873" width="8.6640625" style="103" bestFit="1" customWidth="1"/>
    <col min="4874" max="4874" width="12.5546875" style="103" bestFit="1" customWidth="1"/>
    <col min="4875" max="4875" width="13.109375" style="103" bestFit="1" customWidth="1"/>
    <col min="4876" max="5120" width="11.5546875" style="103"/>
    <col min="5121" max="5121" width="14.109375" style="103" bestFit="1" customWidth="1"/>
    <col min="5122" max="5129" width="8.6640625" style="103" bestFit="1" customWidth="1"/>
    <col min="5130" max="5130" width="12.5546875" style="103" bestFit="1" customWidth="1"/>
    <col min="5131" max="5131" width="13.109375" style="103" bestFit="1" customWidth="1"/>
    <col min="5132" max="5376" width="11.5546875" style="103"/>
    <col min="5377" max="5377" width="14.109375" style="103" bestFit="1" customWidth="1"/>
    <col min="5378" max="5385" width="8.6640625" style="103" bestFit="1" customWidth="1"/>
    <col min="5386" max="5386" width="12.5546875" style="103" bestFit="1" customWidth="1"/>
    <col min="5387" max="5387" width="13.109375" style="103" bestFit="1" customWidth="1"/>
    <col min="5388" max="5632" width="11.5546875" style="103"/>
    <col min="5633" max="5633" width="14.109375" style="103" bestFit="1" customWidth="1"/>
    <col min="5634" max="5641" width="8.6640625" style="103" bestFit="1" customWidth="1"/>
    <col min="5642" max="5642" width="12.5546875" style="103" bestFit="1" customWidth="1"/>
    <col min="5643" max="5643" width="13.109375" style="103" bestFit="1" customWidth="1"/>
    <col min="5644" max="5888" width="11.5546875" style="103"/>
    <col min="5889" max="5889" width="14.109375" style="103" bestFit="1" customWidth="1"/>
    <col min="5890" max="5897" width="8.6640625" style="103" bestFit="1" customWidth="1"/>
    <col min="5898" max="5898" width="12.5546875" style="103" bestFit="1" customWidth="1"/>
    <col min="5899" max="5899" width="13.109375" style="103" bestFit="1" customWidth="1"/>
    <col min="5900" max="6144" width="11.5546875" style="103"/>
    <col min="6145" max="6145" width="14.109375" style="103" bestFit="1" customWidth="1"/>
    <col min="6146" max="6153" width="8.6640625" style="103" bestFit="1" customWidth="1"/>
    <col min="6154" max="6154" width="12.5546875" style="103" bestFit="1" customWidth="1"/>
    <col min="6155" max="6155" width="13.109375" style="103" bestFit="1" customWidth="1"/>
    <col min="6156" max="6400" width="11.5546875" style="103"/>
    <col min="6401" max="6401" width="14.109375" style="103" bestFit="1" customWidth="1"/>
    <col min="6402" max="6409" width="8.6640625" style="103" bestFit="1" customWidth="1"/>
    <col min="6410" max="6410" width="12.5546875" style="103" bestFit="1" customWidth="1"/>
    <col min="6411" max="6411" width="13.109375" style="103" bestFit="1" customWidth="1"/>
    <col min="6412" max="6656" width="11.5546875" style="103"/>
    <col min="6657" max="6657" width="14.109375" style="103" bestFit="1" customWidth="1"/>
    <col min="6658" max="6665" width="8.6640625" style="103" bestFit="1" customWidth="1"/>
    <col min="6666" max="6666" width="12.5546875" style="103" bestFit="1" customWidth="1"/>
    <col min="6667" max="6667" width="13.109375" style="103" bestFit="1" customWidth="1"/>
    <col min="6668" max="6912" width="11.5546875" style="103"/>
    <col min="6913" max="6913" width="14.109375" style="103" bestFit="1" customWidth="1"/>
    <col min="6914" max="6921" width="8.6640625" style="103" bestFit="1" customWidth="1"/>
    <col min="6922" max="6922" width="12.5546875" style="103" bestFit="1" customWidth="1"/>
    <col min="6923" max="6923" width="13.109375" style="103" bestFit="1" customWidth="1"/>
    <col min="6924" max="7168" width="11.5546875" style="103"/>
    <col min="7169" max="7169" width="14.109375" style="103" bestFit="1" customWidth="1"/>
    <col min="7170" max="7177" width="8.6640625" style="103" bestFit="1" customWidth="1"/>
    <col min="7178" max="7178" width="12.5546875" style="103" bestFit="1" customWidth="1"/>
    <col min="7179" max="7179" width="13.109375" style="103" bestFit="1" customWidth="1"/>
    <col min="7180" max="7424" width="11.5546875" style="103"/>
    <col min="7425" max="7425" width="14.109375" style="103" bestFit="1" customWidth="1"/>
    <col min="7426" max="7433" width="8.6640625" style="103" bestFit="1" customWidth="1"/>
    <col min="7434" max="7434" width="12.5546875" style="103" bestFit="1" customWidth="1"/>
    <col min="7435" max="7435" width="13.109375" style="103" bestFit="1" customWidth="1"/>
    <col min="7436" max="7680" width="11.5546875" style="103"/>
    <col min="7681" max="7681" width="14.109375" style="103" bestFit="1" customWidth="1"/>
    <col min="7682" max="7689" width="8.6640625" style="103" bestFit="1" customWidth="1"/>
    <col min="7690" max="7690" width="12.5546875" style="103" bestFit="1" customWidth="1"/>
    <col min="7691" max="7691" width="13.109375" style="103" bestFit="1" customWidth="1"/>
    <col min="7692" max="7936" width="11.5546875" style="103"/>
    <col min="7937" max="7937" width="14.109375" style="103" bestFit="1" customWidth="1"/>
    <col min="7938" max="7945" width="8.6640625" style="103" bestFit="1" customWidth="1"/>
    <col min="7946" max="7946" width="12.5546875" style="103" bestFit="1" customWidth="1"/>
    <col min="7947" max="7947" width="13.109375" style="103" bestFit="1" customWidth="1"/>
    <col min="7948" max="8192" width="11.5546875" style="103"/>
    <col min="8193" max="8193" width="14.109375" style="103" bestFit="1" customWidth="1"/>
    <col min="8194" max="8201" width="8.6640625" style="103" bestFit="1" customWidth="1"/>
    <col min="8202" max="8202" width="12.5546875" style="103" bestFit="1" customWidth="1"/>
    <col min="8203" max="8203" width="13.109375" style="103" bestFit="1" customWidth="1"/>
    <col min="8204" max="8448" width="11.5546875" style="103"/>
    <col min="8449" max="8449" width="14.109375" style="103" bestFit="1" customWidth="1"/>
    <col min="8450" max="8457" width="8.6640625" style="103" bestFit="1" customWidth="1"/>
    <col min="8458" max="8458" width="12.5546875" style="103" bestFit="1" customWidth="1"/>
    <col min="8459" max="8459" width="13.109375" style="103" bestFit="1" customWidth="1"/>
    <col min="8460" max="8704" width="11.5546875" style="103"/>
    <col min="8705" max="8705" width="14.109375" style="103" bestFit="1" customWidth="1"/>
    <col min="8706" max="8713" width="8.6640625" style="103" bestFit="1" customWidth="1"/>
    <col min="8714" max="8714" width="12.5546875" style="103" bestFit="1" customWidth="1"/>
    <col min="8715" max="8715" width="13.109375" style="103" bestFit="1" customWidth="1"/>
    <col min="8716" max="8960" width="11.5546875" style="103"/>
    <col min="8961" max="8961" width="14.109375" style="103" bestFit="1" customWidth="1"/>
    <col min="8962" max="8969" width="8.6640625" style="103" bestFit="1" customWidth="1"/>
    <col min="8970" max="8970" width="12.5546875" style="103" bestFit="1" customWidth="1"/>
    <col min="8971" max="8971" width="13.109375" style="103" bestFit="1" customWidth="1"/>
    <col min="8972" max="9216" width="11.5546875" style="103"/>
    <col min="9217" max="9217" width="14.109375" style="103" bestFit="1" customWidth="1"/>
    <col min="9218" max="9225" width="8.6640625" style="103" bestFit="1" customWidth="1"/>
    <col min="9226" max="9226" width="12.5546875" style="103" bestFit="1" customWidth="1"/>
    <col min="9227" max="9227" width="13.109375" style="103" bestFit="1" customWidth="1"/>
    <col min="9228" max="9472" width="11.5546875" style="103"/>
    <col min="9473" max="9473" width="14.109375" style="103" bestFit="1" customWidth="1"/>
    <col min="9474" max="9481" width="8.6640625" style="103" bestFit="1" customWidth="1"/>
    <col min="9482" max="9482" width="12.5546875" style="103" bestFit="1" customWidth="1"/>
    <col min="9483" max="9483" width="13.109375" style="103" bestFit="1" customWidth="1"/>
    <col min="9484" max="9728" width="11.5546875" style="103"/>
    <col min="9729" max="9729" width="14.109375" style="103" bestFit="1" customWidth="1"/>
    <col min="9730" max="9737" width="8.6640625" style="103" bestFit="1" customWidth="1"/>
    <col min="9738" max="9738" width="12.5546875" style="103" bestFit="1" customWidth="1"/>
    <col min="9739" max="9739" width="13.109375" style="103" bestFit="1" customWidth="1"/>
    <col min="9740" max="9984" width="11.5546875" style="103"/>
    <col min="9985" max="9985" width="14.109375" style="103" bestFit="1" customWidth="1"/>
    <col min="9986" max="9993" width="8.6640625" style="103" bestFit="1" customWidth="1"/>
    <col min="9994" max="9994" width="12.5546875" style="103" bestFit="1" customWidth="1"/>
    <col min="9995" max="9995" width="13.109375" style="103" bestFit="1" customWidth="1"/>
    <col min="9996" max="10240" width="11.5546875" style="103"/>
    <col min="10241" max="10241" width="14.109375" style="103" bestFit="1" customWidth="1"/>
    <col min="10242" max="10249" width="8.6640625" style="103" bestFit="1" customWidth="1"/>
    <col min="10250" max="10250" width="12.5546875" style="103" bestFit="1" customWidth="1"/>
    <col min="10251" max="10251" width="13.109375" style="103" bestFit="1" customWidth="1"/>
    <col min="10252" max="10496" width="11.5546875" style="103"/>
    <col min="10497" max="10497" width="14.109375" style="103" bestFit="1" customWidth="1"/>
    <col min="10498" max="10505" width="8.6640625" style="103" bestFit="1" customWidth="1"/>
    <col min="10506" max="10506" width="12.5546875" style="103" bestFit="1" customWidth="1"/>
    <col min="10507" max="10507" width="13.109375" style="103" bestFit="1" customWidth="1"/>
    <col min="10508" max="10752" width="11.5546875" style="103"/>
    <col min="10753" max="10753" width="14.109375" style="103" bestFit="1" customWidth="1"/>
    <col min="10754" max="10761" width="8.6640625" style="103" bestFit="1" customWidth="1"/>
    <col min="10762" max="10762" width="12.5546875" style="103" bestFit="1" customWidth="1"/>
    <col min="10763" max="10763" width="13.109375" style="103" bestFit="1" customWidth="1"/>
    <col min="10764" max="11008" width="11.5546875" style="103"/>
    <col min="11009" max="11009" width="14.109375" style="103" bestFit="1" customWidth="1"/>
    <col min="11010" max="11017" width="8.6640625" style="103" bestFit="1" customWidth="1"/>
    <col min="11018" max="11018" width="12.5546875" style="103" bestFit="1" customWidth="1"/>
    <col min="11019" max="11019" width="13.109375" style="103" bestFit="1" customWidth="1"/>
    <col min="11020" max="11264" width="11.5546875" style="103"/>
    <col min="11265" max="11265" width="14.109375" style="103" bestFit="1" customWidth="1"/>
    <col min="11266" max="11273" width="8.6640625" style="103" bestFit="1" customWidth="1"/>
    <col min="11274" max="11274" width="12.5546875" style="103" bestFit="1" customWidth="1"/>
    <col min="11275" max="11275" width="13.109375" style="103" bestFit="1" customWidth="1"/>
    <col min="11276" max="11520" width="11.5546875" style="103"/>
    <col min="11521" max="11521" width="14.109375" style="103" bestFit="1" customWidth="1"/>
    <col min="11522" max="11529" width="8.6640625" style="103" bestFit="1" customWidth="1"/>
    <col min="11530" max="11530" width="12.5546875" style="103" bestFit="1" customWidth="1"/>
    <col min="11531" max="11531" width="13.109375" style="103" bestFit="1" customWidth="1"/>
    <col min="11532" max="11776" width="11.5546875" style="103"/>
    <col min="11777" max="11777" width="14.109375" style="103" bestFit="1" customWidth="1"/>
    <col min="11778" max="11785" width="8.6640625" style="103" bestFit="1" customWidth="1"/>
    <col min="11786" max="11786" width="12.5546875" style="103" bestFit="1" customWidth="1"/>
    <col min="11787" max="11787" width="13.109375" style="103" bestFit="1" customWidth="1"/>
    <col min="11788" max="12032" width="11.5546875" style="103"/>
    <col min="12033" max="12033" width="14.109375" style="103" bestFit="1" customWidth="1"/>
    <col min="12034" max="12041" width="8.6640625" style="103" bestFit="1" customWidth="1"/>
    <col min="12042" max="12042" width="12.5546875" style="103" bestFit="1" customWidth="1"/>
    <col min="12043" max="12043" width="13.109375" style="103" bestFit="1" customWidth="1"/>
    <col min="12044" max="12288" width="11.5546875" style="103"/>
    <col min="12289" max="12289" width="14.109375" style="103" bestFit="1" customWidth="1"/>
    <col min="12290" max="12297" width="8.6640625" style="103" bestFit="1" customWidth="1"/>
    <col min="12298" max="12298" width="12.5546875" style="103" bestFit="1" customWidth="1"/>
    <col min="12299" max="12299" width="13.109375" style="103" bestFit="1" customWidth="1"/>
    <col min="12300" max="12544" width="11.5546875" style="103"/>
    <col min="12545" max="12545" width="14.109375" style="103" bestFit="1" customWidth="1"/>
    <col min="12546" max="12553" width="8.6640625" style="103" bestFit="1" customWidth="1"/>
    <col min="12554" max="12554" width="12.5546875" style="103" bestFit="1" customWidth="1"/>
    <col min="12555" max="12555" width="13.109375" style="103" bestFit="1" customWidth="1"/>
    <col min="12556" max="12800" width="11.5546875" style="103"/>
    <col min="12801" max="12801" width="14.109375" style="103" bestFit="1" customWidth="1"/>
    <col min="12802" max="12809" width="8.6640625" style="103" bestFit="1" customWidth="1"/>
    <col min="12810" max="12810" width="12.5546875" style="103" bestFit="1" customWidth="1"/>
    <col min="12811" max="12811" width="13.109375" style="103" bestFit="1" customWidth="1"/>
    <col min="12812" max="13056" width="11.5546875" style="103"/>
    <col min="13057" max="13057" width="14.109375" style="103" bestFit="1" customWidth="1"/>
    <col min="13058" max="13065" width="8.6640625" style="103" bestFit="1" customWidth="1"/>
    <col min="13066" max="13066" width="12.5546875" style="103" bestFit="1" customWidth="1"/>
    <col min="13067" max="13067" width="13.109375" style="103" bestFit="1" customWidth="1"/>
    <col min="13068" max="13312" width="11.5546875" style="103"/>
    <col min="13313" max="13313" width="14.109375" style="103" bestFit="1" customWidth="1"/>
    <col min="13314" max="13321" width="8.6640625" style="103" bestFit="1" customWidth="1"/>
    <col min="13322" max="13322" width="12.5546875" style="103" bestFit="1" customWidth="1"/>
    <col min="13323" max="13323" width="13.109375" style="103" bestFit="1" customWidth="1"/>
    <col min="13324" max="13568" width="11.5546875" style="103"/>
    <col min="13569" max="13569" width="14.109375" style="103" bestFit="1" customWidth="1"/>
    <col min="13570" max="13577" width="8.6640625" style="103" bestFit="1" customWidth="1"/>
    <col min="13578" max="13578" width="12.5546875" style="103" bestFit="1" customWidth="1"/>
    <col min="13579" max="13579" width="13.109375" style="103" bestFit="1" customWidth="1"/>
    <col min="13580" max="13824" width="11.5546875" style="103"/>
    <col min="13825" max="13825" width="14.109375" style="103" bestFit="1" customWidth="1"/>
    <col min="13826" max="13833" width="8.6640625" style="103" bestFit="1" customWidth="1"/>
    <col min="13834" max="13834" width="12.5546875" style="103" bestFit="1" customWidth="1"/>
    <col min="13835" max="13835" width="13.109375" style="103" bestFit="1" customWidth="1"/>
    <col min="13836" max="14080" width="11.5546875" style="103"/>
    <col min="14081" max="14081" width="14.109375" style="103" bestFit="1" customWidth="1"/>
    <col min="14082" max="14089" width="8.6640625" style="103" bestFit="1" customWidth="1"/>
    <col min="14090" max="14090" width="12.5546875" style="103" bestFit="1" customWidth="1"/>
    <col min="14091" max="14091" width="13.109375" style="103" bestFit="1" customWidth="1"/>
    <col min="14092" max="14336" width="11.5546875" style="103"/>
    <col min="14337" max="14337" width="14.109375" style="103" bestFit="1" customWidth="1"/>
    <col min="14338" max="14345" width="8.6640625" style="103" bestFit="1" customWidth="1"/>
    <col min="14346" max="14346" width="12.5546875" style="103" bestFit="1" customWidth="1"/>
    <col min="14347" max="14347" width="13.109375" style="103" bestFit="1" customWidth="1"/>
    <col min="14348" max="14592" width="11.5546875" style="103"/>
    <col min="14593" max="14593" width="14.109375" style="103" bestFit="1" customWidth="1"/>
    <col min="14594" max="14601" width="8.6640625" style="103" bestFit="1" customWidth="1"/>
    <col min="14602" max="14602" width="12.5546875" style="103" bestFit="1" customWidth="1"/>
    <col min="14603" max="14603" width="13.109375" style="103" bestFit="1" customWidth="1"/>
    <col min="14604" max="14848" width="11.5546875" style="103"/>
    <col min="14849" max="14849" width="14.109375" style="103" bestFit="1" customWidth="1"/>
    <col min="14850" max="14857" width="8.6640625" style="103" bestFit="1" customWidth="1"/>
    <col min="14858" max="14858" width="12.5546875" style="103" bestFit="1" customWidth="1"/>
    <col min="14859" max="14859" width="13.109375" style="103" bestFit="1" customWidth="1"/>
    <col min="14860" max="15104" width="11.5546875" style="103"/>
    <col min="15105" max="15105" width="14.109375" style="103" bestFit="1" customWidth="1"/>
    <col min="15106" max="15113" width="8.6640625" style="103" bestFit="1" customWidth="1"/>
    <col min="15114" max="15114" width="12.5546875" style="103" bestFit="1" customWidth="1"/>
    <col min="15115" max="15115" width="13.109375" style="103" bestFit="1" customWidth="1"/>
    <col min="15116" max="15360" width="11.5546875" style="103"/>
    <col min="15361" max="15361" width="14.109375" style="103" bestFit="1" customWidth="1"/>
    <col min="15362" max="15369" width="8.6640625" style="103" bestFit="1" customWidth="1"/>
    <col min="15370" max="15370" width="12.5546875" style="103" bestFit="1" customWidth="1"/>
    <col min="15371" max="15371" width="13.109375" style="103" bestFit="1" customWidth="1"/>
    <col min="15372" max="15616" width="11.5546875" style="103"/>
    <col min="15617" max="15617" width="14.109375" style="103" bestFit="1" customWidth="1"/>
    <col min="15618" max="15625" width="8.6640625" style="103" bestFit="1" customWidth="1"/>
    <col min="15626" max="15626" width="12.5546875" style="103" bestFit="1" customWidth="1"/>
    <col min="15627" max="15627" width="13.109375" style="103" bestFit="1" customWidth="1"/>
    <col min="15628" max="15872" width="11.5546875" style="103"/>
    <col min="15873" max="15873" width="14.109375" style="103" bestFit="1" customWidth="1"/>
    <col min="15874" max="15881" width="8.6640625" style="103" bestFit="1" customWidth="1"/>
    <col min="15882" max="15882" width="12.5546875" style="103" bestFit="1" customWidth="1"/>
    <col min="15883" max="15883" width="13.109375" style="103" bestFit="1" customWidth="1"/>
    <col min="15884" max="16128" width="11.5546875" style="103"/>
    <col min="16129" max="16129" width="14.109375" style="103" bestFit="1" customWidth="1"/>
    <col min="16130" max="16137" width="8.6640625" style="103" bestFit="1" customWidth="1"/>
    <col min="16138" max="16138" width="12.5546875" style="103" bestFit="1" customWidth="1"/>
    <col min="16139" max="16139" width="13.109375" style="103" bestFit="1" customWidth="1"/>
    <col min="16140" max="16384" width="11.5546875" style="103"/>
  </cols>
  <sheetData>
    <row r="1" spans="1:11" ht="45.6">
      <c r="B1" s="300" t="s">
        <v>55</v>
      </c>
      <c r="C1" s="300" t="s">
        <v>375</v>
      </c>
      <c r="D1" s="300" t="s">
        <v>374</v>
      </c>
      <c r="E1" s="300" t="s">
        <v>373</v>
      </c>
      <c r="F1" s="300" t="s">
        <v>372</v>
      </c>
      <c r="G1" s="300" t="s">
        <v>371</v>
      </c>
      <c r="H1" s="300" t="s">
        <v>370</v>
      </c>
      <c r="I1" s="300" t="s">
        <v>369</v>
      </c>
      <c r="J1" s="291" t="str">
        <f>A11</f>
        <v>Moyenne</v>
      </c>
      <c r="K1" s="299" t="s">
        <v>368</v>
      </c>
    </row>
    <row r="2" spans="1:11">
      <c r="A2" s="275" t="s">
        <v>367</v>
      </c>
      <c r="B2" s="289">
        <v>12</v>
      </c>
      <c r="C2" s="289">
        <v>7</v>
      </c>
      <c r="D2" s="289">
        <v>12</v>
      </c>
      <c r="E2" s="289">
        <v>14</v>
      </c>
      <c r="F2" s="289">
        <v>15</v>
      </c>
      <c r="G2" s="289">
        <v>6</v>
      </c>
      <c r="H2" s="289" t="s">
        <v>230</v>
      </c>
      <c r="I2" s="289">
        <v>11</v>
      </c>
      <c r="J2" s="298">
        <f t="shared" ref="J2:J10" si="0">AVERAGE(B2:I2)</f>
        <v>11</v>
      </c>
      <c r="K2" s="289">
        <f t="shared" ref="K2:K10" si="1">COUNTIF(B2:I2,"A")</f>
        <v>1</v>
      </c>
    </row>
    <row r="3" spans="1:11">
      <c r="A3" s="275" t="s">
        <v>366</v>
      </c>
      <c r="B3" s="289">
        <v>11</v>
      </c>
      <c r="C3" s="289">
        <v>6</v>
      </c>
      <c r="D3" s="289">
        <v>13</v>
      </c>
      <c r="E3" s="289">
        <v>13</v>
      </c>
      <c r="F3" s="289">
        <v>14</v>
      </c>
      <c r="G3" s="289">
        <v>5</v>
      </c>
      <c r="H3" s="289">
        <v>2</v>
      </c>
      <c r="I3" s="289">
        <v>15</v>
      </c>
      <c r="J3" s="298">
        <f t="shared" si="0"/>
        <v>9.875</v>
      </c>
      <c r="K3" s="289">
        <f t="shared" si="1"/>
        <v>0</v>
      </c>
    </row>
    <row r="4" spans="1:11">
      <c r="A4" s="275" t="s">
        <v>365</v>
      </c>
      <c r="B4" s="289" t="s">
        <v>230</v>
      </c>
      <c r="C4" s="289">
        <v>12</v>
      </c>
      <c r="D4" s="289">
        <v>18</v>
      </c>
      <c r="E4" s="289">
        <v>9</v>
      </c>
      <c r="F4" s="289">
        <v>11</v>
      </c>
      <c r="G4" s="289">
        <v>8</v>
      </c>
      <c r="H4" s="289">
        <v>7</v>
      </c>
      <c r="I4" s="289">
        <v>16</v>
      </c>
      <c r="J4" s="298">
        <f t="shared" si="0"/>
        <v>11.571428571428571</v>
      </c>
      <c r="K4" s="289">
        <f t="shared" si="1"/>
        <v>1</v>
      </c>
    </row>
    <row r="5" spans="1:11">
      <c r="A5" s="275" t="s">
        <v>364</v>
      </c>
      <c r="B5" s="289">
        <v>15</v>
      </c>
      <c r="C5" s="289">
        <v>11</v>
      </c>
      <c r="D5" s="289">
        <v>16</v>
      </c>
      <c r="E5" s="289">
        <v>7</v>
      </c>
      <c r="F5" s="289">
        <v>8</v>
      </c>
      <c r="G5" s="289">
        <v>9</v>
      </c>
      <c r="H5" s="289">
        <v>11</v>
      </c>
      <c r="I5" s="289">
        <v>11</v>
      </c>
      <c r="J5" s="298">
        <f t="shared" si="0"/>
        <v>11</v>
      </c>
      <c r="K5" s="289">
        <f t="shared" si="1"/>
        <v>0</v>
      </c>
    </row>
    <row r="6" spans="1:11">
      <c r="A6" s="275" t="s">
        <v>363</v>
      </c>
      <c r="B6" s="289" t="s">
        <v>230</v>
      </c>
      <c r="C6" s="289" t="s">
        <v>230</v>
      </c>
      <c r="D6" s="289">
        <v>15</v>
      </c>
      <c r="E6" s="289">
        <v>6</v>
      </c>
      <c r="F6" s="289">
        <v>7</v>
      </c>
      <c r="G6" s="289">
        <v>9</v>
      </c>
      <c r="H6" s="289">
        <v>15</v>
      </c>
      <c r="I6" s="289">
        <v>18</v>
      </c>
      <c r="J6" s="298">
        <f t="shared" si="0"/>
        <v>11.666666666666666</v>
      </c>
      <c r="K6" s="289">
        <f t="shared" si="1"/>
        <v>2</v>
      </c>
    </row>
    <row r="7" spans="1:11">
      <c r="A7" s="275" t="s">
        <v>362</v>
      </c>
      <c r="B7" s="289">
        <v>13</v>
      </c>
      <c r="C7" s="289">
        <v>15</v>
      </c>
      <c r="D7" s="289">
        <v>13</v>
      </c>
      <c r="E7" s="289">
        <v>8</v>
      </c>
      <c r="F7" s="289">
        <v>15</v>
      </c>
      <c r="G7" s="289">
        <v>10</v>
      </c>
      <c r="H7" s="289">
        <v>13</v>
      </c>
      <c r="I7" s="289">
        <v>17</v>
      </c>
      <c r="J7" s="298">
        <f t="shared" si="0"/>
        <v>13</v>
      </c>
      <c r="K7" s="289">
        <f t="shared" si="1"/>
        <v>0</v>
      </c>
    </row>
    <row r="8" spans="1:11">
      <c r="A8" s="275" t="s">
        <v>361</v>
      </c>
      <c r="B8" s="289">
        <v>18</v>
      </c>
      <c r="C8" s="289">
        <v>16</v>
      </c>
      <c r="D8" s="289">
        <v>11</v>
      </c>
      <c r="E8" s="289">
        <v>12</v>
      </c>
      <c r="F8" s="289">
        <v>14</v>
      </c>
      <c r="G8" s="289">
        <v>5</v>
      </c>
      <c r="H8" s="289">
        <v>3</v>
      </c>
      <c r="I8" s="289">
        <v>14</v>
      </c>
      <c r="J8" s="298">
        <f t="shared" si="0"/>
        <v>11.625</v>
      </c>
      <c r="K8" s="289">
        <f t="shared" si="1"/>
        <v>0</v>
      </c>
    </row>
    <row r="9" spans="1:11">
      <c r="A9" s="275" t="s">
        <v>360</v>
      </c>
      <c r="B9" s="289" t="s">
        <v>230</v>
      </c>
      <c r="C9" s="289">
        <v>13</v>
      </c>
      <c r="D9" s="289">
        <v>12</v>
      </c>
      <c r="E9" s="289">
        <v>15</v>
      </c>
      <c r="F9" s="289">
        <v>12</v>
      </c>
      <c r="G9" s="289">
        <v>7</v>
      </c>
      <c r="H9" s="289">
        <v>7</v>
      </c>
      <c r="I9" s="289">
        <v>16</v>
      </c>
      <c r="J9" s="298">
        <f t="shared" si="0"/>
        <v>11.714285714285714</v>
      </c>
      <c r="K9" s="289">
        <f t="shared" si="1"/>
        <v>1</v>
      </c>
    </row>
    <row r="10" spans="1:11" ht="15" thickBot="1">
      <c r="A10" s="275" t="s">
        <v>359</v>
      </c>
      <c r="B10" s="289">
        <v>9</v>
      </c>
      <c r="C10" s="289">
        <v>8</v>
      </c>
      <c r="D10" s="289">
        <v>14</v>
      </c>
      <c r="E10" s="289">
        <v>10</v>
      </c>
      <c r="F10" s="289">
        <v>18</v>
      </c>
      <c r="G10" s="289">
        <v>12</v>
      </c>
      <c r="H10" s="289" t="s">
        <v>230</v>
      </c>
      <c r="I10" s="289">
        <v>7</v>
      </c>
      <c r="J10" s="298">
        <f t="shared" si="0"/>
        <v>11.142857142857142</v>
      </c>
      <c r="K10" s="289">
        <f t="shared" si="1"/>
        <v>1</v>
      </c>
    </row>
    <row r="11" spans="1:11">
      <c r="A11" s="291" t="s">
        <v>253</v>
      </c>
      <c r="B11" s="297">
        <f t="shared" ref="B11:I11" si="2">AVERAGE(B2:B10)</f>
        <v>13</v>
      </c>
      <c r="C11" s="297">
        <f t="shared" si="2"/>
        <v>11</v>
      </c>
      <c r="D11" s="297">
        <f t="shared" si="2"/>
        <v>13.777777777777779</v>
      </c>
      <c r="E11" s="297">
        <f t="shared" si="2"/>
        <v>10.444444444444445</v>
      </c>
      <c r="F11" s="297">
        <f t="shared" si="2"/>
        <v>12.666666666666666</v>
      </c>
      <c r="G11" s="297">
        <f t="shared" si="2"/>
        <v>7.8888888888888893</v>
      </c>
      <c r="H11" s="297">
        <f t="shared" si="2"/>
        <v>8.2857142857142865</v>
      </c>
      <c r="I11" s="297">
        <f t="shared" si="2"/>
        <v>13.888888888888889</v>
      </c>
      <c r="J11" s="296"/>
      <c r="K11" s="295"/>
    </row>
    <row r="12" spans="1:11">
      <c r="A12" s="291" t="s">
        <v>358</v>
      </c>
      <c r="B12" s="289">
        <f t="shared" ref="B12:I12" si="3">COUNTIF(B2:B10,"A")</f>
        <v>3</v>
      </c>
      <c r="C12" s="289">
        <f t="shared" si="3"/>
        <v>1</v>
      </c>
      <c r="D12" s="289">
        <f t="shared" si="3"/>
        <v>0</v>
      </c>
      <c r="E12" s="289">
        <f t="shared" si="3"/>
        <v>0</v>
      </c>
      <c r="F12" s="289">
        <f t="shared" si="3"/>
        <v>0</v>
      </c>
      <c r="G12" s="289">
        <f t="shared" si="3"/>
        <v>0</v>
      </c>
      <c r="H12" s="289">
        <f t="shared" si="3"/>
        <v>2</v>
      </c>
      <c r="I12" s="289">
        <f t="shared" si="3"/>
        <v>0</v>
      </c>
      <c r="J12" s="294"/>
      <c r="K12" s="289"/>
    </row>
    <row r="13" spans="1:11">
      <c r="A13" s="291" t="s">
        <v>357</v>
      </c>
      <c r="B13" s="289">
        <f t="shared" ref="B13:I13" si="4">RANK(B11,$B$11:$I$11)</f>
        <v>3</v>
      </c>
      <c r="C13" s="289">
        <f t="shared" si="4"/>
        <v>5</v>
      </c>
      <c r="D13" s="289">
        <f t="shared" si="4"/>
        <v>2</v>
      </c>
      <c r="E13" s="289">
        <f t="shared" si="4"/>
        <v>6</v>
      </c>
      <c r="F13" s="289">
        <f t="shared" si="4"/>
        <v>4</v>
      </c>
      <c r="G13" s="289">
        <f t="shared" si="4"/>
        <v>8</v>
      </c>
      <c r="H13" s="289">
        <f t="shared" si="4"/>
        <v>7</v>
      </c>
      <c r="I13" s="289">
        <f t="shared" si="4"/>
        <v>1</v>
      </c>
      <c r="J13" s="294"/>
      <c r="K13" s="289"/>
    </row>
    <row r="14" spans="1:11" ht="15" thickBot="1">
      <c r="B14" s="289"/>
      <c r="C14" s="289"/>
      <c r="D14" s="289"/>
      <c r="E14" s="289"/>
      <c r="F14" s="289"/>
      <c r="G14" s="289"/>
      <c r="H14" s="289"/>
      <c r="I14" s="289"/>
      <c r="J14" s="289"/>
      <c r="K14" s="289"/>
    </row>
    <row r="15" spans="1:11">
      <c r="A15" s="291" t="s">
        <v>356</v>
      </c>
      <c r="B15" s="293">
        <f>MAX(B11:I11)</f>
        <v>13.888888888888889</v>
      </c>
      <c r="C15" s="289"/>
      <c r="D15" s="289"/>
      <c r="E15" s="289"/>
      <c r="F15" s="289"/>
      <c r="G15" s="289"/>
      <c r="H15" s="289"/>
      <c r="I15" s="289"/>
      <c r="J15" s="289"/>
      <c r="K15" s="289"/>
    </row>
    <row r="16" spans="1:11">
      <c r="A16" s="291" t="s">
        <v>355</v>
      </c>
      <c r="B16" s="292">
        <f>MIN(B11:I11)</f>
        <v>7.8888888888888893</v>
      </c>
      <c r="C16" s="289"/>
      <c r="D16" s="289"/>
      <c r="E16" s="289"/>
      <c r="F16" s="289"/>
      <c r="G16" s="289"/>
      <c r="H16" s="289"/>
      <c r="I16" s="289"/>
      <c r="J16" s="289"/>
      <c r="K16" s="289"/>
    </row>
    <row r="17" spans="1:11" ht="15" thickBot="1">
      <c r="A17" s="291" t="s">
        <v>354</v>
      </c>
      <c r="B17" s="290">
        <f>SUM(B12:I12)</f>
        <v>6</v>
      </c>
      <c r="C17" s="290">
        <f>SUM(K2:K10)</f>
        <v>6</v>
      </c>
      <c r="D17" s="289"/>
      <c r="E17" s="289"/>
      <c r="F17" s="289"/>
      <c r="G17" s="289"/>
      <c r="H17" s="289"/>
      <c r="I17" s="289"/>
      <c r="J17" s="289"/>
      <c r="K17" s="289"/>
    </row>
  </sheetData>
  <conditionalFormatting sqref="B2:I10">
    <cfRule type="cellIs" dxfId="20" priority="1" operator="lessThan">
      <formula>10</formula>
    </cfRule>
  </conditionalFormatting>
  <printOptions headings="1"/>
  <pageMargins left="0.39370078740157483" right="0.39370078740157483" top="0.78740157480314965" bottom="0.98425196850393704" header="0.51181102362204722" footer="0.51181102362204722"/>
  <pageSetup paperSize="9" orientation="landscape" horizontalDpi="4294967293" verticalDpi="599" r:id="rId1"/>
  <headerFooter alignWithMargins="0"/>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6C969F-E28A-454C-BBB2-26EA84FECF94}">
  <dimension ref="A1:K29"/>
  <sheetViews>
    <sheetView zoomScaleNormal="100" workbookViewId="0">
      <selection activeCell="C12" sqref="C12:C13"/>
    </sheetView>
  </sheetViews>
  <sheetFormatPr baseColWidth="10" defaultColWidth="11.44140625" defaultRowHeight="14.4"/>
  <cols>
    <col min="1" max="1" width="24.33203125" style="103" customWidth="1"/>
    <col min="2" max="2" width="5.44140625" style="103" bestFit="1" customWidth="1"/>
    <col min="3" max="3" width="11.44140625" style="103"/>
    <col min="4" max="4" width="9.6640625" style="103" customWidth="1"/>
    <col min="5" max="5" width="13.5546875" style="103" customWidth="1"/>
    <col min="6" max="6" width="6.6640625" style="103" customWidth="1"/>
    <col min="7" max="7" width="7.6640625" style="103" bestFit="1" customWidth="1"/>
    <col min="8" max="9" width="6.6640625" style="103" customWidth="1"/>
    <col min="10" max="10" width="15.88671875" style="103" bestFit="1" customWidth="1"/>
    <col min="11" max="11" width="9" style="103" customWidth="1"/>
    <col min="12" max="16384" width="11.44140625" style="103"/>
  </cols>
  <sheetData>
    <row r="1" spans="1:11" ht="28.8">
      <c r="A1" s="311" t="s">
        <v>407</v>
      </c>
      <c r="B1" s="311" t="s">
        <v>176</v>
      </c>
      <c r="C1" s="311" t="s">
        <v>406</v>
      </c>
      <c r="D1" s="312" t="s">
        <v>405</v>
      </c>
      <c r="E1" s="312" t="s">
        <v>404</v>
      </c>
      <c r="F1" s="311" t="s">
        <v>403</v>
      </c>
      <c r="G1" s="311" t="s">
        <v>402</v>
      </c>
      <c r="H1" s="311" t="s">
        <v>401</v>
      </c>
      <c r="I1" s="311" t="s">
        <v>400</v>
      </c>
      <c r="J1" s="311" t="s">
        <v>399</v>
      </c>
      <c r="K1" s="311" t="s">
        <v>398</v>
      </c>
    </row>
    <row r="2" spans="1:11">
      <c r="A2" s="310" t="s">
        <v>397</v>
      </c>
      <c r="B2" s="309" t="s">
        <v>384</v>
      </c>
      <c r="C2" s="309" t="s">
        <v>386</v>
      </c>
      <c r="D2" s="308">
        <v>16</v>
      </c>
      <c r="E2" s="307">
        <v>135</v>
      </c>
      <c r="F2" s="154" t="str">
        <f t="shared" ref="F2:F9" si="0">IF(D2&gt;G$13,"Oui","Rien")</f>
        <v>Oui</v>
      </c>
      <c r="G2" s="154" t="str">
        <f t="shared" ref="G2:G9" si="1">IF(E2&gt;J$14,"Oui","Rien")</f>
        <v>Rien</v>
      </c>
      <c r="H2" s="154" t="str">
        <f t="shared" ref="H2:H9" si="2">IF(OR(D2&gt;G$13,E2&gt;J$14,),"Oui","Rien")</f>
        <v>Oui</v>
      </c>
      <c r="I2" s="154" t="str">
        <f t="shared" ref="I2:I9" si="3">IF(AND(D2&gt;G$13,E2&gt;J$14),"Oui","Rien")</f>
        <v>Rien</v>
      </c>
      <c r="J2" s="154" t="str">
        <f t="shared" ref="J2:J9" si="4">IF(OR(E2&gt;J$14,AND(B2="F",D2&gt;G$13),),"Oui","Rien")</f>
        <v>Rien</v>
      </c>
      <c r="K2" s="306" t="str">
        <f t="shared" ref="K2:K9" si="5">IF(AND(D2&gt;G$13,OR(AND(B2="H",C2="US"),AND(B2="F",C2="SK"))),"Oui","Rien")</f>
        <v>Oui</v>
      </c>
    </row>
    <row r="3" spans="1:11">
      <c r="A3" s="310" t="s">
        <v>396</v>
      </c>
      <c r="B3" s="309" t="s">
        <v>384</v>
      </c>
      <c r="C3" s="309" t="s">
        <v>394</v>
      </c>
      <c r="D3" s="308">
        <v>12</v>
      </c>
      <c r="E3" s="307">
        <v>210</v>
      </c>
      <c r="F3" s="154" t="str">
        <f t="shared" si="0"/>
        <v>Rien</v>
      </c>
      <c r="G3" s="154" t="str">
        <f t="shared" si="1"/>
        <v>Oui</v>
      </c>
      <c r="H3" s="154" t="str">
        <f t="shared" si="2"/>
        <v>Oui</v>
      </c>
      <c r="I3" s="154" t="str">
        <f t="shared" si="3"/>
        <v>Rien</v>
      </c>
      <c r="J3" s="154" t="str">
        <f t="shared" si="4"/>
        <v>Oui</v>
      </c>
      <c r="K3" s="306" t="str">
        <f t="shared" si="5"/>
        <v>Rien</v>
      </c>
    </row>
    <row r="4" spans="1:11">
      <c r="A4" s="310" t="s">
        <v>395</v>
      </c>
      <c r="B4" s="309" t="s">
        <v>387</v>
      </c>
      <c r="C4" s="309" t="s">
        <v>394</v>
      </c>
      <c r="D4" s="308">
        <v>8</v>
      </c>
      <c r="E4" s="307">
        <v>170</v>
      </c>
      <c r="F4" s="154" t="str">
        <f t="shared" si="0"/>
        <v>Rien</v>
      </c>
      <c r="G4" s="154" t="str">
        <f t="shared" si="1"/>
        <v>Rien</v>
      </c>
      <c r="H4" s="154" t="str">
        <f t="shared" si="2"/>
        <v>Rien</v>
      </c>
      <c r="I4" s="154" t="str">
        <f t="shared" si="3"/>
        <v>Rien</v>
      </c>
      <c r="J4" s="154" t="str">
        <f t="shared" si="4"/>
        <v>Rien</v>
      </c>
      <c r="K4" s="306" t="str">
        <f t="shared" si="5"/>
        <v>Rien</v>
      </c>
    </row>
    <row r="5" spans="1:11">
      <c r="A5" s="310" t="s">
        <v>393</v>
      </c>
      <c r="B5" s="309" t="s">
        <v>384</v>
      </c>
      <c r="C5" s="309" t="s">
        <v>383</v>
      </c>
      <c r="D5" s="308">
        <v>11</v>
      </c>
      <c r="E5" s="307">
        <v>250</v>
      </c>
      <c r="F5" s="154" t="str">
        <f t="shared" si="0"/>
        <v>Rien</v>
      </c>
      <c r="G5" s="154" t="str">
        <f t="shared" si="1"/>
        <v>Oui</v>
      </c>
      <c r="H5" s="154" t="str">
        <f t="shared" si="2"/>
        <v>Oui</v>
      </c>
      <c r="I5" s="154" t="str">
        <f t="shared" si="3"/>
        <v>Rien</v>
      </c>
      <c r="J5" s="154" t="str">
        <f t="shared" si="4"/>
        <v>Oui</v>
      </c>
      <c r="K5" s="306" t="str">
        <f t="shared" si="5"/>
        <v>Rien</v>
      </c>
    </row>
    <row r="6" spans="1:11">
      <c r="A6" s="310" t="s">
        <v>392</v>
      </c>
      <c r="B6" s="309" t="s">
        <v>384</v>
      </c>
      <c r="C6" s="309" t="s">
        <v>391</v>
      </c>
      <c r="D6" s="308">
        <v>14</v>
      </c>
      <c r="E6" s="307">
        <v>150</v>
      </c>
      <c r="F6" s="154" t="str">
        <f t="shared" si="0"/>
        <v>Oui</v>
      </c>
      <c r="G6" s="154" t="str">
        <f t="shared" si="1"/>
        <v>Rien</v>
      </c>
      <c r="H6" s="154" t="str">
        <f t="shared" si="2"/>
        <v>Oui</v>
      </c>
      <c r="I6" s="154" t="str">
        <f t="shared" si="3"/>
        <v>Rien</v>
      </c>
      <c r="J6" s="154" t="str">
        <f t="shared" si="4"/>
        <v>Rien</v>
      </c>
      <c r="K6" s="306" t="str">
        <f t="shared" si="5"/>
        <v>Rien</v>
      </c>
    </row>
    <row r="7" spans="1:11">
      <c r="A7" s="310" t="s">
        <v>390</v>
      </c>
      <c r="B7" s="309" t="s">
        <v>384</v>
      </c>
      <c r="C7" s="309" t="s">
        <v>389</v>
      </c>
      <c r="D7" s="308">
        <v>15</v>
      </c>
      <c r="E7" s="307">
        <v>192</v>
      </c>
      <c r="F7" s="154" t="str">
        <f t="shared" si="0"/>
        <v>Oui</v>
      </c>
      <c r="G7" s="154" t="str">
        <f t="shared" si="1"/>
        <v>Rien</v>
      </c>
      <c r="H7" s="154" t="str">
        <f t="shared" si="2"/>
        <v>Oui</v>
      </c>
      <c r="I7" s="154" t="str">
        <f t="shared" si="3"/>
        <v>Rien</v>
      </c>
      <c r="J7" s="154" t="str">
        <f t="shared" si="4"/>
        <v>Rien</v>
      </c>
      <c r="K7" s="306" t="str">
        <f t="shared" si="5"/>
        <v>Rien</v>
      </c>
    </row>
    <row r="8" spans="1:11">
      <c r="A8" s="310" t="s">
        <v>388</v>
      </c>
      <c r="B8" s="309" t="s">
        <v>387</v>
      </c>
      <c r="C8" s="309" t="s">
        <v>386</v>
      </c>
      <c r="D8" s="308">
        <v>11</v>
      </c>
      <c r="E8" s="307">
        <v>247</v>
      </c>
      <c r="F8" s="154" t="str">
        <f t="shared" si="0"/>
        <v>Rien</v>
      </c>
      <c r="G8" s="154" t="str">
        <f t="shared" si="1"/>
        <v>Oui</v>
      </c>
      <c r="H8" s="154" t="str">
        <f t="shared" si="2"/>
        <v>Oui</v>
      </c>
      <c r="I8" s="154" t="str">
        <f t="shared" si="3"/>
        <v>Rien</v>
      </c>
      <c r="J8" s="154" t="str">
        <f t="shared" si="4"/>
        <v>Oui</v>
      </c>
      <c r="K8" s="306" t="str">
        <f t="shared" si="5"/>
        <v>Rien</v>
      </c>
    </row>
    <row r="9" spans="1:11">
      <c r="A9" s="310" t="s">
        <v>385</v>
      </c>
      <c r="B9" s="309" t="s">
        <v>384</v>
      </c>
      <c r="C9" s="309" t="s">
        <v>383</v>
      </c>
      <c r="D9" s="308">
        <v>19</v>
      </c>
      <c r="E9" s="307">
        <v>16</v>
      </c>
      <c r="F9" s="154" t="str">
        <f t="shared" si="0"/>
        <v>Oui</v>
      </c>
      <c r="G9" s="154" t="str">
        <f t="shared" si="1"/>
        <v>Rien</v>
      </c>
      <c r="H9" s="154" t="str">
        <f t="shared" si="2"/>
        <v>Oui</v>
      </c>
      <c r="I9" s="154" t="str">
        <f t="shared" si="3"/>
        <v>Rien</v>
      </c>
      <c r="J9" s="154" t="str">
        <f t="shared" si="4"/>
        <v>Rien</v>
      </c>
      <c r="K9" s="306" t="str">
        <f t="shared" si="5"/>
        <v>Rien</v>
      </c>
    </row>
    <row r="10" spans="1:11">
      <c r="A10" s="305"/>
      <c r="D10" s="650" t="s">
        <v>382</v>
      </c>
      <c r="E10" s="650"/>
      <c r="F10" s="304"/>
      <c r="G10" s="304"/>
      <c r="H10" s="304"/>
      <c r="I10" s="304"/>
      <c r="J10" s="304"/>
      <c r="K10" s="304"/>
    </row>
    <row r="11" spans="1:11">
      <c r="A11" s="305"/>
      <c r="F11" s="304"/>
      <c r="G11" s="304"/>
      <c r="H11" s="304"/>
      <c r="I11" s="304"/>
      <c r="J11" s="304"/>
      <c r="K11" s="304"/>
    </row>
    <row r="13" spans="1:11" ht="15.6">
      <c r="A13" s="301" t="s">
        <v>381</v>
      </c>
      <c r="G13" s="303">
        <v>12</v>
      </c>
    </row>
    <row r="14" spans="1:11" ht="15.6">
      <c r="A14" s="301" t="s">
        <v>380</v>
      </c>
      <c r="J14" s="302">
        <v>200</v>
      </c>
    </row>
    <row r="15" spans="1:11" ht="15.6">
      <c r="A15" s="301" t="s">
        <v>379</v>
      </c>
    </row>
    <row r="16" spans="1:11" ht="15.6">
      <c r="A16" s="301" t="s">
        <v>378</v>
      </c>
    </row>
    <row r="17" spans="1:11" ht="15.6">
      <c r="A17" s="301" t="s">
        <v>377</v>
      </c>
    </row>
    <row r="18" spans="1:11" ht="15.6">
      <c r="A18" s="301" t="s">
        <v>376</v>
      </c>
    </row>
    <row r="20" spans="1:11">
      <c r="A20"/>
      <c r="B20"/>
      <c r="C20"/>
      <c r="D20"/>
      <c r="E20"/>
      <c r="F20"/>
      <c r="G20"/>
      <c r="H20"/>
      <c r="I20"/>
    </row>
    <row r="21" spans="1:11">
      <c r="A21"/>
      <c r="B21"/>
      <c r="C21"/>
      <c r="D21"/>
      <c r="E21"/>
      <c r="F21"/>
      <c r="G21"/>
      <c r="H21"/>
      <c r="I21"/>
    </row>
    <row r="22" spans="1:11">
      <c r="A22"/>
      <c r="B22"/>
      <c r="C22"/>
      <c r="D22"/>
      <c r="E22"/>
      <c r="F22"/>
      <c r="G22"/>
      <c r="H22"/>
      <c r="I22"/>
    </row>
    <row r="23" spans="1:11">
      <c r="A23"/>
      <c r="B23"/>
      <c r="C23"/>
      <c r="D23"/>
      <c r="E23"/>
      <c r="F23"/>
      <c r="G23"/>
      <c r="H23"/>
      <c r="I23"/>
    </row>
    <row r="24" spans="1:11">
      <c r="A24"/>
      <c r="B24"/>
      <c r="C24"/>
      <c r="D24"/>
      <c r="E24"/>
      <c r="F24"/>
      <c r="G24"/>
      <c r="H24"/>
      <c r="I24"/>
      <c r="K24"/>
    </row>
    <row r="25" spans="1:11">
      <c r="A25"/>
      <c r="B25"/>
      <c r="C25"/>
      <c r="D25"/>
      <c r="E25"/>
      <c r="F25"/>
      <c r="G25"/>
      <c r="H25"/>
      <c r="I25"/>
    </row>
    <row r="26" spans="1:11">
      <c r="A26"/>
      <c r="B26"/>
      <c r="C26"/>
      <c r="D26"/>
      <c r="E26"/>
      <c r="F26"/>
      <c r="G26"/>
      <c r="H26"/>
      <c r="I26"/>
    </row>
    <row r="27" spans="1:11">
      <c r="A27"/>
      <c r="B27"/>
      <c r="C27"/>
      <c r="D27"/>
      <c r="E27"/>
      <c r="F27"/>
      <c r="G27"/>
      <c r="H27"/>
      <c r="I27"/>
    </row>
    <row r="28" spans="1:11">
      <c r="A28"/>
      <c r="B28"/>
      <c r="C28"/>
      <c r="D28"/>
      <c r="E28"/>
      <c r="F28"/>
      <c r="G28"/>
      <c r="H28"/>
      <c r="I28"/>
    </row>
    <row r="29" spans="1:11">
      <c r="A29"/>
      <c r="B29"/>
      <c r="C29"/>
      <c r="D29"/>
      <c r="E29"/>
      <c r="F29"/>
      <c r="G29"/>
      <c r="H29"/>
      <c r="I29"/>
    </row>
  </sheetData>
  <mergeCells count="1">
    <mergeCell ref="D10:E10"/>
  </mergeCells>
  <conditionalFormatting sqref="F2:K9">
    <cfRule type="containsText" dxfId="19" priority="3" operator="containsText" text="Oui">
      <formula>NOT(ISERROR(SEARCH("Oui",F2)))</formula>
    </cfRule>
    <cfRule type="containsText" dxfId="18" priority="4" operator="containsText" text="Rien">
      <formula>NOT(ISERROR(SEARCH("Rien",F2)))</formula>
    </cfRule>
  </conditionalFormatting>
  <conditionalFormatting sqref="G13">
    <cfRule type="containsText" dxfId="17" priority="1" operator="containsText" text="Oui">
      <formula>NOT(ISERROR(SEARCH("Oui",G13)))</formula>
    </cfRule>
    <cfRule type="containsText" dxfId="16" priority="2" operator="containsText" text="Rien">
      <formula>NOT(ISERROR(SEARCH("Rien",G13)))</formula>
    </cfRule>
  </conditionalFormatting>
  <printOptions headings="1"/>
  <pageMargins left="0.7" right="0.7" top="0.75" bottom="0.75" header="0.3" footer="0.3"/>
  <pageSetup paperSize="9" orientation="landscape" horizontalDpi="4294967293" r:id="rId1"/>
  <headerFooter>
    <oddHeader>&amp;C10.1</oddHeader>
  </headerFooter>
  <drawing r:id="rId2"/>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B916088-9DB3-4DA2-928B-A2FBD98BECDB}">
  <dimension ref="A1:H15"/>
  <sheetViews>
    <sheetView zoomScale="145" zoomScaleNormal="145" workbookViewId="0">
      <selection activeCell="B19" sqref="B19"/>
    </sheetView>
  </sheetViews>
  <sheetFormatPr baseColWidth="10" defaultRowHeight="13.8"/>
  <cols>
    <col min="1" max="1" width="12" style="313" bestFit="1" customWidth="1"/>
    <col min="2" max="2" width="9.5546875" style="313" customWidth="1"/>
    <col min="3" max="3" width="27.109375" style="313" bestFit="1" customWidth="1"/>
    <col min="4" max="4" width="8" style="313" bestFit="1" customWidth="1"/>
    <col min="5" max="5" width="5.5546875" style="313" customWidth="1"/>
    <col min="6" max="6" width="8.5546875" style="313" bestFit="1" customWidth="1"/>
    <col min="7" max="7" width="4.109375" style="313" bestFit="1" customWidth="1"/>
    <col min="8" max="8" width="15.5546875" style="313" customWidth="1"/>
    <col min="9" max="9" width="27" style="313" bestFit="1" customWidth="1"/>
    <col min="10" max="258" width="11.5546875" style="313"/>
    <col min="259" max="259" width="27.109375" style="313" bestFit="1" customWidth="1"/>
    <col min="260" max="514" width="11.5546875" style="313"/>
    <col min="515" max="515" width="27.109375" style="313" bestFit="1" customWidth="1"/>
    <col min="516" max="770" width="11.5546875" style="313"/>
    <col min="771" max="771" width="27.109375" style="313" bestFit="1" customWidth="1"/>
    <col min="772" max="1026" width="11.5546875" style="313"/>
    <col min="1027" max="1027" width="27.109375" style="313" bestFit="1" customWidth="1"/>
    <col min="1028" max="1282" width="11.5546875" style="313"/>
    <col min="1283" max="1283" width="27.109375" style="313" bestFit="1" customWidth="1"/>
    <col min="1284" max="1538" width="11.5546875" style="313"/>
    <col min="1539" max="1539" width="27.109375" style="313" bestFit="1" customWidth="1"/>
    <col min="1540" max="1794" width="11.5546875" style="313"/>
    <col min="1795" max="1795" width="27.109375" style="313" bestFit="1" customWidth="1"/>
    <col min="1796" max="2050" width="11.5546875" style="313"/>
    <col min="2051" max="2051" width="27.109375" style="313" bestFit="1" customWidth="1"/>
    <col min="2052" max="2306" width="11.5546875" style="313"/>
    <col min="2307" max="2307" width="27.109375" style="313" bestFit="1" customWidth="1"/>
    <col min="2308" max="2562" width="11.5546875" style="313"/>
    <col min="2563" max="2563" width="27.109375" style="313" bestFit="1" customWidth="1"/>
    <col min="2564" max="2818" width="11.5546875" style="313"/>
    <col min="2819" max="2819" width="27.109375" style="313" bestFit="1" customWidth="1"/>
    <col min="2820" max="3074" width="11.5546875" style="313"/>
    <col min="3075" max="3075" width="27.109375" style="313" bestFit="1" customWidth="1"/>
    <col min="3076" max="3330" width="11.5546875" style="313"/>
    <col min="3331" max="3331" width="27.109375" style="313" bestFit="1" customWidth="1"/>
    <col min="3332" max="3586" width="11.5546875" style="313"/>
    <col min="3587" max="3587" width="27.109375" style="313" bestFit="1" customWidth="1"/>
    <col min="3588" max="3842" width="11.5546875" style="313"/>
    <col min="3843" max="3843" width="27.109375" style="313" bestFit="1" customWidth="1"/>
    <col min="3844" max="4098" width="11.5546875" style="313"/>
    <col min="4099" max="4099" width="27.109375" style="313" bestFit="1" customWidth="1"/>
    <col min="4100" max="4354" width="11.5546875" style="313"/>
    <col min="4355" max="4355" width="27.109375" style="313" bestFit="1" customWidth="1"/>
    <col min="4356" max="4610" width="11.5546875" style="313"/>
    <col min="4611" max="4611" width="27.109375" style="313" bestFit="1" customWidth="1"/>
    <col min="4612" max="4866" width="11.5546875" style="313"/>
    <col min="4867" max="4867" width="27.109375" style="313" bestFit="1" customWidth="1"/>
    <col min="4868" max="5122" width="11.5546875" style="313"/>
    <col min="5123" max="5123" width="27.109375" style="313" bestFit="1" customWidth="1"/>
    <col min="5124" max="5378" width="11.5546875" style="313"/>
    <col min="5379" max="5379" width="27.109375" style="313" bestFit="1" customWidth="1"/>
    <col min="5380" max="5634" width="11.5546875" style="313"/>
    <col min="5635" max="5635" width="27.109375" style="313" bestFit="1" customWidth="1"/>
    <col min="5636" max="5890" width="11.5546875" style="313"/>
    <col min="5891" max="5891" width="27.109375" style="313" bestFit="1" customWidth="1"/>
    <col min="5892" max="6146" width="11.5546875" style="313"/>
    <col min="6147" max="6147" width="27.109375" style="313" bestFit="1" customWidth="1"/>
    <col min="6148" max="6402" width="11.5546875" style="313"/>
    <col min="6403" max="6403" width="27.109375" style="313" bestFit="1" customWidth="1"/>
    <col min="6404" max="6658" width="11.5546875" style="313"/>
    <col min="6659" max="6659" width="27.109375" style="313" bestFit="1" customWidth="1"/>
    <col min="6660" max="6914" width="11.5546875" style="313"/>
    <col min="6915" max="6915" width="27.109375" style="313" bestFit="1" customWidth="1"/>
    <col min="6916" max="7170" width="11.5546875" style="313"/>
    <col min="7171" max="7171" width="27.109375" style="313" bestFit="1" customWidth="1"/>
    <col min="7172" max="7426" width="11.5546875" style="313"/>
    <col min="7427" max="7427" width="27.109375" style="313" bestFit="1" customWidth="1"/>
    <col min="7428" max="7682" width="11.5546875" style="313"/>
    <col min="7683" max="7683" width="27.109375" style="313" bestFit="1" customWidth="1"/>
    <col min="7684" max="7938" width="11.5546875" style="313"/>
    <col min="7939" max="7939" width="27.109375" style="313" bestFit="1" customWidth="1"/>
    <col min="7940" max="8194" width="11.5546875" style="313"/>
    <col min="8195" max="8195" width="27.109375" style="313" bestFit="1" customWidth="1"/>
    <col min="8196" max="8450" width="11.5546875" style="313"/>
    <col min="8451" max="8451" width="27.109375" style="313" bestFit="1" customWidth="1"/>
    <col min="8452" max="8706" width="11.5546875" style="313"/>
    <col min="8707" max="8707" width="27.109375" style="313" bestFit="1" customWidth="1"/>
    <col min="8708" max="8962" width="11.5546875" style="313"/>
    <col min="8963" max="8963" width="27.109375" style="313" bestFit="1" customWidth="1"/>
    <col min="8964" max="9218" width="11.5546875" style="313"/>
    <col min="9219" max="9219" width="27.109375" style="313" bestFit="1" customWidth="1"/>
    <col min="9220" max="9474" width="11.5546875" style="313"/>
    <col min="9475" max="9475" width="27.109375" style="313" bestFit="1" customWidth="1"/>
    <col min="9476" max="9730" width="11.5546875" style="313"/>
    <col min="9731" max="9731" width="27.109375" style="313" bestFit="1" customWidth="1"/>
    <col min="9732" max="9986" width="11.5546875" style="313"/>
    <col min="9987" max="9987" width="27.109375" style="313" bestFit="1" customWidth="1"/>
    <col min="9988" max="10242" width="11.5546875" style="313"/>
    <col min="10243" max="10243" width="27.109375" style="313" bestFit="1" customWidth="1"/>
    <col min="10244" max="10498" width="11.5546875" style="313"/>
    <col min="10499" max="10499" width="27.109375" style="313" bestFit="1" customWidth="1"/>
    <col min="10500" max="10754" width="11.5546875" style="313"/>
    <col min="10755" max="10755" width="27.109375" style="313" bestFit="1" customWidth="1"/>
    <col min="10756" max="11010" width="11.5546875" style="313"/>
    <col min="11011" max="11011" width="27.109375" style="313" bestFit="1" customWidth="1"/>
    <col min="11012" max="11266" width="11.5546875" style="313"/>
    <col min="11267" max="11267" width="27.109375" style="313" bestFit="1" customWidth="1"/>
    <col min="11268" max="11522" width="11.5546875" style="313"/>
    <col min="11523" max="11523" width="27.109375" style="313" bestFit="1" customWidth="1"/>
    <col min="11524" max="11778" width="11.5546875" style="313"/>
    <col min="11779" max="11779" width="27.109375" style="313" bestFit="1" customWidth="1"/>
    <col min="11780" max="12034" width="11.5546875" style="313"/>
    <col min="12035" max="12035" width="27.109375" style="313" bestFit="1" customWidth="1"/>
    <col min="12036" max="12290" width="11.5546875" style="313"/>
    <col min="12291" max="12291" width="27.109375" style="313" bestFit="1" customWidth="1"/>
    <col min="12292" max="12546" width="11.5546875" style="313"/>
    <col min="12547" max="12547" width="27.109375" style="313" bestFit="1" customWidth="1"/>
    <col min="12548" max="12802" width="11.5546875" style="313"/>
    <col min="12803" max="12803" width="27.109375" style="313" bestFit="1" customWidth="1"/>
    <col min="12804" max="13058" width="11.5546875" style="313"/>
    <col min="13059" max="13059" width="27.109375" style="313" bestFit="1" customWidth="1"/>
    <col min="13060" max="13314" width="11.5546875" style="313"/>
    <col min="13315" max="13315" width="27.109375" style="313" bestFit="1" customWidth="1"/>
    <col min="13316" max="13570" width="11.5546875" style="313"/>
    <col min="13571" max="13571" width="27.109375" style="313" bestFit="1" customWidth="1"/>
    <col min="13572" max="13826" width="11.5546875" style="313"/>
    <col min="13827" max="13827" width="27.109375" style="313" bestFit="1" customWidth="1"/>
    <col min="13828" max="14082" width="11.5546875" style="313"/>
    <col min="14083" max="14083" width="27.109375" style="313" bestFit="1" customWidth="1"/>
    <col min="14084" max="14338" width="11.5546875" style="313"/>
    <col min="14339" max="14339" width="27.109375" style="313" bestFit="1" customWidth="1"/>
    <col min="14340" max="14594" width="11.5546875" style="313"/>
    <col min="14595" max="14595" width="27.109375" style="313" bestFit="1" customWidth="1"/>
    <col min="14596" max="14850" width="11.5546875" style="313"/>
    <col min="14851" max="14851" width="27.109375" style="313" bestFit="1" customWidth="1"/>
    <col min="14852" max="15106" width="11.5546875" style="313"/>
    <col min="15107" max="15107" width="27.109375" style="313" bestFit="1" customWidth="1"/>
    <col min="15108" max="15362" width="11.5546875" style="313"/>
    <col min="15363" max="15363" width="27.109375" style="313" bestFit="1" customWidth="1"/>
    <col min="15364" max="15618" width="11.5546875" style="313"/>
    <col min="15619" max="15619" width="27.109375" style="313" bestFit="1" customWidth="1"/>
    <col min="15620" max="15874" width="11.5546875" style="313"/>
    <col min="15875" max="15875" width="27.109375" style="313" bestFit="1" customWidth="1"/>
    <col min="15876" max="16130" width="11.5546875" style="313"/>
    <col min="16131" max="16131" width="27.109375" style="313" bestFit="1" customWidth="1"/>
    <col min="16132" max="16384" width="11.5546875" style="313"/>
  </cols>
  <sheetData>
    <row r="1" spans="1:8">
      <c r="A1" s="651" t="s">
        <v>421</v>
      </c>
      <c r="B1" s="652"/>
      <c r="C1" s="653"/>
    </row>
    <row r="2" spans="1:8">
      <c r="A2" s="336" t="s">
        <v>411</v>
      </c>
      <c r="B2" s="335" t="s">
        <v>410</v>
      </c>
      <c r="C2" s="334" t="s">
        <v>409</v>
      </c>
    </row>
    <row r="3" spans="1:8" ht="14.4">
      <c r="A3" s="333" t="s">
        <v>413</v>
      </c>
      <c r="B3" s="313" t="s">
        <v>413</v>
      </c>
      <c r="C3" s="330" t="s">
        <v>413</v>
      </c>
      <c r="D3"/>
      <c r="E3"/>
      <c r="F3"/>
    </row>
    <row r="4" spans="1:8" ht="14.4">
      <c r="A4" s="331" t="s">
        <v>408</v>
      </c>
      <c r="B4" s="313" t="s">
        <v>387</v>
      </c>
      <c r="C4" s="330" t="s">
        <v>420</v>
      </c>
      <c r="D4"/>
      <c r="E4"/>
      <c r="F4"/>
    </row>
    <row r="5" spans="1:8" ht="14.4">
      <c r="A5" s="331" t="s">
        <v>387</v>
      </c>
      <c r="B5" s="313" t="s">
        <v>408</v>
      </c>
      <c r="C5" s="330" t="s">
        <v>420</v>
      </c>
      <c r="D5"/>
      <c r="E5"/>
      <c r="F5"/>
    </row>
    <row r="6" spans="1:8" ht="14.4">
      <c r="A6" s="331" t="s">
        <v>413</v>
      </c>
      <c r="B6" s="313" t="s">
        <v>408</v>
      </c>
      <c r="C6" s="330" t="s">
        <v>419</v>
      </c>
      <c r="D6"/>
      <c r="E6"/>
      <c r="F6"/>
    </row>
    <row r="7" spans="1:8" ht="14.4">
      <c r="A7" s="331" t="s">
        <v>413</v>
      </c>
      <c r="B7" s="313" t="s">
        <v>387</v>
      </c>
      <c r="C7" s="330" t="s">
        <v>419</v>
      </c>
      <c r="D7"/>
      <c r="E7"/>
      <c r="F7"/>
    </row>
    <row r="8" spans="1:8" ht="14.4">
      <c r="A8" s="331" t="s">
        <v>408</v>
      </c>
      <c r="B8" s="332" t="s">
        <v>413</v>
      </c>
      <c r="C8" s="330" t="s">
        <v>419</v>
      </c>
      <c r="D8"/>
      <c r="E8"/>
      <c r="F8"/>
    </row>
    <row r="9" spans="1:8" ht="14.4">
      <c r="A9" s="331" t="s">
        <v>387</v>
      </c>
      <c r="B9" s="332" t="s">
        <v>413</v>
      </c>
      <c r="C9" s="330" t="s">
        <v>419</v>
      </c>
      <c r="D9"/>
      <c r="E9" s="654" t="s">
        <v>418</v>
      </c>
      <c r="F9" s="655"/>
    </row>
    <row r="10" spans="1:8" ht="14.4">
      <c r="A10" s="331" t="s">
        <v>408</v>
      </c>
      <c r="B10" s="313" t="s">
        <v>408</v>
      </c>
      <c r="C10" s="330" t="s">
        <v>417</v>
      </c>
      <c r="D10"/>
      <c r="E10" s="329" t="s">
        <v>387</v>
      </c>
      <c r="F10" s="328" t="s">
        <v>416</v>
      </c>
    </row>
    <row r="11" spans="1:8" ht="14.4">
      <c r="A11" s="327" t="s">
        <v>387</v>
      </c>
      <c r="B11" s="326" t="s">
        <v>387</v>
      </c>
      <c r="C11" s="325" t="s">
        <v>415</v>
      </c>
      <c r="D11"/>
      <c r="E11" s="324" t="s">
        <v>408</v>
      </c>
      <c r="F11" s="323" t="s">
        <v>414</v>
      </c>
    </row>
    <row r="12" spans="1:8">
      <c r="D12" s="322"/>
      <c r="E12" s="321" t="s">
        <v>413</v>
      </c>
      <c r="F12" s="320" t="s">
        <v>412</v>
      </c>
    </row>
    <row r="14" spans="1:8" ht="14.4">
      <c r="A14" s="319" t="s">
        <v>411</v>
      </c>
      <c r="B14" s="318" t="s">
        <v>410</v>
      </c>
      <c r="C14" s="317" t="s">
        <v>409</v>
      </c>
      <c r="G14"/>
      <c r="H14"/>
    </row>
    <row r="15" spans="1:8" ht="14.4" thickBot="1">
      <c r="A15" s="316" t="s">
        <v>408</v>
      </c>
      <c r="B15" s="315" t="s">
        <v>408</v>
      </c>
      <c r="C15" s="314" t="str">
        <f>IF(AND(A15="O",B15="O"),C10,IF(AND(A15="F",B15="F"),C11,IF(AND(A15="-",B15="-"),C3,IF(AND(A15="F",B15="O"),C5,IF(AND(A15="O",B15="F"),C4,IF(AND(A15="-",B15="O"),C6,IF(AND(A15="-",B15="F"),C7,IF(AND(A15="O",B15="-"),C8,IF(AND(A15="F",B15="-"),C9,"Rien")))))))))</f>
        <v>Attention les 2 sont ouvertes</v>
      </c>
    </row>
  </sheetData>
  <mergeCells count="2">
    <mergeCell ref="A1:C1"/>
    <mergeCell ref="E9:F9"/>
  </mergeCells>
  <dataValidations count="2">
    <dataValidation type="list" allowBlank="1" showInputMessage="1" showErrorMessage="1" sqref="A15:B15" xr:uid="{4910565A-64BB-479E-B32F-C0916FA9DDB1}">
      <formula1>$E$10:$E$12</formula1>
    </dataValidation>
    <dataValidation type="list" allowBlank="1" showInputMessage="1" showErrorMessage="1" sqref="IW5:IX5 WVI983034:WVJ983034 WLM983034:WLN983034 WBQ983034:WBR983034 VRU983034:VRV983034 VHY983034:VHZ983034 UYC983034:UYD983034 UOG983034:UOH983034 UEK983034:UEL983034 TUO983034:TUP983034 TKS983034:TKT983034 TAW983034:TAX983034 SRA983034:SRB983034 SHE983034:SHF983034 RXI983034:RXJ983034 RNM983034:RNN983034 RDQ983034:RDR983034 QTU983034:QTV983034 QJY983034:QJZ983034 QAC983034:QAD983034 PQG983034:PQH983034 PGK983034:PGL983034 OWO983034:OWP983034 OMS983034:OMT983034 OCW983034:OCX983034 NTA983034:NTB983034 NJE983034:NJF983034 MZI983034:MZJ983034 MPM983034:MPN983034 MFQ983034:MFR983034 LVU983034:LVV983034 LLY983034:LLZ983034 LCC983034:LCD983034 KSG983034:KSH983034 KIK983034:KIL983034 JYO983034:JYP983034 JOS983034:JOT983034 JEW983034:JEX983034 IVA983034:IVB983034 ILE983034:ILF983034 IBI983034:IBJ983034 HRM983034:HRN983034 HHQ983034:HHR983034 GXU983034:GXV983034 GNY983034:GNZ983034 GEC983034:GED983034 FUG983034:FUH983034 FKK983034:FKL983034 FAO983034:FAP983034 EQS983034:EQT983034 EGW983034:EGX983034 DXA983034:DXB983034 DNE983034:DNF983034 DDI983034:DDJ983034 CTM983034:CTN983034 CJQ983034:CJR983034 BZU983034:BZV983034 BPY983034:BPZ983034 BGC983034:BGD983034 AWG983034:AWH983034 AMK983034:AML983034 ACO983034:ACP983034 SS983034:ST983034 IW983034:IX983034 A983043:B983043 WVI917498:WVJ917498 WLM917498:WLN917498 WBQ917498:WBR917498 VRU917498:VRV917498 VHY917498:VHZ917498 UYC917498:UYD917498 UOG917498:UOH917498 UEK917498:UEL917498 TUO917498:TUP917498 TKS917498:TKT917498 TAW917498:TAX917498 SRA917498:SRB917498 SHE917498:SHF917498 RXI917498:RXJ917498 RNM917498:RNN917498 RDQ917498:RDR917498 QTU917498:QTV917498 QJY917498:QJZ917498 QAC917498:QAD917498 PQG917498:PQH917498 PGK917498:PGL917498 OWO917498:OWP917498 OMS917498:OMT917498 OCW917498:OCX917498 NTA917498:NTB917498 NJE917498:NJF917498 MZI917498:MZJ917498 MPM917498:MPN917498 MFQ917498:MFR917498 LVU917498:LVV917498 LLY917498:LLZ917498 LCC917498:LCD917498 KSG917498:KSH917498 KIK917498:KIL917498 JYO917498:JYP917498 JOS917498:JOT917498 JEW917498:JEX917498 IVA917498:IVB917498 ILE917498:ILF917498 IBI917498:IBJ917498 HRM917498:HRN917498 HHQ917498:HHR917498 GXU917498:GXV917498 GNY917498:GNZ917498 GEC917498:GED917498 FUG917498:FUH917498 FKK917498:FKL917498 FAO917498:FAP917498 EQS917498:EQT917498 EGW917498:EGX917498 DXA917498:DXB917498 DNE917498:DNF917498 DDI917498:DDJ917498 CTM917498:CTN917498 CJQ917498:CJR917498 BZU917498:BZV917498 BPY917498:BPZ917498 BGC917498:BGD917498 AWG917498:AWH917498 AMK917498:AML917498 ACO917498:ACP917498 SS917498:ST917498 IW917498:IX917498 A917507:B917507 WVI851962:WVJ851962 WLM851962:WLN851962 WBQ851962:WBR851962 VRU851962:VRV851962 VHY851962:VHZ851962 UYC851962:UYD851962 UOG851962:UOH851962 UEK851962:UEL851962 TUO851962:TUP851962 TKS851962:TKT851962 TAW851962:TAX851962 SRA851962:SRB851962 SHE851962:SHF851962 RXI851962:RXJ851962 RNM851962:RNN851962 RDQ851962:RDR851962 QTU851962:QTV851962 QJY851962:QJZ851962 QAC851962:QAD851962 PQG851962:PQH851962 PGK851962:PGL851962 OWO851962:OWP851962 OMS851962:OMT851962 OCW851962:OCX851962 NTA851962:NTB851962 NJE851962:NJF851962 MZI851962:MZJ851962 MPM851962:MPN851962 MFQ851962:MFR851962 LVU851962:LVV851962 LLY851962:LLZ851962 LCC851962:LCD851962 KSG851962:KSH851962 KIK851962:KIL851962 JYO851962:JYP851962 JOS851962:JOT851962 JEW851962:JEX851962 IVA851962:IVB851962 ILE851962:ILF851962 IBI851962:IBJ851962 HRM851962:HRN851962 HHQ851962:HHR851962 GXU851962:GXV851962 GNY851962:GNZ851962 GEC851962:GED851962 FUG851962:FUH851962 FKK851962:FKL851962 FAO851962:FAP851962 EQS851962:EQT851962 EGW851962:EGX851962 DXA851962:DXB851962 DNE851962:DNF851962 DDI851962:DDJ851962 CTM851962:CTN851962 CJQ851962:CJR851962 BZU851962:BZV851962 BPY851962:BPZ851962 BGC851962:BGD851962 AWG851962:AWH851962 AMK851962:AML851962 ACO851962:ACP851962 SS851962:ST851962 IW851962:IX851962 A851971:B851971 WVI786426:WVJ786426 WLM786426:WLN786426 WBQ786426:WBR786426 VRU786426:VRV786426 VHY786426:VHZ786426 UYC786426:UYD786426 UOG786426:UOH786426 UEK786426:UEL786426 TUO786426:TUP786426 TKS786426:TKT786426 TAW786426:TAX786426 SRA786426:SRB786426 SHE786426:SHF786426 RXI786426:RXJ786426 RNM786426:RNN786426 RDQ786426:RDR786426 QTU786426:QTV786426 QJY786426:QJZ786426 QAC786426:QAD786426 PQG786426:PQH786426 PGK786426:PGL786426 OWO786426:OWP786426 OMS786426:OMT786426 OCW786426:OCX786426 NTA786426:NTB786426 NJE786426:NJF786426 MZI786426:MZJ786426 MPM786426:MPN786426 MFQ786426:MFR786426 LVU786426:LVV786426 LLY786426:LLZ786426 LCC786426:LCD786426 KSG786426:KSH786426 KIK786426:KIL786426 JYO786426:JYP786426 JOS786426:JOT786426 JEW786426:JEX786426 IVA786426:IVB786426 ILE786426:ILF786426 IBI786426:IBJ786426 HRM786426:HRN786426 HHQ786426:HHR786426 GXU786426:GXV786426 GNY786426:GNZ786426 GEC786426:GED786426 FUG786426:FUH786426 FKK786426:FKL786426 FAO786426:FAP786426 EQS786426:EQT786426 EGW786426:EGX786426 DXA786426:DXB786426 DNE786426:DNF786426 DDI786426:DDJ786426 CTM786426:CTN786426 CJQ786426:CJR786426 BZU786426:BZV786426 BPY786426:BPZ786426 BGC786426:BGD786426 AWG786426:AWH786426 AMK786426:AML786426 ACO786426:ACP786426 SS786426:ST786426 IW786426:IX786426 A786435:B786435 WVI720890:WVJ720890 WLM720890:WLN720890 WBQ720890:WBR720890 VRU720890:VRV720890 VHY720890:VHZ720890 UYC720890:UYD720890 UOG720890:UOH720890 UEK720890:UEL720890 TUO720890:TUP720890 TKS720890:TKT720890 TAW720890:TAX720890 SRA720890:SRB720890 SHE720890:SHF720890 RXI720890:RXJ720890 RNM720890:RNN720890 RDQ720890:RDR720890 QTU720890:QTV720890 QJY720890:QJZ720890 QAC720890:QAD720890 PQG720890:PQH720890 PGK720890:PGL720890 OWO720890:OWP720890 OMS720890:OMT720890 OCW720890:OCX720890 NTA720890:NTB720890 NJE720890:NJF720890 MZI720890:MZJ720890 MPM720890:MPN720890 MFQ720890:MFR720890 LVU720890:LVV720890 LLY720890:LLZ720890 LCC720890:LCD720890 KSG720890:KSH720890 KIK720890:KIL720890 JYO720890:JYP720890 JOS720890:JOT720890 JEW720890:JEX720890 IVA720890:IVB720890 ILE720890:ILF720890 IBI720890:IBJ720890 HRM720890:HRN720890 HHQ720890:HHR720890 GXU720890:GXV720890 GNY720890:GNZ720890 GEC720890:GED720890 FUG720890:FUH720890 FKK720890:FKL720890 FAO720890:FAP720890 EQS720890:EQT720890 EGW720890:EGX720890 DXA720890:DXB720890 DNE720890:DNF720890 DDI720890:DDJ720890 CTM720890:CTN720890 CJQ720890:CJR720890 BZU720890:BZV720890 BPY720890:BPZ720890 BGC720890:BGD720890 AWG720890:AWH720890 AMK720890:AML720890 ACO720890:ACP720890 SS720890:ST720890 IW720890:IX720890 A720899:B720899 WVI655354:WVJ655354 WLM655354:WLN655354 WBQ655354:WBR655354 VRU655354:VRV655354 VHY655354:VHZ655354 UYC655354:UYD655354 UOG655354:UOH655354 UEK655354:UEL655354 TUO655354:TUP655354 TKS655354:TKT655354 TAW655354:TAX655354 SRA655354:SRB655354 SHE655354:SHF655354 RXI655354:RXJ655354 RNM655354:RNN655354 RDQ655354:RDR655354 QTU655354:QTV655354 QJY655354:QJZ655354 QAC655354:QAD655354 PQG655354:PQH655354 PGK655354:PGL655354 OWO655354:OWP655354 OMS655354:OMT655354 OCW655354:OCX655354 NTA655354:NTB655354 NJE655354:NJF655354 MZI655354:MZJ655354 MPM655354:MPN655354 MFQ655354:MFR655354 LVU655354:LVV655354 LLY655354:LLZ655354 LCC655354:LCD655354 KSG655354:KSH655354 KIK655354:KIL655354 JYO655354:JYP655354 JOS655354:JOT655354 JEW655354:JEX655354 IVA655354:IVB655354 ILE655354:ILF655354 IBI655354:IBJ655354 HRM655354:HRN655354 HHQ655354:HHR655354 GXU655354:GXV655354 GNY655354:GNZ655354 GEC655354:GED655354 FUG655354:FUH655354 FKK655354:FKL655354 FAO655354:FAP655354 EQS655354:EQT655354 EGW655354:EGX655354 DXA655354:DXB655354 DNE655354:DNF655354 DDI655354:DDJ655354 CTM655354:CTN655354 CJQ655354:CJR655354 BZU655354:BZV655354 BPY655354:BPZ655354 BGC655354:BGD655354 AWG655354:AWH655354 AMK655354:AML655354 ACO655354:ACP655354 SS655354:ST655354 IW655354:IX655354 A655363:B655363 WVI589818:WVJ589818 WLM589818:WLN589818 WBQ589818:WBR589818 VRU589818:VRV589818 VHY589818:VHZ589818 UYC589818:UYD589818 UOG589818:UOH589818 UEK589818:UEL589818 TUO589818:TUP589818 TKS589818:TKT589818 TAW589818:TAX589818 SRA589818:SRB589818 SHE589818:SHF589818 RXI589818:RXJ589818 RNM589818:RNN589818 RDQ589818:RDR589818 QTU589818:QTV589818 QJY589818:QJZ589818 QAC589818:QAD589818 PQG589818:PQH589818 PGK589818:PGL589818 OWO589818:OWP589818 OMS589818:OMT589818 OCW589818:OCX589818 NTA589818:NTB589818 NJE589818:NJF589818 MZI589818:MZJ589818 MPM589818:MPN589818 MFQ589818:MFR589818 LVU589818:LVV589818 LLY589818:LLZ589818 LCC589818:LCD589818 KSG589818:KSH589818 KIK589818:KIL589818 JYO589818:JYP589818 JOS589818:JOT589818 JEW589818:JEX589818 IVA589818:IVB589818 ILE589818:ILF589818 IBI589818:IBJ589818 HRM589818:HRN589818 HHQ589818:HHR589818 GXU589818:GXV589818 GNY589818:GNZ589818 GEC589818:GED589818 FUG589818:FUH589818 FKK589818:FKL589818 FAO589818:FAP589818 EQS589818:EQT589818 EGW589818:EGX589818 DXA589818:DXB589818 DNE589818:DNF589818 DDI589818:DDJ589818 CTM589818:CTN589818 CJQ589818:CJR589818 BZU589818:BZV589818 BPY589818:BPZ589818 BGC589818:BGD589818 AWG589818:AWH589818 AMK589818:AML589818 ACO589818:ACP589818 SS589818:ST589818 IW589818:IX589818 A589827:B589827 WVI524282:WVJ524282 WLM524282:WLN524282 WBQ524282:WBR524282 VRU524282:VRV524282 VHY524282:VHZ524282 UYC524282:UYD524282 UOG524282:UOH524282 UEK524282:UEL524282 TUO524282:TUP524282 TKS524282:TKT524282 TAW524282:TAX524282 SRA524282:SRB524282 SHE524282:SHF524282 RXI524282:RXJ524282 RNM524282:RNN524282 RDQ524282:RDR524282 QTU524282:QTV524282 QJY524282:QJZ524282 QAC524282:QAD524282 PQG524282:PQH524282 PGK524282:PGL524282 OWO524282:OWP524282 OMS524282:OMT524282 OCW524282:OCX524282 NTA524282:NTB524282 NJE524282:NJF524282 MZI524282:MZJ524282 MPM524282:MPN524282 MFQ524282:MFR524282 LVU524282:LVV524282 LLY524282:LLZ524282 LCC524282:LCD524282 KSG524282:KSH524282 KIK524282:KIL524282 JYO524282:JYP524282 JOS524282:JOT524282 JEW524282:JEX524282 IVA524282:IVB524282 ILE524282:ILF524282 IBI524282:IBJ524282 HRM524282:HRN524282 HHQ524282:HHR524282 GXU524282:GXV524282 GNY524282:GNZ524282 GEC524282:GED524282 FUG524282:FUH524282 FKK524282:FKL524282 FAO524282:FAP524282 EQS524282:EQT524282 EGW524282:EGX524282 DXA524282:DXB524282 DNE524282:DNF524282 DDI524282:DDJ524282 CTM524282:CTN524282 CJQ524282:CJR524282 BZU524282:BZV524282 BPY524282:BPZ524282 BGC524282:BGD524282 AWG524282:AWH524282 AMK524282:AML524282 ACO524282:ACP524282 SS524282:ST524282 IW524282:IX524282 A524291:B524291 WVI458746:WVJ458746 WLM458746:WLN458746 WBQ458746:WBR458746 VRU458746:VRV458746 VHY458746:VHZ458746 UYC458746:UYD458746 UOG458746:UOH458746 UEK458746:UEL458746 TUO458746:TUP458746 TKS458746:TKT458746 TAW458746:TAX458746 SRA458746:SRB458746 SHE458746:SHF458746 RXI458746:RXJ458746 RNM458746:RNN458746 RDQ458746:RDR458746 QTU458746:QTV458746 QJY458746:QJZ458746 QAC458746:QAD458746 PQG458746:PQH458746 PGK458746:PGL458746 OWO458746:OWP458746 OMS458746:OMT458746 OCW458746:OCX458746 NTA458746:NTB458746 NJE458746:NJF458746 MZI458746:MZJ458746 MPM458746:MPN458746 MFQ458746:MFR458746 LVU458746:LVV458746 LLY458746:LLZ458746 LCC458746:LCD458746 KSG458746:KSH458746 KIK458746:KIL458746 JYO458746:JYP458746 JOS458746:JOT458746 JEW458746:JEX458746 IVA458746:IVB458746 ILE458746:ILF458746 IBI458746:IBJ458746 HRM458746:HRN458746 HHQ458746:HHR458746 GXU458746:GXV458746 GNY458746:GNZ458746 GEC458746:GED458746 FUG458746:FUH458746 FKK458746:FKL458746 FAO458746:FAP458746 EQS458746:EQT458746 EGW458746:EGX458746 DXA458746:DXB458746 DNE458746:DNF458746 DDI458746:DDJ458746 CTM458746:CTN458746 CJQ458746:CJR458746 BZU458746:BZV458746 BPY458746:BPZ458746 BGC458746:BGD458746 AWG458746:AWH458746 AMK458746:AML458746 ACO458746:ACP458746 SS458746:ST458746 IW458746:IX458746 A458755:B458755 WVI393210:WVJ393210 WLM393210:WLN393210 WBQ393210:WBR393210 VRU393210:VRV393210 VHY393210:VHZ393210 UYC393210:UYD393210 UOG393210:UOH393210 UEK393210:UEL393210 TUO393210:TUP393210 TKS393210:TKT393210 TAW393210:TAX393210 SRA393210:SRB393210 SHE393210:SHF393210 RXI393210:RXJ393210 RNM393210:RNN393210 RDQ393210:RDR393210 QTU393210:QTV393210 QJY393210:QJZ393210 QAC393210:QAD393210 PQG393210:PQH393210 PGK393210:PGL393210 OWO393210:OWP393210 OMS393210:OMT393210 OCW393210:OCX393210 NTA393210:NTB393210 NJE393210:NJF393210 MZI393210:MZJ393210 MPM393210:MPN393210 MFQ393210:MFR393210 LVU393210:LVV393210 LLY393210:LLZ393210 LCC393210:LCD393210 KSG393210:KSH393210 KIK393210:KIL393210 JYO393210:JYP393210 JOS393210:JOT393210 JEW393210:JEX393210 IVA393210:IVB393210 ILE393210:ILF393210 IBI393210:IBJ393210 HRM393210:HRN393210 HHQ393210:HHR393210 GXU393210:GXV393210 GNY393210:GNZ393210 GEC393210:GED393210 FUG393210:FUH393210 FKK393210:FKL393210 FAO393210:FAP393210 EQS393210:EQT393210 EGW393210:EGX393210 DXA393210:DXB393210 DNE393210:DNF393210 DDI393210:DDJ393210 CTM393210:CTN393210 CJQ393210:CJR393210 BZU393210:BZV393210 BPY393210:BPZ393210 BGC393210:BGD393210 AWG393210:AWH393210 AMK393210:AML393210 ACO393210:ACP393210 SS393210:ST393210 IW393210:IX393210 A393219:B393219 WVI327674:WVJ327674 WLM327674:WLN327674 WBQ327674:WBR327674 VRU327674:VRV327674 VHY327674:VHZ327674 UYC327674:UYD327674 UOG327674:UOH327674 UEK327674:UEL327674 TUO327674:TUP327674 TKS327674:TKT327674 TAW327674:TAX327674 SRA327674:SRB327674 SHE327674:SHF327674 RXI327674:RXJ327674 RNM327674:RNN327674 RDQ327674:RDR327674 QTU327674:QTV327674 QJY327674:QJZ327674 QAC327674:QAD327674 PQG327674:PQH327674 PGK327674:PGL327674 OWO327674:OWP327674 OMS327674:OMT327674 OCW327674:OCX327674 NTA327674:NTB327674 NJE327674:NJF327674 MZI327674:MZJ327674 MPM327674:MPN327674 MFQ327674:MFR327674 LVU327674:LVV327674 LLY327674:LLZ327674 LCC327674:LCD327674 KSG327674:KSH327674 KIK327674:KIL327674 JYO327674:JYP327674 JOS327674:JOT327674 JEW327674:JEX327674 IVA327674:IVB327674 ILE327674:ILF327674 IBI327674:IBJ327674 HRM327674:HRN327674 HHQ327674:HHR327674 GXU327674:GXV327674 GNY327674:GNZ327674 GEC327674:GED327674 FUG327674:FUH327674 FKK327674:FKL327674 FAO327674:FAP327674 EQS327674:EQT327674 EGW327674:EGX327674 DXA327674:DXB327674 DNE327674:DNF327674 DDI327674:DDJ327674 CTM327674:CTN327674 CJQ327674:CJR327674 BZU327674:BZV327674 BPY327674:BPZ327674 BGC327674:BGD327674 AWG327674:AWH327674 AMK327674:AML327674 ACO327674:ACP327674 SS327674:ST327674 IW327674:IX327674 A327683:B327683 WVI262138:WVJ262138 WLM262138:WLN262138 WBQ262138:WBR262138 VRU262138:VRV262138 VHY262138:VHZ262138 UYC262138:UYD262138 UOG262138:UOH262138 UEK262138:UEL262138 TUO262138:TUP262138 TKS262138:TKT262138 TAW262138:TAX262138 SRA262138:SRB262138 SHE262138:SHF262138 RXI262138:RXJ262138 RNM262138:RNN262138 RDQ262138:RDR262138 QTU262138:QTV262138 QJY262138:QJZ262138 QAC262138:QAD262138 PQG262138:PQH262138 PGK262138:PGL262138 OWO262138:OWP262138 OMS262138:OMT262138 OCW262138:OCX262138 NTA262138:NTB262138 NJE262138:NJF262138 MZI262138:MZJ262138 MPM262138:MPN262138 MFQ262138:MFR262138 LVU262138:LVV262138 LLY262138:LLZ262138 LCC262138:LCD262138 KSG262138:KSH262138 KIK262138:KIL262138 JYO262138:JYP262138 JOS262138:JOT262138 JEW262138:JEX262138 IVA262138:IVB262138 ILE262138:ILF262138 IBI262138:IBJ262138 HRM262138:HRN262138 HHQ262138:HHR262138 GXU262138:GXV262138 GNY262138:GNZ262138 GEC262138:GED262138 FUG262138:FUH262138 FKK262138:FKL262138 FAO262138:FAP262138 EQS262138:EQT262138 EGW262138:EGX262138 DXA262138:DXB262138 DNE262138:DNF262138 DDI262138:DDJ262138 CTM262138:CTN262138 CJQ262138:CJR262138 BZU262138:BZV262138 BPY262138:BPZ262138 BGC262138:BGD262138 AWG262138:AWH262138 AMK262138:AML262138 ACO262138:ACP262138 SS262138:ST262138 IW262138:IX262138 A262147:B262147 WVI196602:WVJ196602 WLM196602:WLN196602 WBQ196602:WBR196602 VRU196602:VRV196602 VHY196602:VHZ196602 UYC196602:UYD196602 UOG196602:UOH196602 UEK196602:UEL196602 TUO196602:TUP196602 TKS196602:TKT196602 TAW196602:TAX196602 SRA196602:SRB196602 SHE196602:SHF196602 RXI196602:RXJ196602 RNM196602:RNN196602 RDQ196602:RDR196602 QTU196602:QTV196602 QJY196602:QJZ196602 QAC196602:QAD196602 PQG196602:PQH196602 PGK196602:PGL196602 OWO196602:OWP196602 OMS196602:OMT196602 OCW196602:OCX196602 NTA196602:NTB196602 NJE196602:NJF196602 MZI196602:MZJ196602 MPM196602:MPN196602 MFQ196602:MFR196602 LVU196602:LVV196602 LLY196602:LLZ196602 LCC196602:LCD196602 KSG196602:KSH196602 KIK196602:KIL196602 JYO196602:JYP196602 JOS196602:JOT196602 JEW196602:JEX196602 IVA196602:IVB196602 ILE196602:ILF196602 IBI196602:IBJ196602 HRM196602:HRN196602 HHQ196602:HHR196602 GXU196602:GXV196602 GNY196602:GNZ196602 GEC196602:GED196602 FUG196602:FUH196602 FKK196602:FKL196602 FAO196602:FAP196602 EQS196602:EQT196602 EGW196602:EGX196602 DXA196602:DXB196602 DNE196602:DNF196602 DDI196602:DDJ196602 CTM196602:CTN196602 CJQ196602:CJR196602 BZU196602:BZV196602 BPY196602:BPZ196602 BGC196602:BGD196602 AWG196602:AWH196602 AMK196602:AML196602 ACO196602:ACP196602 SS196602:ST196602 IW196602:IX196602 A196611:B196611 WVI131066:WVJ131066 WLM131066:WLN131066 WBQ131066:WBR131066 VRU131066:VRV131066 VHY131066:VHZ131066 UYC131066:UYD131066 UOG131066:UOH131066 UEK131066:UEL131066 TUO131066:TUP131066 TKS131066:TKT131066 TAW131066:TAX131066 SRA131066:SRB131066 SHE131066:SHF131066 RXI131066:RXJ131066 RNM131066:RNN131066 RDQ131066:RDR131066 QTU131066:QTV131066 QJY131066:QJZ131066 QAC131066:QAD131066 PQG131066:PQH131066 PGK131066:PGL131066 OWO131066:OWP131066 OMS131066:OMT131066 OCW131066:OCX131066 NTA131066:NTB131066 NJE131066:NJF131066 MZI131066:MZJ131066 MPM131066:MPN131066 MFQ131066:MFR131066 LVU131066:LVV131066 LLY131066:LLZ131066 LCC131066:LCD131066 KSG131066:KSH131066 KIK131066:KIL131066 JYO131066:JYP131066 JOS131066:JOT131066 JEW131066:JEX131066 IVA131066:IVB131066 ILE131066:ILF131066 IBI131066:IBJ131066 HRM131066:HRN131066 HHQ131066:HHR131066 GXU131066:GXV131066 GNY131066:GNZ131066 GEC131066:GED131066 FUG131066:FUH131066 FKK131066:FKL131066 FAO131066:FAP131066 EQS131066:EQT131066 EGW131066:EGX131066 DXA131066:DXB131066 DNE131066:DNF131066 DDI131066:DDJ131066 CTM131066:CTN131066 CJQ131066:CJR131066 BZU131066:BZV131066 BPY131066:BPZ131066 BGC131066:BGD131066 AWG131066:AWH131066 AMK131066:AML131066 ACO131066:ACP131066 SS131066:ST131066 IW131066:IX131066 A131075:B131075 WVI65530:WVJ65530 WLM65530:WLN65530 WBQ65530:WBR65530 VRU65530:VRV65530 VHY65530:VHZ65530 UYC65530:UYD65530 UOG65530:UOH65530 UEK65530:UEL65530 TUO65530:TUP65530 TKS65530:TKT65530 TAW65530:TAX65530 SRA65530:SRB65530 SHE65530:SHF65530 RXI65530:RXJ65530 RNM65530:RNN65530 RDQ65530:RDR65530 QTU65530:QTV65530 QJY65530:QJZ65530 QAC65530:QAD65530 PQG65530:PQH65530 PGK65530:PGL65530 OWO65530:OWP65530 OMS65530:OMT65530 OCW65530:OCX65530 NTA65530:NTB65530 NJE65530:NJF65530 MZI65530:MZJ65530 MPM65530:MPN65530 MFQ65530:MFR65530 LVU65530:LVV65530 LLY65530:LLZ65530 LCC65530:LCD65530 KSG65530:KSH65530 KIK65530:KIL65530 JYO65530:JYP65530 JOS65530:JOT65530 JEW65530:JEX65530 IVA65530:IVB65530 ILE65530:ILF65530 IBI65530:IBJ65530 HRM65530:HRN65530 HHQ65530:HHR65530 GXU65530:GXV65530 GNY65530:GNZ65530 GEC65530:GED65530 FUG65530:FUH65530 FKK65530:FKL65530 FAO65530:FAP65530 EQS65530:EQT65530 EGW65530:EGX65530 DXA65530:DXB65530 DNE65530:DNF65530 DDI65530:DDJ65530 CTM65530:CTN65530 CJQ65530:CJR65530 BZU65530:BZV65530 BPY65530:BPZ65530 BGC65530:BGD65530 AWG65530:AWH65530 AMK65530:AML65530 ACO65530:ACP65530 SS65530:ST65530 IW65530:IX65530 A65539:B65539 WVI5:WVJ5 WLM5:WLN5 WBQ5:WBR5 VRU5:VRV5 VHY5:VHZ5 UYC5:UYD5 UOG5:UOH5 UEK5:UEL5 TUO5:TUP5 TKS5:TKT5 TAW5:TAX5 SRA5:SRB5 SHE5:SHF5 RXI5:RXJ5 RNM5:RNN5 RDQ5:RDR5 QTU5:QTV5 QJY5:QJZ5 QAC5:QAD5 PQG5:PQH5 PGK5:PGL5 OWO5:OWP5 OMS5:OMT5 OCW5:OCX5 NTA5:NTB5 NJE5:NJF5 MZI5:MZJ5 MPM5:MPN5 MFQ5:MFR5 LVU5:LVV5 LLY5:LLZ5 LCC5:LCD5 KSG5:KSH5 KIK5:KIL5 JYO5:JYP5 JOS5:JOT5 JEW5:JEX5 IVA5:IVB5 ILE5:ILF5 IBI5:IBJ5 HRM5:HRN5 HHQ5:HHR5 GXU5:GXV5 GNY5:GNZ5 GEC5:GED5 FUG5:FUH5 FKK5:FKL5 FAO5:FAP5 EQS5:EQT5 EGW5:EGX5 DXA5:DXB5 DNE5:DNF5 DDI5:DDJ5 CTM5:CTN5 CJQ5:CJR5 BZU5:BZV5 BPY5:BPZ5 BGC5:BGD5 AWG5:AWH5 AMK5:AML5 ACO5:ACP5 SS5:ST5" xr:uid="{00000000-0002-0000-0100-000000000000}">
      <formula1>$E$3:$E$6</formula1>
    </dataValidation>
  </dataValidations>
  <printOptions headings="1" gridLines="1"/>
  <pageMargins left="0.78740157499999996" right="0.78740157499999996" top="0.984251969" bottom="0.984251969" header="0.4921259845" footer="0.4921259845"/>
  <pageSetup paperSize="9" orientation="landscape" horizontalDpi="4294967293" verticalDpi="0" r:id="rId1"/>
  <headerFooter alignWithMargins="0">
    <oddHeader>&amp;C&amp;"Corbel,Normal"10.2</oddHeader>
  </headerFooter>
  <drawing r:id="rId2"/>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C0F8E5E-96C1-4132-8E72-6EB196DDE2CC}">
  <dimension ref="A1:F23"/>
  <sheetViews>
    <sheetView tabSelected="1" zoomScaleNormal="100" workbookViewId="0">
      <selection activeCell="A27" sqref="A27"/>
    </sheetView>
  </sheetViews>
  <sheetFormatPr baseColWidth="10" defaultColWidth="11.44140625" defaultRowHeight="14.4"/>
  <cols>
    <col min="1" max="1" width="15" style="103" bestFit="1" customWidth="1"/>
    <col min="2" max="2" width="11.44140625" style="103"/>
    <col min="3" max="3" width="13.33203125" style="103" bestFit="1" customWidth="1"/>
    <col min="4" max="4" width="15.88671875" style="103" bestFit="1" customWidth="1"/>
    <col min="5" max="5" width="17.44140625" style="103" bestFit="1" customWidth="1"/>
    <col min="6" max="6" width="17.6640625" style="103" customWidth="1"/>
    <col min="7" max="16384" width="11.44140625" style="103"/>
  </cols>
  <sheetData>
    <row r="1" spans="1:6" ht="15.6">
      <c r="A1" s="362" t="s">
        <v>68</v>
      </c>
      <c r="B1" s="360" t="s">
        <v>265</v>
      </c>
      <c r="C1" s="360" t="s">
        <v>447</v>
      </c>
      <c r="D1" s="361" t="s">
        <v>446</v>
      </c>
      <c r="E1" s="360" t="s">
        <v>445</v>
      </c>
      <c r="F1" s="359" t="s">
        <v>444</v>
      </c>
    </row>
    <row r="2" spans="1:6" ht="15.6">
      <c r="A2" s="358" t="s">
        <v>443</v>
      </c>
      <c r="B2" s="357">
        <v>50</v>
      </c>
      <c r="C2" s="357">
        <v>7</v>
      </c>
      <c r="D2" s="356">
        <v>1100</v>
      </c>
      <c r="E2" s="355">
        <v>1</v>
      </c>
      <c r="F2" s="350" t="str">
        <f t="shared" ref="F2:F14" si="0">IF(AND(C2&gt;=$B$19,D2&gt;=$C$19),"Groupe 1",IF(AND(B2&gt;=$B$20,D2&gt;=$C$19),"Groupe 2",IF(C2&gt;=$B$21,"Groupe 3",IF(D2&gt;$C$22,"Groupe 4","Non"))))</f>
        <v>Groupe 1</v>
      </c>
    </row>
    <row r="3" spans="1:6" ht="15.6">
      <c r="A3" s="358" t="s">
        <v>442</v>
      </c>
      <c r="B3" s="357">
        <v>50</v>
      </c>
      <c r="C3" s="357">
        <v>6</v>
      </c>
      <c r="D3" s="356">
        <v>870</v>
      </c>
      <c r="E3" s="355">
        <v>3</v>
      </c>
      <c r="F3" s="350" t="str">
        <f t="shared" si="0"/>
        <v>Groupe 3</v>
      </c>
    </row>
    <row r="4" spans="1:6" ht="15.6">
      <c r="A4" s="358" t="s">
        <v>441</v>
      </c>
      <c r="B4" s="357">
        <v>25</v>
      </c>
      <c r="C4" s="357">
        <v>5</v>
      </c>
      <c r="D4" s="356">
        <v>980</v>
      </c>
      <c r="E4" s="355">
        <v>3</v>
      </c>
      <c r="F4" s="350" t="str">
        <f t="shared" si="0"/>
        <v>Groupe 3</v>
      </c>
    </row>
    <row r="5" spans="1:6" ht="15.6">
      <c r="A5" s="358" t="s">
        <v>440</v>
      </c>
      <c r="B5" s="357">
        <v>25</v>
      </c>
      <c r="C5" s="357">
        <v>4</v>
      </c>
      <c r="D5" s="356">
        <v>2000</v>
      </c>
      <c r="E5" s="355">
        <v>0</v>
      </c>
      <c r="F5" s="350" t="str">
        <f t="shared" si="0"/>
        <v>Non</v>
      </c>
    </row>
    <row r="6" spans="1:6" ht="15.6">
      <c r="A6" s="358" t="s">
        <v>439</v>
      </c>
      <c r="B6" s="357">
        <v>50</v>
      </c>
      <c r="C6" s="357">
        <v>7</v>
      </c>
      <c r="D6" s="356">
        <v>1000</v>
      </c>
      <c r="E6" s="355">
        <v>3</v>
      </c>
      <c r="F6" s="350" t="str">
        <f t="shared" si="0"/>
        <v>Groupe 1</v>
      </c>
    </row>
    <row r="7" spans="1:6" ht="15.6">
      <c r="A7" s="358" t="s">
        <v>438</v>
      </c>
      <c r="B7" s="357">
        <v>50</v>
      </c>
      <c r="C7" s="357">
        <v>7</v>
      </c>
      <c r="D7" s="356">
        <v>1000</v>
      </c>
      <c r="E7" s="355">
        <v>2</v>
      </c>
      <c r="F7" s="350" t="str">
        <f t="shared" si="0"/>
        <v>Groupe 1</v>
      </c>
    </row>
    <row r="8" spans="1:6" ht="15.6">
      <c r="A8" s="358" t="s">
        <v>437</v>
      </c>
      <c r="B8" s="357">
        <v>50</v>
      </c>
      <c r="C8" s="357">
        <v>5</v>
      </c>
      <c r="D8" s="356">
        <v>1000</v>
      </c>
      <c r="E8" s="355">
        <v>2</v>
      </c>
      <c r="F8" s="350" t="str">
        <f t="shared" si="0"/>
        <v>Groupe 2</v>
      </c>
    </row>
    <row r="9" spans="1:6" ht="15.6">
      <c r="A9" s="358" t="s">
        <v>436</v>
      </c>
      <c r="B9" s="357">
        <v>35</v>
      </c>
      <c r="C9" s="357">
        <v>8</v>
      </c>
      <c r="D9" s="356">
        <v>1200</v>
      </c>
      <c r="E9" s="355">
        <v>1</v>
      </c>
      <c r="F9" s="350" t="str">
        <f t="shared" si="0"/>
        <v>Groupe 1</v>
      </c>
    </row>
    <row r="10" spans="1:6" ht="15.6">
      <c r="A10" s="358" t="s">
        <v>435</v>
      </c>
      <c r="B10" s="357">
        <v>42</v>
      </c>
      <c r="C10" s="357">
        <v>6</v>
      </c>
      <c r="D10" s="356">
        <v>1200</v>
      </c>
      <c r="E10" s="355">
        <v>1</v>
      </c>
      <c r="F10" s="350" t="str">
        <f t="shared" si="0"/>
        <v>Groupe 3</v>
      </c>
    </row>
    <row r="11" spans="1:6" ht="15.6">
      <c r="A11" s="358" t="s">
        <v>434</v>
      </c>
      <c r="B11" s="357">
        <v>51</v>
      </c>
      <c r="C11" s="357">
        <v>7</v>
      </c>
      <c r="D11" s="356">
        <v>1100</v>
      </c>
      <c r="E11" s="355">
        <v>0</v>
      </c>
      <c r="F11" s="350" t="str">
        <f t="shared" si="0"/>
        <v>Groupe 1</v>
      </c>
    </row>
    <row r="12" spans="1:6" ht="15.6">
      <c r="A12" s="358" t="s">
        <v>433</v>
      </c>
      <c r="B12" s="357">
        <v>51</v>
      </c>
      <c r="C12" s="357">
        <v>7</v>
      </c>
      <c r="D12" s="356">
        <v>1000</v>
      </c>
      <c r="E12" s="355">
        <v>3</v>
      </c>
      <c r="F12" s="350" t="str">
        <f t="shared" si="0"/>
        <v>Groupe 1</v>
      </c>
    </row>
    <row r="13" spans="1:6" ht="15.6">
      <c r="A13" s="358" t="s">
        <v>432</v>
      </c>
      <c r="B13" s="357">
        <v>51</v>
      </c>
      <c r="C13" s="357">
        <v>5</v>
      </c>
      <c r="D13" s="356">
        <v>1000</v>
      </c>
      <c r="E13" s="355">
        <v>2</v>
      </c>
      <c r="F13" s="350" t="str">
        <f t="shared" si="0"/>
        <v>Groupe 2</v>
      </c>
    </row>
    <row r="14" spans="1:6" ht="15.6">
      <c r="A14" s="358" t="s">
        <v>431</v>
      </c>
      <c r="B14" s="357">
        <v>51</v>
      </c>
      <c r="C14" s="357">
        <v>6</v>
      </c>
      <c r="D14" s="356">
        <v>1000</v>
      </c>
      <c r="E14" s="355">
        <v>3</v>
      </c>
      <c r="F14" s="350" t="str">
        <f t="shared" si="0"/>
        <v>Groupe 2</v>
      </c>
    </row>
    <row r="15" spans="1:6" ht="15.6">
      <c r="A15" s="354" t="s">
        <v>430</v>
      </c>
      <c r="B15" s="353">
        <v>20</v>
      </c>
      <c r="C15" s="353">
        <v>3</v>
      </c>
      <c r="D15" s="352">
        <v>2000</v>
      </c>
      <c r="E15" s="351">
        <v>3</v>
      </c>
      <c r="F15" s="350" t="str">
        <f>IF(AND(C15&gt;=$B$19,D15&gt;=$C$19),"Groupe 1",IF(AND(B15&gt;=$B$20,D15&gt;=$C$19),"Groupe 2",IF(C15&gt;=$B$21,"Groupe 3",IF(D15&gt;=$C$22,"Groupe 4","Non"))))</f>
        <v>Groupe 4</v>
      </c>
    </row>
    <row r="16" spans="1:6">
      <c r="B16" s="349"/>
      <c r="C16" s="349"/>
      <c r="D16" s="349"/>
      <c r="E16" s="349"/>
    </row>
    <row r="17" spans="1:4" ht="15" thickBot="1"/>
    <row r="18" spans="1:4" ht="15" thickBot="1">
      <c r="A18" s="348"/>
      <c r="B18" s="347" t="s">
        <v>429</v>
      </c>
      <c r="C18" s="346" t="s">
        <v>428</v>
      </c>
    </row>
    <row r="19" spans="1:4">
      <c r="A19" s="343" t="s">
        <v>427</v>
      </c>
      <c r="B19" s="345">
        <v>7</v>
      </c>
      <c r="C19" s="344">
        <v>1000</v>
      </c>
    </row>
    <row r="20" spans="1:4">
      <c r="A20" s="343" t="s">
        <v>426</v>
      </c>
      <c r="B20" s="341">
        <v>50</v>
      </c>
      <c r="C20" s="340">
        <v>1000</v>
      </c>
    </row>
    <row r="21" spans="1:4">
      <c r="A21" s="342" t="s">
        <v>425</v>
      </c>
      <c r="B21" s="341">
        <v>5</v>
      </c>
      <c r="C21" s="340" t="s">
        <v>424</v>
      </c>
    </row>
    <row r="22" spans="1:4" ht="15" thickBot="1">
      <c r="A22" s="339" t="s">
        <v>423</v>
      </c>
      <c r="B22" s="338"/>
      <c r="C22" s="337">
        <v>2000</v>
      </c>
    </row>
    <row r="23" spans="1:4">
      <c r="D23" s="103" t="s">
        <v>422</v>
      </c>
    </row>
  </sheetData>
  <conditionalFormatting sqref="A21">
    <cfRule type="containsText" dxfId="15" priority="1" operator="containsText" text="Groupe 4">
      <formula>NOT(ISERROR(SEARCH("Groupe 4",A21)))</formula>
    </cfRule>
    <cfRule type="containsText" dxfId="14" priority="2" operator="containsText" text="Groupe 3">
      <formula>NOT(ISERROR(SEARCH("Groupe 3",A21)))</formula>
    </cfRule>
    <cfRule type="containsText" dxfId="13" priority="3" operator="containsText" text="Groupe 2">
      <formula>NOT(ISERROR(SEARCH("Groupe 2",A21)))</formula>
    </cfRule>
    <cfRule type="containsText" dxfId="12" priority="4" operator="containsText" text="Groupe 1">
      <formula>NOT(ISERROR(SEARCH("Groupe 1",A21)))</formula>
    </cfRule>
    <cfRule type="containsText" dxfId="11" priority="5" operator="containsText" text="Non">
      <formula>NOT(ISERROR(SEARCH("Non",A21)))</formula>
    </cfRule>
  </conditionalFormatting>
  <conditionalFormatting sqref="F2:F15 A19:A23">
    <cfRule type="containsText" dxfId="10" priority="7" operator="containsText" text="Groupe 3">
      <formula>NOT(ISERROR(SEARCH("Groupe 3",A2)))</formula>
    </cfRule>
  </conditionalFormatting>
  <conditionalFormatting sqref="F2:F15 A19:A22">
    <cfRule type="containsText" dxfId="9" priority="6" operator="containsText" text="Groupe 4">
      <formula>NOT(ISERROR(SEARCH("Groupe 4",A2)))</formula>
    </cfRule>
    <cfRule type="containsText" dxfId="8" priority="8" operator="containsText" text="Groupe 2">
      <formula>NOT(ISERROR(SEARCH("Groupe 2",A2)))</formula>
    </cfRule>
    <cfRule type="containsText" dxfId="7" priority="9" operator="containsText" text="Groupe 1">
      <formula>NOT(ISERROR(SEARCH("Groupe 1",A2)))</formula>
    </cfRule>
    <cfRule type="containsText" dxfId="6" priority="10" operator="containsText" text="Non">
      <formula>NOT(ISERROR(SEARCH("Non",A2)))</formula>
    </cfRule>
  </conditionalFormatting>
  <printOptions gridLines="1"/>
  <pageMargins left="3.937007874015748E-2" right="3.937007874015748E-2" top="0.74803149606299213" bottom="0.74803149606299213" header="0.31496062992125984" footer="0.31496062992125984"/>
  <pageSetup paperSize="9" orientation="landscape" horizontalDpi="4294967293" verticalDpi="0" r:id="rId1"/>
  <headerFooter>
    <oddHeader>&amp;C&amp;"Corbel,Normal"10.3</oddHeader>
  </headerFooter>
  <drawing r:id="rId2"/>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3F1C2C-2C9D-4C11-96EA-BA8E3AD103C0}">
  <dimension ref="A1:I27"/>
  <sheetViews>
    <sheetView zoomScaleNormal="100" workbookViewId="0">
      <selection activeCell="A18" sqref="A18:B19"/>
    </sheetView>
  </sheetViews>
  <sheetFormatPr baseColWidth="10" defaultColWidth="11.44140625" defaultRowHeight="14.4"/>
  <cols>
    <col min="1" max="1" width="27.109375" style="103" bestFit="1" customWidth="1"/>
    <col min="2" max="2" width="14.88671875" style="103" customWidth="1"/>
    <col min="3" max="3" width="11.44140625" style="103"/>
    <col min="4" max="4" width="13.33203125" style="103" customWidth="1"/>
    <col min="5" max="6" width="14.109375" style="103" bestFit="1" customWidth="1"/>
    <col min="7" max="7" width="11.44140625" style="103"/>
    <col min="8" max="8" width="3.6640625" style="103" bestFit="1" customWidth="1"/>
    <col min="9" max="9" width="96.6640625" style="103" bestFit="1" customWidth="1"/>
    <col min="10" max="16384" width="11.44140625" style="103"/>
  </cols>
  <sheetData>
    <row r="1" spans="1:9" ht="15" thickBot="1">
      <c r="A1" s="385">
        <f ca="1">NOW()</f>
        <v>44165.506064814814</v>
      </c>
    </row>
    <row r="4" spans="1:9">
      <c r="A4" s="423" t="s">
        <v>494</v>
      </c>
      <c r="B4" s="384">
        <v>0.21</v>
      </c>
    </row>
    <row r="7" spans="1:9">
      <c r="A7" s="656" t="s">
        <v>493</v>
      </c>
      <c r="B7" s="656"/>
      <c r="C7" s="656"/>
      <c r="D7" s="371"/>
    </row>
    <row r="8" spans="1:9" ht="14.4" customHeight="1">
      <c r="A8" s="371"/>
      <c r="B8" s="371"/>
      <c r="C8" s="371"/>
      <c r="D8" s="371"/>
    </row>
    <row r="9" spans="1:9" ht="68.400000000000006" customHeight="1">
      <c r="A9" s="424" t="s">
        <v>492</v>
      </c>
      <c r="B9" s="424" t="s">
        <v>491</v>
      </c>
      <c r="C9" s="424" t="s">
        <v>490</v>
      </c>
      <c r="D9" s="425" t="s">
        <v>489</v>
      </c>
      <c r="E9" s="425" t="s">
        <v>488</v>
      </c>
      <c r="F9" s="425" t="s">
        <v>487</v>
      </c>
    </row>
    <row r="10" spans="1:9" ht="15" thickBot="1">
      <c r="A10" s="382" t="s">
        <v>486</v>
      </c>
      <c r="B10" s="103" t="str">
        <f>RIGHT(A$7,5)&amp;LEFT(A10,2)</f>
        <v>CabZCDi</v>
      </c>
      <c r="C10" s="381">
        <v>200</v>
      </c>
      <c r="D10" s="380">
        <v>6000</v>
      </c>
      <c r="E10" s="379">
        <f>C10*D10</f>
        <v>1200000</v>
      </c>
      <c r="F10" s="379">
        <f>E10*(1+B$4)</f>
        <v>1452000</v>
      </c>
      <c r="I10" s="363" t="s">
        <v>485</v>
      </c>
    </row>
    <row r="11" spans="1:9">
      <c r="A11" s="382" t="s">
        <v>484</v>
      </c>
      <c r="B11" s="103" t="str">
        <f>RIGHT(A$7,5)&amp;LEFT(A11,2)</f>
        <v>CabZCCo</v>
      </c>
      <c r="C11" s="381">
        <v>150</v>
      </c>
      <c r="D11" s="380">
        <v>8000</v>
      </c>
      <c r="E11" s="379">
        <f>C11*D11</f>
        <v>1200000</v>
      </c>
      <c r="F11" s="379">
        <f>E11*(1+B$4)</f>
        <v>1452000</v>
      </c>
      <c r="H11" s="383" t="s">
        <v>483</v>
      </c>
      <c r="I11" s="103" t="s">
        <v>482</v>
      </c>
    </row>
    <row r="12" spans="1:9">
      <c r="A12" s="382" t="s">
        <v>481</v>
      </c>
      <c r="B12" s="103" t="str">
        <f>RIGHT(A$7,5)&amp;LEFT(A12,2)</f>
        <v>CabZCIm</v>
      </c>
      <c r="C12" s="381">
        <v>250</v>
      </c>
      <c r="D12" s="380">
        <v>5600</v>
      </c>
      <c r="E12" s="379">
        <f>C12*D12</f>
        <v>1400000</v>
      </c>
      <c r="F12" s="379">
        <f>E12*(1+B$4)</f>
        <v>1694000</v>
      </c>
      <c r="H12" s="366" t="s">
        <v>480</v>
      </c>
      <c r="I12" s="103" t="s">
        <v>479</v>
      </c>
    </row>
    <row r="13" spans="1:9">
      <c r="A13" s="382" t="s">
        <v>478</v>
      </c>
      <c r="B13" s="103" t="str">
        <f>RIGHT(A$7,5)&amp;LEFT(A13,2)</f>
        <v>CabZCDr</v>
      </c>
      <c r="C13" s="381">
        <v>275</v>
      </c>
      <c r="D13" s="380">
        <v>4100</v>
      </c>
      <c r="E13" s="379">
        <f>C13*D13</f>
        <v>1127500</v>
      </c>
      <c r="F13" s="379">
        <f>E13*(1+B$4)</f>
        <v>1364275</v>
      </c>
      <c r="H13" s="366"/>
      <c r="I13" s="103" t="s">
        <v>477</v>
      </c>
    </row>
    <row r="14" spans="1:9" ht="15" thickBot="1">
      <c r="A14" s="378" t="s">
        <v>476</v>
      </c>
      <c r="B14" s="103" t="str">
        <f>RIGHT(A$7,5)&amp;LEFT(A14,2)</f>
        <v>CabZCRa</v>
      </c>
      <c r="C14" s="377">
        <v>125</v>
      </c>
      <c r="D14" s="376">
        <v>2300</v>
      </c>
      <c r="E14" s="375">
        <f>C14*D14</f>
        <v>287500</v>
      </c>
      <c r="F14" s="375">
        <f>E14*(1+B$4)</f>
        <v>347875</v>
      </c>
      <c r="H14" s="366" t="s">
        <v>475</v>
      </c>
      <c r="I14" s="103" t="s">
        <v>474</v>
      </c>
    </row>
    <row r="15" spans="1:9">
      <c r="A15" s="374" t="s">
        <v>8</v>
      </c>
      <c r="B15" s="373"/>
      <c r="C15" s="373"/>
      <c r="D15" s="373"/>
      <c r="E15" s="372">
        <f>SUM(E10,E11,E12,E13,E14,)</f>
        <v>5215000</v>
      </c>
      <c r="F15" s="372">
        <f>SUM(F10,F11,F12,F13,F14,)</f>
        <v>6310150</v>
      </c>
      <c r="H15" s="366" t="s">
        <v>473</v>
      </c>
      <c r="I15" s="103" t="s">
        <v>472</v>
      </c>
    </row>
    <row r="16" spans="1:9">
      <c r="A16" s="371"/>
      <c r="B16" s="371"/>
      <c r="C16" s="371"/>
      <c r="D16" s="370"/>
      <c r="H16" s="366" t="s">
        <v>471</v>
      </c>
      <c r="I16" s="103" t="s">
        <v>470</v>
      </c>
    </row>
    <row r="17" spans="1:9" ht="15" thickBot="1">
      <c r="A17" s="371"/>
      <c r="B17" s="371"/>
      <c r="C17" s="371"/>
      <c r="D17" s="370"/>
      <c r="H17" s="366" t="s">
        <v>469</v>
      </c>
      <c r="I17" s="103" t="s">
        <v>468</v>
      </c>
    </row>
    <row r="18" spans="1:9" ht="15" thickBot="1">
      <c r="A18" s="657" t="s">
        <v>467</v>
      </c>
      <c r="B18" s="658"/>
      <c r="C18" s="369">
        <f>MAX(C10:C14)</f>
        <v>275</v>
      </c>
      <c r="H18" s="366" t="s">
        <v>466</v>
      </c>
      <c r="I18" s="103" t="s">
        <v>465</v>
      </c>
    </row>
    <row r="19" spans="1:9" ht="15" thickBot="1">
      <c r="A19" s="657"/>
      <c r="B19" s="658"/>
      <c r="C19" s="369">
        <f>AVERAGE(C10:C14)</f>
        <v>200</v>
      </c>
      <c r="H19" s="366" t="s">
        <v>464</v>
      </c>
      <c r="I19" s="103" t="s">
        <v>463</v>
      </c>
    </row>
    <row r="20" spans="1:9">
      <c r="H20" s="366" t="s">
        <v>462</v>
      </c>
      <c r="I20" s="103" t="s">
        <v>461</v>
      </c>
    </row>
    <row r="21" spans="1:9">
      <c r="H21" s="366" t="s">
        <v>460</v>
      </c>
      <c r="I21" s="103" t="s">
        <v>459</v>
      </c>
    </row>
    <row r="22" spans="1:9">
      <c r="H22" s="366" t="s">
        <v>458</v>
      </c>
      <c r="I22" s="103" t="s">
        <v>457</v>
      </c>
    </row>
    <row r="23" spans="1:9">
      <c r="H23" s="366" t="s">
        <v>456</v>
      </c>
      <c r="I23" s="103" t="s">
        <v>455</v>
      </c>
    </row>
    <row r="24" spans="1:9">
      <c r="H24" s="368" t="s">
        <v>454</v>
      </c>
      <c r="I24" s="367" t="s">
        <v>453</v>
      </c>
    </row>
    <row r="25" spans="1:9" ht="28.8">
      <c r="H25" s="366" t="s">
        <v>452</v>
      </c>
      <c r="I25" s="365" t="s">
        <v>451</v>
      </c>
    </row>
    <row r="26" spans="1:9" ht="15" thickBot="1">
      <c r="H26" s="364" t="s">
        <v>450</v>
      </c>
      <c r="I26" s="103" t="s">
        <v>449</v>
      </c>
    </row>
    <row r="27" spans="1:9">
      <c r="I27" s="363" t="s">
        <v>448</v>
      </c>
    </row>
  </sheetData>
  <mergeCells count="3">
    <mergeCell ref="A7:C7"/>
    <mergeCell ref="A18:B18"/>
    <mergeCell ref="A19:B19"/>
  </mergeCells>
  <conditionalFormatting sqref="E10:E14">
    <cfRule type="cellIs" dxfId="5" priority="1" operator="lessThan">
      <formula>1200000</formula>
    </cfRule>
  </conditionalFormatting>
  <pageMargins left="0.7" right="0.7" top="0.75" bottom="0.75" header="0.3" footer="0.3"/>
  <pageSetup paperSize="9" orientation="portrait" horizontalDpi="4294967293" r:id="rId1"/>
  <drawing r:id="rId2"/>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225BD59-2BD1-47B0-AC9D-BD184A2C0031}">
  <dimension ref="C8:D13"/>
  <sheetViews>
    <sheetView workbookViewId="0">
      <selection activeCell="D26" sqref="D26:D27"/>
    </sheetView>
  </sheetViews>
  <sheetFormatPr baseColWidth="10" defaultRowHeight="14.4"/>
  <sheetData>
    <row r="8" spans="3:4">
      <c r="C8" s="103"/>
      <c r="D8" s="103" t="s">
        <v>495</v>
      </c>
    </row>
    <row r="9" spans="3:4">
      <c r="C9" s="382" t="s">
        <v>486</v>
      </c>
      <c r="D9" s="386">
        <v>1200000</v>
      </c>
    </row>
    <row r="10" spans="3:4">
      <c r="C10" s="382" t="s">
        <v>484</v>
      </c>
      <c r="D10" s="386">
        <v>1200000</v>
      </c>
    </row>
    <row r="11" spans="3:4">
      <c r="C11" s="382" t="s">
        <v>481</v>
      </c>
      <c r="D11" s="386">
        <v>1400000</v>
      </c>
    </row>
    <row r="12" spans="3:4">
      <c r="C12" s="382" t="s">
        <v>478</v>
      </c>
      <c r="D12" s="386">
        <v>1127500</v>
      </c>
    </row>
    <row r="13" spans="3:4">
      <c r="C13" s="382" t="s">
        <v>476</v>
      </c>
      <c r="D13" s="386">
        <v>287500</v>
      </c>
    </row>
  </sheetData>
  <pageMargins left="0.7" right="0.7" top="0.75" bottom="0.75" header="0.3" footer="0.3"/>
  <drawing r:id="rId1"/>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4DCE26-A860-4318-8996-BDE48FE4D341}">
  <dimension ref="A1"/>
  <sheetViews>
    <sheetView workbookViewId="0">
      <selection activeCell="J20" sqref="J20"/>
    </sheetView>
  </sheetViews>
  <sheetFormatPr baseColWidth="10" defaultRowHeight="14.4"/>
  <sheetData/>
  <pageMargins left="0.7" right="0.7" top="0.75" bottom="0.75" header="0.3" footer="0.3"/>
  <drawing r:id="rId1"/>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6A30D4A-9F52-4C32-A65B-468AF6FA86A9}">
  <dimension ref="A1:F11"/>
  <sheetViews>
    <sheetView zoomScaleNormal="100" workbookViewId="0">
      <selection activeCell="D3" sqref="D3"/>
    </sheetView>
  </sheetViews>
  <sheetFormatPr baseColWidth="10" defaultColWidth="11.44140625" defaultRowHeight="15.6"/>
  <cols>
    <col min="1" max="1" width="13.44140625" style="245" bestFit="1" customWidth="1"/>
    <col min="2" max="2" width="11.44140625" style="245"/>
    <col min="3" max="3" width="4.5546875" style="245" customWidth="1"/>
    <col min="4" max="4" width="22" style="245" bestFit="1" customWidth="1"/>
    <col min="5" max="5" width="22" style="245" customWidth="1"/>
    <col min="6" max="6" width="26" style="245" bestFit="1" customWidth="1"/>
    <col min="7" max="16384" width="11.44140625" style="245"/>
  </cols>
  <sheetData>
    <row r="1" spans="1:6" ht="16.2" thickBot="1">
      <c r="A1" s="659" t="s">
        <v>512</v>
      </c>
      <c r="B1" s="659"/>
      <c r="C1" s="434"/>
      <c r="D1" s="433" t="s">
        <v>511</v>
      </c>
      <c r="E1" s="433" t="s">
        <v>262</v>
      </c>
      <c r="F1" s="433" t="s">
        <v>510</v>
      </c>
    </row>
    <row r="2" spans="1:6" ht="16.2" thickBot="1">
      <c r="A2" s="433" t="s">
        <v>343</v>
      </c>
      <c r="B2" s="433" t="s">
        <v>509</v>
      </c>
      <c r="C2" s="355"/>
      <c r="D2" s="427">
        <v>4000</v>
      </c>
      <c r="E2" s="432">
        <f>VLOOKUP(D2,A3:B11,2)</f>
        <v>0</v>
      </c>
      <c r="F2" s="431">
        <f>D2-D2*E2</f>
        <v>4000</v>
      </c>
    </row>
    <row r="3" spans="1:6">
      <c r="A3" s="355">
        <v>0</v>
      </c>
      <c r="B3" s="428">
        <v>0</v>
      </c>
      <c r="C3" s="430"/>
      <c r="D3" s="355"/>
      <c r="E3" s="355"/>
      <c r="F3" s="355"/>
    </row>
    <row r="4" spans="1:6">
      <c r="A4" s="429">
        <v>4500</v>
      </c>
      <c r="B4" s="428">
        <v>0.01</v>
      </c>
      <c r="C4" s="430"/>
      <c r="D4" s="355"/>
      <c r="E4" s="355"/>
      <c r="F4" s="355"/>
    </row>
    <row r="5" spans="1:6">
      <c r="A5" s="429">
        <v>9100</v>
      </c>
      <c r="B5" s="428">
        <v>0.02</v>
      </c>
      <c r="C5" s="430"/>
      <c r="D5" s="355"/>
      <c r="E5" s="355"/>
      <c r="F5" s="355"/>
    </row>
    <row r="6" spans="1:6">
      <c r="A6" s="429">
        <v>13700</v>
      </c>
      <c r="B6" s="428">
        <v>0.03</v>
      </c>
      <c r="C6" s="430"/>
      <c r="D6" s="355"/>
      <c r="E6" s="355"/>
      <c r="F6" s="355"/>
    </row>
    <row r="7" spans="1:6">
      <c r="A7" s="429">
        <v>18300</v>
      </c>
      <c r="B7" s="428">
        <v>0.04</v>
      </c>
      <c r="C7" s="430"/>
      <c r="D7" s="355"/>
      <c r="E7" s="429"/>
      <c r="F7" s="355"/>
    </row>
    <row r="8" spans="1:6">
      <c r="A8" s="429">
        <v>22900</v>
      </c>
      <c r="B8" s="428">
        <v>0.05</v>
      </c>
      <c r="C8" s="430"/>
      <c r="D8" s="355"/>
      <c r="E8" s="355"/>
      <c r="F8" s="355"/>
    </row>
    <row r="9" spans="1:6">
      <c r="A9" s="429">
        <v>27500</v>
      </c>
      <c r="B9" s="428">
        <v>0.06</v>
      </c>
      <c r="C9" s="430"/>
      <c r="D9" s="355"/>
      <c r="E9" s="355"/>
      <c r="F9" s="355"/>
    </row>
    <row r="10" spans="1:6">
      <c r="A10" s="429">
        <v>32100</v>
      </c>
      <c r="B10" s="428">
        <v>7.0000000000000007E-2</v>
      </c>
      <c r="C10" s="355"/>
      <c r="D10" s="355"/>
      <c r="E10" s="355"/>
      <c r="F10" s="355"/>
    </row>
    <row r="11" spans="1:6" ht="16.2" thickBot="1">
      <c r="A11" s="427">
        <v>36700</v>
      </c>
      <c r="B11" s="426">
        <v>0.08</v>
      </c>
      <c r="C11" s="355"/>
      <c r="D11" s="355"/>
      <c r="E11" s="355"/>
      <c r="F11" s="355"/>
    </row>
  </sheetData>
  <mergeCells count="1">
    <mergeCell ref="A1:B1"/>
  </mergeCells>
  <dataValidations count="2">
    <dataValidation allowBlank="1" showInputMessage="1" sqref="E2" xr:uid="{00000000-0002-0000-0000-000001000000}"/>
    <dataValidation type="list" allowBlank="1" showInputMessage="1" sqref="WVM983034 WLQ983034 WBU983034 VRY983034 VIC983034 UYG983034 UOK983034 UEO983034 TUS983034 TKW983034 TBA983034 SRE983034 SHI983034 RXM983034 RNQ983034 RDU983034 QTY983034 QKC983034 QAG983034 PQK983034 PGO983034 OWS983034 OMW983034 ODA983034 NTE983034 NJI983034 MZM983034 MPQ983034 MFU983034 LVY983034 LMC983034 LCG983034 KSK983034 KIO983034 JYS983034 JOW983034 JFA983034 IVE983034 ILI983034 IBM983034 HRQ983034 HHU983034 GXY983034 GOC983034 GEG983034 FUK983034 FKO983034 FAS983034 EQW983034 EHA983034 DXE983034 DNI983034 DDM983034 CTQ983034 CJU983034 BZY983034 BQC983034 BGG983034 AWK983034 AMO983034 ACS983034 SW983034 JA983034 D983034:E983034 WVM917498 WLQ917498 WBU917498 VRY917498 VIC917498 UYG917498 UOK917498 UEO917498 TUS917498 TKW917498 TBA917498 SRE917498 SHI917498 RXM917498 RNQ917498 RDU917498 QTY917498 QKC917498 QAG917498 PQK917498 PGO917498 OWS917498 OMW917498 ODA917498 NTE917498 NJI917498 MZM917498 MPQ917498 MFU917498 LVY917498 LMC917498 LCG917498 KSK917498 KIO917498 JYS917498 JOW917498 JFA917498 IVE917498 ILI917498 IBM917498 HRQ917498 HHU917498 GXY917498 GOC917498 GEG917498 FUK917498 FKO917498 FAS917498 EQW917498 EHA917498 DXE917498 DNI917498 DDM917498 CTQ917498 CJU917498 BZY917498 BQC917498 BGG917498 AWK917498 AMO917498 ACS917498 SW917498 JA917498 D917498:E917498 WVM851962 WLQ851962 WBU851962 VRY851962 VIC851962 UYG851962 UOK851962 UEO851962 TUS851962 TKW851962 TBA851962 SRE851962 SHI851962 RXM851962 RNQ851962 RDU851962 QTY851962 QKC851962 QAG851962 PQK851962 PGO851962 OWS851962 OMW851962 ODA851962 NTE851962 NJI851962 MZM851962 MPQ851962 MFU851962 LVY851962 LMC851962 LCG851962 KSK851962 KIO851962 JYS851962 JOW851962 JFA851962 IVE851962 ILI851962 IBM851962 HRQ851962 HHU851962 GXY851962 GOC851962 GEG851962 FUK851962 FKO851962 FAS851962 EQW851962 EHA851962 DXE851962 DNI851962 DDM851962 CTQ851962 CJU851962 BZY851962 BQC851962 BGG851962 AWK851962 AMO851962 ACS851962 SW851962 JA851962 D851962:E851962 WVM786426 WLQ786426 WBU786426 VRY786426 VIC786426 UYG786426 UOK786426 UEO786426 TUS786426 TKW786426 TBA786426 SRE786426 SHI786426 RXM786426 RNQ786426 RDU786426 QTY786426 QKC786426 QAG786426 PQK786426 PGO786426 OWS786426 OMW786426 ODA786426 NTE786426 NJI786426 MZM786426 MPQ786426 MFU786426 LVY786426 LMC786426 LCG786426 KSK786426 KIO786426 JYS786426 JOW786426 JFA786426 IVE786426 ILI786426 IBM786426 HRQ786426 HHU786426 GXY786426 GOC786426 GEG786426 FUK786426 FKO786426 FAS786426 EQW786426 EHA786426 DXE786426 DNI786426 DDM786426 CTQ786426 CJU786426 BZY786426 BQC786426 BGG786426 AWK786426 AMO786426 ACS786426 SW786426 JA786426 D786426:E786426 WVM720890 WLQ720890 WBU720890 VRY720890 VIC720890 UYG720890 UOK720890 UEO720890 TUS720890 TKW720890 TBA720890 SRE720890 SHI720890 RXM720890 RNQ720890 RDU720890 QTY720890 QKC720890 QAG720890 PQK720890 PGO720890 OWS720890 OMW720890 ODA720890 NTE720890 NJI720890 MZM720890 MPQ720890 MFU720890 LVY720890 LMC720890 LCG720890 KSK720890 KIO720890 JYS720890 JOW720890 JFA720890 IVE720890 ILI720890 IBM720890 HRQ720890 HHU720890 GXY720890 GOC720890 GEG720890 FUK720890 FKO720890 FAS720890 EQW720890 EHA720890 DXE720890 DNI720890 DDM720890 CTQ720890 CJU720890 BZY720890 BQC720890 BGG720890 AWK720890 AMO720890 ACS720890 SW720890 JA720890 D720890:E720890 WVM655354 WLQ655354 WBU655354 VRY655354 VIC655354 UYG655354 UOK655354 UEO655354 TUS655354 TKW655354 TBA655354 SRE655354 SHI655354 RXM655354 RNQ655354 RDU655354 QTY655354 QKC655354 QAG655354 PQK655354 PGO655354 OWS655354 OMW655354 ODA655354 NTE655354 NJI655354 MZM655354 MPQ655354 MFU655354 LVY655354 LMC655354 LCG655354 KSK655354 KIO655354 JYS655354 JOW655354 JFA655354 IVE655354 ILI655354 IBM655354 HRQ655354 HHU655354 GXY655354 GOC655354 GEG655354 FUK655354 FKO655354 FAS655354 EQW655354 EHA655354 DXE655354 DNI655354 DDM655354 CTQ655354 CJU655354 BZY655354 BQC655354 BGG655354 AWK655354 AMO655354 ACS655354 SW655354 JA655354 D655354:E655354 WVM589818 WLQ589818 WBU589818 VRY589818 VIC589818 UYG589818 UOK589818 UEO589818 TUS589818 TKW589818 TBA589818 SRE589818 SHI589818 RXM589818 RNQ589818 RDU589818 QTY589818 QKC589818 QAG589818 PQK589818 PGO589818 OWS589818 OMW589818 ODA589818 NTE589818 NJI589818 MZM589818 MPQ589818 MFU589818 LVY589818 LMC589818 LCG589818 KSK589818 KIO589818 JYS589818 JOW589818 JFA589818 IVE589818 ILI589818 IBM589818 HRQ589818 HHU589818 GXY589818 GOC589818 GEG589818 FUK589818 FKO589818 FAS589818 EQW589818 EHA589818 DXE589818 DNI589818 DDM589818 CTQ589818 CJU589818 BZY589818 BQC589818 BGG589818 AWK589818 AMO589818 ACS589818 SW589818 JA589818 D589818:E589818 WVM524282 WLQ524282 WBU524282 VRY524282 VIC524282 UYG524282 UOK524282 UEO524282 TUS524282 TKW524282 TBA524282 SRE524282 SHI524282 RXM524282 RNQ524282 RDU524282 QTY524282 QKC524282 QAG524282 PQK524282 PGO524282 OWS524282 OMW524282 ODA524282 NTE524282 NJI524282 MZM524282 MPQ524282 MFU524282 LVY524282 LMC524282 LCG524282 KSK524282 KIO524282 JYS524282 JOW524282 JFA524282 IVE524282 ILI524282 IBM524282 HRQ524282 HHU524282 GXY524282 GOC524282 GEG524282 FUK524282 FKO524282 FAS524282 EQW524282 EHA524282 DXE524282 DNI524282 DDM524282 CTQ524282 CJU524282 BZY524282 BQC524282 BGG524282 AWK524282 AMO524282 ACS524282 SW524282 JA524282 D524282:E524282 WVM458746 WLQ458746 WBU458746 VRY458746 VIC458746 UYG458746 UOK458746 UEO458746 TUS458746 TKW458746 TBA458746 SRE458746 SHI458746 RXM458746 RNQ458746 RDU458746 QTY458746 QKC458746 QAG458746 PQK458746 PGO458746 OWS458746 OMW458746 ODA458746 NTE458746 NJI458746 MZM458746 MPQ458746 MFU458746 LVY458746 LMC458746 LCG458746 KSK458746 KIO458746 JYS458746 JOW458746 JFA458746 IVE458746 ILI458746 IBM458746 HRQ458746 HHU458746 GXY458746 GOC458746 GEG458746 FUK458746 FKO458746 FAS458746 EQW458746 EHA458746 DXE458746 DNI458746 DDM458746 CTQ458746 CJU458746 BZY458746 BQC458746 BGG458746 AWK458746 AMO458746 ACS458746 SW458746 JA458746 D458746:E458746 WVM393210 WLQ393210 WBU393210 VRY393210 VIC393210 UYG393210 UOK393210 UEO393210 TUS393210 TKW393210 TBA393210 SRE393210 SHI393210 RXM393210 RNQ393210 RDU393210 QTY393210 QKC393210 QAG393210 PQK393210 PGO393210 OWS393210 OMW393210 ODA393210 NTE393210 NJI393210 MZM393210 MPQ393210 MFU393210 LVY393210 LMC393210 LCG393210 KSK393210 KIO393210 JYS393210 JOW393210 JFA393210 IVE393210 ILI393210 IBM393210 HRQ393210 HHU393210 GXY393210 GOC393210 GEG393210 FUK393210 FKO393210 FAS393210 EQW393210 EHA393210 DXE393210 DNI393210 DDM393210 CTQ393210 CJU393210 BZY393210 BQC393210 BGG393210 AWK393210 AMO393210 ACS393210 SW393210 JA393210 D393210:E393210 WVM327674 WLQ327674 WBU327674 VRY327674 VIC327674 UYG327674 UOK327674 UEO327674 TUS327674 TKW327674 TBA327674 SRE327674 SHI327674 RXM327674 RNQ327674 RDU327674 QTY327674 QKC327674 QAG327674 PQK327674 PGO327674 OWS327674 OMW327674 ODA327674 NTE327674 NJI327674 MZM327674 MPQ327674 MFU327674 LVY327674 LMC327674 LCG327674 KSK327674 KIO327674 JYS327674 JOW327674 JFA327674 IVE327674 ILI327674 IBM327674 HRQ327674 HHU327674 GXY327674 GOC327674 GEG327674 FUK327674 FKO327674 FAS327674 EQW327674 EHA327674 DXE327674 DNI327674 DDM327674 CTQ327674 CJU327674 BZY327674 BQC327674 BGG327674 AWK327674 AMO327674 ACS327674 SW327674 JA327674 D327674:E327674 WVM262138 WLQ262138 WBU262138 VRY262138 VIC262138 UYG262138 UOK262138 UEO262138 TUS262138 TKW262138 TBA262138 SRE262138 SHI262138 RXM262138 RNQ262138 RDU262138 QTY262138 QKC262138 QAG262138 PQK262138 PGO262138 OWS262138 OMW262138 ODA262138 NTE262138 NJI262138 MZM262138 MPQ262138 MFU262138 LVY262138 LMC262138 LCG262138 KSK262138 KIO262138 JYS262138 JOW262138 JFA262138 IVE262138 ILI262138 IBM262138 HRQ262138 HHU262138 GXY262138 GOC262138 GEG262138 FUK262138 FKO262138 FAS262138 EQW262138 EHA262138 DXE262138 DNI262138 DDM262138 CTQ262138 CJU262138 BZY262138 BQC262138 BGG262138 AWK262138 AMO262138 ACS262138 SW262138 JA262138 D262138:E262138 WVM196602 WLQ196602 WBU196602 VRY196602 VIC196602 UYG196602 UOK196602 UEO196602 TUS196602 TKW196602 TBA196602 SRE196602 SHI196602 RXM196602 RNQ196602 RDU196602 QTY196602 QKC196602 QAG196602 PQK196602 PGO196602 OWS196602 OMW196602 ODA196602 NTE196602 NJI196602 MZM196602 MPQ196602 MFU196602 LVY196602 LMC196602 LCG196602 KSK196602 KIO196602 JYS196602 JOW196602 JFA196602 IVE196602 ILI196602 IBM196602 HRQ196602 HHU196602 GXY196602 GOC196602 GEG196602 FUK196602 FKO196602 FAS196602 EQW196602 EHA196602 DXE196602 DNI196602 DDM196602 CTQ196602 CJU196602 BZY196602 BQC196602 BGG196602 AWK196602 AMO196602 ACS196602 SW196602 JA196602 D196602:E196602 WVM131066 WLQ131066 WBU131066 VRY131066 VIC131066 UYG131066 UOK131066 UEO131066 TUS131066 TKW131066 TBA131066 SRE131066 SHI131066 RXM131066 RNQ131066 RDU131066 QTY131066 QKC131066 QAG131066 PQK131066 PGO131066 OWS131066 OMW131066 ODA131066 NTE131066 NJI131066 MZM131066 MPQ131066 MFU131066 LVY131066 LMC131066 LCG131066 KSK131066 KIO131066 JYS131066 JOW131066 JFA131066 IVE131066 ILI131066 IBM131066 HRQ131066 HHU131066 GXY131066 GOC131066 GEG131066 FUK131066 FKO131066 FAS131066 EQW131066 EHA131066 DXE131066 DNI131066 DDM131066 CTQ131066 CJU131066 BZY131066 BQC131066 BGG131066 AWK131066 AMO131066 ACS131066 SW131066 JA131066 D131066:E131066 WVM65530 WLQ65530 WBU65530 VRY65530 VIC65530 UYG65530 UOK65530 UEO65530 TUS65530 TKW65530 TBA65530 SRE65530 SHI65530 RXM65530 RNQ65530 RDU65530 QTY65530 QKC65530 QAG65530 PQK65530 PGO65530 OWS65530 OMW65530 ODA65530 NTE65530 NJI65530 MZM65530 MPQ65530 MFU65530 LVY65530 LMC65530 LCG65530 KSK65530 KIO65530 JYS65530 JOW65530 JFA65530 IVE65530 ILI65530 IBM65530 HRQ65530 HHU65530 GXY65530 GOC65530 GEG65530 FUK65530 FKO65530 FAS65530 EQW65530 EHA65530 DXE65530 DNI65530 DDM65530 CTQ65530 CJU65530 BZY65530 BQC65530 BGG65530 AWK65530 AMO65530 ACS65530 SW65530 JA65530 D65530:E65530 WVM2 WLQ2 WBU2 VRY2 VIC2 UYG2 UOK2 UEO2 TUS2 TKW2 TBA2 SRE2 SHI2 RXM2 RNQ2 RDU2 QTY2 QKC2 QAG2 PQK2 PGO2 OWS2 OMW2 ODA2 NTE2 NJI2 MZM2 MPQ2 MFU2 LVY2 LMC2 LCG2 KSK2 KIO2 JYS2 JOW2 JFA2 IVE2 ILI2 IBM2 HRQ2 HHU2 GXY2 GOC2 GEG2 FUK2 FKO2 FAS2 EQW2 EHA2 DXE2 DNI2 DDM2 CTQ2 CJU2 BZY2 BQC2 BGG2 AWK2 AMO2 ACS2 SW2 JA2" xr:uid="{00000000-0002-0000-0000-000000000000}">
      <formula1>$A$3:$A$11</formula1>
    </dataValidation>
  </dataValidations>
  <pageMargins left="0.78740157499999996" right="0.78740157499999996" top="0.984251969" bottom="0.984251969" header="0.4921259845" footer="0.4921259845"/>
  <pageSetup paperSize="9" orientation="portrait" horizontalDpi="300" verticalDpi="300" copies="0" r:id="rId1"/>
  <headerFooter alignWithMargins="0"/>
  <drawing r:id="rId2"/>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4FA36DA-CC57-42FA-B0E6-2F4C32548AE3}">
  <dimension ref="A1:L23"/>
  <sheetViews>
    <sheetView workbookViewId="0">
      <selection activeCell="J19" sqref="J19"/>
    </sheetView>
  </sheetViews>
  <sheetFormatPr baseColWidth="10" defaultRowHeight="15.6"/>
  <cols>
    <col min="1" max="1" width="4.109375" style="435" bestFit="1" customWidth="1"/>
    <col min="2" max="2" width="11.5546875" style="435"/>
    <col min="3" max="3" width="15.44140625" style="435" customWidth="1"/>
    <col min="4" max="4" width="23.44140625" style="435" bestFit="1" customWidth="1"/>
    <col min="5" max="5" width="11.5546875" style="435" bestFit="1" customWidth="1"/>
    <col min="6" max="6" width="14" style="435" bestFit="1" customWidth="1"/>
    <col min="7" max="7" width="3.44140625" style="435" customWidth="1"/>
    <col min="8" max="8" width="14.33203125" style="436" bestFit="1" customWidth="1"/>
    <col min="9" max="10" width="15.6640625" style="436" bestFit="1" customWidth="1"/>
    <col min="11" max="11" width="22.5546875" style="436" bestFit="1" customWidth="1"/>
    <col min="12" max="12" width="23.109375" style="436" customWidth="1"/>
    <col min="13" max="257" width="11.5546875" style="435"/>
    <col min="258" max="258" width="15.44140625" style="435" customWidth="1"/>
    <col min="259" max="259" width="16.5546875" style="435" customWidth="1"/>
    <col min="260" max="263" width="11.5546875" style="435"/>
    <col min="264" max="264" width="15.6640625" style="435" customWidth="1"/>
    <col min="265" max="513" width="11.5546875" style="435"/>
    <col min="514" max="514" width="15.44140625" style="435" customWidth="1"/>
    <col min="515" max="515" width="16.5546875" style="435" customWidth="1"/>
    <col min="516" max="519" width="11.5546875" style="435"/>
    <col min="520" max="520" width="15.6640625" style="435" customWidth="1"/>
    <col min="521" max="769" width="11.5546875" style="435"/>
    <col min="770" max="770" width="15.44140625" style="435" customWidth="1"/>
    <col min="771" max="771" width="16.5546875" style="435" customWidth="1"/>
    <col min="772" max="775" width="11.5546875" style="435"/>
    <col min="776" max="776" width="15.6640625" style="435" customWidth="1"/>
    <col min="777" max="1025" width="11.5546875" style="435"/>
    <col min="1026" max="1026" width="15.44140625" style="435" customWidth="1"/>
    <col min="1027" max="1027" width="16.5546875" style="435" customWidth="1"/>
    <col min="1028" max="1031" width="11.5546875" style="435"/>
    <col min="1032" max="1032" width="15.6640625" style="435" customWidth="1"/>
    <col min="1033" max="1281" width="11.5546875" style="435"/>
    <col min="1282" max="1282" width="15.44140625" style="435" customWidth="1"/>
    <col min="1283" max="1283" width="16.5546875" style="435" customWidth="1"/>
    <col min="1284" max="1287" width="11.5546875" style="435"/>
    <col min="1288" max="1288" width="15.6640625" style="435" customWidth="1"/>
    <col min="1289" max="1537" width="11.5546875" style="435"/>
    <col min="1538" max="1538" width="15.44140625" style="435" customWidth="1"/>
    <col min="1539" max="1539" width="16.5546875" style="435" customWidth="1"/>
    <col min="1540" max="1543" width="11.5546875" style="435"/>
    <col min="1544" max="1544" width="15.6640625" style="435" customWidth="1"/>
    <col min="1545" max="1793" width="11.5546875" style="435"/>
    <col min="1794" max="1794" width="15.44140625" style="435" customWidth="1"/>
    <col min="1795" max="1795" width="16.5546875" style="435" customWidth="1"/>
    <col min="1796" max="1799" width="11.5546875" style="435"/>
    <col min="1800" max="1800" width="15.6640625" style="435" customWidth="1"/>
    <col min="1801" max="2049" width="11.5546875" style="435"/>
    <col min="2050" max="2050" width="15.44140625" style="435" customWidth="1"/>
    <col min="2051" max="2051" width="16.5546875" style="435" customWidth="1"/>
    <col min="2052" max="2055" width="11.5546875" style="435"/>
    <col min="2056" max="2056" width="15.6640625" style="435" customWidth="1"/>
    <col min="2057" max="2305" width="11.5546875" style="435"/>
    <col min="2306" max="2306" width="15.44140625" style="435" customWidth="1"/>
    <col min="2307" max="2307" width="16.5546875" style="435" customWidth="1"/>
    <col min="2308" max="2311" width="11.5546875" style="435"/>
    <col min="2312" max="2312" width="15.6640625" style="435" customWidth="1"/>
    <col min="2313" max="2561" width="11.5546875" style="435"/>
    <col min="2562" max="2562" width="15.44140625" style="435" customWidth="1"/>
    <col min="2563" max="2563" width="16.5546875" style="435" customWidth="1"/>
    <col min="2564" max="2567" width="11.5546875" style="435"/>
    <col min="2568" max="2568" width="15.6640625" style="435" customWidth="1"/>
    <col min="2569" max="2817" width="11.5546875" style="435"/>
    <col min="2818" max="2818" width="15.44140625" style="435" customWidth="1"/>
    <col min="2819" max="2819" width="16.5546875" style="435" customWidth="1"/>
    <col min="2820" max="2823" width="11.5546875" style="435"/>
    <col min="2824" max="2824" width="15.6640625" style="435" customWidth="1"/>
    <col min="2825" max="3073" width="11.5546875" style="435"/>
    <col min="3074" max="3074" width="15.44140625" style="435" customWidth="1"/>
    <col min="3075" max="3075" width="16.5546875" style="435" customWidth="1"/>
    <col min="3076" max="3079" width="11.5546875" style="435"/>
    <col min="3080" max="3080" width="15.6640625" style="435" customWidth="1"/>
    <col min="3081" max="3329" width="11.5546875" style="435"/>
    <col min="3330" max="3330" width="15.44140625" style="435" customWidth="1"/>
    <col min="3331" max="3331" width="16.5546875" style="435" customWidth="1"/>
    <col min="3332" max="3335" width="11.5546875" style="435"/>
    <col min="3336" max="3336" width="15.6640625" style="435" customWidth="1"/>
    <col min="3337" max="3585" width="11.5546875" style="435"/>
    <col min="3586" max="3586" width="15.44140625" style="435" customWidth="1"/>
    <col min="3587" max="3587" width="16.5546875" style="435" customWidth="1"/>
    <col min="3588" max="3591" width="11.5546875" style="435"/>
    <col min="3592" max="3592" width="15.6640625" style="435" customWidth="1"/>
    <col min="3593" max="3841" width="11.5546875" style="435"/>
    <col min="3842" max="3842" width="15.44140625" style="435" customWidth="1"/>
    <col min="3843" max="3843" width="16.5546875" style="435" customWidth="1"/>
    <col min="3844" max="3847" width="11.5546875" style="435"/>
    <col min="3848" max="3848" width="15.6640625" style="435" customWidth="1"/>
    <col min="3849" max="4097" width="11.5546875" style="435"/>
    <col min="4098" max="4098" width="15.44140625" style="435" customWidth="1"/>
    <col min="4099" max="4099" width="16.5546875" style="435" customWidth="1"/>
    <col min="4100" max="4103" width="11.5546875" style="435"/>
    <col min="4104" max="4104" width="15.6640625" style="435" customWidth="1"/>
    <col min="4105" max="4353" width="11.5546875" style="435"/>
    <col min="4354" max="4354" width="15.44140625" style="435" customWidth="1"/>
    <col min="4355" max="4355" width="16.5546875" style="435" customWidth="1"/>
    <col min="4356" max="4359" width="11.5546875" style="435"/>
    <col min="4360" max="4360" width="15.6640625" style="435" customWidth="1"/>
    <col min="4361" max="4609" width="11.5546875" style="435"/>
    <col min="4610" max="4610" width="15.44140625" style="435" customWidth="1"/>
    <col min="4611" max="4611" width="16.5546875" style="435" customWidth="1"/>
    <col min="4612" max="4615" width="11.5546875" style="435"/>
    <col min="4616" max="4616" width="15.6640625" style="435" customWidth="1"/>
    <col min="4617" max="4865" width="11.5546875" style="435"/>
    <col min="4866" max="4866" width="15.44140625" style="435" customWidth="1"/>
    <col min="4867" max="4867" width="16.5546875" style="435" customWidth="1"/>
    <col min="4868" max="4871" width="11.5546875" style="435"/>
    <col min="4872" max="4872" width="15.6640625" style="435" customWidth="1"/>
    <col min="4873" max="5121" width="11.5546875" style="435"/>
    <col min="5122" max="5122" width="15.44140625" style="435" customWidth="1"/>
    <col min="5123" max="5123" width="16.5546875" style="435" customWidth="1"/>
    <col min="5124" max="5127" width="11.5546875" style="435"/>
    <col min="5128" max="5128" width="15.6640625" style="435" customWidth="1"/>
    <col min="5129" max="5377" width="11.5546875" style="435"/>
    <col min="5378" max="5378" width="15.44140625" style="435" customWidth="1"/>
    <col min="5379" max="5379" width="16.5546875" style="435" customWidth="1"/>
    <col min="5380" max="5383" width="11.5546875" style="435"/>
    <col min="5384" max="5384" width="15.6640625" style="435" customWidth="1"/>
    <col min="5385" max="5633" width="11.5546875" style="435"/>
    <col min="5634" max="5634" width="15.44140625" style="435" customWidth="1"/>
    <col min="5635" max="5635" width="16.5546875" style="435" customWidth="1"/>
    <col min="5636" max="5639" width="11.5546875" style="435"/>
    <col min="5640" max="5640" width="15.6640625" style="435" customWidth="1"/>
    <col min="5641" max="5889" width="11.5546875" style="435"/>
    <col min="5890" max="5890" width="15.44140625" style="435" customWidth="1"/>
    <col min="5891" max="5891" width="16.5546875" style="435" customWidth="1"/>
    <col min="5892" max="5895" width="11.5546875" style="435"/>
    <col min="5896" max="5896" width="15.6640625" style="435" customWidth="1"/>
    <col min="5897" max="6145" width="11.5546875" style="435"/>
    <col min="6146" max="6146" width="15.44140625" style="435" customWidth="1"/>
    <col min="6147" max="6147" width="16.5546875" style="435" customWidth="1"/>
    <col min="6148" max="6151" width="11.5546875" style="435"/>
    <col min="6152" max="6152" width="15.6640625" style="435" customWidth="1"/>
    <col min="6153" max="6401" width="11.5546875" style="435"/>
    <col min="6402" max="6402" width="15.44140625" style="435" customWidth="1"/>
    <col min="6403" max="6403" width="16.5546875" style="435" customWidth="1"/>
    <col min="6404" max="6407" width="11.5546875" style="435"/>
    <col min="6408" max="6408" width="15.6640625" style="435" customWidth="1"/>
    <col min="6409" max="6657" width="11.5546875" style="435"/>
    <col min="6658" max="6658" width="15.44140625" style="435" customWidth="1"/>
    <col min="6659" max="6659" width="16.5546875" style="435" customWidth="1"/>
    <col min="6660" max="6663" width="11.5546875" style="435"/>
    <col min="6664" max="6664" width="15.6640625" style="435" customWidth="1"/>
    <col min="6665" max="6913" width="11.5546875" style="435"/>
    <col min="6914" max="6914" width="15.44140625" style="435" customWidth="1"/>
    <col min="6915" max="6915" width="16.5546875" style="435" customWidth="1"/>
    <col min="6916" max="6919" width="11.5546875" style="435"/>
    <col min="6920" max="6920" width="15.6640625" style="435" customWidth="1"/>
    <col min="6921" max="7169" width="11.5546875" style="435"/>
    <col min="7170" max="7170" width="15.44140625" style="435" customWidth="1"/>
    <col min="7171" max="7171" width="16.5546875" style="435" customWidth="1"/>
    <col min="7172" max="7175" width="11.5546875" style="435"/>
    <col min="7176" max="7176" width="15.6640625" style="435" customWidth="1"/>
    <col min="7177" max="7425" width="11.5546875" style="435"/>
    <col min="7426" max="7426" width="15.44140625" style="435" customWidth="1"/>
    <col min="7427" max="7427" width="16.5546875" style="435" customWidth="1"/>
    <col min="7428" max="7431" width="11.5546875" style="435"/>
    <col min="7432" max="7432" width="15.6640625" style="435" customWidth="1"/>
    <col min="7433" max="7681" width="11.5546875" style="435"/>
    <col min="7682" max="7682" width="15.44140625" style="435" customWidth="1"/>
    <col min="7683" max="7683" width="16.5546875" style="435" customWidth="1"/>
    <col min="7684" max="7687" width="11.5546875" style="435"/>
    <col min="7688" max="7688" width="15.6640625" style="435" customWidth="1"/>
    <col min="7689" max="7937" width="11.5546875" style="435"/>
    <col min="7938" max="7938" width="15.44140625" style="435" customWidth="1"/>
    <col min="7939" max="7939" width="16.5546875" style="435" customWidth="1"/>
    <col min="7940" max="7943" width="11.5546875" style="435"/>
    <col min="7944" max="7944" width="15.6640625" style="435" customWidth="1"/>
    <col min="7945" max="8193" width="11.5546875" style="435"/>
    <col min="8194" max="8194" width="15.44140625" style="435" customWidth="1"/>
    <col min="8195" max="8195" width="16.5546875" style="435" customWidth="1"/>
    <col min="8196" max="8199" width="11.5546875" style="435"/>
    <col min="8200" max="8200" width="15.6640625" style="435" customWidth="1"/>
    <col min="8201" max="8449" width="11.5546875" style="435"/>
    <col min="8450" max="8450" width="15.44140625" style="435" customWidth="1"/>
    <col min="8451" max="8451" width="16.5546875" style="435" customWidth="1"/>
    <col min="8452" max="8455" width="11.5546875" style="435"/>
    <col min="8456" max="8456" width="15.6640625" style="435" customWidth="1"/>
    <col min="8457" max="8705" width="11.5546875" style="435"/>
    <col min="8706" max="8706" width="15.44140625" style="435" customWidth="1"/>
    <col min="8707" max="8707" width="16.5546875" style="435" customWidth="1"/>
    <col min="8708" max="8711" width="11.5546875" style="435"/>
    <col min="8712" max="8712" width="15.6640625" style="435" customWidth="1"/>
    <col min="8713" max="8961" width="11.5546875" style="435"/>
    <col min="8962" max="8962" width="15.44140625" style="435" customWidth="1"/>
    <col min="8963" max="8963" width="16.5546875" style="435" customWidth="1"/>
    <col min="8964" max="8967" width="11.5546875" style="435"/>
    <col min="8968" max="8968" width="15.6640625" style="435" customWidth="1"/>
    <col min="8969" max="9217" width="11.5546875" style="435"/>
    <col min="9218" max="9218" width="15.44140625" style="435" customWidth="1"/>
    <col min="9219" max="9219" width="16.5546875" style="435" customWidth="1"/>
    <col min="9220" max="9223" width="11.5546875" style="435"/>
    <col min="9224" max="9224" width="15.6640625" style="435" customWidth="1"/>
    <col min="9225" max="9473" width="11.5546875" style="435"/>
    <col min="9474" max="9474" width="15.44140625" style="435" customWidth="1"/>
    <col min="9475" max="9475" width="16.5546875" style="435" customWidth="1"/>
    <col min="9476" max="9479" width="11.5546875" style="435"/>
    <col min="9480" max="9480" width="15.6640625" style="435" customWidth="1"/>
    <col min="9481" max="9729" width="11.5546875" style="435"/>
    <col min="9730" max="9730" width="15.44140625" style="435" customWidth="1"/>
    <col min="9731" max="9731" width="16.5546875" style="435" customWidth="1"/>
    <col min="9732" max="9735" width="11.5546875" style="435"/>
    <col min="9736" max="9736" width="15.6640625" style="435" customWidth="1"/>
    <col min="9737" max="9985" width="11.5546875" style="435"/>
    <col min="9986" max="9986" width="15.44140625" style="435" customWidth="1"/>
    <col min="9987" max="9987" width="16.5546875" style="435" customWidth="1"/>
    <col min="9988" max="9991" width="11.5546875" style="435"/>
    <col min="9992" max="9992" width="15.6640625" style="435" customWidth="1"/>
    <col min="9993" max="10241" width="11.5546875" style="435"/>
    <col min="10242" max="10242" width="15.44140625" style="435" customWidth="1"/>
    <col min="10243" max="10243" width="16.5546875" style="435" customWidth="1"/>
    <col min="10244" max="10247" width="11.5546875" style="435"/>
    <col min="10248" max="10248" width="15.6640625" style="435" customWidth="1"/>
    <col min="10249" max="10497" width="11.5546875" style="435"/>
    <col min="10498" max="10498" width="15.44140625" style="435" customWidth="1"/>
    <col min="10499" max="10499" width="16.5546875" style="435" customWidth="1"/>
    <col min="10500" max="10503" width="11.5546875" style="435"/>
    <col min="10504" max="10504" width="15.6640625" style="435" customWidth="1"/>
    <col min="10505" max="10753" width="11.5546875" style="435"/>
    <col min="10754" max="10754" width="15.44140625" style="435" customWidth="1"/>
    <col min="10755" max="10755" width="16.5546875" style="435" customWidth="1"/>
    <col min="10756" max="10759" width="11.5546875" style="435"/>
    <col min="10760" max="10760" width="15.6640625" style="435" customWidth="1"/>
    <col min="10761" max="11009" width="11.5546875" style="435"/>
    <col min="11010" max="11010" width="15.44140625" style="435" customWidth="1"/>
    <col min="11011" max="11011" width="16.5546875" style="435" customWidth="1"/>
    <col min="11012" max="11015" width="11.5546875" style="435"/>
    <col min="11016" max="11016" width="15.6640625" style="435" customWidth="1"/>
    <col min="11017" max="11265" width="11.5546875" style="435"/>
    <col min="11266" max="11266" width="15.44140625" style="435" customWidth="1"/>
    <col min="11267" max="11267" width="16.5546875" style="435" customWidth="1"/>
    <col min="11268" max="11271" width="11.5546875" style="435"/>
    <col min="11272" max="11272" width="15.6640625" style="435" customWidth="1"/>
    <col min="11273" max="11521" width="11.5546875" style="435"/>
    <col min="11522" max="11522" width="15.44140625" style="435" customWidth="1"/>
    <col min="11523" max="11523" width="16.5546875" style="435" customWidth="1"/>
    <col min="11524" max="11527" width="11.5546875" style="435"/>
    <col min="11528" max="11528" width="15.6640625" style="435" customWidth="1"/>
    <col min="11529" max="11777" width="11.5546875" style="435"/>
    <col min="11778" max="11778" width="15.44140625" style="435" customWidth="1"/>
    <col min="11779" max="11779" width="16.5546875" style="435" customWidth="1"/>
    <col min="11780" max="11783" width="11.5546875" style="435"/>
    <col min="11784" max="11784" width="15.6640625" style="435" customWidth="1"/>
    <col min="11785" max="12033" width="11.5546875" style="435"/>
    <col min="12034" max="12034" width="15.44140625" style="435" customWidth="1"/>
    <col min="12035" max="12035" width="16.5546875" style="435" customWidth="1"/>
    <col min="12036" max="12039" width="11.5546875" style="435"/>
    <col min="12040" max="12040" width="15.6640625" style="435" customWidth="1"/>
    <col min="12041" max="12289" width="11.5546875" style="435"/>
    <col min="12290" max="12290" width="15.44140625" style="435" customWidth="1"/>
    <col min="12291" max="12291" width="16.5546875" style="435" customWidth="1"/>
    <col min="12292" max="12295" width="11.5546875" style="435"/>
    <col min="12296" max="12296" width="15.6640625" style="435" customWidth="1"/>
    <col min="12297" max="12545" width="11.5546875" style="435"/>
    <col min="12546" max="12546" width="15.44140625" style="435" customWidth="1"/>
    <col min="12547" max="12547" width="16.5546875" style="435" customWidth="1"/>
    <col min="12548" max="12551" width="11.5546875" style="435"/>
    <col min="12552" max="12552" width="15.6640625" style="435" customWidth="1"/>
    <col min="12553" max="12801" width="11.5546875" style="435"/>
    <col min="12802" max="12802" width="15.44140625" style="435" customWidth="1"/>
    <col min="12803" max="12803" width="16.5546875" style="435" customWidth="1"/>
    <col min="12804" max="12807" width="11.5546875" style="435"/>
    <col min="12808" max="12808" width="15.6640625" style="435" customWidth="1"/>
    <col min="12809" max="13057" width="11.5546875" style="435"/>
    <col min="13058" max="13058" width="15.44140625" style="435" customWidth="1"/>
    <col min="13059" max="13059" width="16.5546875" style="435" customWidth="1"/>
    <col min="13060" max="13063" width="11.5546875" style="435"/>
    <col min="13064" max="13064" width="15.6640625" style="435" customWidth="1"/>
    <col min="13065" max="13313" width="11.5546875" style="435"/>
    <col min="13314" max="13314" width="15.44140625" style="435" customWidth="1"/>
    <col min="13315" max="13315" width="16.5546875" style="435" customWidth="1"/>
    <col min="13316" max="13319" width="11.5546875" style="435"/>
    <col min="13320" max="13320" width="15.6640625" style="435" customWidth="1"/>
    <col min="13321" max="13569" width="11.5546875" style="435"/>
    <col min="13570" max="13570" width="15.44140625" style="435" customWidth="1"/>
    <col min="13571" max="13571" width="16.5546875" style="435" customWidth="1"/>
    <col min="13572" max="13575" width="11.5546875" style="435"/>
    <col min="13576" max="13576" width="15.6640625" style="435" customWidth="1"/>
    <col min="13577" max="13825" width="11.5546875" style="435"/>
    <col min="13826" max="13826" width="15.44140625" style="435" customWidth="1"/>
    <col min="13827" max="13827" width="16.5546875" style="435" customWidth="1"/>
    <col min="13828" max="13831" width="11.5546875" style="435"/>
    <col min="13832" max="13832" width="15.6640625" style="435" customWidth="1"/>
    <col min="13833" max="14081" width="11.5546875" style="435"/>
    <col min="14082" max="14082" width="15.44140625" style="435" customWidth="1"/>
    <col min="14083" max="14083" width="16.5546875" style="435" customWidth="1"/>
    <col min="14084" max="14087" width="11.5546875" style="435"/>
    <col min="14088" max="14088" width="15.6640625" style="435" customWidth="1"/>
    <col min="14089" max="14337" width="11.5546875" style="435"/>
    <col min="14338" max="14338" width="15.44140625" style="435" customWidth="1"/>
    <col min="14339" max="14339" width="16.5546875" style="435" customWidth="1"/>
    <col min="14340" max="14343" width="11.5546875" style="435"/>
    <col min="14344" max="14344" width="15.6640625" style="435" customWidth="1"/>
    <col min="14345" max="14593" width="11.5546875" style="435"/>
    <col min="14594" max="14594" width="15.44140625" style="435" customWidth="1"/>
    <col min="14595" max="14595" width="16.5546875" style="435" customWidth="1"/>
    <col min="14596" max="14599" width="11.5546875" style="435"/>
    <col min="14600" max="14600" width="15.6640625" style="435" customWidth="1"/>
    <col min="14601" max="14849" width="11.5546875" style="435"/>
    <col min="14850" max="14850" width="15.44140625" style="435" customWidth="1"/>
    <col min="14851" max="14851" width="16.5546875" style="435" customWidth="1"/>
    <col min="14852" max="14855" width="11.5546875" style="435"/>
    <col min="14856" max="14856" width="15.6640625" style="435" customWidth="1"/>
    <col min="14857" max="15105" width="11.5546875" style="435"/>
    <col min="15106" max="15106" width="15.44140625" style="435" customWidth="1"/>
    <col min="15107" max="15107" width="16.5546875" style="435" customWidth="1"/>
    <col min="15108" max="15111" width="11.5546875" style="435"/>
    <col min="15112" max="15112" width="15.6640625" style="435" customWidth="1"/>
    <col min="15113" max="15361" width="11.5546875" style="435"/>
    <col min="15362" max="15362" width="15.44140625" style="435" customWidth="1"/>
    <col min="15363" max="15363" width="16.5546875" style="435" customWidth="1"/>
    <col min="15364" max="15367" width="11.5546875" style="435"/>
    <col min="15368" max="15368" width="15.6640625" style="435" customWidth="1"/>
    <col min="15369" max="15617" width="11.5546875" style="435"/>
    <col min="15618" max="15618" width="15.44140625" style="435" customWidth="1"/>
    <col min="15619" max="15619" width="16.5546875" style="435" customWidth="1"/>
    <col min="15620" max="15623" width="11.5546875" style="435"/>
    <col min="15624" max="15624" width="15.6640625" style="435" customWidth="1"/>
    <col min="15625" max="15873" width="11.5546875" style="435"/>
    <col min="15874" max="15874" width="15.44140625" style="435" customWidth="1"/>
    <col min="15875" max="15875" width="16.5546875" style="435" customWidth="1"/>
    <col min="15876" max="15879" width="11.5546875" style="435"/>
    <col min="15880" max="15880" width="15.6640625" style="435" customWidth="1"/>
    <col min="15881" max="16129" width="11.5546875" style="435"/>
    <col min="16130" max="16130" width="15.44140625" style="435" customWidth="1"/>
    <col min="16131" max="16131" width="16.5546875" style="435" customWidth="1"/>
    <col min="16132" max="16135" width="11.5546875" style="435"/>
    <col min="16136" max="16136" width="15.6640625" style="435" customWidth="1"/>
    <col min="16137" max="16384" width="11.5546875" style="435"/>
  </cols>
  <sheetData>
    <row r="1" spans="1:12" ht="16.2" thickBot="1">
      <c r="A1" s="461" t="s">
        <v>594</v>
      </c>
      <c r="B1" s="460" t="s">
        <v>148</v>
      </c>
      <c r="C1" s="460" t="s">
        <v>177</v>
      </c>
      <c r="D1" s="460" t="s">
        <v>590</v>
      </c>
      <c r="E1" s="460" t="s">
        <v>593</v>
      </c>
      <c r="F1" s="459" t="s">
        <v>592</v>
      </c>
      <c r="H1" s="458" t="s">
        <v>591</v>
      </c>
      <c r="I1" s="457" t="s">
        <v>177</v>
      </c>
      <c r="J1" s="457" t="s">
        <v>148</v>
      </c>
      <c r="K1" s="457" t="s">
        <v>590</v>
      </c>
      <c r="L1" s="456" t="s">
        <v>589</v>
      </c>
    </row>
    <row r="2" spans="1:12">
      <c r="A2" s="455">
        <v>1</v>
      </c>
      <c r="B2" s="454" t="s">
        <v>55</v>
      </c>
      <c r="C2" s="454" t="s">
        <v>588</v>
      </c>
      <c r="D2" s="454" t="s">
        <v>587</v>
      </c>
      <c r="E2" s="454">
        <v>1000</v>
      </c>
      <c r="F2" s="453" t="s">
        <v>43</v>
      </c>
      <c r="H2" s="452">
        <v>16</v>
      </c>
      <c r="I2" s="451" t="str">
        <f t="shared" ref="I2:I11" si="0">IFERROR(VLOOKUP(H2,qqch,3),"code inexistant")</f>
        <v>PAVOT</v>
      </c>
      <c r="J2" s="451" t="str">
        <f t="shared" ref="J2:J12" si="1">IF(ISBLANK(H2),"",(VLOOKUP($H2,qqch,2)))</f>
        <v>Dominique</v>
      </c>
      <c r="K2" s="451" t="str">
        <f t="shared" ref="K2:K12" si="2">IFERROR(VLOOKUP($H2,qqch,4),"code inexistant")</f>
        <v>Avenue des Erables, 10</v>
      </c>
      <c r="L2" s="450" t="str">
        <f t="shared" ref="L2:L12" si="3">IFERROR(VLOOKUP($H2,qqch,5)&amp;VLOOKUP($H2,qqch,6),"code inexistant")</f>
        <v>1200Bruxelles</v>
      </c>
    </row>
    <row r="3" spans="1:12">
      <c r="A3" s="442">
        <v>2</v>
      </c>
      <c r="B3" s="441" t="s">
        <v>586</v>
      </c>
      <c r="C3" s="441" t="s">
        <v>585</v>
      </c>
      <c r="D3" s="441" t="s">
        <v>584</v>
      </c>
      <c r="E3" s="441">
        <v>1200</v>
      </c>
      <c r="F3" s="440" t="s">
        <v>583</v>
      </c>
      <c r="H3" s="449">
        <v>1</v>
      </c>
      <c r="I3" s="447" t="str">
        <f t="shared" si="0"/>
        <v>LEMARCHAND</v>
      </c>
      <c r="J3" s="447" t="str">
        <f t="shared" si="1"/>
        <v>Paul</v>
      </c>
      <c r="K3" s="447" t="str">
        <f t="shared" si="2"/>
        <v>91 rue d'Alsace</v>
      </c>
      <c r="L3" s="446" t="str">
        <f t="shared" si="3"/>
        <v>1000Bruxelles</v>
      </c>
    </row>
    <row r="4" spans="1:12">
      <c r="A4" s="442">
        <v>3</v>
      </c>
      <c r="B4" s="441" t="s">
        <v>582</v>
      </c>
      <c r="C4" s="441" t="s">
        <v>581</v>
      </c>
      <c r="D4" s="441" t="s">
        <v>580</v>
      </c>
      <c r="E4" s="441">
        <v>1300</v>
      </c>
      <c r="F4" s="440" t="s">
        <v>529</v>
      </c>
      <c r="H4" s="449">
        <v>22</v>
      </c>
      <c r="I4" s="447" t="str">
        <f t="shared" si="0"/>
        <v>TARDET</v>
      </c>
      <c r="J4" s="447" t="str">
        <f t="shared" si="1"/>
        <v>Eloïse</v>
      </c>
      <c r="K4" s="447" t="str">
        <f t="shared" si="2"/>
        <v>Place du Lambet, 7</v>
      </c>
      <c r="L4" s="446" t="str">
        <f t="shared" si="3"/>
        <v>1390Grez-Doiceau</v>
      </c>
    </row>
    <row r="5" spans="1:12">
      <c r="A5" s="442">
        <v>4</v>
      </c>
      <c r="B5" s="441" t="s">
        <v>579</v>
      </c>
      <c r="C5" s="441" t="s">
        <v>578</v>
      </c>
      <c r="D5" s="441" t="s">
        <v>577</v>
      </c>
      <c r="E5" s="441">
        <v>5000</v>
      </c>
      <c r="F5" s="440" t="s">
        <v>40</v>
      </c>
      <c r="H5" s="449">
        <v>5</v>
      </c>
      <c r="I5" s="447" t="str">
        <f t="shared" si="0"/>
        <v>MARQUAIRE</v>
      </c>
      <c r="J5" s="447" t="str">
        <f t="shared" si="1"/>
        <v>Carole</v>
      </c>
      <c r="K5" s="447" t="str">
        <f t="shared" si="2"/>
        <v>Allée des Vosges</v>
      </c>
      <c r="L5" s="446" t="str">
        <f t="shared" si="3"/>
        <v>1180Uccle</v>
      </c>
    </row>
    <row r="6" spans="1:12">
      <c r="A6" s="442">
        <v>5</v>
      </c>
      <c r="B6" s="441" t="s">
        <v>576</v>
      </c>
      <c r="C6" s="441" t="s">
        <v>548</v>
      </c>
      <c r="D6" s="441" t="s">
        <v>575</v>
      </c>
      <c r="E6" s="441">
        <v>1180</v>
      </c>
      <c r="F6" s="440" t="s">
        <v>574</v>
      </c>
      <c r="H6" s="449">
        <v>6</v>
      </c>
      <c r="I6" s="447" t="str">
        <f t="shared" si="0"/>
        <v>VALJEAN</v>
      </c>
      <c r="J6" s="447" t="str">
        <f t="shared" si="1"/>
        <v>Jean</v>
      </c>
      <c r="K6" s="447" t="str">
        <f t="shared" si="2"/>
        <v>Rue Legros</v>
      </c>
      <c r="L6" s="446" t="str">
        <f t="shared" si="3"/>
        <v>1150Bruxelles</v>
      </c>
    </row>
    <row r="7" spans="1:12">
      <c r="A7" s="442">
        <v>6</v>
      </c>
      <c r="B7" s="441" t="s">
        <v>48</v>
      </c>
      <c r="C7" s="441" t="s">
        <v>573</v>
      </c>
      <c r="D7" s="441" t="s">
        <v>572</v>
      </c>
      <c r="E7" s="441">
        <v>1150</v>
      </c>
      <c r="F7" s="440" t="s">
        <v>43</v>
      </c>
      <c r="H7" s="449">
        <v>9</v>
      </c>
      <c r="I7" s="447" t="str">
        <f t="shared" si="0"/>
        <v>ALVES</v>
      </c>
      <c r="J7" s="447" t="str">
        <f t="shared" si="1"/>
        <v>Michel</v>
      </c>
      <c r="K7" s="447" t="str">
        <f t="shared" si="2"/>
        <v>Stationstraat, 16</v>
      </c>
      <c r="L7" s="446" t="str">
        <f t="shared" si="3"/>
        <v>1651Beersel</v>
      </c>
    </row>
    <row r="8" spans="1:12">
      <c r="A8" s="442">
        <v>7</v>
      </c>
      <c r="B8" s="441" t="s">
        <v>571</v>
      </c>
      <c r="C8" s="441" t="s">
        <v>570</v>
      </c>
      <c r="D8" s="441" t="s">
        <v>569</v>
      </c>
      <c r="E8" s="441">
        <v>1160</v>
      </c>
      <c r="F8" s="440" t="s">
        <v>568</v>
      </c>
      <c r="H8" s="449">
        <v>17</v>
      </c>
      <c r="I8" s="447" t="str">
        <f t="shared" si="0"/>
        <v>RAUTA</v>
      </c>
      <c r="J8" s="447" t="str">
        <f t="shared" si="1"/>
        <v>Magali</v>
      </c>
      <c r="K8" s="447" t="str">
        <f t="shared" si="2"/>
        <v>Avenue du Château, 14</v>
      </c>
      <c r="L8" s="446" t="str">
        <f t="shared" si="3"/>
        <v>1030Bruxelles</v>
      </c>
    </row>
    <row r="9" spans="1:12">
      <c r="A9" s="442">
        <v>8</v>
      </c>
      <c r="B9" s="441" t="s">
        <v>567</v>
      </c>
      <c r="C9" s="441" t="s">
        <v>566</v>
      </c>
      <c r="D9" s="441" t="s">
        <v>565</v>
      </c>
      <c r="E9" s="441">
        <v>1140</v>
      </c>
      <c r="F9" s="440" t="s">
        <v>43</v>
      </c>
      <c r="G9" s="436"/>
      <c r="H9" s="449">
        <v>10</v>
      </c>
      <c r="I9" s="447" t="str">
        <f t="shared" si="0"/>
        <v>HUILE</v>
      </c>
      <c r="J9" s="447" t="str">
        <f t="shared" si="1"/>
        <v>Olivier</v>
      </c>
      <c r="K9" s="447" t="str">
        <f t="shared" si="2"/>
        <v>Place Albert 1er, 10</v>
      </c>
      <c r="L9" s="446" t="str">
        <f t="shared" si="3"/>
        <v>7000Mons</v>
      </c>
    </row>
    <row r="10" spans="1:12">
      <c r="A10" s="442">
        <v>9</v>
      </c>
      <c r="B10" s="441" t="s">
        <v>564</v>
      </c>
      <c r="C10" s="441" t="s">
        <v>563</v>
      </c>
      <c r="D10" s="441" t="s">
        <v>562</v>
      </c>
      <c r="E10" s="441">
        <v>1651</v>
      </c>
      <c r="F10" s="440" t="s">
        <v>561</v>
      </c>
      <c r="G10" s="436"/>
      <c r="H10" s="449">
        <v>19</v>
      </c>
      <c r="I10" s="447" t="str">
        <f t="shared" si="0"/>
        <v>TRAVIS</v>
      </c>
      <c r="J10" s="447" t="str">
        <f t="shared" si="1"/>
        <v>Désiré</v>
      </c>
      <c r="K10" s="447" t="str">
        <f t="shared" si="2"/>
        <v>Avenue des Artistes, 12</v>
      </c>
      <c r="L10" s="446" t="str">
        <f t="shared" si="3"/>
        <v>8000Brugge</v>
      </c>
    </row>
    <row r="11" spans="1:12">
      <c r="A11" s="442">
        <v>10</v>
      </c>
      <c r="B11" s="441" t="s">
        <v>560</v>
      </c>
      <c r="C11" s="441" t="s">
        <v>559</v>
      </c>
      <c r="D11" s="441" t="s">
        <v>558</v>
      </c>
      <c r="E11" s="441">
        <v>7000</v>
      </c>
      <c r="F11" s="440" t="s">
        <v>557</v>
      </c>
      <c r="G11" s="436"/>
      <c r="H11" s="448">
        <v>23</v>
      </c>
      <c r="I11" s="447" t="str">
        <f t="shared" si="0"/>
        <v>TARDET</v>
      </c>
      <c r="J11" s="447" t="str">
        <f t="shared" si="1"/>
        <v>Eloïse</v>
      </c>
      <c r="K11" s="447" t="str">
        <f t="shared" si="2"/>
        <v>Place du Lambet, 7</v>
      </c>
      <c r="L11" s="446" t="str">
        <f t="shared" si="3"/>
        <v>1390Grez-Doiceau</v>
      </c>
    </row>
    <row r="12" spans="1:12" ht="16.2" thickBot="1">
      <c r="A12" s="442">
        <v>11</v>
      </c>
      <c r="B12" s="441" t="s">
        <v>556</v>
      </c>
      <c r="C12" s="441" t="s">
        <v>555</v>
      </c>
      <c r="D12" s="441" t="s">
        <v>554</v>
      </c>
      <c r="E12" s="441">
        <v>3090</v>
      </c>
      <c r="F12" s="440" t="s">
        <v>553</v>
      </c>
      <c r="G12" s="436"/>
      <c r="H12" s="445"/>
      <c r="I12" s="444" t="str">
        <f>IFERROR(VLOOKUP(H12,$A$2:$F$23,3),"code inexistant")</f>
        <v>code inexistant</v>
      </c>
      <c r="J12" s="444" t="str">
        <f t="shared" si="1"/>
        <v/>
      </c>
      <c r="K12" s="444" t="str">
        <f t="shared" si="2"/>
        <v>code inexistant</v>
      </c>
      <c r="L12" s="443" t="str">
        <f t="shared" si="3"/>
        <v>code inexistant</v>
      </c>
    </row>
    <row r="13" spans="1:12">
      <c r="A13" s="442">
        <v>12</v>
      </c>
      <c r="B13" s="441" t="s">
        <v>552</v>
      </c>
      <c r="C13" s="441" t="s">
        <v>551</v>
      </c>
      <c r="D13" s="441" t="s">
        <v>550</v>
      </c>
      <c r="E13" s="441">
        <v>5000</v>
      </c>
      <c r="F13" s="440" t="s">
        <v>40</v>
      </c>
      <c r="G13" s="436"/>
    </row>
    <row r="14" spans="1:12">
      <c r="A14" s="442">
        <v>13</v>
      </c>
      <c r="B14" s="441" t="s">
        <v>549</v>
      </c>
      <c r="C14" s="441" t="s">
        <v>548</v>
      </c>
      <c r="D14" s="441" t="s">
        <v>547</v>
      </c>
      <c r="E14" s="441">
        <v>9000</v>
      </c>
      <c r="F14" s="440" t="s">
        <v>546</v>
      </c>
      <c r="G14" s="436"/>
      <c r="H14" s="435"/>
      <c r="I14" s="435"/>
      <c r="J14" s="435"/>
      <c r="K14" s="435"/>
      <c r="L14" s="435"/>
    </row>
    <row r="15" spans="1:12">
      <c r="A15" s="442">
        <v>14</v>
      </c>
      <c r="B15" s="441" t="s">
        <v>545</v>
      </c>
      <c r="C15" s="441" t="s">
        <v>544</v>
      </c>
      <c r="D15" s="441" t="s">
        <v>543</v>
      </c>
      <c r="E15" s="441">
        <v>1410</v>
      </c>
      <c r="F15" s="440" t="s">
        <v>542</v>
      </c>
      <c r="G15" s="436"/>
      <c r="H15" s="435"/>
      <c r="I15" s="435"/>
      <c r="J15" s="435"/>
      <c r="K15" s="435"/>
      <c r="L15" s="435"/>
    </row>
    <row r="16" spans="1:12">
      <c r="A16" s="442">
        <v>15</v>
      </c>
      <c r="B16" s="441" t="s">
        <v>541</v>
      </c>
      <c r="C16" s="441" t="s">
        <v>540</v>
      </c>
      <c r="D16" s="441" t="s">
        <v>539</v>
      </c>
      <c r="E16" s="441">
        <v>4000</v>
      </c>
      <c r="F16" s="440" t="s">
        <v>35</v>
      </c>
      <c r="G16" s="436"/>
      <c r="H16" s="435"/>
      <c r="I16" s="435"/>
      <c r="J16" s="435"/>
      <c r="K16" s="435"/>
      <c r="L16" s="435"/>
    </row>
    <row r="17" spans="1:12">
      <c r="A17" s="442">
        <v>16</v>
      </c>
      <c r="B17" s="441" t="s">
        <v>538</v>
      </c>
      <c r="C17" s="441" t="s">
        <v>537</v>
      </c>
      <c r="D17" s="441" t="s">
        <v>536</v>
      </c>
      <c r="E17" s="441">
        <v>1200</v>
      </c>
      <c r="F17" s="440" t="s">
        <v>43</v>
      </c>
      <c r="G17" s="436"/>
      <c r="H17" s="435"/>
      <c r="I17" s="435"/>
      <c r="J17" s="435"/>
      <c r="K17" s="435"/>
      <c r="L17" s="435"/>
    </row>
    <row r="18" spans="1:12">
      <c r="A18" s="442">
        <v>17</v>
      </c>
      <c r="B18" s="441" t="s">
        <v>535</v>
      </c>
      <c r="C18" s="441" t="s">
        <v>534</v>
      </c>
      <c r="D18" s="441" t="s">
        <v>533</v>
      </c>
      <c r="E18" s="441">
        <v>1030</v>
      </c>
      <c r="F18" s="440" t="s">
        <v>43</v>
      </c>
      <c r="G18" s="436"/>
      <c r="H18" s="435"/>
      <c r="I18" s="435"/>
      <c r="J18" s="435"/>
      <c r="K18" s="435"/>
      <c r="L18" s="435"/>
    </row>
    <row r="19" spans="1:12">
      <c r="A19" s="442">
        <v>18</v>
      </c>
      <c r="B19" s="441" t="s">
        <v>532</v>
      </c>
      <c r="C19" s="441" t="s">
        <v>531</v>
      </c>
      <c r="D19" s="441" t="s">
        <v>530</v>
      </c>
      <c r="E19" s="441">
        <v>1300</v>
      </c>
      <c r="F19" s="440" t="s">
        <v>529</v>
      </c>
      <c r="G19" s="436"/>
      <c r="H19" s="435"/>
      <c r="I19" s="435"/>
      <c r="J19" s="435"/>
      <c r="K19" s="435"/>
      <c r="L19" s="435"/>
    </row>
    <row r="20" spans="1:12">
      <c r="A20" s="442">
        <v>19</v>
      </c>
      <c r="B20" s="441" t="s">
        <v>528</v>
      </c>
      <c r="C20" s="441" t="s">
        <v>527</v>
      </c>
      <c r="D20" s="441" t="s">
        <v>526</v>
      </c>
      <c r="E20" s="441">
        <v>8000</v>
      </c>
      <c r="F20" s="440" t="s">
        <v>525</v>
      </c>
      <c r="G20" s="436"/>
      <c r="H20" s="435"/>
      <c r="I20" s="435"/>
      <c r="J20" s="435"/>
      <c r="K20" s="435"/>
      <c r="L20" s="435"/>
    </row>
    <row r="21" spans="1:12">
      <c r="A21" s="442">
        <v>20</v>
      </c>
      <c r="B21" s="441" t="s">
        <v>524</v>
      </c>
      <c r="C21" s="441" t="s">
        <v>523</v>
      </c>
      <c r="D21" s="441" t="s">
        <v>522</v>
      </c>
      <c r="E21" s="441">
        <v>1340</v>
      </c>
      <c r="F21" s="440" t="s">
        <v>521</v>
      </c>
      <c r="G21" s="436"/>
      <c r="H21" s="435"/>
      <c r="I21" s="435"/>
      <c r="J21" s="435"/>
      <c r="K21" s="435"/>
      <c r="L21" s="435"/>
    </row>
    <row r="22" spans="1:12">
      <c r="A22" s="442">
        <v>21</v>
      </c>
      <c r="B22" s="441" t="s">
        <v>520</v>
      </c>
      <c r="C22" s="441" t="s">
        <v>519</v>
      </c>
      <c r="D22" s="441" t="s">
        <v>518</v>
      </c>
      <c r="E22" s="441">
        <v>1400</v>
      </c>
      <c r="F22" s="440" t="s">
        <v>517</v>
      </c>
      <c r="G22" s="436"/>
      <c r="H22" s="435"/>
      <c r="I22" s="435"/>
      <c r="J22" s="435"/>
      <c r="K22" s="435"/>
      <c r="L22" s="435"/>
    </row>
    <row r="23" spans="1:12" ht="16.2" thickBot="1">
      <c r="A23" s="439">
        <v>22</v>
      </c>
      <c r="B23" s="438" t="s">
        <v>516</v>
      </c>
      <c r="C23" s="438" t="s">
        <v>515</v>
      </c>
      <c r="D23" s="438" t="s">
        <v>514</v>
      </c>
      <c r="E23" s="438">
        <v>1390</v>
      </c>
      <c r="F23" s="437" t="s">
        <v>513</v>
      </c>
    </row>
  </sheetData>
  <pageMargins left="0.78740157499999996" right="0.78740157499999996" top="0.984251969" bottom="0.984251969" header="0.4921259845" footer="0.4921259845"/>
  <pageSetup paperSize="9" orientation="portrait" r:id="rId1"/>
  <headerFooter alignWithMargins="0"/>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5C79141-860E-4788-B1BE-D2DF63EA1AAE}">
  <dimension ref="A1:M55"/>
  <sheetViews>
    <sheetView workbookViewId="0">
      <selection activeCell="B25" sqref="B25"/>
    </sheetView>
  </sheetViews>
  <sheetFormatPr baseColWidth="10" defaultColWidth="11.44140625" defaultRowHeight="15.6"/>
  <cols>
    <col min="1" max="1" width="11.44140625" style="463" customWidth="1"/>
    <col min="2" max="2" width="21.33203125" style="462" customWidth="1"/>
    <col min="3" max="7" width="11.44140625" style="462"/>
    <col min="8" max="8" width="19" style="462" customWidth="1"/>
    <col min="9" max="257" width="11.44140625" style="462"/>
    <col min="258" max="258" width="11.44140625" style="462" customWidth="1"/>
    <col min="259" max="259" width="21.33203125" style="462" customWidth="1"/>
    <col min="260" max="513" width="11.44140625" style="462"/>
    <col min="514" max="514" width="11.44140625" style="462" customWidth="1"/>
    <col min="515" max="515" width="21.33203125" style="462" customWidth="1"/>
    <col min="516" max="769" width="11.44140625" style="462"/>
    <col min="770" max="770" width="11.44140625" style="462" customWidth="1"/>
    <col min="771" max="771" width="21.33203125" style="462" customWidth="1"/>
    <col min="772" max="1025" width="11.44140625" style="462"/>
    <col min="1026" max="1026" width="11.44140625" style="462" customWidth="1"/>
    <col min="1027" max="1027" width="21.33203125" style="462" customWidth="1"/>
    <col min="1028" max="1281" width="11.44140625" style="462"/>
    <col min="1282" max="1282" width="11.44140625" style="462" customWidth="1"/>
    <col min="1283" max="1283" width="21.33203125" style="462" customWidth="1"/>
    <col min="1284" max="1537" width="11.44140625" style="462"/>
    <col min="1538" max="1538" width="11.44140625" style="462" customWidth="1"/>
    <col min="1539" max="1539" width="21.33203125" style="462" customWidth="1"/>
    <col min="1540" max="1793" width="11.44140625" style="462"/>
    <col min="1794" max="1794" width="11.44140625" style="462" customWidth="1"/>
    <col min="1795" max="1795" width="21.33203125" style="462" customWidth="1"/>
    <col min="1796" max="2049" width="11.44140625" style="462"/>
    <col min="2050" max="2050" width="11.44140625" style="462" customWidth="1"/>
    <col min="2051" max="2051" width="21.33203125" style="462" customWidth="1"/>
    <col min="2052" max="2305" width="11.44140625" style="462"/>
    <col min="2306" max="2306" width="11.44140625" style="462" customWidth="1"/>
    <col min="2307" max="2307" width="21.33203125" style="462" customWidth="1"/>
    <col min="2308" max="2561" width="11.44140625" style="462"/>
    <col min="2562" max="2562" width="11.44140625" style="462" customWidth="1"/>
    <col min="2563" max="2563" width="21.33203125" style="462" customWidth="1"/>
    <col min="2564" max="2817" width="11.44140625" style="462"/>
    <col min="2818" max="2818" width="11.44140625" style="462" customWidth="1"/>
    <col min="2819" max="2819" width="21.33203125" style="462" customWidth="1"/>
    <col min="2820" max="3073" width="11.44140625" style="462"/>
    <col min="3074" max="3074" width="11.44140625" style="462" customWidth="1"/>
    <col min="3075" max="3075" width="21.33203125" style="462" customWidth="1"/>
    <col min="3076" max="3329" width="11.44140625" style="462"/>
    <col min="3330" max="3330" width="11.44140625" style="462" customWidth="1"/>
    <col min="3331" max="3331" width="21.33203125" style="462" customWidth="1"/>
    <col min="3332" max="3585" width="11.44140625" style="462"/>
    <col min="3586" max="3586" width="11.44140625" style="462" customWidth="1"/>
    <col min="3587" max="3587" width="21.33203125" style="462" customWidth="1"/>
    <col min="3588" max="3841" width="11.44140625" style="462"/>
    <col min="3842" max="3842" width="11.44140625" style="462" customWidth="1"/>
    <col min="3843" max="3843" width="21.33203125" style="462" customWidth="1"/>
    <col min="3844" max="4097" width="11.44140625" style="462"/>
    <col min="4098" max="4098" width="11.44140625" style="462" customWidth="1"/>
    <col min="4099" max="4099" width="21.33203125" style="462" customWidth="1"/>
    <col min="4100" max="4353" width="11.44140625" style="462"/>
    <col min="4354" max="4354" width="11.44140625" style="462" customWidth="1"/>
    <col min="4355" max="4355" width="21.33203125" style="462" customWidth="1"/>
    <col min="4356" max="4609" width="11.44140625" style="462"/>
    <col min="4610" max="4610" width="11.44140625" style="462" customWidth="1"/>
    <col min="4611" max="4611" width="21.33203125" style="462" customWidth="1"/>
    <col min="4612" max="4865" width="11.44140625" style="462"/>
    <col min="4866" max="4866" width="11.44140625" style="462" customWidth="1"/>
    <col min="4867" max="4867" width="21.33203125" style="462" customWidth="1"/>
    <col min="4868" max="5121" width="11.44140625" style="462"/>
    <col min="5122" max="5122" width="11.44140625" style="462" customWidth="1"/>
    <col min="5123" max="5123" width="21.33203125" style="462" customWidth="1"/>
    <col min="5124" max="5377" width="11.44140625" style="462"/>
    <col min="5378" max="5378" width="11.44140625" style="462" customWidth="1"/>
    <col min="5379" max="5379" width="21.33203125" style="462" customWidth="1"/>
    <col min="5380" max="5633" width="11.44140625" style="462"/>
    <col min="5634" max="5634" width="11.44140625" style="462" customWidth="1"/>
    <col min="5635" max="5635" width="21.33203125" style="462" customWidth="1"/>
    <col min="5636" max="5889" width="11.44140625" style="462"/>
    <col min="5890" max="5890" width="11.44140625" style="462" customWidth="1"/>
    <col min="5891" max="5891" width="21.33203125" style="462" customWidth="1"/>
    <col min="5892" max="6145" width="11.44140625" style="462"/>
    <col min="6146" max="6146" width="11.44140625" style="462" customWidth="1"/>
    <col min="6147" max="6147" width="21.33203125" style="462" customWidth="1"/>
    <col min="6148" max="6401" width="11.44140625" style="462"/>
    <col min="6402" max="6402" width="11.44140625" style="462" customWidth="1"/>
    <col min="6403" max="6403" width="21.33203125" style="462" customWidth="1"/>
    <col min="6404" max="6657" width="11.44140625" style="462"/>
    <col min="6658" max="6658" width="11.44140625" style="462" customWidth="1"/>
    <col min="6659" max="6659" width="21.33203125" style="462" customWidth="1"/>
    <col min="6660" max="6913" width="11.44140625" style="462"/>
    <col min="6914" max="6914" width="11.44140625" style="462" customWidth="1"/>
    <col min="6915" max="6915" width="21.33203125" style="462" customWidth="1"/>
    <col min="6916" max="7169" width="11.44140625" style="462"/>
    <col min="7170" max="7170" width="11.44140625" style="462" customWidth="1"/>
    <col min="7171" max="7171" width="21.33203125" style="462" customWidth="1"/>
    <col min="7172" max="7425" width="11.44140625" style="462"/>
    <col min="7426" max="7426" width="11.44140625" style="462" customWidth="1"/>
    <col min="7427" max="7427" width="21.33203125" style="462" customWidth="1"/>
    <col min="7428" max="7681" width="11.44140625" style="462"/>
    <col min="7682" max="7682" width="11.44140625" style="462" customWidth="1"/>
    <col min="7683" max="7683" width="21.33203125" style="462" customWidth="1"/>
    <col min="7684" max="7937" width="11.44140625" style="462"/>
    <col min="7938" max="7938" width="11.44140625" style="462" customWidth="1"/>
    <col min="7939" max="7939" width="21.33203125" style="462" customWidth="1"/>
    <col min="7940" max="8193" width="11.44140625" style="462"/>
    <col min="8194" max="8194" width="11.44140625" style="462" customWidth="1"/>
    <col min="8195" max="8195" width="21.33203125" style="462" customWidth="1"/>
    <col min="8196" max="8449" width="11.44140625" style="462"/>
    <col min="8450" max="8450" width="11.44140625" style="462" customWidth="1"/>
    <col min="8451" max="8451" width="21.33203125" style="462" customWidth="1"/>
    <col min="8452" max="8705" width="11.44140625" style="462"/>
    <col min="8706" max="8706" width="11.44140625" style="462" customWidth="1"/>
    <col min="8707" max="8707" width="21.33203125" style="462" customWidth="1"/>
    <col min="8708" max="8961" width="11.44140625" style="462"/>
    <col min="8962" max="8962" width="11.44140625" style="462" customWidth="1"/>
    <col min="8963" max="8963" width="21.33203125" style="462" customWidth="1"/>
    <col min="8964" max="9217" width="11.44140625" style="462"/>
    <col min="9218" max="9218" width="11.44140625" style="462" customWidth="1"/>
    <col min="9219" max="9219" width="21.33203125" style="462" customWidth="1"/>
    <col min="9220" max="9473" width="11.44140625" style="462"/>
    <col min="9474" max="9474" width="11.44140625" style="462" customWidth="1"/>
    <col min="9475" max="9475" width="21.33203125" style="462" customWidth="1"/>
    <col min="9476" max="9729" width="11.44140625" style="462"/>
    <col min="9730" max="9730" width="11.44140625" style="462" customWidth="1"/>
    <col min="9731" max="9731" width="21.33203125" style="462" customWidth="1"/>
    <col min="9732" max="9985" width="11.44140625" style="462"/>
    <col min="9986" max="9986" width="11.44140625" style="462" customWidth="1"/>
    <col min="9987" max="9987" width="21.33203125" style="462" customWidth="1"/>
    <col min="9988" max="10241" width="11.44140625" style="462"/>
    <col min="10242" max="10242" width="11.44140625" style="462" customWidth="1"/>
    <col min="10243" max="10243" width="21.33203125" style="462" customWidth="1"/>
    <col min="10244" max="10497" width="11.44140625" style="462"/>
    <col min="10498" max="10498" width="11.44140625" style="462" customWidth="1"/>
    <col min="10499" max="10499" width="21.33203125" style="462" customWidth="1"/>
    <col min="10500" max="10753" width="11.44140625" style="462"/>
    <col min="10754" max="10754" width="11.44140625" style="462" customWidth="1"/>
    <col min="10755" max="10755" width="21.33203125" style="462" customWidth="1"/>
    <col min="10756" max="11009" width="11.44140625" style="462"/>
    <col min="11010" max="11010" width="11.44140625" style="462" customWidth="1"/>
    <col min="11011" max="11011" width="21.33203125" style="462" customWidth="1"/>
    <col min="11012" max="11265" width="11.44140625" style="462"/>
    <col min="11266" max="11266" width="11.44140625" style="462" customWidth="1"/>
    <col min="11267" max="11267" width="21.33203125" style="462" customWidth="1"/>
    <col min="11268" max="11521" width="11.44140625" style="462"/>
    <col min="11522" max="11522" width="11.44140625" style="462" customWidth="1"/>
    <col min="11523" max="11523" width="21.33203125" style="462" customWidth="1"/>
    <col min="11524" max="11777" width="11.44140625" style="462"/>
    <col min="11778" max="11778" width="11.44140625" style="462" customWidth="1"/>
    <col min="11779" max="11779" width="21.33203125" style="462" customWidth="1"/>
    <col min="11780" max="12033" width="11.44140625" style="462"/>
    <col min="12034" max="12034" width="11.44140625" style="462" customWidth="1"/>
    <col min="12035" max="12035" width="21.33203125" style="462" customWidth="1"/>
    <col min="12036" max="12289" width="11.44140625" style="462"/>
    <col min="12290" max="12290" width="11.44140625" style="462" customWidth="1"/>
    <col min="12291" max="12291" width="21.33203125" style="462" customWidth="1"/>
    <col min="12292" max="12545" width="11.44140625" style="462"/>
    <col min="12546" max="12546" width="11.44140625" style="462" customWidth="1"/>
    <col min="12547" max="12547" width="21.33203125" style="462" customWidth="1"/>
    <col min="12548" max="12801" width="11.44140625" style="462"/>
    <col min="12802" max="12802" width="11.44140625" style="462" customWidth="1"/>
    <col min="12803" max="12803" width="21.33203125" style="462" customWidth="1"/>
    <col min="12804" max="13057" width="11.44140625" style="462"/>
    <col min="13058" max="13058" width="11.44140625" style="462" customWidth="1"/>
    <col min="13059" max="13059" width="21.33203125" style="462" customWidth="1"/>
    <col min="13060" max="13313" width="11.44140625" style="462"/>
    <col min="13314" max="13314" width="11.44140625" style="462" customWidth="1"/>
    <col min="13315" max="13315" width="21.33203125" style="462" customWidth="1"/>
    <col min="13316" max="13569" width="11.44140625" style="462"/>
    <col min="13570" max="13570" width="11.44140625" style="462" customWidth="1"/>
    <col min="13571" max="13571" width="21.33203125" style="462" customWidth="1"/>
    <col min="13572" max="13825" width="11.44140625" style="462"/>
    <col min="13826" max="13826" width="11.44140625" style="462" customWidth="1"/>
    <col min="13827" max="13827" width="21.33203125" style="462" customWidth="1"/>
    <col min="13828" max="14081" width="11.44140625" style="462"/>
    <col min="14082" max="14082" width="11.44140625" style="462" customWidth="1"/>
    <col min="14083" max="14083" width="21.33203125" style="462" customWidth="1"/>
    <col min="14084" max="14337" width="11.44140625" style="462"/>
    <col min="14338" max="14338" width="11.44140625" style="462" customWidth="1"/>
    <col min="14339" max="14339" width="21.33203125" style="462" customWidth="1"/>
    <col min="14340" max="14593" width="11.44140625" style="462"/>
    <col min="14594" max="14594" width="11.44140625" style="462" customWidth="1"/>
    <col min="14595" max="14595" width="21.33203125" style="462" customWidth="1"/>
    <col min="14596" max="14849" width="11.44140625" style="462"/>
    <col min="14850" max="14850" width="11.44140625" style="462" customWidth="1"/>
    <col min="14851" max="14851" width="21.33203125" style="462" customWidth="1"/>
    <col min="14852" max="15105" width="11.44140625" style="462"/>
    <col min="15106" max="15106" width="11.44140625" style="462" customWidth="1"/>
    <col min="15107" max="15107" width="21.33203125" style="462" customWidth="1"/>
    <col min="15108" max="15361" width="11.44140625" style="462"/>
    <col min="15362" max="15362" width="11.44140625" style="462" customWidth="1"/>
    <col min="15363" max="15363" width="21.33203125" style="462" customWidth="1"/>
    <col min="15364" max="15617" width="11.44140625" style="462"/>
    <col min="15618" max="15618" width="11.44140625" style="462" customWidth="1"/>
    <col min="15619" max="15619" width="21.33203125" style="462" customWidth="1"/>
    <col min="15620" max="15873" width="11.44140625" style="462"/>
    <col min="15874" max="15874" width="11.44140625" style="462" customWidth="1"/>
    <col min="15875" max="15875" width="21.33203125" style="462" customWidth="1"/>
    <col min="15876" max="16129" width="11.44140625" style="462"/>
    <col min="16130" max="16130" width="11.44140625" style="462" customWidth="1"/>
    <col min="16131" max="16131" width="21.33203125" style="462" customWidth="1"/>
    <col min="16132" max="16384" width="11.44140625" style="462"/>
  </cols>
  <sheetData>
    <row r="1" spans="1:13" ht="42.6" customHeight="1" thickBot="1">
      <c r="A1" s="485" t="s">
        <v>701</v>
      </c>
      <c r="B1" s="484" t="s">
        <v>700</v>
      </c>
      <c r="C1" s="484" t="s">
        <v>699</v>
      </c>
      <c r="D1" s="483" t="s">
        <v>698</v>
      </c>
      <c r="G1" s="482"/>
      <c r="H1" s="482"/>
      <c r="I1" s="482"/>
      <c r="J1" s="482"/>
      <c r="K1" s="482"/>
      <c r="L1" s="482"/>
      <c r="M1" s="482"/>
    </row>
    <row r="2" spans="1:13">
      <c r="A2" s="481" t="s">
        <v>697</v>
      </c>
      <c r="B2" s="480" t="s">
        <v>696</v>
      </c>
      <c r="C2" s="479" t="s">
        <v>595</v>
      </c>
      <c r="D2" s="478">
        <v>1.83</v>
      </c>
      <c r="G2" s="474"/>
      <c r="H2" s="474"/>
      <c r="I2" s="474"/>
      <c r="J2" s="476"/>
      <c r="K2" s="475"/>
      <c r="L2" s="475"/>
      <c r="M2" s="477"/>
    </row>
    <row r="3" spans="1:13">
      <c r="A3" s="469" t="s">
        <v>695</v>
      </c>
      <c r="B3" s="462" t="s">
        <v>695</v>
      </c>
      <c r="C3" s="463" t="s">
        <v>595</v>
      </c>
      <c r="D3" s="468">
        <v>5.79</v>
      </c>
      <c r="G3" s="474"/>
      <c r="H3" s="474"/>
      <c r="I3" s="474"/>
      <c r="J3" s="476"/>
      <c r="K3" s="475"/>
      <c r="L3" s="475"/>
      <c r="M3" s="477"/>
    </row>
    <row r="4" spans="1:13">
      <c r="A4" s="469" t="s">
        <v>694</v>
      </c>
      <c r="B4" s="462" t="s">
        <v>693</v>
      </c>
      <c r="C4" s="463" t="s">
        <v>595</v>
      </c>
      <c r="D4" s="468">
        <v>28.81</v>
      </c>
      <c r="G4" s="474"/>
      <c r="H4" s="474"/>
      <c r="I4" s="474"/>
      <c r="J4" s="476"/>
      <c r="K4" s="475"/>
      <c r="L4" s="475"/>
      <c r="M4" s="477"/>
    </row>
    <row r="5" spans="1:13">
      <c r="A5" s="469" t="s">
        <v>692</v>
      </c>
      <c r="B5" s="462" t="s">
        <v>691</v>
      </c>
      <c r="C5" s="463" t="s">
        <v>595</v>
      </c>
      <c r="D5" s="468">
        <v>3.35</v>
      </c>
      <c r="G5" s="474"/>
      <c r="H5" s="474"/>
      <c r="I5" s="474"/>
      <c r="J5" s="476"/>
      <c r="K5" s="475"/>
      <c r="L5" s="475"/>
      <c r="M5" s="477"/>
    </row>
    <row r="6" spans="1:13">
      <c r="A6" s="469" t="s">
        <v>690</v>
      </c>
      <c r="B6" s="462" t="s">
        <v>689</v>
      </c>
      <c r="C6" s="463" t="s">
        <v>645</v>
      </c>
      <c r="D6" s="468">
        <v>35.83</v>
      </c>
      <c r="G6" s="474"/>
      <c r="H6" s="474"/>
      <c r="I6" s="474"/>
      <c r="J6" s="476"/>
      <c r="K6" s="475"/>
      <c r="L6" s="475"/>
      <c r="M6" s="477"/>
    </row>
    <row r="7" spans="1:13">
      <c r="A7" s="469" t="s">
        <v>688</v>
      </c>
      <c r="B7" s="462" t="s">
        <v>687</v>
      </c>
      <c r="C7" s="463" t="s">
        <v>645</v>
      </c>
      <c r="D7" s="468">
        <v>37.5</v>
      </c>
      <c r="G7" s="474"/>
      <c r="H7" s="474"/>
      <c r="I7" s="474"/>
      <c r="J7" s="476"/>
      <c r="K7" s="475"/>
      <c r="L7" s="475"/>
      <c r="M7" s="477"/>
    </row>
    <row r="8" spans="1:13">
      <c r="A8" s="469" t="s">
        <v>686</v>
      </c>
      <c r="B8" s="462" t="s">
        <v>685</v>
      </c>
      <c r="C8" s="463" t="s">
        <v>645</v>
      </c>
      <c r="D8" s="468">
        <v>30.18</v>
      </c>
      <c r="G8" s="474"/>
      <c r="H8" s="474"/>
      <c r="I8" s="474"/>
      <c r="J8" s="476"/>
      <c r="K8" s="475"/>
      <c r="L8" s="475"/>
      <c r="M8" s="477"/>
    </row>
    <row r="9" spans="1:13">
      <c r="A9" s="469" t="s">
        <v>684</v>
      </c>
      <c r="B9" s="462" t="s">
        <v>683</v>
      </c>
      <c r="C9" s="463" t="s">
        <v>645</v>
      </c>
      <c r="D9" s="468">
        <v>50.16</v>
      </c>
      <c r="G9" s="474"/>
      <c r="H9" s="474"/>
      <c r="I9" s="474"/>
      <c r="J9" s="476"/>
      <c r="K9" s="475"/>
      <c r="L9" s="475"/>
      <c r="M9" s="477"/>
    </row>
    <row r="10" spans="1:13">
      <c r="A10" s="469" t="s">
        <v>682</v>
      </c>
      <c r="B10" s="462" t="s">
        <v>681</v>
      </c>
      <c r="C10" s="463" t="s">
        <v>645</v>
      </c>
      <c r="D10" s="468">
        <v>49.55</v>
      </c>
      <c r="G10" s="474"/>
      <c r="H10" s="474"/>
      <c r="I10" s="474"/>
      <c r="J10" s="476"/>
      <c r="K10" s="475"/>
      <c r="L10" s="475"/>
      <c r="M10" s="474"/>
    </row>
    <row r="11" spans="1:13">
      <c r="A11" s="469" t="s">
        <v>680</v>
      </c>
      <c r="B11" s="462" t="s">
        <v>679</v>
      </c>
      <c r="C11" s="463" t="s">
        <v>645</v>
      </c>
      <c r="D11" s="468">
        <v>26.68</v>
      </c>
      <c r="G11" s="473"/>
      <c r="H11" s="473"/>
      <c r="I11" s="473"/>
      <c r="J11" s="473"/>
      <c r="K11" s="473"/>
      <c r="L11" s="472"/>
      <c r="M11" s="471"/>
    </row>
    <row r="12" spans="1:13">
      <c r="A12" s="469" t="s">
        <v>678</v>
      </c>
      <c r="B12" s="462" t="s">
        <v>677</v>
      </c>
      <c r="C12" s="463" t="s">
        <v>595</v>
      </c>
      <c r="D12" s="468">
        <v>3.66</v>
      </c>
    </row>
    <row r="13" spans="1:13">
      <c r="A13" s="469" t="s">
        <v>676</v>
      </c>
      <c r="B13" s="462" t="s">
        <v>675</v>
      </c>
      <c r="C13" s="463" t="s">
        <v>595</v>
      </c>
      <c r="D13" s="468">
        <v>1.37</v>
      </c>
    </row>
    <row r="14" spans="1:13">
      <c r="A14" s="469" t="s">
        <v>674</v>
      </c>
      <c r="B14" s="462" t="s">
        <v>673</v>
      </c>
      <c r="C14" s="463" t="s">
        <v>595</v>
      </c>
      <c r="D14" s="468">
        <v>6.4</v>
      </c>
    </row>
    <row r="15" spans="1:13">
      <c r="A15" s="469" t="s">
        <v>672</v>
      </c>
      <c r="B15" s="462" t="s">
        <v>671</v>
      </c>
      <c r="C15" s="463" t="s">
        <v>595</v>
      </c>
      <c r="D15" s="468">
        <v>8.3800000000000008</v>
      </c>
    </row>
    <row r="16" spans="1:13">
      <c r="A16" s="469" t="s">
        <v>670</v>
      </c>
      <c r="B16" s="462" t="s">
        <v>669</v>
      </c>
      <c r="C16" s="463" t="s">
        <v>595</v>
      </c>
      <c r="D16" s="468">
        <v>9.4499999999999993</v>
      </c>
    </row>
    <row r="17" spans="1:4">
      <c r="A17" s="469" t="s">
        <v>668</v>
      </c>
      <c r="B17" s="462" t="s">
        <v>667</v>
      </c>
      <c r="C17" s="463" t="s">
        <v>595</v>
      </c>
      <c r="D17" s="468">
        <v>1.22</v>
      </c>
    </row>
    <row r="18" spans="1:4">
      <c r="A18" s="469" t="s">
        <v>666</v>
      </c>
      <c r="B18" s="462" t="s">
        <v>665</v>
      </c>
      <c r="C18" s="463" t="s">
        <v>595</v>
      </c>
      <c r="D18" s="468">
        <v>2.44</v>
      </c>
    </row>
    <row r="19" spans="1:4">
      <c r="A19" s="469" t="s">
        <v>664</v>
      </c>
      <c r="B19" s="462" t="s">
        <v>663</v>
      </c>
      <c r="C19" s="463" t="s">
        <v>595</v>
      </c>
      <c r="D19" s="468">
        <v>5.49</v>
      </c>
    </row>
    <row r="20" spans="1:4">
      <c r="A20" s="469" t="s">
        <v>662</v>
      </c>
      <c r="B20" s="462" t="s">
        <v>661</v>
      </c>
      <c r="C20" s="463" t="s">
        <v>595</v>
      </c>
      <c r="D20" s="468">
        <v>8.99</v>
      </c>
    </row>
    <row r="21" spans="1:4">
      <c r="A21" s="469" t="s">
        <v>660</v>
      </c>
      <c r="B21" s="462" t="s">
        <v>659</v>
      </c>
      <c r="C21" s="463" t="s">
        <v>595</v>
      </c>
      <c r="D21" s="468">
        <v>11.28</v>
      </c>
    </row>
    <row r="22" spans="1:4">
      <c r="A22" s="469" t="s">
        <v>658</v>
      </c>
      <c r="B22" s="462" t="s">
        <v>657</v>
      </c>
      <c r="C22" s="463" t="s">
        <v>645</v>
      </c>
      <c r="D22" s="468">
        <v>4.88</v>
      </c>
    </row>
    <row r="23" spans="1:4">
      <c r="A23" s="469" t="s">
        <v>656</v>
      </c>
      <c r="B23" s="462" t="s">
        <v>655</v>
      </c>
      <c r="C23" s="463" t="s">
        <v>595</v>
      </c>
      <c r="D23" s="468">
        <v>1.37</v>
      </c>
    </row>
    <row r="24" spans="1:4">
      <c r="A24" s="469" t="s">
        <v>654</v>
      </c>
      <c r="B24" s="462" t="s">
        <v>653</v>
      </c>
      <c r="C24" s="463" t="s">
        <v>595</v>
      </c>
      <c r="D24" s="468">
        <v>2.9</v>
      </c>
    </row>
    <row r="25" spans="1:4">
      <c r="A25" s="469" t="s">
        <v>652</v>
      </c>
      <c r="B25" s="462" t="s">
        <v>651</v>
      </c>
      <c r="C25" s="463" t="s">
        <v>595</v>
      </c>
      <c r="D25" s="468">
        <v>10.98</v>
      </c>
    </row>
    <row r="26" spans="1:4">
      <c r="A26" s="469" t="s">
        <v>650</v>
      </c>
      <c r="B26" s="462" t="s">
        <v>649</v>
      </c>
      <c r="C26" s="463" t="s">
        <v>595</v>
      </c>
      <c r="D26" s="468">
        <v>0.76</v>
      </c>
    </row>
    <row r="27" spans="1:4">
      <c r="A27" s="469" t="s">
        <v>648</v>
      </c>
      <c r="B27" s="462" t="s">
        <v>647</v>
      </c>
      <c r="C27" s="463" t="s">
        <v>595</v>
      </c>
      <c r="D27" s="468">
        <v>1.07</v>
      </c>
    </row>
    <row r="28" spans="1:4">
      <c r="A28" s="469" t="s">
        <v>646</v>
      </c>
      <c r="B28" s="462" t="s">
        <v>646</v>
      </c>
      <c r="C28" s="463" t="s">
        <v>645</v>
      </c>
      <c r="D28" s="468">
        <v>0.69</v>
      </c>
    </row>
    <row r="29" spans="1:4">
      <c r="A29" s="469" t="s">
        <v>644</v>
      </c>
      <c r="B29" s="470" t="s">
        <v>643</v>
      </c>
      <c r="C29" s="463" t="s">
        <v>595</v>
      </c>
      <c r="D29" s="468">
        <v>2.74</v>
      </c>
    </row>
    <row r="30" spans="1:4">
      <c r="A30" s="469" t="s">
        <v>642</v>
      </c>
      <c r="B30" s="462" t="s">
        <v>641</v>
      </c>
      <c r="C30" s="463" t="s">
        <v>595</v>
      </c>
      <c r="D30" s="468">
        <v>4.2699999999999996</v>
      </c>
    </row>
    <row r="31" spans="1:4">
      <c r="A31" s="469" t="s">
        <v>640</v>
      </c>
      <c r="B31" s="462" t="s">
        <v>639</v>
      </c>
      <c r="C31" s="463" t="s">
        <v>595</v>
      </c>
      <c r="D31" s="468">
        <v>65.86</v>
      </c>
    </row>
    <row r="32" spans="1:4">
      <c r="A32" s="469" t="s">
        <v>638</v>
      </c>
      <c r="B32" s="462" t="s">
        <v>637</v>
      </c>
      <c r="C32" s="463" t="s">
        <v>595</v>
      </c>
      <c r="D32" s="468">
        <v>23.48</v>
      </c>
    </row>
    <row r="33" spans="1:4">
      <c r="A33" s="469" t="s">
        <v>636</v>
      </c>
      <c r="B33" s="462" t="s">
        <v>636</v>
      </c>
      <c r="C33" s="463" t="s">
        <v>595</v>
      </c>
      <c r="D33" s="468">
        <v>9.4499999999999993</v>
      </c>
    </row>
    <row r="34" spans="1:4">
      <c r="A34" s="469" t="s">
        <v>635</v>
      </c>
      <c r="B34" s="462" t="s">
        <v>634</v>
      </c>
      <c r="C34" s="463" t="s">
        <v>595</v>
      </c>
      <c r="D34" s="468">
        <v>2.9</v>
      </c>
    </row>
    <row r="35" spans="1:4">
      <c r="A35" s="469" t="s">
        <v>633</v>
      </c>
      <c r="B35" s="462" t="s">
        <v>632</v>
      </c>
      <c r="C35" s="463" t="s">
        <v>595</v>
      </c>
      <c r="D35" s="468">
        <v>19.670000000000002</v>
      </c>
    </row>
    <row r="36" spans="1:4">
      <c r="A36" s="469" t="s">
        <v>631</v>
      </c>
      <c r="B36" s="462" t="s">
        <v>630</v>
      </c>
      <c r="C36" s="463" t="s">
        <v>595</v>
      </c>
      <c r="D36" s="468">
        <v>1.68</v>
      </c>
    </row>
    <row r="37" spans="1:4">
      <c r="A37" s="469" t="s">
        <v>629</v>
      </c>
      <c r="B37" s="462" t="s">
        <v>628</v>
      </c>
      <c r="C37" s="463" t="s">
        <v>595</v>
      </c>
      <c r="D37" s="468">
        <v>2.13</v>
      </c>
    </row>
    <row r="38" spans="1:4">
      <c r="A38" s="469" t="s">
        <v>627</v>
      </c>
      <c r="B38" s="462" t="s">
        <v>626</v>
      </c>
      <c r="C38" s="463" t="s">
        <v>595</v>
      </c>
      <c r="D38" s="468">
        <v>14.94</v>
      </c>
    </row>
    <row r="39" spans="1:4">
      <c r="A39" s="469" t="s">
        <v>625</v>
      </c>
      <c r="B39" s="462" t="s">
        <v>624</v>
      </c>
      <c r="C39" s="463" t="s">
        <v>595</v>
      </c>
      <c r="D39" s="468">
        <v>14.79</v>
      </c>
    </row>
    <row r="40" spans="1:4">
      <c r="A40" s="469" t="s">
        <v>623</v>
      </c>
      <c r="B40" s="462" t="s">
        <v>622</v>
      </c>
      <c r="C40" s="463" t="s">
        <v>595</v>
      </c>
      <c r="D40" s="468">
        <v>0.91</v>
      </c>
    </row>
    <row r="41" spans="1:4">
      <c r="A41" s="469" t="s">
        <v>621</v>
      </c>
      <c r="B41" s="462" t="s">
        <v>620</v>
      </c>
      <c r="C41" s="463" t="s">
        <v>595</v>
      </c>
      <c r="D41" s="468">
        <v>0.61</v>
      </c>
    </row>
    <row r="42" spans="1:4">
      <c r="A42" s="469" t="s">
        <v>619</v>
      </c>
      <c r="B42" s="462" t="s">
        <v>618</v>
      </c>
      <c r="C42" s="463" t="s">
        <v>595</v>
      </c>
      <c r="D42" s="468">
        <v>4.12</v>
      </c>
    </row>
    <row r="43" spans="1:4">
      <c r="A43" s="469" t="s">
        <v>617</v>
      </c>
      <c r="B43" s="462" t="s">
        <v>617</v>
      </c>
      <c r="C43" s="463" t="s">
        <v>595</v>
      </c>
      <c r="D43" s="468">
        <v>1.37</v>
      </c>
    </row>
    <row r="44" spans="1:4">
      <c r="A44" s="469" t="s">
        <v>616</v>
      </c>
      <c r="B44" s="462" t="s">
        <v>615</v>
      </c>
      <c r="C44" s="463" t="s">
        <v>595</v>
      </c>
      <c r="D44" s="468">
        <v>13.26</v>
      </c>
    </row>
    <row r="45" spans="1:4">
      <c r="A45" s="469" t="s">
        <v>614</v>
      </c>
      <c r="B45" s="462" t="s">
        <v>613</v>
      </c>
      <c r="C45" s="463" t="s">
        <v>595</v>
      </c>
      <c r="D45" s="468">
        <v>8.5399999999999991</v>
      </c>
    </row>
    <row r="46" spans="1:4">
      <c r="A46" s="469" t="s">
        <v>612</v>
      </c>
      <c r="B46" s="462" t="s">
        <v>611</v>
      </c>
      <c r="C46" s="463" t="s">
        <v>595</v>
      </c>
      <c r="D46" s="468">
        <v>4.42</v>
      </c>
    </row>
    <row r="47" spans="1:4">
      <c r="A47" s="469" t="s">
        <v>610</v>
      </c>
      <c r="B47" s="462" t="s">
        <v>609</v>
      </c>
      <c r="C47" s="463" t="s">
        <v>595</v>
      </c>
      <c r="D47" s="468">
        <v>6.86</v>
      </c>
    </row>
    <row r="48" spans="1:4">
      <c r="A48" s="469" t="s">
        <v>608</v>
      </c>
      <c r="B48" s="470" t="s">
        <v>607</v>
      </c>
      <c r="C48" s="463" t="s">
        <v>595</v>
      </c>
      <c r="D48" s="468">
        <v>2.9</v>
      </c>
    </row>
    <row r="49" spans="1:4">
      <c r="A49" s="469" t="s">
        <v>606</v>
      </c>
      <c r="B49" s="462" t="s">
        <v>606</v>
      </c>
      <c r="C49" s="463" t="s">
        <v>595</v>
      </c>
      <c r="D49" s="468">
        <v>1.83</v>
      </c>
    </row>
    <row r="50" spans="1:4">
      <c r="A50" s="469" t="s">
        <v>605</v>
      </c>
      <c r="B50" s="462" t="s">
        <v>604</v>
      </c>
      <c r="C50" s="463" t="s">
        <v>595</v>
      </c>
      <c r="D50" s="468">
        <v>0.91</v>
      </c>
    </row>
    <row r="51" spans="1:4">
      <c r="A51" s="469" t="s">
        <v>603</v>
      </c>
      <c r="B51" s="462" t="s">
        <v>602</v>
      </c>
      <c r="C51" s="463" t="s">
        <v>595</v>
      </c>
      <c r="D51" s="468">
        <v>1.68</v>
      </c>
    </row>
    <row r="52" spans="1:4">
      <c r="A52" s="469" t="s">
        <v>601</v>
      </c>
      <c r="B52" s="462" t="s">
        <v>601</v>
      </c>
      <c r="C52" s="463" t="s">
        <v>595</v>
      </c>
      <c r="D52" s="468">
        <v>29.73</v>
      </c>
    </row>
    <row r="53" spans="1:4">
      <c r="A53" s="469" t="s">
        <v>600</v>
      </c>
      <c r="B53" s="462" t="s">
        <v>599</v>
      </c>
      <c r="C53" s="463" t="s">
        <v>595</v>
      </c>
      <c r="D53" s="468">
        <v>1.37</v>
      </c>
    </row>
    <row r="54" spans="1:4">
      <c r="A54" s="469" t="s">
        <v>598</v>
      </c>
      <c r="B54" s="462" t="s">
        <v>597</v>
      </c>
      <c r="C54" s="463" t="s">
        <v>595</v>
      </c>
      <c r="D54" s="468">
        <v>396.37</v>
      </c>
    </row>
    <row r="55" spans="1:4" ht="16.2" thickBot="1">
      <c r="A55" s="467" t="s">
        <v>596</v>
      </c>
      <c r="B55" s="466" t="s">
        <v>596</v>
      </c>
      <c r="C55" s="465" t="s">
        <v>595</v>
      </c>
      <c r="D55" s="464">
        <v>9.76</v>
      </c>
    </row>
  </sheetData>
  <printOptions gridLines="1" gridLinesSet="0"/>
  <pageMargins left="0.78740157499999996" right="0.78740157499999996" top="0.984251969" bottom="0.984251969" header="0.4921259845" footer="0.4921259845"/>
  <pageSetup paperSize="9" orientation="portrait" horizontalDpi="4294967292" verticalDpi="300" r:id="rId1"/>
  <headerFooter alignWithMargins="0">
    <oddHeader>&amp;A</oddHeader>
    <oddFooter>Page &amp;P</oddFooter>
  </headerFooter>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BAD6534-F130-4129-B054-C978B387CC9D}">
  <dimension ref="A1:T19"/>
  <sheetViews>
    <sheetView showZeros="0" workbookViewId="0">
      <selection activeCell="D28" sqref="D28"/>
    </sheetView>
  </sheetViews>
  <sheetFormatPr baseColWidth="10" defaultColWidth="11.44140625" defaultRowHeight="13.8"/>
  <cols>
    <col min="1" max="1" width="10.5546875" style="486" customWidth="1"/>
    <col min="2" max="2" width="16.44140625" style="486" bestFit="1" customWidth="1"/>
    <col min="3" max="3" width="12.5546875" style="486" customWidth="1"/>
    <col min="4" max="4" width="9.6640625" style="486" customWidth="1"/>
    <col min="5" max="5" width="12.77734375" style="486" customWidth="1"/>
    <col min="6" max="6" width="12.109375" style="486" customWidth="1"/>
    <col min="7" max="7" width="10.88671875" style="486" bestFit="1" customWidth="1"/>
    <col min="8" max="8" width="11.6640625" style="486" customWidth="1"/>
    <col min="9" max="9" width="8.88671875" style="486" customWidth="1"/>
    <col min="10" max="12" width="10.6640625" style="486" customWidth="1"/>
    <col min="13" max="77" width="5.88671875" style="486" customWidth="1"/>
    <col min="78" max="255" width="11.44140625" style="486"/>
    <col min="256" max="256" width="10.5546875" style="486" customWidth="1"/>
    <col min="257" max="257" width="16.44140625" style="486" bestFit="1" customWidth="1"/>
    <col min="258" max="258" width="10.33203125" style="486" bestFit="1" customWidth="1"/>
    <col min="259" max="259" width="4.44140625" style="486" customWidth="1"/>
    <col min="260" max="260" width="10.109375" style="486" customWidth="1"/>
    <col min="261" max="261" width="9.88671875" style="486" bestFit="1" customWidth="1"/>
    <col min="262" max="262" width="8.109375" style="486" customWidth="1"/>
    <col min="263" max="263" width="11.6640625" style="486" customWidth="1"/>
    <col min="264" max="264" width="8.88671875" style="486" customWidth="1"/>
    <col min="265" max="268" width="10.6640625" style="486" customWidth="1"/>
    <col min="269" max="333" width="5.88671875" style="486" customWidth="1"/>
    <col min="334" max="511" width="11.44140625" style="486"/>
    <col min="512" max="512" width="10.5546875" style="486" customWidth="1"/>
    <col min="513" max="513" width="16.44140625" style="486" bestFit="1" customWidth="1"/>
    <col min="514" max="514" width="10.33203125" style="486" bestFit="1" customWidth="1"/>
    <col min="515" max="515" width="4.44140625" style="486" customWidth="1"/>
    <col min="516" max="516" width="10.109375" style="486" customWidth="1"/>
    <col min="517" max="517" width="9.88671875" style="486" bestFit="1" customWidth="1"/>
    <col min="518" max="518" width="8.109375" style="486" customWidth="1"/>
    <col min="519" max="519" width="11.6640625" style="486" customWidth="1"/>
    <col min="520" max="520" width="8.88671875" style="486" customWidth="1"/>
    <col min="521" max="524" width="10.6640625" style="486" customWidth="1"/>
    <col min="525" max="589" width="5.88671875" style="486" customWidth="1"/>
    <col min="590" max="767" width="11.44140625" style="486"/>
    <col min="768" max="768" width="10.5546875" style="486" customWidth="1"/>
    <col min="769" max="769" width="16.44140625" style="486" bestFit="1" customWidth="1"/>
    <col min="770" max="770" width="10.33203125" style="486" bestFit="1" customWidth="1"/>
    <col min="771" max="771" width="4.44140625" style="486" customWidth="1"/>
    <col min="772" max="772" width="10.109375" style="486" customWidth="1"/>
    <col min="773" max="773" width="9.88671875" style="486" bestFit="1" customWidth="1"/>
    <col min="774" max="774" width="8.109375" style="486" customWidth="1"/>
    <col min="775" max="775" width="11.6640625" style="486" customWidth="1"/>
    <col min="776" max="776" width="8.88671875" style="486" customWidth="1"/>
    <col min="777" max="780" width="10.6640625" style="486" customWidth="1"/>
    <col min="781" max="845" width="5.88671875" style="486" customWidth="1"/>
    <col min="846" max="1023" width="11.44140625" style="486"/>
    <col min="1024" max="1024" width="10.5546875" style="486" customWidth="1"/>
    <col min="1025" max="1025" width="16.44140625" style="486" bestFit="1" customWidth="1"/>
    <col min="1026" max="1026" width="10.33203125" style="486" bestFit="1" customWidth="1"/>
    <col min="1027" max="1027" width="4.44140625" style="486" customWidth="1"/>
    <col min="1028" max="1028" width="10.109375" style="486" customWidth="1"/>
    <col min="1029" max="1029" width="9.88671875" style="486" bestFit="1" customWidth="1"/>
    <col min="1030" max="1030" width="8.109375" style="486" customWidth="1"/>
    <col min="1031" max="1031" width="11.6640625" style="486" customWidth="1"/>
    <col min="1032" max="1032" width="8.88671875" style="486" customWidth="1"/>
    <col min="1033" max="1036" width="10.6640625" style="486" customWidth="1"/>
    <col min="1037" max="1101" width="5.88671875" style="486" customWidth="1"/>
    <col min="1102" max="1279" width="11.44140625" style="486"/>
    <col min="1280" max="1280" width="10.5546875" style="486" customWidth="1"/>
    <col min="1281" max="1281" width="16.44140625" style="486" bestFit="1" customWidth="1"/>
    <col min="1282" max="1282" width="10.33203125" style="486" bestFit="1" customWidth="1"/>
    <col min="1283" max="1283" width="4.44140625" style="486" customWidth="1"/>
    <col min="1284" max="1284" width="10.109375" style="486" customWidth="1"/>
    <col min="1285" max="1285" width="9.88671875" style="486" bestFit="1" customWidth="1"/>
    <col min="1286" max="1286" width="8.109375" style="486" customWidth="1"/>
    <col min="1287" max="1287" width="11.6640625" style="486" customWidth="1"/>
    <col min="1288" max="1288" width="8.88671875" style="486" customWidth="1"/>
    <col min="1289" max="1292" width="10.6640625" style="486" customWidth="1"/>
    <col min="1293" max="1357" width="5.88671875" style="486" customWidth="1"/>
    <col min="1358" max="1535" width="11.44140625" style="486"/>
    <col min="1536" max="1536" width="10.5546875" style="486" customWidth="1"/>
    <col min="1537" max="1537" width="16.44140625" style="486" bestFit="1" customWidth="1"/>
    <col min="1538" max="1538" width="10.33203125" style="486" bestFit="1" customWidth="1"/>
    <col min="1539" max="1539" width="4.44140625" style="486" customWidth="1"/>
    <col min="1540" max="1540" width="10.109375" style="486" customWidth="1"/>
    <col min="1541" max="1541" width="9.88671875" style="486" bestFit="1" customWidth="1"/>
    <col min="1542" max="1542" width="8.109375" style="486" customWidth="1"/>
    <col min="1543" max="1543" width="11.6640625" style="486" customWidth="1"/>
    <col min="1544" max="1544" width="8.88671875" style="486" customWidth="1"/>
    <col min="1545" max="1548" width="10.6640625" style="486" customWidth="1"/>
    <col min="1549" max="1613" width="5.88671875" style="486" customWidth="1"/>
    <col min="1614" max="1791" width="11.44140625" style="486"/>
    <col min="1792" max="1792" width="10.5546875" style="486" customWidth="1"/>
    <col min="1793" max="1793" width="16.44140625" style="486" bestFit="1" customWidth="1"/>
    <col min="1794" max="1794" width="10.33203125" style="486" bestFit="1" customWidth="1"/>
    <col min="1795" max="1795" width="4.44140625" style="486" customWidth="1"/>
    <col min="1796" max="1796" width="10.109375" style="486" customWidth="1"/>
    <col min="1797" max="1797" width="9.88671875" style="486" bestFit="1" customWidth="1"/>
    <col min="1798" max="1798" width="8.109375" style="486" customWidth="1"/>
    <col min="1799" max="1799" width="11.6640625" style="486" customWidth="1"/>
    <col min="1800" max="1800" width="8.88671875" style="486" customWidth="1"/>
    <col min="1801" max="1804" width="10.6640625" style="486" customWidth="1"/>
    <col min="1805" max="1869" width="5.88671875" style="486" customWidth="1"/>
    <col min="1870" max="2047" width="11.44140625" style="486"/>
    <col min="2048" max="2048" width="10.5546875" style="486" customWidth="1"/>
    <col min="2049" max="2049" width="16.44140625" style="486" bestFit="1" customWidth="1"/>
    <col min="2050" max="2050" width="10.33203125" style="486" bestFit="1" customWidth="1"/>
    <col min="2051" max="2051" width="4.44140625" style="486" customWidth="1"/>
    <col min="2052" max="2052" width="10.109375" style="486" customWidth="1"/>
    <col min="2053" max="2053" width="9.88671875" style="486" bestFit="1" customWidth="1"/>
    <col min="2054" max="2054" width="8.109375" style="486" customWidth="1"/>
    <col min="2055" max="2055" width="11.6640625" style="486" customWidth="1"/>
    <col min="2056" max="2056" width="8.88671875" style="486" customWidth="1"/>
    <col min="2057" max="2060" width="10.6640625" style="486" customWidth="1"/>
    <col min="2061" max="2125" width="5.88671875" style="486" customWidth="1"/>
    <col min="2126" max="2303" width="11.44140625" style="486"/>
    <col min="2304" max="2304" width="10.5546875" style="486" customWidth="1"/>
    <col min="2305" max="2305" width="16.44140625" style="486" bestFit="1" customWidth="1"/>
    <col min="2306" max="2306" width="10.33203125" style="486" bestFit="1" customWidth="1"/>
    <col min="2307" max="2307" width="4.44140625" style="486" customWidth="1"/>
    <col min="2308" max="2308" width="10.109375" style="486" customWidth="1"/>
    <col min="2309" max="2309" width="9.88671875" style="486" bestFit="1" customWidth="1"/>
    <col min="2310" max="2310" width="8.109375" style="486" customWidth="1"/>
    <col min="2311" max="2311" width="11.6640625" style="486" customWidth="1"/>
    <col min="2312" max="2312" width="8.88671875" style="486" customWidth="1"/>
    <col min="2313" max="2316" width="10.6640625" style="486" customWidth="1"/>
    <col min="2317" max="2381" width="5.88671875" style="486" customWidth="1"/>
    <col min="2382" max="2559" width="11.44140625" style="486"/>
    <col min="2560" max="2560" width="10.5546875" style="486" customWidth="1"/>
    <col min="2561" max="2561" width="16.44140625" style="486" bestFit="1" customWidth="1"/>
    <col min="2562" max="2562" width="10.33203125" style="486" bestFit="1" customWidth="1"/>
    <col min="2563" max="2563" width="4.44140625" style="486" customWidth="1"/>
    <col min="2564" max="2564" width="10.109375" style="486" customWidth="1"/>
    <col min="2565" max="2565" width="9.88671875" style="486" bestFit="1" customWidth="1"/>
    <col min="2566" max="2566" width="8.109375" style="486" customWidth="1"/>
    <col min="2567" max="2567" width="11.6640625" style="486" customWidth="1"/>
    <col min="2568" max="2568" width="8.88671875" style="486" customWidth="1"/>
    <col min="2569" max="2572" width="10.6640625" style="486" customWidth="1"/>
    <col min="2573" max="2637" width="5.88671875" style="486" customWidth="1"/>
    <col min="2638" max="2815" width="11.44140625" style="486"/>
    <col min="2816" max="2816" width="10.5546875" style="486" customWidth="1"/>
    <col min="2817" max="2817" width="16.44140625" style="486" bestFit="1" customWidth="1"/>
    <col min="2818" max="2818" width="10.33203125" style="486" bestFit="1" customWidth="1"/>
    <col min="2819" max="2819" width="4.44140625" style="486" customWidth="1"/>
    <col min="2820" max="2820" width="10.109375" style="486" customWidth="1"/>
    <col min="2821" max="2821" width="9.88671875" style="486" bestFit="1" customWidth="1"/>
    <col min="2822" max="2822" width="8.109375" style="486" customWidth="1"/>
    <col min="2823" max="2823" width="11.6640625" style="486" customWidth="1"/>
    <col min="2824" max="2824" width="8.88671875" style="486" customWidth="1"/>
    <col min="2825" max="2828" width="10.6640625" style="486" customWidth="1"/>
    <col min="2829" max="2893" width="5.88671875" style="486" customWidth="1"/>
    <col min="2894" max="3071" width="11.44140625" style="486"/>
    <col min="3072" max="3072" width="10.5546875" style="486" customWidth="1"/>
    <col min="3073" max="3073" width="16.44140625" style="486" bestFit="1" customWidth="1"/>
    <col min="3074" max="3074" width="10.33203125" style="486" bestFit="1" customWidth="1"/>
    <col min="3075" max="3075" width="4.44140625" style="486" customWidth="1"/>
    <col min="3076" max="3076" width="10.109375" style="486" customWidth="1"/>
    <col min="3077" max="3077" width="9.88671875" style="486" bestFit="1" customWidth="1"/>
    <col min="3078" max="3078" width="8.109375" style="486" customWidth="1"/>
    <col min="3079" max="3079" width="11.6640625" style="486" customWidth="1"/>
    <col min="3080" max="3080" width="8.88671875" style="486" customWidth="1"/>
    <col min="3081" max="3084" width="10.6640625" style="486" customWidth="1"/>
    <col min="3085" max="3149" width="5.88671875" style="486" customWidth="1"/>
    <col min="3150" max="3327" width="11.44140625" style="486"/>
    <col min="3328" max="3328" width="10.5546875" style="486" customWidth="1"/>
    <col min="3329" max="3329" width="16.44140625" style="486" bestFit="1" customWidth="1"/>
    <col min="3330" max="3330" width="10.33203125" style="486" bestFit="1" customWidth="1"/>
    <col min="3331" max="3331" width="4.44140625" style="486" customWidth="1"/>
    <col min="3332" max="3332" width="10.109375" style="486" customWidth="1"/>
    <col min="3333" max="3333" width="9.88671875" style="486" bestFit="1" customWidth="1"/>
    <col min="3334" max="3334" width="8.109375" style="486" customWidth="1"/>
    <col min="3335" max="3335" width="11.6640625" style="486" customWidth="1"/>
    <col min="3336" max="3336" width="8.88671875" style="486" customWidth="1"/>
    <col min="3337" max="3340" width="10.6640625" style="486" customWidth="1"/>
    <col min="3341" max="3405" width="5.88671875" style="486" customWidth="1"/>
    <col min="3406" max="3583" width="11.44140625" style="486"/>
    <col min="3584" max="3584" width="10.5546875" style="486" customWidth="1"/>
    <col min="3585" max="3585" width="16.44140625" style="486" bestFit="1" customWidth="1"/>
    <col min="3586" max="3586" width="10.33203125" style="486" bestFit="1" customWidth="1"/>
    <col min="3587" max="3587" width="4.44140625" style="486" customWidth="1"/>
    <col min="3588" max="3588" width="10.109375" style="486" customWidth="1"/>
    <col min="3589" max="3589" width="9.88671875" style="486" bestFit="1" customWidth="1"/>
    <col min="3590" max="3590" width="8.109375" style="486" customWidth="1"/>
    <col min="3591" max="3591" width="11.6640625" style="486" customWidth="1"/>
    <col min="3592" max="3592" width="8.88671875" style="486" customWidth="1"/>
    <col min="3593" max="3596" width="10.6640625" style="486" customWidth="1"/>
    <col min="3597" max="3661" width="5.88671875" style="486" customWidth="1"/>
    <col min="3662" max="3839" width="11.44140625" style="486"/>
    <col min="3840" max="3840" width="10.5546875" style="486" customWidth="1"/>
    <col min="3841" max="3841" width="16.44140625" style="486" bestFit="1" customWidth="1"/>
    <col min="3842" max="3842" width="10.33203125" style="486" bestFit="1" customWidth="1"/>
    <col min="3843" max="3843" width="4.44140625" style="486" customWidth="1"/>
    <col min="3844" max="3844" width="10.109375" style="486" customWidth="1"/>
    <col min="3845" max="3845" width="9.88671875" style="486" bestFit="1" customWidth="1"/>
    <col min="3846" max="3846" width="8.109375" style="486" customWidth="1"/>
    <col min="3847" max="3847" width="11.6640625" style="486" customWidth="1"/>
    <col min="3848" max="3848" width="8.88671875" style="486" customWidth="1"/>
    <col min="3849" max="3852" width="10.6640625" style="486" customWidth="1"/>
    <col min="3853" max="3917" width="5.88671875" style="486" customWidth="1"/>
    <col min="3918" max="4095" width="11.44140625" style="486"/>
    <col min="4096" max="4096" width="10.5546875" style="486" customWidth="1"/>
    <col min="4097" max="4097" width="16.44140625" style="486" bestFit="1" customWidth="1"/>
    <col min="4098" max="4098" width="10.33203125" style="486" bestFit="1" customWidth="1"/>
    <col min="4099" max="4099" width="4.44140625" style="486" customWidth="1"/>
    <col min="4100" max="4100" width="10.109375" style="486" customWidth="1"/>
    <col min="4101" max="4101" width="9.88671875" style="486" bestFit="1" customWidth="1"/>
    <col min="4102" max="4102" width="8.109375" style="486" customWidth="1"/>
    <col min="4103" max="4103" width="11.6640625" style="486" customWidth="1"/>
    <col min="4104" max="4104" width="8.88671875" style="486" customWidth="1"/>
    <col min="4105" max="4108" width="10.6640625" style="486" customWidth="1"/>
    <col min="4109" max="4173" width="5.88671875" style="486" customWidth="1"/>
    <col min="4174" max="4351" width="11.44140625" style="486"/>
    <col min="4352" max="4352" width="10.5546875" style="486" customWidth="1"/>
    <col min="4353" max="4353" width="16.44140625" style="486" bestFit="1" customWidth="1"/>
    <col min="4354" max="4354" width="10.33203125" style="486" bestFit="1" customWidth="1"/>
    <col min="4355" max="4355" width="4.44140625" style="486" customWidth="1"/>
    <col min="4356" max="4356" width="10.109375" style="486" customWidth="1"/>
    <col min="4357" max="4357" width="9.88671875" style="486" bestFit="1" customWidth="1"/>
    <col min="4358" max="4358" width="8.109375" style="486" customWidth="1"/>
    <col min="4359" max="4359" width="11.6640625" style="486" customWidth="1"/>
    <col min="4360" max="4360" width="8.88671875" style="486" customWidth="1"/>
    <col min="4361" max="4364" width="10.6640625" style="486" customWidth="1"/>
    <col min="4365" max="4429" width="5.88671875" style="486" customWidth="1"/>
    <col min="4430" max="4607" width="11.44140625" style="486"/>
    <col min="4608" max="4608" width="10.5546875" style="486" customWidth="1"/>
    <col min="4609" max="4609" width="16.44140625" style="486" bestFit="1" customWidth="1"/>
    <col min="4610" max="4610" width="10.33203125" style="486" bestFit="1" customWidth="1"/>
    <col min="4611" max="4611" width="4.44140625" style="486" customWidth="1"/>
    <col min="4612" max="4612" width="10.109375" style="486" customWidth="1"/>
    <col min="4613" max="4613" width="9.88671875" style="486" bestFit="1" customWidth="1"/>
    <col min="4614" max="4614" width="8.109375" style="486" customWidth="1"/>
    <col min="4615" max="4615" width="11.6640625" style="486" customWidth="1"/>
    <col min="4616" max="4616" width="8.88671875" style="486" customWidth="1"/>
    <col min="4617" max="4620" width="10.6640625" style="486" customWidth="1"/>
    <col min="4621" max="4685" width="5.88671875" style="486" customWidth="1"/>
    <col min="4686" max="4863" width="11.44140625" style="486"/>
    <col min="4864" max="4864" width="10.5546875" style="486" customWidth="1"/>
    <col min="4865" max="4865" width="16.44140625" style="486" bestFit="1" customWidth="1"/>
    <col min="4866" max="4866" width="10.33203125" style="486" bestFit="1" customWidth="1"/>
    <col min="4867" max="4867" width="4.44140625" style="486" customWidth="1"/>
    <col min="4868" max="4868" width="10.109375" style="486" customWidth="1"/>
    <col min="4869" max="4869" width="9.88671875" style="486" bestFit="1" customWidth="1"/>
    <col min="4870" max="4870" width="8.109375" style="486" customWidth="1"/>
    <col min="4871" max="4871" width="11.6640625" style="486" customWidth="1"/>
    <col min="4872" max="4872" width="8.88671875" style="486" customWidth="1"/>
    <col min="4873" max="4876" width="10.6640625" style="486" customWidth="1"/>
    <col min="4877" max="4941" width="5.88671875" style="486" customWidth="1"/>
    <col min="4942" max="5119" width="11.44140625" style="486"/>
    <col min="5120" max="5120" width="10.5546875" style="486" customWidth="1"/>
    <col min="5121" max="5121" width="16.44140625" style="486" bestFit="1" customWidth="1"/>
    <col min="5122" max="5122" width="10.33203125" style="486" bestFit="1" customWidth="1"/>
    <col min="5123" max="5123" width="4.44140625" style="486" customWidth="1"/>
    <col min="5124" max="5124" width="10.109375" style="486" customWidth="1"/>
    <col min="5125" max="5125" width="9.88671875" style="486" bestFit="1" customWidth="1"/>
    <col min="5126" max="5126" width="8.109375" style="486" customWidth="1"/>
    <col min="5127" max="5127" width="11.6640625" style="486" customWidth="1"/>
    <col min="5128" max="5128" width="8.88671875" style="486" customWidth="1"/>
    <col min="5129" max="5132" width="10.6640625" style="486" customWidth="1"/>
    <col min="5133" max="5197" width="5.88671875" style="486" customWidth="1"/>
    <col min="5198" max="5375" width="11.44140625" style="486"/>
    <col min="5376" max="5376" width="10.5546875" style="486" customWidth="1"/>
    <col min="5377" max="5377" width="16.44140625" style="486" bestFit="1" customWidth="1"/>
    <col min="5378" max="5378" width="10.33203125" style="486" bestFit="1" customWidth="1"/>
    <col min="5379" max="5379" width="4.44140625" style="486" customWidth="1"/>
    <col min="5380" max="5380" width="10.109375" style="486" customWidth="1"/>
    <col min="5381" max="5381" width="9.88671875" style="486" bestFit="1" customWidth="1"/>
    <col min="5382" max="5382" width="8.109375" style="486" customWidth="1"/>
    <col min="5383" max="5383" width="11.6640625" style="486" customWidth="1"/>
    <col min="5384" max="5384" width="8.88671875" style="486" customWidth="1"/>
    <col min="5385" max="5388" width="10.6640625" style="486" customWidth="1"/>
    <col min="5389" max="5453" width="5.88671875" style="486" customWidth="1"/>
    <col min="5454" max="5631" width="11.44140625" style="486"/>
    <col min="5632" max="5632" width="10.5546875" style="486" customWidth="1"/>
    <col min="5633" max="5633" width="16.44140625" style="486" bestFit="1" customWidth="1"/>
    <col min="5634" max="5634" width="10.33203125" style="486" bestFit="1" customWidth="1"/>
    <col min="5635" max="5635" width="4.44140625" style="486" customWidth="1"/>
    <col min="5636" max="5636" width="10.109375" style="486" customWidth="1"/>
    <col min="5637" max="5637" width="9.88671875" style="486" bestFit="1" customWidth="1"/>
    <col min="5638" max="5638" width="8.109375" style="486" customWidth="1"/>
    <col min="5639" max="5639" width="11.6640625" style="486" customWidth="1"/>
    <col min="5640" max="5640" width="8.88671875" style="486" customWidth="1"/>
    <col min="5641" max="5644" width="10.6640625" style="486" customWidth="1"/>
    <col min="5645" max="5709" width="5.88671875" style="486" customWidth="1"/>
    <col min="5710" max="5887" width="11.44140625" style="486"/>
    <col min="5888" max="5888" width="10.5546875" style="486" customWidth="1"/>
    <col min="5889" max="5889" width="16.44140625" style="486" bestFit="1" customWidth="1"/>
    <col min="5890" max="5890" width="10.33203125" style="486" bestFit="1" customWidth="1"/>
    <col min="5891" max="5891" width="4.44140625" style="486" customWidth="1"/>
    <col min="5892" max="5892" width="10.109375" style="486" customWidth="1"/>
    <col min="5893" max="5893" width="9.88671875" style="486" bestFit="1" customWidth="1"/>
    <col min="5894" max="5894" width="8.109375" style="486" customWidth="1"/>
    <col min="5895" max="5895" width="11.6640625" style="486" customWidth="1"/>
    <col min="5896" max="5896" width="8.88671875" style="486" customWidth="1"/>
    <col min="5897" max="5900" width="10.6640625" style="486" customWidth="1"/>
    <col min="5901" max="5965" width="5.88671875" style="486" customWidth="1"/>
    <col min="5966" max="6143" width="11.44140625" style="486"/>
    <col min="6144" max="6144" width="10.5546875" style="486" customWidth="1"/>
    <col min="6145" max="6145" width="16.44140625" style="486" bestFit="1" customWidth="1"/>
    <col min="6146" max="6146" width="10.33203125" style="486" bestFit="1" customWidth="1"/>
    <col min="6147" max="6147" width="4.44140625" style="486" customWidth="1"/>
    <col min="6148" max="6148" width="10.109375" style="486" customWidth="1"/>
    <col min="6149" max="6149" width="9.88671875" style="486" bestFit="1" customWidth="1"/>
    <col min="6150" max="6150" width="8.109375" style="486" customWidth="1"/>
    <col min="6151" max="6151" width="11.6640625" style="486" customWidth="1"/>
    <col min="6152" max="6152" width="8.88671875" style="486" customWidth="1"/>
    <col min="6153" max="6156" width="10.6640625" style="486" customWidth="1"/>
    <col min="6157" max="6221" width="5.88671875" style="486" customWidth="1"/>
    <col min="6222" max="6399" width="11.44140625" style="486"/>
    <col min="6400" max="6400" width="10.5546875" style="486" customWidth="1"/>
    <col min="6401" max="6401" width="16.44140625" style="486" bestFit="1" customWidth="1"/>
    <col min="6402" max="6402" width="10.33203125" style="486" bestFit="1" customWidth="1"/>
    <col min="6403" max="6403" width="4.44140625" style="486" customWidth="1"/>
    <col min="6404" max="6404" width="10.109375" style="486" customWidth="1"/>
    <col min="6405" max="6405" width="9.88671875" style="486" bestFit="1" customWidth="1"/>
    <col min="6406" max="6406" width="8.109375" style="486" customWidth="1"/>
    <col min="6407" max="6407" width="11.6640625" style="486" customWidth="1"/>
    <col min="6408" max="6408" width="8.88671875" style="486" customWidth="1"/>
    <col min="6409" max="6412" width="10.6640625" style="486" customWidth="1"/>
    <col min="6413" max="6477" width="5.88671875" style="486" customWidth="1"/>
    <col min="6478" max="6655" width="11.44140625" style="486"/>
    <col min="6656" max="6656" width="10.5546875" style="486" customWidth="1"/>
    <col min="6657" max="6657" width="16.44140625" style="486" bestFit="1" customWidth="1"/>
    <col min="6658" max="6658" width="10.33203125" style="486" bestFit="1" customWidth="1"/>
    <col min="6659" max="6659" width="4.44140625" style="486" customWidth="1"/>
    <col min="6660" max="6660" width="10.109375" style="486" customWidth="1"/>
    <col min="6661" max="6661" width="9.88671875" style="486" bestFit="1" customWidth="1"/>
    <col min="6662" max="6662" width="8.109375" style="486" customWidth="1"/>
    <col min="6663" max="6663" width="11.6640625" style="486" customWidth="1"/>
    <col min="6664" max="6664" width="8.88671875" style="486" customWidth="1"/>
    <col min="6665" max="6668" width="10.6640625" style="486" customWidth="1"/>
    <col min="6669" max="6733" width="5.88671875" style="486" customWidth="1"/>
    <col min="6734" max="6911" width="11.44140625" style="486"/>
    <col min="6912" max="6912" width="10.5546875" style="486" customWidth="1"/>
    <col min="6913" max="6913" width="16.44140625" style="486" bestFit="1" customWidth="1"/>
    <col min="6914" max="6914" width="10.33203125" style="486" bestFit="1" customWidth="1"/>
    <col min="6915" max="6915" width="4.44140625" style="486" customWidth="1"/>
    <col min="6916" max="6916" width="10.109375" style="486" customWidth="1"/>
    <col min="6917" max="6917" width="9.88671875" style="486" bestFit="1" customWidth="1"/>
    <col min="6918" max="6918" width="8.109375" style="486" customWidth="1"/>
    <col min="6919" max="6919" width="11.6640625" style="486" customWidth="1"/>
    <col min="6920" max="6920" width="8.88671875" style="486" customWidth="1"/>
    <col min="6921" max="6924" width="10.6640625" style="486" customWidth="1"/>
    <col min="6925" max="6989" width="5.88671875" style="486" customWidth="1"/>
    <col min="6990" max="7167" width="11.44140625" style="486"/>
    <col min="7168" max="7168" width="10.5546875" style="486" customWidth="1"/>
    <col min="7169" max="7169" width="16.44140625" style="486" bestFit="1" customWidth="1"/>
    <col min="7170" max="7170" width="10.33203125" style="486" bestFit="1" customWidth="1"/>
    <col min="7171" max="7171" width="4.44140625" style="486" customWidth="1"/>
    <col min="7172" max="7172" width="10.109375" style="486" customWidth="1"/>
    <col min="7173" max="7173" width="9.88671875" style="486" bestFit="1" customWidth="1"/>
    <col min="7174" max="7174" width="8.109375" style="486" customWidth="1"/>
    <col min="7175" max="7175" width="11.6640625" style="486" customWidth="1"/>
    <col min="7176" max="7176" width="8.88671875" style="486" customWidth="1"/>
    <col min="7177" max="7180" width="10.6640625" style="486" customWidth="1"/>
    <col min="7181" max="7245" width="5.88671875" style="486" customWidth="1"/>
    <col min="7246" max="7423" width="11.44140625" style="486"/>
    <col min="7424" max="7424" width="10.5546875" style="486" customWidth="1"/>
    <col min="7425" max="7425" width="16.44140625" style="486" bestFit="1" customWidth="1"/>
    <col min="7426" max="7426" width="10.33203125" style="486" bestFit="1" customWidth="1"/>
    <col min="7427" max="7427" width="4.44140625" style="486" customWidth="1"/>
    <col min="7428" max="7428" width="10.109375" style="486" customWidth="1"/>
    <col min="7429" max="7429" width="9.88671875" style="486" bestFit="1" customWidth="1"/>
    <col min="7430" max="7430" width="8.109375" style="486" customWidth="1"/>
    <col min="7431" max="7431" width="11.6640625" style="486" customWidth="1"/>
    <col min="7432" max="7432" width="8.88671875" style="486" customWidth="1"/>
    <col min="7433" max="7436" width="10.6640625" style="486" customWidth="1"/>
    <col min="7437" max="7501" width="5.88671875" style="486" customWidth="1"/>
    <col min="7502" max="7679" width="11.44140625" style="486"/>
    <col min="7680" max="7680" width="10.5546875" style="486" customWidth="1"/>
    <col min="7681" max="7681" width="16.44140625" style="486" bestFit="1" customWidth="1"/>
    <col min="7682" max="7682" width="10.33203125" style="486" bestFit="1" customWidth="1"/>
    <col min="7683" max="7683" width="4.44140625" style="486" customWidth="1"/>
    <col min="7684" max="7684" width="10.109375" style="486" customWidth="1"/>
    <col min="7685" max="7685" width="9.88671875" style="486" bestFit="1" customWidth="1"/>
    <col min="7686" max="7686" width="8.109375" style="486" customWidth="1"/>
    <col min="7687" max="7687" width="11.6640625" style="486" customWidth="1"/>
    <col min="7688" max="7688" width="8.88671875" style="486" customWidth="1"/>
    <col min="7689" max="7692" width="10.6640625" style="486" customWidth="1"/>
    <col min="7693" max="7757" width="5.88671875" style="486" customWidth="1"/>
    <col min="7758" max="7935" width="11.44140625" style="486"/>
    <col min="7936" max="7936" width="10.5546875" style="486" customWidth="1"/>
    <col min="7937" max="7937" width="16.44140625" style="486" bestFit="1" customWidth="1"/>
    <col min="7938" max="7938" width="10.33203125" style="486" bestFit="1" customWidth="1"/>
    <col min="7939" max="7939" width="4.44140625" style="486" customWidth="1"/>
    <col min="7940" max="7940" width="10.109375" style="486" customWidth="1"/>
    <col min="7941" max="7941" width="9.88671875" style="486" bestFit="1" customWidth="1"/>
    <col min="7942" max="7942" width="8.109375" style="486" customWidth="1"/>
    <col min="7943" max="7943" width="11.6640625" style="486" customWidth="1"/>
    <col min="7944" max="7944" width="8.88671875" style="486" customWidth="1"/>
    <col min="7945" max="7948" width="10.6640625" style="486" customWidth="1"/>
    <col min="7949" max="8013" width="5.88671875" style="486" customWidth="1"/>
    <col min="8014" max="8191" width="11.44140625" style="486"/>
    <col min="8192" max="8192" width="10.5546875" style="486" customWidth="1"/>
    <col min="8193" max="8193" width="16.44140625" style="486" bestFit="1" customWidth="1"/>
    <col min="8194" max="8194" width="10.33203125" style="486" bestFit="1" customWidth="1"/>
    <col min="8195" max="8195" width="4.44140625" style="486" customWidth="1"/>
    <col min="8196" max="8196" width="10.109375" style="486" customWidth="1"/>
    <col min="8197" max="8197" width="9.88671875" style="486" bestFit="1" customWidth="1"/>
    <col min="8198" max="8198" width="8.109375" style="486" customWidth="1"/>
    <col min="8199" max="8199" width="11.6640625" style="486" customWidth="1"/>
    <col min="8200" max="8200" width="8.88671875" style="486" customWidth="1"/>
    <col min="8201" max="8204" width="10.6640625" style="486" customWidth="1"/>
    <col min="8205" max="8269" width="5.88671875" style="486" customWidth="1"/>
    <col min="8270" max="8447" width="11.44140625" style="486"/>
    <col min="8448" max="8448" width="10.5546875" style="486" customWidth="1"/>
    <col min="8449" max="8449" width="16.44140625" style="486" bestFit="1" customWidth="1"/>
    <col min="8450" max="8450" width="10.33203125" style="486" bestFit="1" customWidth="1"/>
    <col min="8451" max="8451" width="4.44140625" style="486" customWidth="1"/>
    <col min="8452" max="8452" width="10.109375" style="486" customWidth="1"/>
    <col min="8453" max="8453" width="9.88671875" style="486" bestFit="1" customWidth="1"/>
    <col min="8454" max="8454" width="8.109375" style="486" customWidth="1"/>
    <col min="8455" max="8455" width="11.6640625" style="486" customWidth="1"/>
    <col min="8456" max="8456" width="8.88671875" style="486" customWidth="1"/>
    <col min="8457" max="8460" width="10.6640625" style="486" customWidth="1"/>
    <col min="8461" max="8525" width="5.88671875" style="486" customWidth="1"/>
    <col min="8526" max="8703" width="11.44140625" style="486"/>
    <col min="8704" max="8704" width="10.5546875" style="486" customWidth="1"/>
    <col min="8705" max="8705" width="16.44140625" style="486" bestFit="1" customWidth="1"/>
    <col min="8706" max="8706" width="10.33203125" style="486" bestFit="1" customWidth="1"/>
    <col min="8707" max="8707" width="4.44140625" style="486" customWidth="1"/>
    <col min="8708" max="8708" width="10.109375" style="486" customWidth="1"/>
    <col min="8709" max="8709" width="9.88671875" style="486" bestFit="1" customWidth="1"/>
    <col min="8710" max="8710" width="8.109375" style="486" customWidth="1"/>
    <col min="8711" max="8711" width="11.6640625" style="486" customWidth="1"/>
    <col min="8712" max="8712" width="8.88671875" style="486" customWidth="1"/>
    <col min="8713" max="8716" width="10.6640625" style="486" customWidth="1"/>
    <col min="8717" max="8781" width="5.88671875" style="486" customWidth="1"/>
    <col min="8782" max="8959" width="11.44140625" style="486"/>
    <col min="8960" max="8960" width="10.5546875" style="486" customWidth="1"/>
    <col min="8961" max="8961" width="16.44140625" style="486" bestFit="1" customWidth="1"/>
    <col min="8962" max="8962" width="10.33203125" style="486" bestFit="1" customWidth="1"/>
    <col min="8963" max="8963" width="4.44140625" style="486" customWidth="1"/>
    <col min="8964" max="8964" width="10.109375" style="486" customWidth="1"/>
    <col min="8965" max="8965" width="9.88671875" style="486" bestFit="1" customWidth="1"/>
    <col min="8966" max="8966" width="8.109375" style="486" customWidth="1"/>
    <col min="8967" max="8967" width="11.6640625" style="486" customWidth="1"/>
    <col min="8968" max="8968" width="8.88671875" style="486" customWidth="1"/>
    <col min="8969" max="8972" width="10.6640625" style="486" customWidth="1"/>
    <col min="8973" max="9037" width="5.88671875" style="486" customWidth="1"/>
    <col min="9038" max="9215" width="11.44140625" style="486"/>
    <col min="9216" max="9216" width="10.5546875" style="486" customWidth="1"/>
    <col min="9217" max="9217" width="16.44140625" style="486" bestFit="1" customWidth="1"/>
    <col min="9218" max="9218" width="10.33203125" style="486" bestFit="1" customWidth="1"/>
    <col min="9219" max="9219" width="4.44140625" style="486" customWidth="1"/>
    <col min="9220" max="9220" width="10.109375" style="486" customWidth="1"/>
    <col min="9221" max="9221" width="9.88671875" style="486" bestFit="1" customWidth="1"/>
    <col min="9222" max="9222" width="8.109375" style="486" customWidth="1"/>
    <col min="9223" max="9223" width="11.6640625" style="486" customWidth="1"/>
    <col min="9224" max="9224" width="8.88671875" style="486" customWidth="1"/>
    <col min="9225" max="9228" width="10.6640625" style="486" customWidth="1"/>
    <col min="9229" max="9293" width="5.88671875" style="486" customWidth="1"/>
    <col min="9294" max="9471" width="11.44140625" style="486"/>
    <col min="9472" max="9472" width="10.5546875" style="486" customWidth="1"/>
    <col min="9473" max="9473" width="16.44140625" style="486" bestFit="1" customWidth="1"/>
    <col min="9474" max="9474" width="10.33203125" style="486" bestFit="1" customWidth="1"/>
    <col min="9475" max="9475" width="4.44140625" style="486" customWidth="1"/>
    <col min="9476" max="9476" width="10.109375" style="486" customWidth="1"/>
    <col min="9477" max="9477" width="9.88671875" style="486" bestFit="1" customWidth="1"/>
    <col min="9478" max="9478" width="8.109375" style="486" customWidth="1"/>
    <col min="9479" max="9479" width="11.6640625" style="486" customWidth="1"/>
    <col min="9480" max="9480" width="8.88671875" style="486" customWidth="1"/>
    <col min="9481" max="9484" width="10.6640625" style="486" customWidth="1"/>
    <col min="9485" max="9549" width="5.88671875" style="486" customWidth="1"/>
    <col min="9550" max="9727" width="11.44140625" style="486"/>
    <col min="9728" max="9728" width="10.5546875" style="486" customWidth="1"/>
    <col min="9729" max="9729" width="16.44140625" style="486" bestFit="1" customWidth="1"/>
    <col min="9730" max="9730" width="10.33203125" style="486" bestFit="1" customWidth="1"/>
    <col min="9731" max="9731" width="4.44140625" style="486" customWidth="1"/>
    <col min="9732" max="9732" width="10.109375" style="486" customWidth="1"/>
    <col min="9733" max="9733" width="9.88671875" style="486" bestFit="1" customWidth="1"/>
    <col min="9734" max="9734" width="8.109375" style="486" customWidth="1"/>
    <col min="9735" max="9735" width="11.6640625" style="486" customWidth="1"/>
    <col min="9736" max="9736" width="8.88671875" style="486" customWidth="1"/>
    <col min="9737" max="9740" width="10.6640625" style="486" customWidth="1"/>
    <col min="9741" max="9805" width="5.88671875" style="486" customWidth="1"/>
    <col min="9806" max="9983" width="11.44140625" style="486"/>
    <col min="9984" max="9984" width="10.5546875" style="486" customWidth="1"/>
    <col min="9985" max="9985" width="16.44140625" style="486" bestFit="1" customWidth="1"/>
    <col min="9986" max="9986" width="10.33203125" style="486" bestFit="1" customWidth="1"/>
    <col min="9987" max="9987" width="4.44140625" style="486" customWidth="1"/>
    <col min="9988" max="9988" width="10.109375" style="486" customWidth="1"/>
    <col min="9989" max="9989" width="9.88671875" style="486" bestFit="1" customWidth="1"/>
    <col min="9990" max="9990" width="8.109375" style="486" customWidth="1"/>
    <col min="9991" max="9991" width="11.6640625" style="486" customWidth="1"/>
    <col min="9992" max="9992" width="8.88671875" style="486" customWidth="1"/>
    <col min="9993" max="9996" width="10.6640625" style="486" customWidth="1"/>
    <col min="9997" max="10061" width="5.88671875" style="486" customWidth="1"/>
    <col min="10062" max="10239" width="11.44140625" style="486"/>
    <col min="10240" max="10240" width="10.5546875" style="486" customWidth="1"/>
    <col min="10241" max="10241" width="16.44140625" style="486" bestFit="1" customWidth="1"/>
    <col min="10242" max="10242" width="10.33203125" style="486" bestFit="1" customWidth="1"/>
    <col min="10243" max="10243" width="4.44140625" style="486" customWidth="1"/>
    <col min="10244" max="10244" width="10.109375" style="486" customWidth="1"/>
    <col min="10245" max="10245" width="9.88671875" style="486" bestFit="1" customWidth="1"/>
    <col min="10246" max="10246" width="8.109375" style="486" customWidth="1"/>
    <col min="10247" max="10247" width="11.6640625" style="486" customWidth="1"/>
    <col min="10248" max="10248" width="8.88671875" style="486" customWidth="1"/>
    <col min="10249" max="10252" width="10.6640625" style="486" customWidth="1"/>
    <col min="10253" max="10317" width="5.88671875" style="486" customWidth="1"/>
    <col min="10318" max="10495" width="11.44140625" style="486"/>
    <col min="10496" max="10496" width="10.5546875" style="486" customWidth="1"/>
    <col min="10497" max="10497" width="16.44140625" style="486" bestFit="1" customWidth="1"/>
    <col min="10498" max="10498" width="10.33203125" style="486" bestFit="1" customWidth="1"/>
    <col min="10499" max="10499" width="4.44140625" style="486" customWidth="1"/>
    <col min="10500" max="10500" width="10.109375" style="486" customWidth="1"/>
    <col min="10501" max="10501" width="9.88671875" style="486" bestFit="1" customWidth="1"/>
    <col min="10502" max="10502" width="8.109375" style="486" customWidth="1"/>
    <col min="10503" max="10503" width="11.6640625" style="486" customWidth="1"/>
    <col min="10504" max="10504" width="8.88671875" style="486" customWidth="1"/>
    <col min="10505" max="10508" width="10.6640625" style="486" customWidth="1"/>
    <col min="10509" max="10573" width="5.88671875" style="486" customWidth="1"/>
    <col min="10574" max="10751" width="11.44140625" style="486"/>
    <col min="10752" max="10752" width="10.5546875" style="486" customWidth="1"/>
    <col min="10753" max="10753" width="16.44140625" style="486" bestFit="1" customWidth="1"/>
    <col min="10754" max="10754" width="10.33203125" style="486" bestFit="1" customWidth="1"/>
    <col min="10755" max="10755" width="4.44140625" style="486" customWidth="1"/>
    <col min="10756" max="10756" width="10.109375" style="486" customWidth="1"/>
    <col min="10757" max="10757" width="9.88671875" style="486" bestFit="1" customWidth="1"/>
    <col min="10758" max="10758" width="8.109375" style="486" customWidth="1"/>
    <col min="10759" max="10759" width="11.6640625" style="486" customWidth="1"/>
    <col min="10760" max="10760" width="8.88671875" style="486" customWidth="1"/>
    <col min="10761" max="10764" width="10.6640625" style="486" customWidth="1"/>
    <col min="10765" max="10829" width="5.88671875" style="486" customWidth="1"/>
    <col min="10830" max="11007" width="11.44140625" style="486"/>
    <col min="11008" max="11008" width="10.5546875" style="486" customWidth="1"/>
    <col min="11009" max="11009" width="16.44140625" style="486" bestFit="1" customWidth="1"/>
    <col min="11010" max="11010" width="10.33203125" style="486" bestFit="1" customWidth="1"/>
    <col min="11011" max="11011" width="4.44140625" style="486" customWidth="1"/>
    <col min="11012" max="11012" width="10.109375" style="486" customWidth="1"/>
    <col min="11013" max="11013" width="9.88671875" style="486" bestFit="1" customWidth="1"/>
    <col min="11014" max="11014" width="8.109375" style="486" customWidth="1"/>
    <col min="11015" max="11015" width="11.6640625" style="486" customWidth="1"/>
    <col min="11016" max="11016" width="8.88671875" style="486" customWidth="1"/>
    <col min="11017" max="11020" width="10.6640625" style="486" customWidth="1"/>
    <col min="11021" max="11085" width="5.88671875" style="486" customWidth="1"/>
    <col min="11086" max="11263" width="11.44140625" style="486"/>
    <col min="11264" max="11264" width="10.5546875" style="486" customWidth="1"/>
    <col min="11265" max="11265" width="16.44140625" style="486" bestFit="1" customWidth="1"/>
    <col min="11266" max="11266" width="10.33203125" style="486" bestFit="1" customWidth="1"/>
    <col min="11267" max="11267" width="4.44140625" style="486" customWidth="1"/>
    <col min="11268" max="11268" width="10.109375" style="486" customWidth="1"/>
    <col min="11269" max="11269" width="9.88671875" style="486" bestFit="1" customWidth="1"/>
    <col min="11270" max="11270" width="8.109375" style="486" customWidth="1"/>
    <col min="11271" max="11271" width="11.6640625" style="486" customWidth="1"/>
    <col min="11272" max="11272" width="8.88671875" style="486" customWidth="1"/>
    <col min="11273" max="11276" width="10.6640625" style="486" customWidth="1"/>
    <col min="11277" max="11341" width="5.88671875" style="486" customWidth="1"/>
    <col min="11342" max="11519" width="11.44140625" style="486"/>
    <col min="11520" max="11520" width="10.5546875" style="486" customWidth="1"/>
    <col min="11521" max="11521" width="16.44140625" style="486" bestFit="1" customWidth="1"/>
    <col min="11522" max="11522" width="10.33203125" style="486" bestFit="1" customWidth="1"/>
    <col min="11523" max="11523" width="4.44140625" style="486" customWidth="1"/>
    <col min="11524" max="11524" width="10.109375" style="486" customWidth="1"/>
    <col min="11525" max="11525" width="9.88671875" style="486" bestFit="1" customWidth="1"/>
    <col min="11526" max="11526" width="8.109375" style="486" customWidth="1"/>
    <col min="11527" max="11527" width="11.6640625" style="486" customWidth="1"/>
    <col min="11528" max="11528" width="8.88671875" style="486" customWidth="1"/>
    <col min="11529" max="11532" width="10.6640625" style="486" customWidth="1"/>
    <col min="11533" max="11597" width="5.88671875" style="486" customWidth="1"/>
    <col min="11598" max="11775" width="11.44140625" style="486"/>
    <col min="11776" max="11776" width="10.5546875" style="486" customWidth="1"/>
    <col min="11777" max="11777" width="16.44140625" style="486" bestFit="1" customWidth="1"/>
    <col min="11778" max="11778" width="10.33203125" style="486" bestFit="1" customWidth="1"/>
    <col min="11779" max="11779" width="4.44140625" style="486" customWidth="1"/>
    <col min="11780" max="11780" width="10.109375" style="486" customWidth="1"/>
    <col min="11781" max="11781" width="9.88671875" style="486" bestFit="1" customWidth="1"/>
    <col min="11782" max="11782" width="8.109375" style="486" customWidth="1"/>
    <col min="11783" max="11783" width="11.6640625" style="486" customWidth="1"/>
    <col min="11784" max="11784" width="8.88671875" style="486" customWidth="1"/>
    <col min="11785" max="11788" width="10.6640625" style="486" customWidth="1"/>
    <col min="11789" max="11853" width="5.88671875" style="486" customWidth="1"/>
    <col min="11854" max="12031" width="11.44140625" style="486"/>
    <col min="12032" max="12032" width="10.5546875" style="486" customWidth="1"/>
    <col min="12033" max="12033" width="16.44140625" style="486" bestFit="1" customWidth="1"/>
    <col min="12034" max="12034" width="10.33203125" style="486" bestFit="1" customWidth="1"/>
    <col min="12035" max="12035" width="4.44140625" style="486" customWidth="1"/>
    <col min="12036" max="12036" width="10.109375" style="486" customWidth="1"/>
    <col min="12037" max="12037" width="9.88671875" style="486" bestFit="1" customWidth="1"/>
    <col min="12038" max="12038" width="8.109375" style="486" customWidth="1"/>
    <col min="12039" max="12039" width="11.6640625" style="486" customWidth="1"/>
    <col min="12040" max="12040" width="8.88671875" style="486" customWidth="1"/>
    <col min="12041" max="12044" width="10.6640625" style="486" customWidth="1"/>
    <col min="12045" max="12109" width="5.88671875" style="486" customWidth="1"/>
    <col min="12110" max="12287" width="11.44140625" style="486"/>
    <col min="12288" max="12288" width="10.5546875" style="486" customWidth="1"/>
    <col min="12289" max="12289" width="16.44140625" style="486" bestFit="1" customWidth="1"/>
    <col min="12290" max="12290" width="10.33203125" style="486" bestFit="1" customWidth="1"/>
    <col min="12291" max="12291" width="4.44140625" style="486" customWidth="1"/>
    <col min="12292" max="12292" width="10.109375" style="486" customWidth="1"/>
    <col min="12293" max="12293" width="9.88671875" style="486" bestFit="1" customWidth="1"/>
    <col min="12294" max="12294" width="8.109375" style="486" customWidth="1"/>
    <col min="12295" max="12295" width="11.6640625" style="486" customWidth="1"/>
    <col min="12296" max="12296" width="8.88671875" style="486" customWidth="1"/>
    <col min="12297" max="12300" width="10.6640625" style="486" customWidth="1"/>
    <col min="12301" max="12365" width="5.88671875" style="486" customWidth="1"/>
    <col min="12366" max="12543" width="11.44140625" style="486"/>
    <col min="12544" max="12544" width="10.5546875" style="486" customWidth="1"/>
    <col min="12545" max="12545" width="16.44140625" style="486" bestFit="1" customWidth="1"/>
    <col min="12546" max="12546" width="10.33203125" style="486" bestFit="1" customWidth="1"/>
    <col min="12547" max="12547" width="4.44140625" style="486" customWidth="1"/>
    <col min="12548" max="12548" width="10.109375" style="486" customWidth="1"/>
    <col min="12549" max="12549" width="9.88671875" style="486" bestFit="1" customWidth="1"/>
    <col min="12550" max="12550" width="8.109375" style="486" customWidth="1"/>
    <col min="12551" max="12551" width="11.6640625" style="486" customWidth="1"/>
    <col min="12552" max="12552" width="8.88671875" style="486" customWidth="1"/>
    <col min="12553" max="12556" width="10.6640625" style="486" customWidth="1"/>
    <col min="12557" max="12621" width="5.88671875" style="486" customWidth="1"/>
    <col min="12622" max="12799" width="11.44140625" style="486"/>
    <col min="12800" max="12800" width="10.5546875" style="486" customWidth="1"/>
    <col min="12801" max="12801" width="16.44140625" style="486" bestFit="1" customWidth="1"/>
    <col min="12802" max="12802" width="10.33203125" style="486" bestFit="1" customWidth="1"/>
    <col min="12803" max="12803" width="4.44140625" style="486" customWidth="1"/>
    <col min="12804" max="12804" width="10.109375" style="486" customWidth="1"/>
    <col min="12805" max="12805" width="9.88671875" style="486" bestFit="1" customWidth="1"/>
    <col min="12806" max="12806" width="8.109375" style="486" customWidth="1"/>
    <col min="12807" max="12807" width="11.6640625" style="486" customWidth="1"/>
    <col min="12808" max="12808" width="8.88671875" style="486" customWidth="1"/>
    <col min="12809" max="12812" width="10.6640625" style="486" customWidth="1"/>
    <col min="12813" max="12877" width="5.88671875" style="486" customWidth="1"/>
    <col min="12878" max="13055" width="11.44140625" style="486"/>
    <col min="13056" max="13056" width="10.5546875" style="486" customWidth="1"/>
    <col min="13057" max="13057" width="16.44140625" style="486" bestFit="1" customWidth="1"/>
    <col min="13058" max="13058" width="10.33203125" style="486" bestFit="1" customWidth="1"/>
    <col min="13059" max="13059" width="4.44140625" style="486" customWidth="1"/>
    <col min="13060" max="13060" width="10.109375" style="486" customWidth="1"/>
    <col min="13061" max="13061" width="9.88671875" style="486" bestFit="1" customWidth="1"/>
    <col min="13062" max="13062" width="8.109375" style="486" customWidth="1"/>
    <col min="13063" max="13063" width="11.6640625" style="486" customWidth="1"/>
    <col min="13064" max="13064" width="8.88671875" style="486" customWidth="1"/>
    <col min="13065" max="13068" width="10.6640625" style="486" customWidth="1"/>
    <col min="13069" max="13133" width="5.88671875" style="486" customWidth="1"/>
    <col min="13134" max="13311" width="11.44140625" style="486"/>
    <col min="13312" max="13312" width="10.5546875" style="486" customWidth="1"/>
    <col min="13313" max="13313" width="16.44140625" style="486" bestFit="1" customWidth="1"/>
    <col min="13314" max="13314" width="10.33203125" style="486" bestFit="1" customWidth="1"/>
    <col min="13315" max="13315" width="4.44140625" style="486" customWidth="1"/>
    <col min="13316" max="13316" width="10.109375" style="486" customWidth="1"/>
    <col min="13317" max="13317" width="9.88671875" style="486" bestFit="1" customWidth="1"/>
    <col min="13318" max="13318" width="8.109375" style="486" customWidth="1"/>
    <col min="13319" max="13319" width="11.6640625" style="486" customWidth="1"/>
    <col min="13320" max="13320" width="8.88671875" style="486" customWidth="1"/>
    <col min="13321" max="13324" width="10.6640625" style="486" customWidth="1"/>
    <col min="13325" max="13389" width="5.88671875" style="486" customWidth="1"/>
    <col min="13390" max="13567" width="11.44140625" style="486"/>
    <col min="13568" max="13568" width="10.5546875" style="486" customWidth="1"/>
    <col min="13569" max="13569" width="16.44140625" style="486" bestFit="1" customWidth="1"/>
    <col min="13570" max="13570" width="10.33203125" style="486" bestFit="1" customWidth="1"/>
    <col min="13571" max="13571" width="4.44140625" style="486" customWidth="1"/>
    <col min="13572" max="13572" width="10.109375" style="486" customWidth="1"/>
    <col min="13573" max="13573" width="9.88671875" style="486" bestFit="1" customWidth="1"/>
    <col min="13574" max="13574" width="8.109375" style="486" customWidth="1"/>
    <col min="13575" max="13575" width="11.6640625" style="486" customWidth="1"/>
    <col min="13576" max="13576" width="8.88671875" style="486" customWidth="1"/>
    <col min="13577" max="13580" width="10.6640625" style="486" customWidth="1"/>
    <col min="13581" max="13645" width="5.88671875" style="486" customWidth="1"/>
    <col min="13646" max="13823" width="11.44140625" style="486"/>
    <col min="13824" max="13824" width="10.5546875" style="486" customWidth="1"/>
    <col min="13825" max="13825" width="16.44140625" style="486" bestFit="1" customWidth="1"/>
    <col min="13826" max="13826" width="10.33203125" style="486" bestFit="1" customWidth="1"/>
    <col min="13827" max="13827" width="4.44140625" style="486" customWidth="1"/>
    <col min="13828" max="13828" width="10.109375" style="486" customWidth="1"/>
    <col min="13829" max="13829" width="9.88671875" style="486" bestFit="1" customWidth="1"/>
    <col min="13830" max="13830" width="8.109375" style="486" customWidth="1"/>
    <col min="13831" max="13831" width="11.6640625" style="486" customWidth="1"/>
    <col min="13832" max="13832" width="8.88671875" style="486" customWidth="1"/>
    <col min="13833" max="13836" width="10.6640625" style="486" customWidth="1"/>
    <col min="13837" max="13901" width="5.88671875" style="486" customWidth="1"/>
    <col min="13902" max="14079" width="11.44140625" style="486"/>
    <col min="14080" max="14080" width="10.5546875" style="486" customWidth="1"/>
    <col min="14081" max="14081" width="16.44140625" style="486" bestFit="1" customWidth="1"/>
    <col min="14082" max="14082" width="10.33203125" style="486" bestFit="1" customWidth="1"/>
    <col min="14083" max="14083" width="4.44140625" style="486" customWidth="1"/>
    <col min="14084" max="14084" width="10.109375" style="486" customWidth="1"/>
    <col min="14085" max="14085" width="9.88671875" style="486" bestFit="1" customWidth="1"/>
    <col min="14086" max="14086" width="8.109375" style="486" customWidth="1"/>
    <col min="14087" max="14087" width="11.6640625" style="486" customWidth="1"/>
    <col min="14088" max="14088" width="8.88671875" style="486" customWidth="1"/>
    <col min="14089" max="14092" width="10.6640625" style="486" customWidth="1"/>
    <col min="14093" max="14157" width="5.88671875" style="486" customWidth="1"/>
    <col min="14158" max="14335" width="11.44140625" style="486"/>
    <col min="14336" max="14336" width="10.5546875" style="486" customWidth="1"/>
    <col min="14337" max="14337" width="16.44140625" style="486" bestFit="1" customWidth="1"/>
    <col min="14338" max="14338" width="10.33203125" style="486" bestFit="1" customWidth="1"/>
    <col min="14339" max="14339" width="4.44140625" style="486" customWidth="1"/>
    <col min="14340" max="14340" width="10.109375" style="486" customWidth="1"/>
    <col min="14341" max="14341" width="9.88671875" style="486" bestFit="1" customWidth="1"/>
    <col min="14342" max="14342" width="8.109375" style="486" customWidth="1"/>
    <col min="14343" max="14343" width="11.6640625" style="486" customWidth="1"/>
    <col min="14344" max="14344" width="8.88671875" style="486" customWidth="1"/>
    <col min="14345" max="14348" width="10.6640625" style="486" customWidth="1"/>
    <col min="14349" max="14413" width="5.88671875" style="486" customWidth="1"/>
    <col min="14414" max="14591" width="11.44140625" style="486"/>
    <col min="14592" max="14592" width="10.5546875" style="486" customWidth="1"/>
    <col min="14593" max="14593" width="16.44140625" style="486" bestFit="1" customWidth="1"/>
    <col min="14594" max="14594" width="10.33203125" style="486" bestFit="1" customWidth="1"/>
    <col min="14595" max="14595" width="4.44140625" style="486" customWidth="1"/>
    <col min="14596" max="14596" width="10.109375" style="486" customWidth="1"/>
    <col min="14597" max="14597" width="9.88671875" style="486" bestFit="1" customWidth="1"/>
    <col min="14598" max="14598" width="8.109375" style="486" customWidth="1"/>
    <col min="14599" max="14599" width="11.6640625" style="486" customWidth="1"/>
    <col min="14600" max="14600" width="8.88671875" style="486" customWidth="1"/>
    <col min="14601" max="14604" width="10.6640625" style="486" customWidth="1"/>
    <col min="14605" max="14669" width="5.88671875" style="486" customWidth="1"/>
    <col min="14670" max="14847" width="11.44140625" style="486"/>
    <col min="14848" max="14848" width="10.5546875" style="486" customWidth="1"/>
    <col min="14849" max="14849" width="16.44140625" style="486" bestFit="1" customWidth="1"/>
    <col min="14850" max="14850" width="10.33203125" style="486" bestFit="1" customWidth="1"/>
    <col min="14851" max="14851" width="4.44140625" style="486" customWidth="1"/>
    <col min="14852" max="14852" width="10.109375" style="486" customWidth="1"/>
    <col min="14853" max="14853" width="9.88671875" style="486" bestFit="1" customWidth="1"/>
    <col min="14854" max="14854" width="8.109375" style="486" customWidth="1"/>
    <col min="14855" max="14855" width="11.6640625" style="486" customWidth="1"/>
    <col min="14856" max="14856" width="8.88671875" style="486" customWidth="1"/>
    <col min="14857" max="14860" width="10.6640625" style="486" customWidth="1"/>
    <col min="14861" max="14925" width="5.88671875" style="486" customWidth="1"/>
    <col min="14926" max="15103" width="11.44140625" style="486"/>
    <col min="15104" max="15104" width="10.5546875" style="486" customWidth="1"/>
    <col min="15105" max="15105" width="16.44140625" style="486" bestFit="1" customWidth="1"/>
    <col min="15106" max="15106" width="10.33203125" style="486" bestFit="1" customWidth="1"/>
    <col min="15107" max="15107" width="4.44140625" style="486" customWidth="1"/>
    <col min="15108" max="15108" width="10.109375" style="486" customWidth="1"/>
    <col min="15109" max="15109" width="9.88671875" style="486" bestFit="1" customWidth="1"/>
    <col min="15110" max="15110" width="8.109375" style="486" customWidth="1"/>
    <col min="15111" max="15111" width="11.6640625" style="486" customWidth="1"/>
    <col min="15112" max="15112" width="8.88671875" style="486" customWidth="1"/>
    <col min="15113" max="15116" width="10.6640625" style="486" customWidth="1"/>
    <col min="15117" max="15181" width="5.88671875" style="486" customWidth="1"/>
    <col min="15182" max="15359" width="11.44140625" style="486"/>
    <col min="15360" max="15360" width="10.5546875" style="486" customWidth="1"/>
    <col min="15361" max="15361" width="16.44140625" style="486" bestFit="1" customWidth="1"/>
    <col min="15362" max="15362" width="10.33203125" style="486" bestFit="1" customWidth="1"/>
    <col min="15363" max="15363" width="4.44140625" style="486" customWidth="1"/>
    <col min="15364" max="15364" width="10.109375" style="486" customWidth="1"/>
    <col min="15365" max="15365" width="9.88671875" style="486" bestFit="1" customWidth="1"/>
    <col min="15366" max="15366" width="8.109375" style="486" customWidth="1"/>
    <col min="15367" max="15367" width="11.6640625" style="486" customWidth="1"/>
    <col min="15368" max="15368" width="8.88671875" style="486" customWidth="1"/>
    <col min="15369" max="15372" width="10.6640625" style="486" customWidth="1"/>
    <col min="15373" max="15437" width="5.88671875" style="486" customWidth="1"/>
    <col min="15438" max="15615" width="11.44140625" style="486"/>
    <col min="15616" max="15616" width="10.5546875" style="486" customWidth="1"/>
    <col min="15617" max="15617" width="16.44140625" style="486" bestFit="1" customWidth="1"/>
    <col min="15618" max="15618" width="10.33203125" style="486" bestFit="1" customWidth="1"/>
    <col min="15619" max="15619" width="4.44140625" style="486" customWidth="1"/>
    <col min="15620" max="15620" width="10.109375" style="486" customWidth="1"/>
    <col min="15621" max="15621" width="9.88671875" style="486" bestFit="1" customWidth="1"/>
    <col min="15622" max="15622" width="8.109375" style="486" customWidth="1"/>
    <col min="15623" max="15623" width="11.6640625" style="486" customWidth="1"/>
    <col min="15624" max="15624" width="8.88671875" style="486" customWidth="1"/>
    <col min="15625" max="15628" width="10.6640625" style="486" customWidth="1"/>
    <col min="15629" max="15693" width="5.88671875" style="486" customWidth="1"/>
    <col min="15694" max="15871" width="11.44140625" style="486"/>
    <col min="15872" max="15872" width="10.5546875" style="486" customWidth="1"/>
    <col min="15873" max="15873" width="16.44140625" style="486" bestFit="1" customWidth="1"/>
    <col min="15874" max="15874" width="10.33203125" style="486" bestFit="1" customWidth="1"/>
    <col min="15875" max="15875" width="4.44140625" style="486" customWidth="1"/>
    <col min="15876" max="15876" width="10.109375" style="486" customWidth="1"/>
    <col min="15877" max="15877" width="9.88671875" style="486" bestFit="1" customWidth="1"/>
    <col min="15878" max="15878" width="8.109375" style="486" customWidth="1"/>
    <col min="15879" max="15879" width="11.6640625" style="486" customWidth="1"/>
    <col min="15880" max="15880" width="8.88671875" style="486" customWidth="1"/>
    <col min="15881" max="15884" width="10.6640625" style="486" customWidth="1"/>
    <col min="15885" max="15949" width="5.88671875" style="486" customWidth="1"/>
    <col min="15950" max="16127" width="11.44140625" style="486"/>
    <col min="16128" max="16128" width="10.5546875" style="486" customWidth="1"/>
    <col min="16129" max="16129" width="16.44140625" style="486" bestFit="1" customWidth="1"/>
    <col min="16130" max="16130" width="10.33203125" style="486" bestFit="1" customWidth="1"/>
    <col min="16131" max="16131" width="4.44140625" style="486" customWidth="1"/>
    <col min="16132" max="16132" width="10.109375" style="486" customWidth="1"/>
    <col min="16133" max="16133" width="9.88671875" style="486" bestFit="1" customWidth="1"/>
    <col min="16134" max="16134" width="8.109375" style="486" customWidth="1"/>
    <col min="16135" max="16135" width="11.6640625" style="486" customWidth="1"/>
    <col min="16136" max="16136" width="8.88671875" style="486" customWidth="1"/>
    <col min="16137" max="16140" width="10.6640625" style="486" customWidth="1"/>
    <col min="16141" max="16205" width="5.88671875" style="486" customWidth="1"/>
    <col min="16206" max="16384" width="11.44140625" style="486"/>
  </cols>
  <sheetData>
    <row r="1" spans="1:20" s="507" customFormat="1" ht="31.2">
      <c r="A1" s="510" t="s">
        <v>701</v>
      </c>
      <c r="B1" s="509" t="s">
        <v>700</v>
      </c>
      <c r="C1" s="509" t="s">
        <v>705</v>
      </c>
      <c r="D1" s="509" t="s">
        <v>699</v>
      </c>
      <c r="E1" s="509" t="s">
        <v>698</v>
      </c>
      <c r="F1" s="509" t="s">
        <v>704</v>
      </c>
      <c r="G1" s="508" t="s">
        <v>703</v>
      </c>
    </row>
    <row r="2" spans="1:20" s="507" customFormat="1" ht="14.25" customHeight="1">
      <c r="A2" s="506" t="s">
        <v>662</v>
      </c>
      <c r="B2" s="474" t="str">
        <f t="shared" ref="B2:B9" si="0">VLOOKUP(A2,tab,2)</f>
        <v>CHOCOLAT</v>
      </c>
      <c r="C2" s="474">
        <v>10</v>
      </c>
      <c r="D2" s="476" t="str">
        <f t="shared" ref="D2:D9" si="1">VLOOKUP(A2,tab,3)</f>
        <v>KG</v>
      </c>
      <c r="E2" s="475">
        <f t="shared" ref="E2:E9" si="2">VLOOKUP(A2,tab,4)</f>
        <v>8.99</v>
      </c>
      <c r="F2" s="475">
        <f t="shared" ref="F2:F9" si="3">C2*E2</f>
        <v>89.9</v>
      </c>
      <c r="G2" s="505">
        <f t="shared" ref="G2:G9" si="4">F2/F$11*100</f>
        <v>29.862645119500407</v>
      </c>
    </row>
    <row r="3" spans="1:20" s="490" customFormat="1" ht="15.6">
      <c r="A3" s="506" t="s">
        <v>682</v>
      </c>
      <c r="B3" s="474" t="str">
        <f t="shared" si="0"/>
        <v>AROME VANILLE</v>
      </c>
      <c r="C3" s="474">
        <v>3</v>
      </c>
      <c r="D3" s="476" t="str">
        <f t="shared" si="1"/>
        <v>L</v>
      </c>
      <c r="E3" s="475">
        <f t="shared" si="2"/>
        <v>49.55</v>
      </c>
      <c r="F3" s="475">
        <f t="shared" si="3"/>
        <v>148.64999999999998</v>
      </c>
      <c r="G3" s="505">
        <f t="shared" si="4"/>
        <v>49.377999966782369</v>
      </c>
      <c r="H3" s="486"/>
      <c r="I3" s="486"/>
      <c r="J3" s="486"/>
      <c r="K3" s="486"/>
      <c r="L3" s="486"/>
      <c r="M3" s="486"/>
      <c r="N3" s="486"/>
      <c r="O3" s="486"/>
      <c r="P3" s="486"/>
      <c r="Q3" s="486"/>
      <c r="R3" s="486"/>
      <c r="S3" s="486"/>
      <c r="T3" s="486"/>
    </row>
    <row r="4" spans="1:20" ht="15.6">
      <c r="A4" s="506" t="s">
        <v>658</v>
      </c>
      <c r="B4" s="474" t="str">
        <f t="shared" si="0"/>
        <v>CREME FRAICHE</v>
      </c>
      <c r="C4" s="474">
        <v>1.5</v>
      </c>
      <c r="D4" s="476" t="str">
        <f t="shared" si="1"/>
        <v>L</v>
      </c>
      <c r="E4" s="475">
        <f t="shared" si="2"/>
        <v>4.88</v>
      </c>
      <c r="F4" s="475">
        <f t="shared" si="3"/>
        <v>7.32</v>
      </c>
      <c r="G4" s="505">
        <f t="shared" si="4"/>
        <v>2.4315301699081533</v>
      </c>
    </row>
    <row r="5" spans="1:20" ht="15.6">
      <c r="A5" s="506" t="s">
        <v>603</v>
      </c>
      <c r="B5" s="474" t="str">
        <f t="shared" si="0"/>
        <v>SUCRE</v>
      </c>
      <c r="C5" s="474">
        <v>5</v>
      </c>
      <c r="D5" s="476" t="str">
        <f t="shared" si="1"/>
        <v>KG</v>
      </c>
      <c r="E5" s="475">
        <f t="shared" si="2"/>
        <v>1.68</v>
      </c>
      <c r="F5" s="475">
        <f t="shared" si="3"/>
        <v>8.4</v>
      </c>
      <c r="G5" s="505">
        <f t="shared" si="4"/>
        <v>2.7902805228454217</v>
      </c>
    </row>
    <row r="6" spans="1:20" ht="15.6">
      <c r="A6" s="506" t="s">
        <v>702</v>
      </c>
      <c r="B6" s="474" t="str">
        <f t="shared" si="0"/>
        <v>CREME FRAICHE</v>
      </c>
      <c r="C6" s="474">
        <v>1</v>
      </c>
      <c r="D6" s="476" t="str">
        <f t="shared" si="1"/>
        <v>L</v>
      </c>
      <c r="E6" s="475">
        <f t="shared" si="2"/>
        <v>4.88</v>
      </c>
      <c r="F6" s="475">
        <f t="shared" si="3"/>
        <v>4.88</v>
      </c>
      <c r="G6" s="505">
        <f t="shared" si="4"/>
        <v>1.6210201132721023</v>
      </c>
    </row>
    <row r="7" spans="1:20" ht="15.6">
      <c r="A7" s="506" t="s">
        <v>601</v>
      </c>
      <c r="B7" s="474" t="str">
        <f t="shared" si="0"/>
        <v>THYM</v>
      </c>
      <c r="C7" s="474">
        <v>1</v>
      </c>
      <c r="D7" s="476" t="str">
        <f t="shared" si="1"/>
        <v>KG</v>
      </c>
      <c r="E7" s="475">
        <f t="shared" si="2"/>
        <v>29.73</v>
      </c>
      <c r="F7" s="475">
        <f t="shared" si="3"/>
        <v>29.73</v>
      </c>
      <c r="G7" s="505">
        <f t="shared" si="4"/>
        <v>9.8755999933564755</v>
      </c>
    </row>
    <row r="8" spans="1:20" ht="15.6">
      <c r="A8" s="506" t="s">
        <v>697</v>
      </c>
      <c r="B8" s="474" t="str">
        <f t="shared" si="0"/>
        <v>ABRICOT</v>
      </c>
      <c r="C8" s="474">
        <v>0.5</v>
      </c>
      <c r="D8" s="476" t="str">
        <f t="shared" si="1"/>
        <v>KG</v>
      </c>
      <c r="E8" s="475">
        <f t="shared" si="2"/>
        <v>1.83</v>
      </c>
      <c r="F8" s="475">
        <f t="shared" si="3"/>
        <v>0.91500000000000004</v>
      </c>
      <c r="G8" s="505">
        <f t="shared" si="4"/>
        <v>0.30394127123851916</v>
      </c>
    </row>
    <row r="9" spans="1:20" ht="15.6">
      <c r="A9" s="506" t="s">
        <v>695</v>
      </c>
      <c r="B9" s="474" t="str">
        <f t="shared" si="0"/>
        <v>AROME FRAISE</v>
      </c>
      <c r="C9" s="474">
        <v>0.3</v>
      </c>
      <c r="D9" s="476" t="str">
        <f t="shared" si="1"/>
        <v>L</v>
      </c>
      <c r="E9" s="475">
        <f t="shared" si="2"/>
        <v>37.5</v>
      </c>
      <c r="F9" s="475">
        <f t="shared" si="3"/>
        <v>11.25</v>
      </c>
      <c r="G9" s="505">
        <f t="shared" si="4"/>
        <v>3.7369828430965466</v>
      </c>
    </row>
    <row r="10" spans="1:20" ht="16.2" thickBot="1">
      <c r="A10" s="504"/>
      <c r="B10" s="474"/>
      <c r="C10" s="503"/>
      <c r="D10" s="476"/>
      <c r="E10" s="475"/>
      <c r="F10" s="475"/>
      <c r="G10" s="502"/>
    </row>
    <row r="11" spans="1:20" ht="16.2" thickBot="1">
      <c r="A11" s="501"/>
      <c r="B11" s="500"/>
      <c r="C11" s="500"/>
      <c r="D11" s="500"/>
      <c r="E11" s="500"/>
      <c r="F11" s="499">
        <f>SUM(F2:F9)</f>
        <v>301.04500000000002</v>
      </c>
      <c r="G11" s="498">
        <f>SUM(G2:G9)</f>
        <v>99.999999999999972</v>
      </c>
    </row>
    <row r="12" spans="1:20">
      <c r="A12" s="497"/>
      <c r="B12" s="494"/>
      <c r="C12" s="495"/>
      <c r="D12" s="494"/>
      <c r="E12" s="493"/>
      <c r="F12" s="492"/>
      <c r="G12" s="496"/>
    </row>
    <row r="13" spans="1:20">
      <c r="B13" s="494"/>
      <c r="C13" s="495"/>
      <c r="D13" s="494"/>
      <c r="E13" s="493"/>
      <c r="F13" s="492"/>
      <c r="G13" s="491"/>
    </row>
    <row r="14" spans="1:20">
      <c r="B14" s="494"/>
      <c r="C14" s="495"/>
      <c r="D14" s="494"/>
      <c r="E14" s="493"/>
      <c r="F14" s="492"/>
      <c r="G14" s="491"/>
    </row>
    <row r="15" spans="1:20">
      <c r="B15" s="494"/>
      <c r="C15" s="495"/>
      <c r="D15" s="494"/>
      <c r="E15" s="493"/>
      <c r="F15" s="492"/>
      <c r="G15" s="491"/>
    </row>
    <row r="16" spans="1:20">
      <c r="B16" s="494"/>
      <c r="C16" s="495"/>
      <c r="D16" s="494"/>
      <c r="E16" s="493"/>
      <c r="F16" s="492"/>
      <c r="G16" s="491"/>
    </row>
    <row r="17" spans="1:20" s="490" customFormat="1">
      <c r="A17" s="486"/>
      <c r="B17" s="494"/>
      <c r="C17" s="495"/>
      <c r="D17" s="494"/>
      <c r="E17" s="493"/>
      <c r="F17" s="492"/>
      <c r="G17" s="491"/>
      <c r="H17" s="486"/>
      <c r="I17" s="486"/>
      <c r="J17" s="486"/>
      <c r="K17" s="486"/>
      <c r="L17" s="486"/>
      <c r="M17" s="486"/>
      <c r="N17" s="486"/>
      <c r="O17" s="486"/>
      <c r="P17" s="486"/>
      <c r="Q17" s="486"/>
      <c r="R17" s="486"/>
      <c r="S17" s="486"/>
      <c r="T17" s="486"/>
    </row>
    <row r="18" spans="1:20" ht="12.75" customHeight="1">
      <c r="F18" s="489"/>
      <c r="G18" s="488"/>
    </row>
    <row r="19" spans="1:20" ht="12.75" customHeight="1">
      <c r="E19" s="487"/>
    </row>
  </sheetData>
  <conditionalFormatting sqref="B2:B17">
    <cfRule type="containsText" dxfId="4" priority="3" operator="containsText" text="Code inexistant">
      <formula>NOT(ISERROR(SEARCH("Code inexistant",B2)))</formula>
    </cfRule>
  </conditionalFormatting>
  <conditionalFormatting sqref="D2:D17">
    <cfRule type="containsText" dxfId="3" priority="2" operator="containsText" text="Code inexistant">
      <formula>NOT(ISERROR(SEARCH("Code inexistant",D2)))</formula>
    </cfRule>
  </conditionalFormatting>
  <conditionalFormatting sqref="E2:E17">
    <cfRule type="containsText" dxfId="2" priority="1" operator="containsText" text="Code inexistant">
      <formula>NOT(ISERROR(SEARCH("Code inexistant",E2)))</formula>
    </cfRule>
  </conditionalFormatting>
  <printOptions headings="1" gridLines="1" gridLinesSet="0"/>
  <pageMargins left="0.39370078740157483" right="0.39370078740157483" top="0.39370078740157483" bottom="0.39370078740157483" header="0.51181102362204722" footer="0.51181102362204722"/>
  <pageSetup paperSize="9" orientation="landscape" horizontalDpi="360" verticalDpi="360" r:id="rId1"/>
  <headerFooter alignWithMargins="0">
    <oddHeader>&amp;A</oddHeader>
    <oddFooter>Page &amp;P</oddFooter>
  </headerFooter>
  <drawing r:id="rId2"/>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4CBB03F-07F6-418C-8633-60B024851A5C}">
  <dimension ref="A1:H30"/>
  <sheetViews>
    <sheetView zoomScale="90" zoomScaleNormal="90" workbookViewId="0">
      <selection activeCell="F31" sqref="F31"/>
    </sheetView>
  </sheetViews>
  <sheetFormatPr baseColWidth="10" defaultRowHeight="15.6"/>
  <cols>
    <col min="1" max="1" width="20.109375" style="245" bestFit="1" customWidth="1"/>
    <col min="2" max="256" width="11.5546875" style="245"/>
    <col min="257" max="257" width="16.109375" style="245" bestFit="1" customWidth="1"/>
    <col min="258" max="512" width="11.5546875" style="245"/>
    <col min="513" max="513" width="16.109375" style="245" bestFit="1" customWidth="1"/>
    <col min="514" max="768" width="11.5546875" style="245"/>
    <col min="769" max="769" width="16.109375" style="245" bestFit="1" customWidth="1"/>
    <col min="770" max="1024" width="11.5546875" style="245"/>
    <col min="1025" max="1025" width="16.109375" style="245" bestFit="1" customWidth="1"/>
    <col min="1026" max="1280" width="11.5546875" style="245"/>
    <col min="1281" max="1281" width="16.109375" style="245" bestFit="1" customWidth="1"/>
    <col min="1282" max="1536" width="11.5546875" style="245"/>
    <col min="1537" max="1537" width="16.109375" style="245" bestFit="1" customWidth="1"/>
    <col min="1538" max="1792" width="11.5546875" style="245"/>
    <col min="1793" max="1793" width="16.109375" style="245" bestFit="1" customWidth="1"/>
    <col min="1794" max="2048" width="11.5546875" style="245"/>
    <col min="2049" max="2049" width="16.109375" style="245" bestFit="1" customWidth="1"/>
    <col min="2050" max="2304" width="11.5546875" style="245"/>
    <col min="2305" max="2305" width="16.109375" style="245" bestFit="1" customWidth="1"/>
    <col min="2306" max="2560" width="11.5546875" style="245"/>
    <col min="2561" max="2561" width="16.109375" style="245" bestFit="1" customWidth="1"/>
    <col min="2562" max="2816" width="11.5546875" style="245"/>
    <col min="2817" max="2817" width="16.109375" style="245" bestFit="1" customWidth="1"/>
    <col min="2818" max="3072" width="11.5546875" style="245"/>
    <col min="3073" max="3073" width="16.109375" style="245" bestFit="1" customWidth="1"/>
    <col min="3074" max="3328" width="11.5546875" style="245"/>
    <col min="3329" max="3329" width="16.109375" style="245" bestFit="1" customWidth="1"/>
    <col min="3330" max="3584" width="11.5546875" style="245"/>
    <col min="3585" max="3585" width="16.109375" style="245" bestFit="1" customWidth="1"/>
    <col min="3586" max="3840" width="11.5546875" style="245"/>
    <col min="3841" max="3841" width="16.109375" style="245" bestFit="1" customWidth="1"/>
    <col min="3842" max="4096" width="11.5546875" style="245"/>
    <col min="4097" max="4097" width="16.109375" style="245" bestFit="1" customWidth="1"/>
    <col min="4098" max="4352" width="11.5546875" style="245"/>
    <col min="4353" max="4353" width="16.109375" style="245" bestFit="1" customWidth="1"/>
    <col min="4354" max="4608" width="11.5546875" style="245"/>
    <col min="4609" max="4609" width="16.109375" style="245" bestFit="1" customWidth="1"/>
    <col min="4610" max="4864" width="11.5546875" style="245"/>
    <col min="4865" max="4865" width="16.109375" style="245" bestFit="1" customWidth="1"/>
    <col min="4866" max="5120" width="11.5546875" style="245"/>
    <col min="5121" max="5121" width="16.109375" style="245" bestFit="1" customWidth="1"/>
    <col min="5122" max="5376" width="11.5546875" style="245"/>
    <col min="5377" max="5377" width="16.109375" style="245" bestFit="1" customWidth="1"/>
    <col min="5378" max="5632" width="11.5546875" style="245"/>
    <col min="5633" max="5633" width="16.109375" style="245" bestFit="1" customWidth="1"/>
    <col min="5634" max="5888" width="11.5546875" style="245"/>
    <col min="5889" max="5889" width="16.109375" style="245" bestFit="1" customWidth="1"/>
    <col min="5890" max="6144" width="11.5546875" style="245"/>
    <col min="6145" max="6145" width="16.109375" style="245" bestFit="1" customWidth="1"/>
    <col min="6146" max="6400" width="11.5546875" style="245"/>
    <col min="6401" max="6401" width="16.109375" style="245" bestFit="1" customWidth="1"/>
    <col min="6402" max="6656" width="11.5546875" style="245"/>
    <col min="6657" max="6657" width="16.109375" style="245" bestFit="1" customWidth="1"/>
    <col min="6658" max="6912" width="11.5546875" style="245"/>
    <col min="6913" max="6913" width="16.109375" style="245" bestFit="1" customWidth="1"/>
    <col min="6914" max="7168" width="11.5546875" style="245"/>
    <col min="7169" max="7169" width="16.109375" style="245" bestFit="1" customWidth="1"/>
    <col min="7170" max="7424" width="11.5546875" style="245"/>
    <col min="7425" max="7425" width="16.109375" style="245" bestFit="1" customWidth="1"/>
    <col min="7426" max="7680" width="11.5546875" style="245"/>
    <col min="7681" max="7681" width="16.109375" style="245" bestFit="1" customWidth="1"/>
    <col min="7682" max="7936" width="11.5546875" style="245"/>
    <col min="7937" max="7937" width="16.109375" style="245" bestFit="1" customWidth="1"/>
    <col min="7938" max="8192" width="11.5546875" style="245"/>
    <col min="8193" max="8193" width="16.109375" style="245" bestFit="1" customWidth="1"/>
    <col min="8194" max="8448" width="11.5546875" style="245"/>
    <col min="8449" max="8449" width="16.109375" style="245" bestFit="1" customWidth="1"/>
    <col min="8450" max="8704" width="11.5546875" style="245"/>
    <col min="8705" max="8705" width="16.109375" style="245" bestFit="1" customWidth="1"/>
    <col min="8706" max="8960" width="11.5546875" style="245"/>
    <col min="8961" max="8961" width="16.109375" style="245" bestFit="1" customWidth="1"/>
    <col min="8962" max="9216" width="11.5546875" style="245"/>
    <col min="9217" max="9217" width="16.109375" style="245" bestFit="1" customWidth="1"/>
    <col min="9218" max="9472" width="11.5546875" style="245"/>
    <col min="9473" max="9473" width="16.109375" style="245" bestFit="1" customWidth="1"/>
    <col min="9474" max="9728" width="11.5546875" style="245"/>
    <col min="9729" max="9729" width="16.109375" style="245" bestFit="1" customWidth="1"/>
    <col min="9730" max="9984" width="11.5546875" style="245"/>
    <col min="9985" max="9985" width="16.109375" style="245" bestFit="1" customWidth="1"/>
    <col min="9986" max="10240" width="11.5546875" style="245"/>
    <col min="10241" max="10241" width="16.109375" style="245" bestFit="1" customWidth="1"/>
    <col min="10242" max="10496" width="11.5546875" style="245"/>
    <col min="10497" max="10497" width="16.109375" style="245" bestFit="1" customWidth="1"/>
    <col min="10498" max="10752" width="11.5546875" style="245"/>
    <col min="10753" max="10753" width="16.109375" style="245" bestFit="1" customWidth="1"/>
    <col min="10754" max="11008" width="11.5546875" style="245"/>
    <col min="11009" max="11009" width="16.109375" style="245" bestFit="1" customWidth="1"/>
    <col min="11010" max="11264" width="11.5546875" style="245"/>
    <col min="11265" max="11265" width="16.109375" style="245" bestFit="1" customWidth="1"/>
    <col min="11266" max="11520" width="11.5546875" style="245"/>
    <col min="11521" max="11521" width="16.109375" style="245" bestFit="1" customWidth="1"/>
    <col min="11522" max="11776" width="11.5546875" style="245"/>
    <col min="11777" max="11777" width="16.109375" style="245" bestFit="1" customWidth="1"/>
    <col min="11778" max="12032" width="11.5546875" style="245"/>
    <col min="12033" max="12033" width="16.109375" style="245" bestFit="1" customWidth="1"/>
    <col min="12034" max="12288" width="11.5546875" style="245"/>
    <col min="12289" max="12289" width="16.109375" style="245" bestFit="1" customWidth="1"/>
    <col min="12290" max="12544" width="11.5546875" style="245"/>
    <col min="12545" max="12545" width="16.109375" style="245" bestFit="1" customWidth="1"/>
    <col min="12546" max="12800" width="11.5546875" style="245"/>
    <col min="12801" max="12801" width="16.109375" style="245" bestFit="1" customWidth="1"/>
    <col min="12802" max="13056" width="11.5546875" style="245"/>
    <col min="13057" max="13057" width="16.109375" style="245" bestFit="1" customWidth="1"/>
    <col min="13058" max="13312" width="11.5546875" style="245"/>
    <col min="13313" max="13313" width="16.109375" style="245" bestFit="1" customWidth="1"/>
    <col min="13314" max="13568" width="11.5546875" style="245"/>
    <col min="13569" max="13569" width="16.109375" style="245" bestFit="1" customWidth="1"/>
    <col min="13570" max="13824" width="11.5546875" style="245"/>
    <col min="13825" max="13825" width="16.109375" style="245" bestFit="1" customWidth="1"/>
    <col min="13826" max="14080" width="11.5546875" style="245"/>
    <col min="14081" max="14081" width="16.109375" style="245" bestFit="1" customWidth="1"/>
    <col min="14082" max="14336" width="11.5546875" style="245"/>
    <col min="14337" max="14337" width="16.109375" style="245" bestFit="1" customWidth="1"/>
    <col min="14338" max="14592" width="11.5546875" style="245"/>
    <col min="14593" max="14593" width="16.109375" style="245" bestFit="1" customWidth="1"/>
    <col min="14594" max="14848" width="11.5546875" style="245"/>
    <col min="14849" max="14849" width="16.109375" style="245" bestFit="1" customWidth="1"/>
    <col min="14850" max="15104" width="11.5546875" style="245"/>
    <col min="15105" max="15105" width="16.109375" style="245" bestFit="1" customWidth="1"/>
    <col min="15106" max="15360" width="11.5546875" style="245"/>
    <col min="15361" max="15361" width="16.109375" style="245" bestFit="1" customWidth="1"/>
    <col min="15362" max="15616" width="11.5546875" style="245"/>
    <col min="15617" max="15617" width="16.109375" style="245" bestFit="1" customWidth="1"/>
    <col min="15618" max="15872" width="11.5546875" style="245"/>
    <col min="15873" max="15873" width="16.109375" style="245" bestFit="1" customWidth="1"/>
    <col min="15874" max="16128" width="11.5546875" style="245"/>
    <col min="16129" max="16129" width="16.109375" style="245" bestFit="1" customWidth="1"/>
    <col min="16130" max="16384" width="11.5546875" style="245"/>
  </cols>
  <sheetData>
    <row r="1" spans="1:8">
      <c r="A1" s="547" t="s">
        <v>733</v>
      </c>
      <c r="B1" s="546">
        <v>0</v>
      </c>
      <c r="C1" s="546">
        <v>8</v>
      </c>
      <c r="D1" s="546">
        <v>10</v>
      </c>
      <c r="E1" s="546">
        <v>12</v>
      </c>
      <c r="F1" s="545">
        <v>14</v>
      </c>
    </row>
    <row r="2" spans="1:8" ht="16.2" thickBot="1">
      <c r="A2" s="544" t="s">
        <v>732</v>
      </c>
      <c r="B2" s="543" t="s">
        <v>341</v>
      </c>
      <c r="C2" s="543" t="s">
        <v>350</v>
      </c>
      <c r="D2" s="543" t="s">
        <v>224</v>
      </c>
      <c r="E2" s="543" t="s">
        <v>228</v>
      </c>
      <c r="F2" s="542" t="s">
        <v>230</v>
      </c>
    </row>
    <row r="3" spans="1:8" ht="16.2" thickBot="1">
      <c r="B3" s="540"/>
      <c r="C3" s="540"/>
      <c r="D3" s="540"/>
      <c r="E3" s="540"/>
      <c r="F3" s="540"/>
    </row>
    <row r="4" spans="1:8" ht="16.2" thickBot="1">
      <c r="A4" s="249" t="s">
        <v>731</v>
      </c>
      <c r="B4" s="541">
        <f>COUNTIF($F$9:$F$26,"E")</f>
        <v>1</v>
      </c>
      <c r="C4" s="541">
        <f>COUNTIF($F$9:$F$26,"D")</f>
        <v>3</v>
      </c>
      <c r="D4" s="541">
        <f>COUNTIF($F$9:$F$26,"C")</f>
        <v>4</v>
      </c>
      <c r="E4" s="541">
        <f>COUNTIF($F$9:$F$26,"B")</f>
        <v>3</v>
      </c>
      <c r="F4" s="541">
        <f>COUNTIF($F$9:$F$26,"A")</f>
        <v>7</v>
      </c>
      <c r="G4" s="540">
        <f>SUM(B4:F4)</f>
        <v>18</v>
      </c>
      <c r="H4" s="540"/>
    </row>
    <row r="5" spans="1:8" ht="16.2" thickBot="1">
      <c r="G5" s="539"/>
    </row>
    <row r="6" spans="1:8">
      <c r="A6" s="538" t="s">
        <v>730</v>
      </c>
      <c r="B6" s="537" t="s">
        <v>729</v>
      </c>
      <c r="C6" s="537" t="s">
        <v>728</v>
      </c>
      <c r="D6" s="536" t="s">
        <v>727</v>
      </c>
      <c r="E6" s="660" t="s">
        <v>726</v>
      </c>
      <c r="F6" s="661"/>
      <c r="G6" s="535" t="s">
        <v>357</v>
      </c>
    </row>
    <row r="7" spans="1:8">
      <c r="A7" s="533"/>
      <c r="B7" s="534"/>
      <c r="C7" s="534"/>
      <c r="D7" s="529"/>
      <c r="E7" s="533" t="s">
        <v>725</v>
      </c>
      <c r="F7" s="529" t="s">
        <v>724</v>
      </c>
      <c r="G7" s="528"/>
    </row>
    <row r="8" spans="1:8">
      <c r="A8" s="533"/>
      <c r="B8" s="532">
        <v>0.05</v>
      </c>
      <c r="C8" s="532">
        <v>0.25</v>
      </c>
      <c r="D8" s="531">
        <v>0.7</v>
      </c>
      <c r="E8" s="530">
        <f>SUM(B8:D8)</f>
        <v>1</v>
      </c>
      <c r="F8" s="529"/>
      <c r="G8" s="528"/>
    </row>
    <row r="9" spans="1:8">
      <c r="A9" s="526" t="s">
        <v>723</v>
      </c>
      <c r="B9" s="245">
        <v>6</v>
      </c>
      <c r="C9" s="245">
        <v>4.5</v>
      </c>
      <c r="D9" s="525">
        <v>7</v>
      </c>
      <c r="E9" s="524">
        <f t="shared" ref="E9:E26" si="0">((B9/20*B$8)+(C9/20*C$8)+(D9/20*D$8))*20</f>
        <v>6.3249999999999993</v>
      </c>
      <c r="F9" s="518" t="str">
        <f t="shared" ref="F9:F28" si="1">IF(ISBLANK(E9),"",HLOOKUP(E9,$B$1:$F$2,2))</f>
        <v>E</v>
      </c>
      <c r="G9" s="527">
        <f t="shared" ref="G9:G26" si="2">RANK(E9,$E$9:$E$26,0)</f>
        <v>18</v>
      </c>
    </row>
    <row r="10" spans="1:8">
      <c r="A10" s="526" t="s">
        <v>722</v>
      </c>
      <c r="B10" s="245">
        <v>15</v>
      </c>
      <c r="C10" s="245">
        <v>15</v>
      </c>
      <c r="D10" s="525">
        <v>14</v>
      </c>
      <c r="E10" s="524">
        <f t="shared" si="0"/>
        <v>14.299999999999999</v>
      </c>
      <c r="F10" s="518" t="str">
        <f t="shared" si="1"/>
        <v>A</v>
      </c>
      <c r="G10" s="527">
        <f t="shared" si="2"/>
        <v>7</v>
      </c>
    </row>
    <row r="11" spans="1:8">
      <c r="A11" s="526" t="s">
        <v>721</v>
      </c>
      <c r="B11" s="245">
        <v>15</v>
      </c>
      <c r="C11" s="245">
        <v>15</v>
      </c>
      <c r="D11" s="525">
        <v>16</v>
      </c>
      <c r="E11" s="524">
        <f t="shared" si="0"/>
        <v>15.7</v>
      </c>
      <c r="F11" s="518" t="str">
        <f t="shared" si="1"/>
        <v>A</v>
      </c>
      <c r="G11" s="527">
        <f t="shared" si="2"/>
        <v>5</v>
      </c>
    </row>
    <row r="12" spans="1:8">
      <c r="A12" s="526" t="s">
        <v>720</v>
      </c>
      <c r="B12" s="245">
        <v>7</v>
      </c>
      <c r="C12" s="245">
        <v>7</v>
      </c>
      <c r="D12" s="525">
        <v>8.5</v>
      </c>
      <c r="E12" s="524">
        <f t="shared" si="0"/>
        <v>8.0499999999999989</v>
      </c>
      <c r="F12" s="518" t="str">
        <f t="shared" si="1"/>
        <v>D</v>
      </c>
      <c r="G12" s="527">
        <f t="shared" si="2"/>
        <v>17</v>
      </c>
    </row>
    <row r="13" spans="1:8">
      <c r="A13" s="526" t="s">
        <v>719</v>
      </c>
      <c r="B13" s="245">
        <v>14</v>
      </c>
      <c r="C13" s="245">
        <v>15</v>
      </c>
      <c r="D13" s="525">
        <v>17</v>
      </c>
      <c r="E13" s="524">
        <f t="shared" si="0"/>
        <v>16.350000000000001</v>
      </c>
      <c r="F13" s="518" t="str">
        <f t="shared" si="1"/>
        <v>A</v>
      </c>
      <c r="G13" s="527">
        <f t="shared" si="2"/>
        <v>1</v>
      </c>
    </row>
    <row r="14" spans="1:8">
      <c r="A14" s="526" t="s">
        <v>718</v>
      </c>
      <c r="B14" s="245">
        <v>12</v>
      </c>
      <c r="C14" s="245">
        <v>13</v>
      </c>
      <c r="D14" s="525">
        <v>10.8</v>
      </c>
      <c r="E14" s="524">
        <f t="shared" si="0"/>
        <v>11.41</v>
      </c>
      <c r="F14" s="518" t="str">
        <f t="shared" si="1"/>
        <v>C</v>
      </c>
      <c r="G14" s="527">
        <f t="shared" si="2"/>
        <v>13</v>
      </c>
    </row>
    <row r="15" spans="1:8">
      <c r="A15" s="526" t="s">
        <v>717</v>
      </c>
      <c r="B15" s="245">
        <v>10</v>
      </c>
      <c r="C15" s="245">
        <v>11</v>
      </c>
      <c r="D15" s="525">
        <v>12</v>
      </c>
      <c r="E15" s="524">
        <f t="shared" si="0"/>
        <v>11.65</v>
      </c>
      <c r="F15" s="518" t="str">
        <f t="shared" si="1"/>
        <v>C</v>
      </c>
      <c r="G15" s="527">
        <f t="shared" si="2"/>
        <v>12</v>
      </c>
    </row>
    <row r="16" spans="1:8">
      <c r="A16" s="526" t="s">
        <v>716</v>
      </c>
      <c r="B16" s="245">
        <v>9</v>
      </c>
      <c r="C16" s="245">
        <v>5</v>
      </c>
      <c r="D16" s="525">
        <v>11.7</v>
      </c>
      <c r="E16" s="524">
        <f t="shared" si="0"/>
        <v>9.89</v>
      </c>
      <c r="F16" s="518" t="str">
        <f t="shared" si="1"/>
        <v>D</v>
      </c>
      <c r="G16" s="527">
        <f t="shared" si="2"/>
        <v>15</v>
      </c>
    </row>
    <row r="17" spans="1:7">
      <c r="A17" s="526" t="s">
        <v>715</v>
      </c>
      <c r="B17" s="245">
        <v>7</v>
      </c>
      <c r="C17" s="245">
        <v>8</v>
      </c>
      <c r="D17" s="525">
        <v>14</v>
      </c>
      <c r="E17" s="524">
        <f t="shared" si="0"/>
        <v>12.149999999999999</v>
      </c>
      <c r="F17" s="518" t="str">
        <f t="shared" si="1"/>
        <v>B</v>
      </c>
      <c r="G17" s="527">
        <f t="shared" si="2"/>
        <v>10</v>
      </c>
    </row>
    <row r="18" spans="1:7">
      <c r="A18" s="526" t="s">
        <v>714</v>
      </c>
      <c r="B18" s="245">
        <v>17</v>
      </c>
      <c r="C18" s="245">
        <v>18</v>
      </c>
      <c r="D18" s="525">
        <v>15</v>
      </c>
      <c r="E18" s="524">
        <f t="shared" si="0"/>
        <v>15.85</v>
      </c>
      <c r="F18" s="518" t="str">
        <f t="shared" si="1"/>
        <v>A</v>
      </c>
      <c r="G18" s="527">
        <f t="shared" si="2"/>
        <v>4</v>
      </c>
    </row>
    <row r="19" spans="1:7">
      <c r="A19" s="526" t="s">
        <v>713</v>
      </c>
      <c r="B19" s="245">
        <v>16</v>
      </c>
      <c r="C19" s="245">
        <v>16</v>
      </c>
      <c r="D19" s="525">
        <v>16.5</v>
      </c>
      <c r="E19" s="524">
        <f t="shared" si="0"/>
        <v>16.349999999999998</v>
      </c>
      <c r="F19" s="518" t="str">
        <f t="shared" si="1"/>
        <v>A</v>
      </c>
      <c r="G19" s="527">
        <f t="shared" si="2"/>
        <v>2</v>
      </c>
    </row>
    <row r="20" spans="1:7">
      <c r="A20" s="526" t="s">
        <v>712</v>
      </c>
      <c r="B20" s="245">
        <v>14</v>
      </c>
      <c r="C20" s="245">
        <v>11</v>
      </c>
      <c r="D20" s="525">
        <v>12</v>
      </c>
      <c r="E20" s="524">
        <f t="shared" si="0"/>
        <v>11.850000000000001</v>
      </c>
      <c r="F20" s="518" t="str">
        <f t="shared" si="1"/>
        <v>C</v>
      </c>
      <c r="G20" s="527">
        <f t="shared" si="2"/>
        <v>11</v>
      </c>
    </row>
    <row r="21" spans="1:7">
      <c r="A21" s="526" t="s">
        <v>711</v>
      </c>
      <c r="B21" s="245">
        <v>15</v>
      </c>
      <c r="C21" s="245">
        <v>12</v>
      </c>
      <c r="D21" s="525">
        <v>16</v>
      </c>
      <c r="E21" s="524">
        <f t="shared" si="0"/>
        <v>14.95</v>
      </c>
      <c r="F21" s="518" t="str">
        <f t="shared" si="1"/>
        <v>A</v>
      </c>
      <c r="G21" s="527">
        <f t="shared" si="2"/>
        <v>6</v>
      </c>
    </row>
    <row r="22" spans="1:7">
      <c r="A22" s="526" t="s">
        <v>710</v>
      </c>
      <c r="B22" s="245">
        <v>11</v>
      </c>
      <c r="C22" s="245">
        <v>12</v>
      </c>
      <c r="D22" s="525">
        <v>11</v>
      </c>
      <c r="E22" s="524">
        <f t="shared" si="0"/>
        <v>11.25</v>
      </c>
      <c r="F22" s="518" t="str">
        <f t="shared" si="1"/>
        <v>C</v>
      </c>
      <c r="G22" s="527">
        <f t="shared" si="2"/>
        <v>14</v>
      </c>
    </row>
    <row r="23" spans="1:7">
      <c r="A23" s="526" t="s">
        <v>709</v>
      </c>
      <c r="B23" s="245">
        <v>14</v>
      </c>
      <c r="C23" s="245">
        <v>10</v>
      </c>
      <c r="D23" s="525">
        <v>12.8</v>
      </c>
      <c r="E23" s="524">
        <f t="shared" si="0"/>
        <v>12.16</v>
      </c>
      <c r="F23" s="518" t="str">
        <f t="shared" si="1"/>
        <v>B</v>
      </c>
      <c r="G23" s="527">
        <f t="shared" si="2"/>
        <v>9</v>
      </c>
    </row>
    <row r="24" spans="1:7">
      <c r="A24" s="526" t="s">
        <v>708</v>
      </c>
      <c r="B24" s="245">
        <v>15</v>
      </c>
      <c r="C24" s="245">
        <v>14</v>
      </c>
      <c r="D24" s="525">
        <v>17</v>
      </c>
      <c r="E24" s="524">
        <f t="shared" si="0"/>
        <v>16.149999999999999</v>
      </c>
      <c r="F24" s="518" t="str">
        <f t="shared" si="1"/>
        <v>A</v>
      </c>
      <c r="G24" s="527">
        <f t="shared" si="2"/>
        <v>3</v>
      </c>
    </row>
    <row r="25" spans="1:7">
      <c r="A25" s="526" t="s">
        <v>707</v>
      </c>
      <c r="B25" s="245">
        <v>10</v>
      </c>
      <c r="C25" s="245">
        <v>12</v>
      </c>
      <c r="D25" s="525">
        <v>14</v>
      </c>
      <c r="E25" s="524">
        <f t="shared" si="0"/>
        <v>13.299999999999999</v>
      </c>
      <c r="F25" s="518" t="str">
        <f t="shared" si="1"/>
        <v>B</v>
      </c>
      <c r="G25" s="527">
        <f t="shared" si="2"/>
        <v>8</v>
      </c>
    </row>
    <row r="26" spans="1:7">
      <c r="A26" s="526" t="s">
        <v>606</v>
      </c>
      <c r="B26" s="245">
        <v>16</v>
      </c>
      <c r="C26" s="245">
        <v>10</v>
      </c>
      <c r="D26" s="525">
        <v>8</v>
      </c>
      <c r="E26" s="524">
        <f t="shared" si="0"/>
        <v>8.8999999999999986</v>
      </c>
      <c r="F26" s="518" t="str">
        <f t="shared" si="1"/>
        <v>D</v>
      </c>
      <c r="G26" s="527">
        <f t="shared" si="2"/>
        <v>16</v>
      </c>
    </row>
    <row r="27" spans="1:7">
      <c r="A27" s="526"/>
      <c r="D27" s="525"/>
      <c r="E27" s="524"/>
      <c r="F27" s="518" t="str">
        <f t="shared" si="1"/>
        <v/>
      </c>
      <c r="G27" s="523"/>
    </row>
    <row r="28" spans="1:7" ht="16.2" thickBot="1">
      <c r="A28" s="522"/>
      <c r="B28" s="521"/>
      <c r="C28" s="521"/>
      <c r="D28" s="520"/>
      <c r="E28" s="519"/>
      <c r="F28" s="518" t="str">
        <f t="shared" si="1"/>
        <v/>
      </c>
      <c r="G28" s="517"/>
    </row>
    <row r="29" spans="1:7" s="515" customFormat="1" ht="15" customHeight="1" thickBot="1">
      <c r="A29" s="245"/>
      <c r="B29" s="516">
        <f>AVERAGE(B9:B26)</f>
        <v>12.388888888888889</v>
      </c>
      <c r="C29" s="516">
        <f>AVERAGE(C9:C26)</f>
        <v>11.583333333333334</v>
      </c>
      <c r="D29" s="516">
        <f>AVERAGE(D9:D26)</f>
        <v>12.961111111111112</v>
      </c>
      <c r="E29" s="511"/>
    </row>
    <row r="30" spans="1:7" ht="16.2" thickBot="1">
      <c r="C30" s="514" t="s">
        <v>706</v>
      </c>
      <c r="D30" s="513"/>
      <c r="E30" s="511"/>
      <c r="F30" s="512">
        <f>COUNTA(A9:A28)</f>
        <v>18</v>
      </c>
      <c r="G30" s="511"/>
    </row>
  </sheetData>
  <mergeCells count="1">
    <mergeCell ref="E6:F6"/>
  </mergeCells>
  <conditionalFormatting sqref="F9:F28">
    <cfRule type="cellIs" dxfId="1" priority="2" operator="lessThan">
      <formula>10</formula>
    </cfRule>
  </conditionalFormatting>
  <conditionalFormatting sqref="B9:E28">
    <cfRule type="cellIs" dxfId="0" priority="1" operator="between">
      <formula>0</formula>
      <formula>9.9</formula>
    </cfRule>
  </conditionalFormatting>
  <pageMargins left="0.78740157499999996" right="0.78740157499999996" top="0.984251969" bottom="0.984251969" header="0.4921259845" footer="0.4921259845"/>
  <pageSetup paperSize="9" orientation="portrait" horizontalDpi="300" verticalDpi="300" r:id="rId1"/>
  <headerFooter alignWithMargins="0"/>
  <drawing r:id="rId2"/>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E37536-BAF2-4157-B745-46633D9591DF}">
  <dimension ref="A1:G15"/>
  <sheetViews>
    <sheetView workbookViewId="0">
      <selection activeCell="H11" sqref="H11"/>
    </sheetView>
  </sheetViews>
  <sheetFormatPr baseColWidth="10" defaultColWidth="11.44140625" defaultRowHeight="15.6"/>
  <cols>
    <col min="1" max="1" width="13" style="548" bestFit="1" customWidth="1"/>
    <col min="2" max="2" width="16.109375" style="548" bestFit="1" customWidth="1"/>
    <col min="3" max="3" width="15.33203125" style="548" bestFit="1" customWidth="1"/>
    <col min="4" max="4" width="13.33203125" style="548" bestFit="1" customWidth="1"/>
    <col min="5" max="5" width="15.33203125" style="548" bestFit="1" customWidth="1"/>
    <col min="6" max="6" width="13.33203125" style="548" bestFit="1" customWidth="1"/>
    <col min="7" max="7" width="15.33203125" style="548" bestFit="1" customWidth="1"/>
    <col min="8" max="8" width="5.33203125" style="548" customWidth="1"/>
    <col min="9" max="16384" width="11.44140625" style="548"/>
  </cols>
  <sheetData>
    <row r="1" spans="1:7" s="567" customFormat="1">
      <c r="B1" s="662" t="s">
        <v>742</v>
      </c>
      <c r="C1" s="662"/>
      <c r="D1" s="662" t="s">
        <v>741</v>
      </c>
      <c r="E1" s="662"/>
      <c r="F1" s="662" t="s">
        <v>740</v>
      </c>
      <c r="G1" s="662"/>
    </row>
    <row r="2" spans="1:7" s="574" customFormat="1" ht="16.2" thickBot="1">
      <c r="A2" s="576"/>
      <c r="B2" s="575" t="s">
        <v>739</v>
      </c>
      <c r="C2" s="575" t="s">
        <v>738</v>
      </c>
      <c r="D2" s="575" t="s">
        <v>739</v>
      </c>
      <c r="E2" s="575" t="s">
        <v>738</v>
      </c>
      <c r="F2" s="575" t="s">
        <v>739</v>
      </c>
      <c r="G2" s="575" t="s">
        <v>738</v>
      </c>
    </row>
    <row r="3" spans="1:7" ht="18" thickBot="1">
      <c r="A3" s="571" t="s">
        <v>737</v>
      </c>
      <c r="B3" s="573">
        <v>5200</v>
      </c>
      <c r="C3" s="568">
        <f>IF($B$11&gt;B3,$C$11,IF($B$12&gt;B3&gt;$A$12,$C$12,IF(B3&gt;$A$13,$C$13,"")))</f>
        <v>0.06</v>
      </c>
      <c r="D3" s="573">
        <v>8676</v>
      </c>
      <c r="E3" s="568">
        <f>IF($B$11&gt;D3,$C$11,IF($B$12&gt;D3&gt;$A$12,$C$12,IF(D3&gt;$A$13,$C$13,"")))</f>
        <v>0.1</v>
      </c>
      <c r="F3" s="572">
        <f>B3+D3</f>
        <v>13876</v>
      </c>
      <c r="G3" s="568">
        <f>IF($B$11&gt;F3,$C$11,IF($B$12&gt;F3&gt;$A$12,$C$12,IF(F3&gt;$A$13,$C$13,"")))</f>
        <v>0.1</v>
      </c>
    </row>
    <row r="4" spans="1:7" ht="18.600000000000001" thickTop="1" thickBot="1">
      <c r="A4" s="571" t="s">
        <v>586</v>
      </c>
      <c r="B4" s="572">
        <v>11155</v>
      </c>
      <c r="C4" s="568">
        <f>IF($B$11&gt;B4,$C$11,IF($B$12&gt;B4&gt;$A$12,$C$12,IF(B4&gt;$A$13,$C$13,"")))</f>
        <v>0.1</v>
      </c>
      <c r="D4" s="572">
        <v>12890</v>
      </c>
      <c r="E4" s="568">
        <f>IF($B$11&gt;D4,$C$11,IF($B$12&gt;D4&gt;$A$12,$C$12,IF(D4&gt;$A$13,$C$13,"")))</f>
        <v>0.1</v>
      </c>
      <c r="F4" s="572">
        <f>B4+D4</f>
        <v>24045</v>
      </c>
      <c r="G4" s="568">
        <f>IF($B$11&gt;F4,$C$11,IF($B$12&gt;F4&gt;$A$12,$C$12,IF(F4&gt;$A$13,$C$13,"")))</f>
        <v>0.1</v>
      </c>
    </row>
    <row r="5" spans="1:7" ht="18.600000000000001" thickTop="1" thickBot="1">
      <c r="A5" s="571" t="s">
        <v>48</v>
      </c>
      <c r="B5" s="572">
        <v>2231</v>
      </c>
      <c r="C5" s="568">
        <f>IF($B$11&gt;B5,$C$11,IF($B$12&gt;B5&gt;$A$12,$C$12,IF(B5&gt;$A$13,$C$13,"")))</f>
        <v>0.06</v>
      </c>
      <c r="D5" s="572">
        <v>4462</v>
      </c>
      <c r="E5" s="568">
        <f>IF($B$11&gt;D5,$C$11,IF($B$12&gt;D5&gt;$A$12,$C$12,IF(D5&gt;$A$13,$C$13,"")))</f>
        <v>0.06</v>
      </c>
      <c r="F5" s="572">
        <f>B5+D5</f>
        <v>6693</v>
      </c>
      <c r="G5" s="568">
        <f>IF($B$11&gt;F5,$C$11,IF($B$12&gt;F5&gt;$A$12,$C$12,IF(F5&gt;$A$13,$C$13,"")))</f>
        <v>0.06</v>
      </c>
    </row>
    <row r="6" spans="1:7" ht="18.600000000000001" thickTop="1" thickBot="1">
      <c r="A6" s="571" t="s">
        <v>249</v>
      </c>
      <c r="B6" s="570">
        <v>29747</v>
      </c>
      <c r="C6" s="568">
        <f>IF($B$11&gt;B6,$C$11,IF($B$12&gt;B6&gt;$A$12,$C$12,IF(B6&gt;$A$13,$C$13,"")))</f>
        <v>0.1</v>
      </c>
      <c r="D6" s="570">
        <v>22310</v>
      </c>
      <c r="E6" s="568">
        <f>IF($B$11&gt;D6,$C$11,IF($B$12&gt;D6&gt;$A$12,$C$12,IF(D6&gt;$A$13,$C$13,"")))</f>
        <v>0.1</v>
      </c>
      <c r="F6" s="569">
        <f>B6+D6</f>
        <v>52057</v>
      </c>
      <c r="G6" s="568">
        <f>IF($B$11&gt;F6,$C$11,IF($B$12&gt;F6&gt;$A$12,$C$12,IF(F6&gt;$A$13,$C$13,"")))</f>
        <v>0.1</v>
      </c>
    </row>
    <row r="7" spans="1:7" s="563" customFormat="1" ht="16.8" thickTop="1" thickBot="1">
      <c r="A7" s="567" t="s">
        <v>736</v>
      </c>
      <c r="B7" s="566"/>
      <c r="C7" s="566"/>
      <c r="D7" s="566"/>
      <c r="E7" s="566"/>
      <c r="F7" s="565">
        <f>SUM(F3:F6)</f>
        <v>96671</v>
      </c>
      <c r="G7" s="564">
        <f>SUM(G3:G6)</f>
        <v>0.36</v>
      </c>
    </row>
    <row r="8" spans="1:7">
      <c r="B8" s="561"/>
      <c r="C8" s="562"/>
      <c r="D8" s="561"/>
      <c r="E8" s="562"/>
      <c r="F8" s="561"/>
      <c r="G8" s="560">
        <f>F7*G7</f>
        <v>34801.56</v>
      </c>
    </row>
    <row r="9" spans="1:7">
      <c r="C9" s="559"/>
      <c r="D9"/>
    </row>
    <row r="10" spans="1:7" ht="16.2" thickBot="1">
      <c r="A10" s="558" t="s">
        <v>735</v>
      </c>
      <c r="B10" s="558" t="s">
        <v>734</v>
      </c>
      <c r="C10" s="558" t="s">
        <v>509</v>
      </c>
      <c r="D10"/>
    </row>
    <row r="11" spans="1:7">
      <c r="A11" s="557">
        <v>0</v>
      </c>
      <c r="B11" s="556">
        <v>7500</v>
      </c>
      <c r="C11" s="555">
        <v>0.06</v>
      </c>
      <c r="D11"/>
    </row>
    <row r="12" spans="1:7">
      <c r="A12" s="554">
        <f>B11</f>
        <v>7500</v>
      </c>
      <c r="B12" s="553">
        <v>25000</v>
      </c>
      <c r="C12" s="552">
        <v>0.1</v>
      </c>
      <c r="D12"/>
    </row>
    <row r="13" spans="1:7" ht="16.2" thickBot="1">
      <c r="A13" s="551">
        <f>B12</f>
        <v>25000</v>
      </c>
      <c r="B13" s="550"/>
      <c r="C13" s="549">
        <v>0.12</v>
      </c>
      <c r="D13"/>
    </row>
    <row r="14" spans="1:7">
      <c r="D14"/>
    </row>
    <row r="15" spans="1:7">
      <c r="D15"/>
    </row>
  </sheetData>
  <mergeCells count="3">
    <mergeCell ref="B1:C1"/>
    <mergeCell ref="D1:E1"/>
    <mergeCell ref="F1:G1"/>
  </mergeCells>
  <printOptions gridLines="1"/>
  <pageMargins left="0.78740157480314965" right="0.78740157480314965" top="0.98425196850393704" bottom="0.98425196850393704" header="0.51181102362204722" footer="0.51181102362204722"/>
  <pageSetup paperSize="9" orientation="landscape" r:id="rId1"/>
  <headerFooter alignWithMargins="0"/>
  <drawing r:id="rId2"/>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51EB5B-E511-4D88-86AB-A3F635727355}">
  <dimension ref="A1:K18"/>
  <sheetViews>
    <sheetView zoomScale="85" zoomScaleNormal="85" workbookViewId="0">
      <selection activeCell="E4" sqref="E4"/>
    </sheetView>
  </sheetViews>
  <sheetFormatPr baseColWidth="10" defaultRowHeight="15.6"/>
  <cols>
    <col min="1" max="1" width="9.5546875" style="245" customWidth="1"/>
    <col min="2" max="2" width="16.109375" style="245" bestFit="1" customWidth="1"/>
    <col min="3" max="3" width="10.109375" style="245" customWidth="1"/>
    <col min="4" max="4" width="17.88671875" style="245" bestFit="1" customWidth="1"/>
    <col min="5" max="5" width="9" style="245" bestFit="1" customWidth="1"/>
    <col min="6" max="6" width="13.6640625" style="245" bestFit="1" customWidth="1"/>
    <col min="7" max="7" width="10" style="245" bestFit="1" customWidth="1"/>
    <col min="8" max="8" width="13.6640625" style="245" bestFit="1" customWidth="1"/>
    <col min="9" max="255" width="11.5546875" style="245"/>
    <col min="256" max="256" width="8.5546875" style="245" bestFit="1" customWidth="1"/>
    <col min="257" max="257" width="15.88671875" style="245" bestFit="1" customWidth="1"/>
    <col min="258" max="258" width="9.6640625" style="245" bestFit="1" customWidth="1"/>
    <col min="259" max="259" width="17.6640625" style="245" bestFit="1" customWidth="1"/>
    <col min="260" max="261" width="8.88671875" style="245" bestFit="1" customWidth="1"/>
    <col min="262" max="262" width="10" style="245" bestFit="1" customWidth="1"/>
    <col min="263" max="511" width="11.5546875" style="245"/>
    <col min="512" max="512" width="8.5546875" style="245" bestFit="1" customWidth="1"/>
    <col min="513" max="513" width="15.88671875" style="245" bestFit="1" customWidth="1"/>
    <col min="514" max="514" width="9.6640625" style="245" bestFit="1" customWidth="1"/>
    <col min="515" max="515" width="17.6640625" style="245" bestFit="1" customWidth="1"/>
    <col min="516" max="517" width="8.88671875" style="245" bestFit="1" customWidth="1"/>
    <col min="518" max="518" width="10" style="245" bestFit="1" customWidth="1"/>
    <col min="519" max="767" width="11.5546875" style="245"/>
    <col min="768" max="768" width="8.5546875" style="245" bestFit="1" customWidth="1"/>
    <col min="769" max="769" width="15.88671875" style="245" bestFit="1" customWidth="1"/>
    <col min="770" max="770" width="9.6640625" style="245" bestFit="1" customWidth="1"/>
    <col min="771" max="771" width="17.6640625" style="245" bestFit="1" customWidth="1"/>
    <col min="772" max="773" width="8.88671875" style="245" bestFit="1" customWidth="1"/>
    <col min="774" max="774" width="10" style="245" bestFit="1" customWidth="1"/>
    <col min="775" max="1023" width="11.5546875" style="245"/>
    <col min="1024" max="1024" width="8.5546875" style="245" bestFit="1" customWidth="1"/>
    <col min="1025" max="1025" width="15.88671875" style="245" bestFit="1" customWidth="1"/>
    <col min="1026" max="1026" width="9.6640625" style="245" bestFit="1" customWidth="1"/>
    <col min="1027" max="1027" width="17.6640625" style="245" bestFit="1" customWidth="1"/>
    <col min="1028" max="1029" width="8.88671875" style="245" bestFit="1" customWidth="1"/>
    <col min="1030" max="1030" width="10" style="245" bestFit="1" customWidth="1"/>
    <col min="1031" max="1279" width="11.5546875" style="245"/>
    <col min="1280" max="1280" width="8.5546875" style="245" bestFit="1" customWidth="1"/>
    <col min="1281" max="1281" width="15.88671875" style="245" bestFit="1" customWidth="1"/>
    <col min="1282" max="1282" width="9.6640625" style="245" bestFit="1" customWidth="1"/>
    <col min="1283" max="1283" width="17.6640625" style="245" bestFit="1" customWidth="1"/>
    <col min="1284" max="1285" width="8.88671875" style="245" bestFit="1" customWidth="1"/>
    <col min="1286" max="1286" width="10" style="245" bestFit="1" customWidth="1"/>
    <col min="1287" max="1535" width="11.5546875" style="245"/>
    <col min="1536" max="1536" width="8.5546875" style="245" bestFit="1" customWidth="1"/>
    <col min="1537" max="1537" width="15.88671875" style="245" bestFit="1" customWidth="1"/>
    <col min="1538" max="1538" width="9.6640625" style="245" bestFit="1" customWidth="1"/>
    <col min="1539" max="1539" width="17.6640625" style="245" bestFit="1" customWidth="1"/>
    <col min="1540" max="1541" width="8.88671875" style="245" bestFit="1" customWidth="1"/>
    <col min="1542" max="1542" width="10" style="245" bestFit="1" customWidth="1"/>
    <col min="1543" max="1791" width="11.5546875" style="245"/>
    <col min="1792" max="1792" width="8.5546875" style="245" bestFit="1" customWidth="1"/>
    <col min="1793" max="1793" width="15.88671875" style="245" bestFit="1" customWidth="1"/>
    <col min="1794" max="1794" width="9.6640625" style="245" bestFit="1" customWidth="1"/>
    <col min="1795" max="1795" width="17.6640625" style="245" bestFit="1" customWidth="1"/>
    <col min="1796" max="1797" width="8.88671875" style="245" bestFit="1" customWidth="1"/>
    <col min="1798" max="1798" width="10" style="245" bestFit="1" customWidth="1"/>
    <col min="1799" max="2047" width="11.5546875" style="245"/>
    <col min="2048" max="2048" width="8.5546875" style="245" bestFit="1" customWidth="1"/>
    <col min="2049" max="2049" width="15.88671875" style="245" bestFit="1" customWidth="1"/>
    <col min="2050" max="2050" width="9.6640625" style="245" bestFit="1" customWidth="1"/>
    <col min="2051" max="2051" width="17.6640625" style="245" bestFit="1" customWidth="1"/>
    <col min="2052" max="2053" width="8.88671875" style="245" bestFit="1" customWidth="1"/>
    <col min="2054" max="2054" width="10" style="245" bestFit="1" customWidth="1"/>
    <col min="2055" max="2303" width="11.5546875" style="245"/>
    <col min="2304" max="2304" width="8.5546875" style="245" bestFit="1" customWidth="1"/>
    <col min="2305" max="2305" width="15.88671875" style="245" bestFit="1" customWidth="1"/>
    <col min="2306" max="2306" width="9.6640625" style="245" bestFit="1" customWidth="1"/>
    <col min="2307" max="2307" width="17.6640625" style="245" bestFit="1" customWidth="1"/>
    <col min="2308" max="2309" width="8.88671875" style="245" bestFit="1" customWidth="1"/>
    <col min="2310" max="2310" width="10" style="245" bestFit="1" customWidth="1"/>
    <col min="2311" max="2559" width="11.5546875" style="245"/>
    <col min="2560" max="2560" width="8.5546875" style="245" bestFit="1" customWidth="1"/>
    <col min="2561" max="2561" width="15.88671875" style="245" bestFit="1" customWidth="1"/>
    <col min="2562" max="2562" width="9.6640625" style="245" bestFit="1" customWidth="1"/>
    <col min="2563" max="2563" width="17.6640625" style="245" bestFit="1" customWidth="1"/>
    <col min="2564" max="2565" width="8.88671875" style="245" bestFit="1" customWidth="1"/>
    <col min="2566" max="2566" width="10" style="245" bestFit="1" customWidth="1"/>
    <col min="2567" max="2815" width="11.5546875" style="245"/>
    <col min="2816" max="2816" width="8.5546875" style="245" bestFit="1" customWidth="1"/>
    <col min="2817" max="2817" width="15.88671875" style="245" bestFit="1" customWidth="1"/>
    <col min="2818" max="2818" width="9.6640625" style="245" bestFit="1" customWidth="1"/>
    <col min="2819" max="2819" width="17.6640625" style="245" bestFit="1" customWidth="1"/>
    <col min="2820" max="2821" width="8.88671875" style="245" bestFit="1" customWidth="1"/>
    <col min="2822" max="2822" width="10" style="245" bestFit="1" customWidth="1"/>
    <col min="2823" max="3071" width="11.5546875" style="245"/>
    <col min="3072" max="3072" width="8.5546875" style="245" bestFit="1" customWidth="1"/>
    <col min="3073" max="3073" width="15.88671875" style="245" bestFit="1" customWidth="1"/>
    <col min="3074" max="3074" width="9.6640625" style="245" bestFit="1" customWidth="1"/>
    <col min="3075" max="3075" width="17.6640625" style="245" bestFit="1" customWidth="1"/>
    <col min="3076" max="3077" width="8.88671875" style="245" bestFit="1" customWidth="1"/>
    <col min="3078" max="3078" width="10" style="245" bestFit="1" customWidth="1"/>
    <col min="3079" max="3327" width="11.5546875" style="245"/>
    <col min="3328" max="3328" width="8.5546875" style="245" bestFit="1" customWidth="1"/>
    <col min="3329" max="3329" width="15.88671875" style="245" bestFit="1" customWidth="1"/>
    <col min="3330" max="3330" width="9.6640625" style="245" bestFit="1" customWidth="1"/>
    <col min="3331" max="3331" width="17.6640625" style="245" bestFit="1" customWidth="1"/>
    <col min="3332" max="3333" width="8.88671875" style="245" bestFit="1" customWidth="1"/>
    <col min="3334" max="3334" width="10" style="245" bestFit="1" customWidth="1"/>
    <col min="3335" max="3583" width="11.5546875" style="245"/>
    <col min="3584" max="3584" width="8.5546875" style="245" bestFit="1" customWidth="1"/>
    <col min="3585" max="3585" width="15.88671875" style="245" bestFit="1" customWidth="1"/>
    <col min="3586" max="3586" width="9.6640625" style="245" bestFit="1" customWidth="1"/>
    <col min="3587" max="3587" width="17.6640625" style="245" bestFit="1" customWidth="1"/>
    <col min="3588" max="3589" width="8.88671875" style="245" bestFit="1" customWidth="1"/>
    <col min="3590" max="3590" width="10" style="245" bestFit="1" customWidth="1"/>
    <col min="3591" max="3839" width="11.5546875" style="245"/>
    <col min="3840" max="3840" width="8.5546875" style="245" bestFit="1" customWidth="1"/>
    <col min="3841" max="3841" width="15.88671875" style="245" bestFit="1" customWidth="1"/>
    <col min="3842" max="3842" width="9.6640625" style="245" bestFit="1" customWidth="1"/>
    <col min="3843" max="3843" width="17.6640625" style="245" bestFit="1" customWidth="1"/>
    <col min="3844" max="3845" width="8.88671875" style="245" bestFit="1" customWidth="1"/>
    <col min="3846" max="3846" width="10" style="245" bestFit="1" customWidth="1"/>
    <col min="3847" max="4095" width="11.5546875" style="245"/>
    <col min="4096" max="4096" width="8.5546875" style="245" bestFit="1" customWidth="1"/>
    <col min="4097" max="4097" width="15.88671875" style="245" bestFit="1" customWidth="1"/>
    <col min="4098" max="4098" width="9.6640625" style="245" bestFit="1" customWidth="1"/>
    <col min="4099" max="4099" width="17.6640625" style="245" bestFit="1" customWidth="1"/>
    <col min="4100" max="4101" width="8.88671875" style="245" bestFit="1" customWidth="1"/>
    <col min="4102" max="4102" width="10" style="245" bestFit="1" customWidth="1"/>
    <col min="4103" max="4351" width="11.5546875" style="245"/>
    <col min="4352" max="4352" width="8.5546875" style="245" bestFit="1" customWidth="1"/>
    <col min="4353" max="4353" width="15.88671875" style="245" bestFit="1" customWidth="1"/>
    <col min="4354" max="4354" width="9.6640625" style="245" bestFit="1" customWidth="1"/>
    <col min="4355" max="4355" width="17.6640625" style="245" bestFit="1" customWidth="1"/>
    <col min="4356" max="4357" width="8.88671875" style="245" bestFit="1" customWidth="1"/>
    <col min="4358" max="4358" width="10" style="245" bestFit="1" customWidth="1"/>
    <col min="4359" max="4607" width="11.5546875" style="245"/>
    <col min="4608" max="4608" width="8.5546875" style="245" bestFit="1" customWidth="1"/>
    <col min="4609" max="4609" width="15.88671875" style="245" bestFit="1" customWidth="1"/>
    <col min="4610" max="4610" width="9.6640625" style="245" bestFit="1" customWidth="1"/>
    <col min="4611" max="4611" width="17.6640625" style="245" bestFit="1" customWidth="1"/>
    <col min="4612" max="4613" width="8.88671875" style="245" bestFit="1" customWidth="1"/>
    <col min="4614" max="4614" width="10" style="245" bestFit="1" customWidth="1"/>
    <col min="4615" max="4863" width="11.5546875" style="245"/>
    <col min="4864" max="4864" width="8.5546875" style="245" bestFit="1" customWidth="1"/>
    <col min="4865" max="4865" width="15.88671875" style="245" bestFit="1" customWidth="1"/>
    <col min="4866" max="4866" width="9.6640625" style="245" bestFit="1" customWidth="1"/>
    <col min="4867" max="4867" width="17.6640625" style="245" bestFit="1" customWidth="1"/>
    <col min="4868" max="4869" width="8.88671875" style="245" bestFit="1" customWidth="1"/>
    <col min="4870" max="4870" width="10" style="245" bestFit="1" customWidth="1"/>
    <col min="4871" max="5119" width="11.5546875" style="245"/>
    <col min="5120" max="5120" width="8.5546875" style="245" bestFit="1" customWidth="1"/>
    <col min="5121" max="5121" width="15.88671875" style="245" bestFit="1" customWidth="1"/>
    <col min="5122" max="5122" width="9.6640625" style="245" bestFit="1" customWidth="1"/>
    <col min="5123" max="5123" width="17.6640625" style="245" bestFit="1" customWidth="1"/>
    <col min="5124" max="5125" width="8.88671875" style="245" bestFit="1" customWidth="1"/>
    <col min="5126" max="5126" width="10" style="245" bestFit="1" customWidth="1"/>
    <col min="5127" max="5375" width="11.5546875" style="245"/>
    <col min="5376" max="5376" width="8.5546875" style="245" bestFit="1" customWidth="1"/>
    <col min="5377" max="5377" width="15.88671875" style="245" bestFit="1" customWidth="1"/>
    <col min="5378" max="5378" width="9.6640625" style="245" bestFit="1" customWidth="1"/>
    <col min="5379" max="5379" width="17.6640625" style="245" bestFit="1" customWidth="1"/>
    <col min="5380" max="5381" width="8.88671875" style="245" bestFit="1" customWidth="1"/>
    <col min="5382" max="5382" width="10" style="245" bestFit="1" customWidth="1"/>
    <col min="5383" max="5631" width="11.5546875" style="245"/>
    <col min="5632" max="5632" width="8.5546875" style="245" bestFit="1" customWidth="1"/>
    <col min="5633" max="5633" width="15.88671875" style="245" bestFit="1" customWidth="1"/>
    <col min="5634" max="5634" width="9.6640625" style="245" bestFit="1" customWidth="1"/>
    <col min="5635" max="5635" width="17.6640625" style="245" bestFit="1" customWidth="1"/>
    <col min="5636" max="5637" width="8.88671875" style="245" bestFit="1" customWidth="1"/>
    <col min="5638" max="5638" width="10" style="245" bestFit="1" customWidth="1"/>
    <col min="5639" max="5887" width="11.5546875" style="245"/>
    <col min="5888" max="5888" width="8.5546875" style="245" bestFit="1" customWidth="1"/>
    <col min="5889" max="5889" width="15.88671875" style="245" bestFit="1" customWidth="1"/>
    <col min="5890" max="5890" width="9.6640625" style="245" bestFit="1" customWidth="1"/>
    <col min="5891" max="5891" width="17.6640625" style="245" bestFit="1" customWidth="1"/>
    <col min="5892" max="5893" width="8.88671875" style="245" bestFit="1" customWidth="1"/>
    <col min="5894" max="5894" width="10" style="245" bestFit="1" customWidth="1"/>
    <col min="5895" max="6143" width="11.5546875" style="245"/>
    <col min="6144" max="6144" width="8.5546875" style="245" bestFit="1" customWidth="1"/>
    <col min="6145" max="6145" width="15.88671875" style="245" bestFit="1" customWidth="1"/>
    <col min="6146" max="6146" width="9.6640625" style="245" bestFit="1" customWidth="1"/>
    <col min="6147" max="6147" width="17.6640625" style="245" bestFit="1" customWidth="1"/>
    <col min="6148" max="6149" width="8.88671875" style="245" bestFit="1" customWidth="1"/>
    <col min="6150" max="6150" width="10" style="245" bestFit="1" customWidth="1"/>
    <col min="6151" max="6399" width="11.5546875" style="245"/>
    <col min="6400" max="6400" width="8.5546875" style="245" bestFit="1" customWidth="1"/>
    <col min="6401" max="6401" width="15.88671875" style="245" bestFit="1" customWidth="1"/>
    <col min="6402" max="6402" width="9.6640625" style="245" bestFit="1" customWidth="1"/>
    <col min="6403" max="6403" width="17.6640625" style="245" bestFit="1" customWidth="1"/>
    <col min="6404" max="6405" width="8.88671875" style="245" bestFit="1" customWidth="1"/>
    <col min="6406" max="6406" width="10" style="245" bestFit="1" customWidth="1"/>
    <col min="6407" max="6655" width="11.5546875" style="245"/>
    <col min="6656" max="6656" width="8.5546875" style="245" bestFit="1" customWidth="1"/>
    <col min="6657" max="6657" width="15.88671875" style="245" bestFit="1" customWidth="1"/>
    <col min="6658" max="6658" width="9.6640625" style="245" bestFit="1" customWidth="1"/>
    <col min="6659" max="6659" width="17.6640625" style="245" bestFit="1" customWidth="1"/>
    <col min="6660" max="6661" width="8.88671875" style="245" bestFit="1" customWidth="1"/>
    <col min="6662" max="6662" width="10" style="245" bestFit="1" customWidth="1"/>
    <col min="6663" max="6911" width="11.5546875" style="245"/>
    <col min="6912" max="6912" width="8.5546875" style="245" bestFit="1" customWidth="1"/>
    <col min="6913" max="6913" width="15.88671875" style="245" bestFit="1" customWidth="1"/>
    <col min="6914" max="6914" width="9.6640625" style="245" bestFit="1" customWidth="1"/>
    <col min="6915" max="6915" width="17.6640625" style="245" bestFit="1" customWidth="1"/>
    <col min="6916" max="6917" width="8.88671875" style="245" bestFit="1" customWidth="1"/>
    <col min="6918" max="6918" width="10" style="245" bestFit="1" customWidth="1"/>
    <col min="6919" max="7167" width="11.5546875" style="245"/>
    <col min="7168" max="7168" width="8.5546875" style="245" bestFit="1" customWidth="1"/>
    <col min="7169" max="7169" width="15.88671875" style="245" bestFit="1" customWidth="1"/>
    <col min="7170" max="7170" width="9.6640625" style="245" bestFit="1" customWidth="1"/>
    <col min="7171" max="7171" width="17.6640625" style="245" bestFit="1" customWidth="1"/>
    <col min="7172" max="7173" width="8.88671875" style="245" bestFit="1" customWidth="1"/>
    <col min="7174" max="7174" width="10" style="245" bestFit="1" customWidth="1"/>
    <col min="7175" max="7423" width="11.5546875" style="245"/>
    <col min="7424" max="7424" width="8.5546875" style="245" bestFit="1" customWidth="1"/>
    <col min="7425" max="7425" width="15.88671875" style="245" bestFit="1" customWidth="1"/>
    <col min="7426" max="7426" width="9.6640625" style="245" bestFit="1" customWidth="1"/>
    <col min="7427" max="7427" width="17.6640625" style="245" bestFit="1" customWidth="1"/>
    <col min="7428" max="7429" width="8.88671875" style="245" bestFit="1" customWidth="1"/>
    <col min="7430" max="7430" width="10" style="245" bestFit="1" customWidth="1"/>
    <col min="7431" max="7679" width="11.5546875" style="245"/>
    <col min="7680" max="7680" width="8.5546875" style="245" bestFit="1" customWidth="1"/>
    <col min="7681" max="7681" width="15.88671875" style="245" bestFit="1" customWidth="1"/>
    <col min="7682" max="7682" width="9.6640625" style="245" bestFit="1" customWidth="1"/>
    <col min="7683" max="7683" width="17.6640625" style="245" bestFit="1" customWidth="1"/>
    <col min="7684" max="7685" width="8.88671875" style="245" bestFit="1" customWidth="1"/>
    <col min="7686" max="7686" width="10" style="245" bestFit="1" customWidth="1"/>
    <col min="7687" max="7935" width="11.5546875" style="245"/>
    <col min="7936" max="7936" width="8.5546875" style="245" bestFit="1" customWidth="1"/>
    <col min="7937" max="7937" width="15.88671875" style="245" bestFit="1" customWidth="1"/>
    <col min="7938" max="7938" width="9.6640625" style="245" bestFit="1" customWidth="1"/>
    <col min="7939" max="7939" width="17.6640625" style="245" bestFit="1" customWidth="1"/>
    <col min="7940" max="7941" width="8.88671875" style="245" bestFit="1" customWidth="1"/>
    <col min="7942" max="7942" width="10" style="245" bestFit="1" customWidth="1"/>
    <col min="7943" max="8191" width="11.5546875" style="245"/>
    <col min="8192" max="8192" width="8.5546875" style="245" bestFit="1" customWidth="1"/>
    <col min="8193" max="8193" width="15.88671875" style="245" bestFit="1" customWidth="1"/>
    <col min="8194" max="8194" width="9.6640625" style="245" bestFit="1" customWidth="1"/>
    <col min="8195" max="8195" width="17.6640625" style="245" bestFit="1" customWidth="1"/>
    <col min="8196" max="8197" width="8.88671875" style="245" bestFit="1" customWidth="1"/>
    <col min="8198" max="8198" width="10" style="245" bestFit="1" customWidth="1"/>
    <col min="8199" max="8447" width="11.5546875" style="245"/>
    <col min="8448" max="8448" width="8.5546875" style="245" bestFit="1" customWidth="1"/>
    <col min="8449" max="8449" width="15.88671875" style="245" bestFit="1" customWidth="1"/>
    <col min="8450" max="8450" width="9.6640625" style="245" bestFit="1" customWidth="1"/>
    <col min="8451" max="8451" width="17.6640625" style="245" bestFit="1" customWidth="1"/>
    <col min="8452" max="8453" width="8.88671875" style="245" bestFit="1" customWidth="1"/>
    <col min="8454" max="8454" width="10" style="245" bestFit="1" customWidth="1"/>
    <col min="8455" max="8703" width="11.5546875" style="245"/>
    <col min="8704" max="8704" width="8.5546875" style="245" bestFit="1" customWidth="1"/>
    <col min="8705" max="8705" width="15.88671875" style="245" bestFit="1" customWidth="1"/>
    <col min="8706" max="8706" width="9.6640625" style="245" bestFit="1" customWidth="1"/>
    <col min="8707" max="8707" width="17.6640625" style="245" bestFit="1" customWidth="1"/>
    <col min="8708" max="8709" width="8.88671875" style="245" bestFit="1" customWidth="1"/>
    <col min="8710" max="8710" width="10" style="245" bestFit="1" customWidth="1"/>
    <col min="8711" max="8959" width="11.5546875" style="245"/>
    <col min="8960" max="8960" width="8.5546875" style="245" bestFit="1" customWidth="1"/>
    <col min="8961" max="8961" width="15.88671875" style="245" bestFit="1" customWidth="1"/>
    <col min="8962" max="8962" width="9.6640625" style="245" bestFit="1" customWidth="1"/>
    <col min="8963" max="8963" width="17.6640625" style="245" bestFit="1" customWidth="1"/>
    <col min="8964" max="8965" width="8.88671875" style="245" bestFit="1" customWidth="1"/>
    <col min="8966" max="8966" width="10" style="245" bestFit="1" customWidth="1"/>
    <col min="8967" max="9215" width="11.5546875" style="245"/>
    <col min="9216" max="9216" width="8.5546875" style="245" bestFit="1" customWidth="1"/>
    <col min="9217" max="9217" width="15.88671875" style="245" bestFit="1" customWidth="1"/>
    <col min="9218" max="9218" width="9.6640625" style="245" bestFit="1" customWidth="1"/>
    <col min="9219" max="9219" width="17.6640625" style="245" bestFit="1" customWidth="1"/>
    <col min="9220" max="9221" width="8.88671875" style="245" bestFit="1" customWidth="1"/>
    <col min="9222" max="9222" width="10" style="245" bestFit="1" customWidth="1"/>
    <col min="9223" max="9471" width="11.5546875" style="245"/>
    <col min="9472" max="9472" width="8.5546875" style="245" bestFit="1" customWidth="1"/>
    <col min="9473" max="9473" width="15.88671875" style="245" bestFit="1" customWidth="1"/>
    <col min="9474" max="9474" width="9.6640625" style="245" bestFit="1" customWidth="1"/>
    <col min="9475" max="9475" width="17.6640625" style="245" bestFit="1" customWidth="1"/>
    <col min="9476" max="9477" width="8.88671875" style="245" bestFit="1" customWidth="1"/>
    <col min="9478" max="9478" width="10" style="245" bestFit="1" customWidth="1"/>
    <col min="9479" max="9727" width="11.5546875" style="245"/>
    <col min="9728" max="9728" width="8.5546875" style="245" bestFit="1" customWidth="1"/>
    <col min="9729" max="9729" width="15.88671875" style="245" bestFit="1" customWidth="1"/>
    <col min="9730" max="9730" width="9.6640625" style="245" bestFit="1" customWidth="1"/>
    <col min="9731" max="9731" width="17.6640625" style="245" bestFit="1" customWidth="1"/>
    <col min="9732" max="9733" width="8.88671875" style="245" bestFit="1" customWidth="1"/>
    <col min="9734" max="9734" width="10" style="245" bestFit="1" customWidth="1"/>
    <col min="9735" max="9983" width="11.5546875" style="245"/>
    <col min="9984" max="9984" width="8.5546875" style="245" bestFit="1" customWidth="1"/>
    <col min="9985" max="9985" width="15.88671875" style="245" bestFit="1" customWidth="1"/>
    <col min="9986" max="9986" width="9.6640625" style="245" bestFit="1" customWidth="1"/>
    <col min="9987" max="9987" width="17.6640625" style="245" bestFit="1" customWidth="1"/>
    <col min="9988" max="9989" width="8.88671875" style="245" bestFit="1" customWidth="1"/>
    <col min="9990" max="9990" width="10" style="245" bestFit="1" customWidth="1"/>
    <col min="9991" max="10239" width="11.5546875" style="245"/>
    <col min="10240" max="10240" width="8.5546875" style="245" bestFit="1" customWidth="1"/>
    <col min="10241" max="10241" width="15.88671875" style="245" bestFit="1" customWidth="1"/>
    <col min="10242" max="10242" width="9.6640625" style="245" bestFit="1" customWidth="1"/>
    <col min="10243" max="10243" width="17.6640625" style="245" bestFit="1" customWidth="1"/>
    <col min="10244" max="10245" width="8.88671875" style="245" bestFit="1" customWidth="1"/>
    <col min="10246" max="10246" width="10" style="245" bestFit="1" customWidth="1"/>
    <col min="10247" max="10495" width="11.5546875" style="245"/>
    <col min="10496" max="10496" width="8.5546875" style="245" bestFit="1" customWidth="1"/>
    <col min="10497" max="10497" width="15.88671875" style="245" bestFit="1" customWidth="1"/>
    <col min="10498" max="10498" width="9.6640625" style="245" bestFit="1" customWidth="1"/>
    <col min="10499" max="10499" width="17.6640625" style="245" bestFit="1" customWidth="1"/>
    <col min="10500" max="10501" width="8.88671875" style="245" bestFit="1" customWidth="1"/>
    <col min="10502" max="10502" width="10" style="245" bestFit="1" customWidth="1"/>
    <col min="10503" max="10751" width="11.5546875" style="245"/>
    <col min="10752" max="10752" width="8.5546875" style="245" bestFit="1" customWidth="1"/>
    <col min="10753" max="10753" width="15.88671875" style="245" bestFit="1" customWidth="1"/>
    <col min="10754" max="10754" width="9.6640625" style="245" bestFit="1" customWidth="1"/>
    <col min="10755" max="10755" width="17.6640625" style="245" bestFit="1" customWidth="1"/>
    <col min="10756" max="10757" width="8.88671875" style="245" bestFit="1" customWidth="1"/>
    <col min="10758" max="10758" width="10" style="245" bestFit="1" customWidth="1"/>
    <col min="10759" max="11007" width="11.5546875" style="245"/>
    <col min="11008" max="11008" width="8.5546875" style="245" bestFit="1" customWidth="1"/>
    <col min="11009" max="11009" width="15.88671875" style="245" bestFit="1" customWidth="1"/>
    <col min="11010" max="11010" width="9.6640625" style="245" bestFit="1" customWidth="1"/>
    <col min="11011" max="11011" width="17.6640625" style="245" bestFit="1" customWidth="1"/>
    <col min="11012" max="11013" width="8.88671875" style="245" bestFit="1" customWidth="1"/>
    <col min="11014" max="11014" width="10" style="245" bestFit="1" customWidth="1"/>
    <col min="11015" max="11263" width="11.5546875" style="245"/>
    <col min="11264" max="11264" width="8.5546875" style="245" bestFit="1" customWidth="1"/>
    <col min="11265" max="11265" width="15.88671875" style="245" bestFit="1" customWidth="1"/>
    <col min="11266" max="11266" width="9.6640625" style="245" bestFit="1" customWidth="1"/>
    <col min="11267" max="11267" width="17.6640625" style="245" bestFit="1" customWidth="1"/>
    <col min="11268" max="11269" width="8.88671875" style="245" bestFit="1" customWidth="1"/>
    <col min="11270" max="11270" width="10" style="245" bestFit="1" customWidth="1"/>
    <col min="11271" max="11519" width="11.5546875" style="245"/>
    <col min="11520" max="11520" width="8.5546875" style="245" bestFit="1" customWidth="1"/>
    <col min="11521" max="11521" width="15.88671875" style="245" bestFit="1" customWidth="1"/>
    <col min="11522" max="11522" width="9.6640625" style="245" bestFit="1" customWidth="1"/>
    <col min="11523" max="11523" width="17.6640625" style="245" bestFit="1" customWidth="1"/>
    <col min="11524" max="11525" width="8.88671875" style="245" bestFit="1" customWidth="1"/>
    <col min="11526" max="11526" width="10" style="245" bestFit="1" customWidth="1"/>
    <col min="11527" max="11775" width="11.5546875" style="245"/>
    <col min="11776" max="11776" width="8.5546875" style="245" bestFit="1" customWidth="1"/>
    <col min="11777" max="11777" width="15.88671875" style="245" bestFit="1" customWidth="1"/>
    <col min="11778" max="11778" width="9.6640625" style="245" bestFit="1" customWidth="1"/>
    <col min="11779" max="11779" width="17.6640625" style="245" bestFit="1" customWidth="1"/>
    <col min="11780" max="11781" width="8.88671875" style="245" bestFit="1" customWidth="1"/>
    <col min="11782" max="11782" width="10" style="245" bestFit="1" customWidth="1"/>
    <col min="11783" max="12031" width="11.5546875" style="245"/>
    <col min="12032" max="12032" width="8.5546875" style="245" bestFit="1" customWidth="1"/>
    <col min="12033" max="12033" width="15.88671875" style="245" bestFit="1" customWidth="1"/>
    <col min="12034" max="12034" width="9.6640625" style="245" bestFit="1" customWidth="1"/>
    <col min="12035" max="12035" width="17.6640625" style="245" bestFit="1" customWidth="1"/>
    <col min="12036" max="12037" width="8.88671875" style="245" bestFit="1" customWidth="1"/>
    <col min="12038" max="12038" width="10" style="245" bestFit="1" customWidth="1"/>
    <col min="12039" max="12287" width="11.5546875" style="245"/>
    <col min="12288" max="12288" width="8.5546875" style="245" bestFit="1" customWidth="1"/>
    <col min="12289" max="12289" width="15.88671875" style="245" bestFit="1" customWidth="1"/>
    <col min="12290" max="12290" width="9.6640625" style="245" bestFit="1" customWidth="1"/>
    <col min="12291" max="12291" width="17.6640625" style="245" bestFit="1" customWidth="1"/>
    <col min="12292" max="12293" width="8.88671875" style="245" bestFit="1" customWidth="1"/>
    <col min="12294" max="12294" width="10" style="245" bestFit="1" customWidth="1"/>
    <col min="12295" max="12543" width="11.5546875" style="245"/>
    <col min="12544" max="12544" width="8.5546875" style="245" bestFit="1" customWidth="1"/>
    <col min="12545" max="12545" width="15.88671875" style="245" bestFit="1" customWidth="1"/>
    <col min="12546" max="12546" width="9.6640625" style="245" bestFit="1" customWidth="1"/>
    <col min="12547" max="12547" width="17.6640625" style="245" bestFit="1" customWidth="1"/>
    <col min="12548" max="12549" width="8.88671875" style="245" bestFit="1" customWidth="1"/>
    <col min="12550" max="12550" width="10" style="245" bestFit="1" customWidth="1"/>
    <col min="12551" max="12799" width="11.5546875" style="245"/>
    <col min="12800" max="12800" width="8.5546875" style="245" bestFit="1" customWidth="1"/>
    <col min="12801" max="12801" width="15.88671875" style="245" bestFit="1" customWidth="1"/>
    <col min="12802" max="12802" width="9.6640625" style="245" bestFit="1" customWidth="1"/>
    <col min="12803" max="12803" width="17.6640625" style="245" bestFit="1" customWidth="1"/>
    <col min="12804" max="12805" width="8.88671875" style="245" bestFit="1" customWidth="1"/>
    <col min="12806" max="12806" width="10" style="245" bestFit="1" customWidth="1"/>
    <col min="12807" max="13055" width="11.5546875" style="245"/>
    <col min="13056" max="13056" width="8.5546875" style="245" bestFit="1" customWidth="1"/>
    <col min="13057" max="13057" width="15.88671875" style="245" bestFit="1" customWidth="1"/>
    <col min="13058" max="13058" width="9.6640625" style="245" bestFit="1" customWidth="1"/>
    <col min="13059" max="13059" width="17.6640625" style="245" bestFit="1" customWidth="1"/>
    <col min="13060" max="13061" width="8.88671875" style="245" bestFit="1" customWidth="1"/>
    <col min="13062" max="13062" width="10" style="245" bestFit="1" customWidth="1"/>
    <col min="13063" max="13311" width="11.5546875" style="245"/>
    <col min="13312" max="13312" width="8.5546875" style="245" bestFit="1" customWidth="1"/>
    <col min="13313" max="13313" width="15.88671875" style="245" bestFit="1" customWidth="1"/>
    <col min="13314" max="13314" width="9.6640625" style="245" bestFit="1" customWidth="1"/>
    <col min="13315" max="13315" width="17.6640625" style="245" bestFit="1" customWidth="1"/>
    <col min="13316" max="13317" width="8.88671875" style="245" bestFit="1" customWidth="1"/>
    <col min="13318" max="13318" width="10" style="245" bestFit="1" customWidth="1"/>
    <col min="13319" max="13567" width="11.5546875" style="245"/>
    <col min="13568" max="13568" width="8.5546875" style="245" bestFit="1" customWidth="1"/>
    <col min="13569" max="13569" width="15.88671875" style="245" bestFit="1" customWidth="1"/>
    <col min="13570" max="13570" width="9.6640625" style="245" bestFit="1" customWidth="1"/>
    <col min="13571" max="13571" width="17.6640625" style="245" bestFit="1" customWidth="1"/>
    <col min="13572" max="13573" width="8.88671875" style="245" bestFit="1" customWidth="1"/>
    <col min="13574" max="13574" width="10" style="245" bestFit="1" customWidth="1"/>
    <col min="13575" max="13823" width="11.5546875" style="245"/>
    <col min="13824" max="13824" width="8.5546875" style="245" bestFit="1" customWidth="1"/>
    <col min="13825" max="13825" width="15.88671875" style="245" bestFit="1" customWidth="1"/>
    <col min="13826" max="13826" width="9.6640625" style="245" bestFit="1" customWidth="1"/>
    <col min="13827" max="13827" width="17.6640625" style="245" bestFit="1" customWidth="1"/>
    <col min="13828" max="13829" width="8.88671875" style="245" bestFit="1" customWidth="1"/>
    <col min="13830" max="13830" width="10" style="245" bestFit="1" customWidth="1"/>
    <col min="13831" max="14079" width="11.5546875" style="245"/>
    <col min="14080" max="14080" width="8.5546875" style="245" bestFit="1" customWidth="1"/>
    <col min="14081" max="14081" width="15.88671875" style="245" bestFit="1" customWidth="1"/>
    <col min="14082" max="14082" width="9.6640625" style="245" bestFit="1" customWidth="1"/>
    <col min="14083" max="14083" width="17.6640625" style="245" bestFit="1" customWidth="1"/>
    <col min="14084" max="14085" width="8.88671875" style="245" bestFit="1" customWidth="1"/>
    <col min="14086" max="14086" width="10" style="245" bestFit="1" customWidth="1"/>
    <col min="14087" max="14335" width="11.5546875" style="245"/>
    <col min="14336" max="14336" width="8.5546875" style="245" bestFit="1" customWidth="1"/>
    <col min="14337" max="14337" width="15.88671875" style="245" bestFit="1" customWidth="1"/>
    <col min="14338" max="14338" width="9.6640625" style="245" bestFit="1" customWidth="1"/>
    <col min="14339" max="14339" width="17.6640625" style="245" bestFit="1" customWidth="1"/>
    <col min="14340" max="14341" width="8.88671875" style="245" bestFit="1" customWidth="1"/>
    <col min="14342" max="14342" width="10" style="245" bestFit="1" customWidth="1"/>
    <col min="14343" max="14591" width="11.5546875" style="245"/>
    <col min="14592" max="14592" width="8.5546875" style="245" bestFit="1" customWidth="1"/>
    <col min="14593" max="14593" width="15.88671875" style="245" bestFit="1" customWidth="1"/>
    <col min="14594" max="14594" width="9.6640625" style="245" bestFit="1" customWidth="1"/>
    <col min="14595" max="14595" width="17.6640625" style="245" bestFit="1" customWidth="1"/>
    <col min="14596" max="14597" width="8.88671875" style="245" bestFit="1" customWidth="1"/>
    <col min="14598" max="14598" width="10" style="245" bestFit="1" customWidth="1"/>
    <col min="14599" max="14847" width="11.5546875" style="245"/>
    <col min="14848" max="14848" width="8.5546875" style="245" bestFit="1" customWidth="1"/>
    <col min="14849" max="14849" width="15.88671875" style="245" bestFit="1" customWidth="1"/>
    <col min="14850" max="14850" width="9.6640625" style="245" bestFit="1" customWidth="1"/>
    <col min="14851" max="14851" width="17.6640625" style="245" bestFit="1" customWidth="1"/>
    <col min="14852" max="14853" width="8.88671875" style="245" bestFit="1" customWidth="1"/>
    <col min="14854" max="14854" width="10" style="245" bestFit="1" customWidth="1"/>
    <col min="14855" max="15103" width="11.5546875" style="245"/>
    <col min="15104" max="15104" width="8.5546875" style="245" bestFit="1" customWidth="1"/>
    <col min="15105" max="15105" width="15.88671875" style="245" bestFit="1" customWidth="1"/>
    <col min="15106" max="15106" width="9.6640625" style="245" bestFit="1" customWidth="1"/>
    <col min="15107" max="15107" width="17.6640625" style="245" bestFit="1" customWidth="1"/>
    <col min="15108" max="15109" width="8.88671875" style="245" bestFit="1" customWidth="1"/>
    <col min="15110" max="15110" width="10" style="245" bestFit="1" customWidth="1"/>
    <col min="15111" max="15359" width="11.5546875" style="245"/>
    <col min="15360" max="15360" width="8.5546875" style="245" bestFit="1" customWidth="1"/>
    <col min="15361" max="15361" width="15.88671875" style="245" bestFit="1" customWidth="1"/>
    <col min="15362" max="15362" width="9.6640625" style="245" bestFit="1" customWidth="1"/>
    <col min="15363" max="15363" width="17.6640625" style="245" bestFit="1" customWidth="1"/>
    <col min="15364" max="15365" width="8.88671875" style="245" bestFit="1" customWidth="1"/>
    <col min="15366" max="15366" width="10" style="245" bestFit="1" customWidth="1"/>
    <col min="15367" max="15615" width="11.5546875" style="245"/>
    <col min="15616" max="15616" width="8.5546875" style="245" bestFit="1" customWidth="1"/>
    <col min="15617" max="15617" width="15.88671875" style="245" bestFit="1" customWidth="1"/>
    <col min="15618" max="15618" width="9.6640625" style="245" bestFit="1" customWidth="1"/>
    <col min="15619" max="15619" width="17.6640625" style="245" bestFit="1" customWidth="1"/>
    <col min="15620" max="15621" width="8.88671875" style="245" bestFit="1" customWidth="1"/>
    <col min="15622" max="15622" width="10" style="245" bestFit="1" customWidth="1"/>
    <col min="15623" max="15871" width="11.5546875" style="245"/>
    <col min="15872" max="15872" width="8.5546875" style="245" bestFit="1" customWidth="1"/>
    <col min="15873" max="15873" width="15.88671875" style="245" bestFit="1" customWidth="1"/>
    <col min="15874" max="15874" width="9.6640625" style="245" bestFit="1" customWidth="1"/>
    <col min="15875" max="15875" width="17.6640625" style="245" bestFit="1" customWidth="1"/>
    <col min="15876" max="15877" width="8.88671875" style="245" bestFit="1" customWidth="1"/>
    <col min="15878" max="15878" width="10" style="245" bestFit="1" customWidth="1"/>
    <col min="15879" max="16127" width="11.5546875" style="245"/>
    <col min="16128" max="16128" width="8.5546875" style="245" bestFit="1" customWidth="1"/>
    <col min="16129" max="16129" width="15.88671875" style="245" bestFit="1" customWidth="1"/>
    <col min="16130" max="16130" width="9.6640625" style="245" bestFit="1" customWidth="1"/>
    <col min="16131" max="16131" width="17.6640625" style="245" bestFit="1" customWidth="1"/>
    <col min="16132" max="16133" width="8.88671875" style="245" bestFit="1" customWidth="1"/>
    <col min="16134" max="16134" width="10" style="245" bestFit="1" customWidth="1"/>
    <col min="16135" max="16384" width="11.5546875" style="245"/>
  </cols>
  <sheetData>
    <row r="1" spans="1:8" ht="31.2">
      <c r="A1" s="596" t="s">
        <v>767</v>
      </c>
      <c r="B1" s="596" t="s">
        <v>766</v>
      </c>
      <c r="C1" s="596" t="s">
        <v>765</v>
      </c>
      <c r="D1" s="596" t="s">
        <v>764</v>
      </c>
      <c r="E1" s="596" t="s">
        <v>763</v>
      </c>
      <c r="F1" s="596" t="s">
        <v>762</v>
      </c>
      <c r="G1" s="596" t="s">
        <v>761</v>
      </c>
      <c r="H1" s="596" t="s">
        <v>760</v>
      </c>
    </row>
    <row r="2" spans="1:8">
      <c r="A2" s="595">
        <v>1256</v>
      </c>
      <c r="B2" s="594" t="s">
        <v>759</v>
      </c>
      <c r="C2" s="593" t="s">
        <v>747</v>
      </c>
      <c r="D2" s="592">
        <v>7000000</v>
      </c>
      <c r="E2" s="592">
        <v>4.34</v>
      </c>
      <c r="F2" s="592">
        <v>4.3</v>
      </c>
      <c r="G2" s="591">
        <v>0.06</v>
      </c>
      <c r="H2" s="590">
        <v>180</v>
      </c>
    </row>
    <row r="3" spans="1:8">
      <c r="A3" s="595">
        <v>1456</v>
      </c>
      <c r="B3" s="594" t="s">
        <v>758</v>
      </c>
      <c r="C3" s="593" t="s">
        <v>750</v>
      </c>
      <c r="D3" s="592">
        <v>4000000</v>
      </c>
      <c r="E3" s="592">
        <v>1.23</v>
      </c>
      <c r="F3" s="592">
        <v>1.19</v>
      </c>
      <c r="G3" s="591">
        <v>0.21</v>
      </c>
      <c r="H3" s="590">
        <v>170</v>
      </c>
    </row>
    <row r="4" spans="1:8">
      <c r="A4" s="595">
        <v>2565</v>
      </c>
      <c r="B4" s="594" t="s">
        <v>757</v>
      </c>
      <c r="C4" s="593" t="s">
        <v>750</v>
      </c>
      <c r="D4" s="592">
        <v>5000000</v>
      </c>
      <c r="E4" s="592">
        <v>21.5</v>
      </c>
      <c r="F4" s="592">
        <v>20</v>
      </c>
      <c r="G4" s="591">
        <v>0.21</v>
      </c>
      <c r="H4" s="590">
        <v>170</v>
      </c>
    </row>
    <row r="5" spans="1:8">
      <c r="A5" s="595">
        <v>2589</v>
      </c>
      <c r="B5" s="594" t="s">
        <v>756</v>
      </c>
      <c r="C5" s="593" t="s">
        <v>745</v>
      </c>
      <c r="D5" s="592">
        <v>25000000</v>
      </c>
      <c r="E5" s="592">
        <v>7.5</v>
      </c>
      <c r="F5" s="592">
        <v>6.5</v>
      </c>
      <c r="G5" s="591">
        <v>0.21</v>
      </c>
      <c r="H5" s="590">
        <v>200</v>
      </c>
    </row>
    <row r="6" spans="1:8" ht="16.2" thickBot="1">
      <c r="A6" s="589">
        <v>3698</v>
      </c>
      <c r="B6" s="588" t="s">
        <v>755</v>
      </c>
      <c r="C6" s="587" t="s">
        <v>750</v>
      </c>
      <c r="D6" s="586">
        <v>1000000</v>
      </c>
      <c r="E6" s="586">
        <v>4.12</v>
      </c>
      <c r="F6" s="586">
        <v>3.78</v>
      </c>
      <c r="G6" s="585">
        <v>0.21</v>
      </c>
      <c r="H6" s="584">
        <v>190</v>
      </c>
    </row>
    <row r="7" spans="1:8">
      <c r="A7" s="355"/>
      <c r="B7" s="355"/>
      <c r="C7" s="355"/>
      <c r="D7" s="355"/>
      <c r="E7" s="355"/>
      <c r="F7" s="355"/>
    </row>
    <row r="8" spans="1:8" ht="16.2" thickBot="1">
      <c r="A8" s="583" t="s">
        <v>754</v>
      </c>
      <c r="B8" s="355"/>
      <c r="C8" s="355"/>
      <c r="D8" s="355"/>
      <c r="E8" s="355"/>
      <c r="F8" s="355"/>
    </row>
    <row r="9" spans="1:8" ht="16.2" thickBot="1">
      <c r="A9" s="355" t="s">
        <v>753</v>
      </c>
      <c r="B9" s="355"/>
      <c r="C9" s="355"/>
      <c r="D9" s="355"/>
      <c r="E9" s="355"/>
      <c r="F9" s="582">
        <v>10000</v>
      </c>
    </row>
    <row r="10" spans="1:8">
      <c r="A10" s="355"/>
      <c r="B10" s="355"/>
      <c r="C10" s="355"/>
      <c r="D10" s="355"/>
      <c r="E10" s="355"/>
      <c r="F10" s="355"/>
    </row>
    <row r="11" spans="1:8" ht="15.75" customHeight="1">
      <c r="A11" s="663" t="s">
        <v>752</v>
      </c>
      <c r="B11" s="663"/>
      <c r="C11" s="663" t="s">
        <v>751</v>
      </c>
      <c r="D11" s="663"/>
    </row>
    <row r="12" spans="1:8">
      <c r="A12" s="580" t="s">
        <v>750</v>
      </c>
      <c r="B12" s="355" t="s">
        <v>749</v>
      </c>
      <c r="C12" s="580">
        <v>170</v>
      </c>
      <c r="D12" s="579" t="s">
        <v>748</v>
      </c>
    </row>
    <row r="13" spans="1:8">
      <c r="A13" s="580" t="s">
        <v>747</v>
      </c>
      <c r="B13" s="355" t="s">
        <v>746</v>
      </c>
      <c r="C13" s="580">
        <v>180</v>
      </c>
      <c r="D13" s="579" t="s">
        <v>327</v>
      </c>
    </row>
    <row r="14" spans="1:8" ht="16.2" thickBot="1">
      <c r="A14" s="578" t="s">
        <v>745</v>
      </c>
      <c r="B14" s="581" t="s">
        <v>744</v>
      </c>
      <c r="C14" s="580">
        <v>190</v>
      </c>
      <c r="D14" s="579" t="s">
        <v>313</v>
      </c>
    </row>
    <row r="15" spans="1:8" ht="16.2" thickBot="1">
      <c r="A15" s="355"/>
      <c r="B15" s="355"/>
      <c r="C15" s="578">
        <v>200</v>
      </c>
      <c r="D15" s="577" t="s">
        <v>743</v>
      </c>
    </row>
    <row r="18" spans="2:11">
      <c r="B18"/>
      <c r="K18"/>
    </row>
  </sheetData>
  <mergeCells count="2">
    <mergeCell ref="A11:B11"/>
    <mergeCell ref="C11:D11"/>
  </mergeCells>
  <pageMargins left="0.78740157499999996" right="0.78740157499999996" top="0.984251969" bottom="0.984251969" header="0.4921259845" footer="0.4921259845"/>
  <pageSetup paperSize="9" orientation="portrait" horizontalDpi="300" verticalDpi="300" r:id="rId1"/>
  <headerFooter alignWithMargins="0"/>
  <drawing r:id="rId2"/>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03917C9-6A52-41BE-A714-ABF460E7D2BA}">
  <dimension ref="A1:J14"/>
  <sheetViews>
    <sheetView showZeros="0" zoomScale="115" zoomScaleNormal="115" workbookViewId="0">
      <selection activeCell="D23" sqref="D23"/>
    </sheetView>
  </sheetViews>
  <sheetFormatPr baseColWidth="10" defaultRowHeight="15.6"/>
  <cols>
    <col min="1" max="1" width="17.44140625" style="245" bestFit="1" customWidth="1"/>
    <col min="2" max="2" width="15.44140625" style="245" bestFit="1" customWidth="1"/>
    <col min="3" max="3" width="15.44140625" style="245" customWidth="1"/>
    <col min="4" max="4" width="23.6640625" style="245" bestFit="1" customWidth="1"/>
    <col min="5" max="5" width="12.88671875" style="245" customWidth="1"/>
    <col min="6" max="6" width="14.5546875" style="245" customWidth="1"/>
    <col min="7" max="7" width="25.109375" style="245" customWidth="1"/>
    <col min="8" max="8" width="20.5546875" style="245" bestFit="1" customWidth="1"/>
    <col min="9" max="9" width="14" style="245" bestFit="1" customWidth="1"/>
    <col min="10" max="10" width="13.44140625" style="245" bestFit="1" customWidth="1"/>
    <col min="11" max="249" width="11.5546875" style="245"/>
    <col min="250" max="250" width="15" style="245" bestFit="1" customWidth="1"/>
    <col min="251" max="252" width="11.5546875" style="245"/>
    <col min="253" max="255" width="15" style="245" bestFit="1" customWidth="1"/>
    <col min="256" max="256" width="11.5546875" style="245"/>
    <col min="257" max="257" width="15" style="245" bestFit="1" customWidth="1"/>
    <col min="258" max="258" width="14.5546875" style="245" bestFit="1" customWidth="1"/>
    <col min="259" max="505" width="11.5546875" style="245"/>
    <col min="506" max="506" width="15" style="245" bestFit="1" customWidth="1"/>
    <col min="507" max="508" width="11.5546875" style="245"/>
    <col min="509" max="511" width="15" style="245" bestFit="1" customWidth="1"/>
    <col min="512" max="512" width="11.5546875" style="245"/>
    <col min="513" max="513" width="15" style="245" bestFit="1" customWidth="1"/>
    <col min="514" max="514" width="14.5546875" style="245" bestFit="1" customWidth="1"/>
    <col min="515" max="761" width="11.5546875" style="245"/>
    <col min="762" max="762" width="15" style="245" bestFit="1" customWidth="1"/>
    <col min="763" max="764" width="11.5546875" style="245"/>
    <col min="765" max="767" width="15" style="245" bestFit="1" customWidth="1"/>
    <col min="768" max="768" width="11.5546875" style="245"/>
    <col min="769" max="769" width="15" style="245" bestFit="1" customWidth="1"/>
    <col min="770" max="770" width="14.5546875" style="245" bestFit="1" customWidth="1"/>
    <col min="771" max="1017" width="11.5546875" style="245"/>
    <col min="1018" max="1018" width="15" style="245" bestFit="1" customWidth="1"/>
    <col min="1019" max="1020" width="11.5546875" style="245"/>
    <col min="1021" max="1023" width="15" style="245" bestFit="1" customWidth="1"/>
    <col min="1024" max="1024" width="11.5546875" style="245"/>
    <col min="1025" max="1025" width="15" style="245" bestFit="1" customWidth="1"/>
    <col min="1026" max="1026" width="14.5546875" style="245" bestFit="1" customWidth="1"/>
    <col min="1027" max="1273" width="11.5546875" style="245"/>
    <col min="1274" max="1274" width="15" style="245" bestFit="1" customWidth="1"/>
    <col min="1275" max="1276" width="11.5546875" style="245"/>
    <col min="1277" max="1279" width="15" style="245" bestFit="1" customWidth="1"/>
    <col min="1280" max="1280" width="11.5546875" style="245"/>
    <col min="1281" max="1281" width="15" style="245" bestFit="1" customWidth="1"/>
    <col min="1282" max="1282" width="14.5546875" style="245" bestFit="1" customWidth="1"/>
    <col min="1283" max="1529" width="11.5546875" style="245"/>
    <col min="1530" max="1530" width="15" style="245" bestFit="1" customWidth="1"/>
    <col min="1531" max="1532" width="11.5546875" style="245"/>
    <col min="1533" max="1535" width="15" style="245" bestFit="1" customWidth="1"/>
    <col min="1536" max="1536" width="11.5546875" style="245"/>
    <col min="1537" max="1537" width="15" style="245" bestFit="1" customWidth="1"/>
    <col min="1538" max="1538" width="14.5546875" style="245" bestFit="1" customWidth="1"/>
    <col min="1539" max="1785" width="11.5546875" style="245"/>
    <col min="1786" max="1786" width="15" style="245" bestFit="1" customWidth="1"/>
    <col min="1787" max="1788" width="11.5546875" style="245"/>
    <col min="1789" max="1791" width="15" style="245" bestFit="1" customWidth="1"/>
    <col min="1792" max="1792" width="11.5546875" style="245"/>
    <col min="1793" max="1793" width="15" style="245" bestFit="1" customWidth="1"/>
    <col min="1794" max="1794" width="14.5546875" style="245" bestFit="1" customWidth="1"/>
    <col min="1795" max="2041" width="11.5546875" style="245"/>
    <col min="2042" max="2042" width="15" style="245" bestFit="1" customWidth="1"/>
    <col min="2043" max="2044" width="11.5546875" style="245"/>
    <col min="2045" max="2047" width="15" style="245" bestFit="1" customWidth="1"/>
    <col min="2048" max="2048" width="11.5546875" style="245"/>
    <col min="2049" max="2049" width="15" style="245" bestFit="1" customWidth="1"/>
    <col min="2050" max="2050" width="14.5546875" style="245" bestFit="1" customWidth="1"/>
    <col min="2051" max="2297" width="11.5546875" style="245"/>
    <col min="2298" max="2298" width="15" style="245" bestFit="1" customWidth="1"/>
    <col min="2299" max="2300" width="11.5546875" style="245"/>
    <col min="2301" max="2303" width="15" style="245" bestFit="1" customWidth="1"/>
    <col min="2304" max="2304" width="11.5546875" style="245"/>
    <col min="2305" max="2305" width="15" style="245" bestFit="1" customWidth="1"/>
    <col min="2306" max="2306" width="14.5546875" style="245" bestFit="1" customWidth="1"/>
    <col min="2307" max="2553" width="11.5546875" style="245"/>
    <col min="2554" max="2554" width="15" style="245" bestFit="1" customWidth="1"/>
    <col min="2555" max="2556" width="11.5546875" style="245"/>
    <col min="2557" max="2559" width="15" style="245" bestFit="1" customWidth="1"/>
    <col min="2560" max="2560" width="11.5546875" style="245"/>
    <col min="2561" max="2561" width="15" style="245" bestFit="1" customWidth="1"/>
    <col min="2562" max="2562" width="14.5546875" style="245" bestFit="1" customWidth="1"/>
    <col min="2563" max="2809" width="11.5546875" style="245"/>
    <col min="2810" max="2810" width="15" style="245" bestFit="1" customWidth="1"/>
    <col min="2811" max="2812" width="11.5546875" style="245"/>
    <col min="2813" max="2815" width="15" style="245" bestFit="1" customWidth="1"/>
    <col min="2816" max="2816" width="11.5546875" style="245"/>
    <col min="2817" max="2817" width="15" style="245" bestFit="1" customWidth="1"/>
    <col min="2818" max="2818" width="14.5546875" style="245" bestFit="1" customWidth="1"/>
    <col min="2819" max="3065" width="11.5546875" style="245"/>
    <col min="3066" max="3066" width="15" style="245" bestFit="1" customWidth="1"/>
    <col min="3067" max="3068" width="11.5546875" style="245"/>
    <col min="3069" max="3071" width="15" style="245" bestFit="1" customWidth="1"/>
    <col min="3072" max="3072" width="11.5546875" style="245"/>
    <col min="3073" max="3073" width="15" style="245" bestFit="1" customWidth="1"/>
    <col min="3074" max="3074" width="14.5546875" style="245" bestFit="1" customWidth="1"/>
    <col min="3075" max="3321" width="11.5546875" style="245"/>
    <col min="3322" max="3322" width="15" style="245" bestFit="1" customWidth="1"/>
    <col min="3323" max="3324" width="11.5546875" style="245"/>
    <col min="3325" max="3327" width="15" style="245" bestFit="1" customWidth="1"/>
    <col min="3328" max="3328" width="11.5546875" style="245"/>
    <col min="3329" max="3329" width="15" style="245" bestFit="1" customWidth="1"/>
    <col min="3330" max="3330" width="14.5546875" style="245" bestFit="1" customWidth="1"/>
    <col min="3331" max="3577" width="11.5546875" style="245"/>
    <col min="3578" max="3578" width="15" style="245" bestFit="1" customWidth="1"/>
    <col min="3579" max="3580" width="11.5546875" style="245"/>
    <col min="3581" max="3583" width="15" style="245" bestFit="1" customWidth="1"/>
    <col min="3584" max="3584" width="11.5546875" style="245"/>
    <col min="3585" max="3585" width="15" style="245" bestFit="1" customWidth="1"/>
    <col min="3586" max="3586" width="14.5546875" style="245" bestFit="1" customWidth="1"/>
    <col min="3587" max="3833" width="11.5546875" style="245"/>
    <col min="3834" max="3834" width="15" style="245" bestFit="1" customWidth="1"/>
    <col min="3835" max="3836" width="11.5546875" style="245"/>
    <col min="3837" max="3839" width="15" style="245" bestFit="1" customWidth="1"/>
    <col min="3840" max="3840" width="11.5546875" style="245"/>
    <col min="3841" max="3841" width="15" style="245" bestFit="1" customWidth="1"/>
    <col min="3842" max="3842" width="14.5546875" style="245" bestFit="1" customWidth="1"/>
    <col min="3843" max="4089" width="11.5546875" style="245"/>
    <col min="4090" max="4090" width="15" style="245" bestFit="1" customWidth="1"/>
    <col min="4091" max="4092" width="11.5546875" style="245"/>
    <col min="4093" max="4095" width="15" style="245" bestFit="1" customWidth="1"/>
    <col min="4096" max="4096" width="11.5546875" style="245"/>
    <col min="4097" max="4097" width="15" style="245" bestFit="1" customWidth="1"/>
    <col min="4098" max="4098" width="14.5546875" style="245" bestFit="1" customWidth="1"/>
    <col min="4099" max="4345" width="11.5546875" style="245"/>
    <col min="4346" max="4346" width="15" style="245" bestFit="1" customWidth="1"/>
    <col min="4347" max="4348" width="11.5546875" style="245"/>
    <col min="4349" max="4351" width="15" style="245" bestFit="1" customWidth="1"/>
    <col min="4352" max="4352" width="11.5546875" style="245"/>
    <col min="4353" max="4353" width="15" style="245" bestFit="1" customWidth="1"/>
    <col min="4354" max="4354" width="14.5546875" style="245" bestFit="1" customWidth="1"/>
    <col min="4355" max="4601" width="11.5546875" style="245"/>
    <col min="4602" max="4602" width="15" style="245" bestFit="1" customWidth="1"/>
    <col min="4603" max="4604" width="11.5546875" style="245"/>
    <col min="4605" max="4607" width="15" style="245" bestFit="1" customWidth="1"/>
    <col min="4608" max="4608" width="11.5546875" style="245"/>
    <col min="4609" max="4609" width="15" style="245" bestFit="1" customWidth="1"/>
    <col min="4610" max="4610" width="14.5546875" style="245" bestFit="1" customWidth="1"/>
    <col min="4611" max="4857" width="11.5546875" style="245"/>
    <col min="4858" max="4858" width="15" style="245" bestFit="1" customWidth="1"/>
    <col min="4859" max="4860" width="11.5546875" style="245"/>
    <col min="4861" max="4863" width="15" style="245" bestFit="1" customWidth="1"/>
    <col min="4864" max="4864" width="11.5546875" style="245"/>
    <col min="4865" max="4865" width="15" style="245" bestFit="1" customWidth="1"/>
    <col min="4866" max="4866" width="14.5546875" style="245" bestFit="1" customWidth="1"/>
    <col min="4867" max="5113" width="11.5546875" style="245"/>
    <col min="5114" max="5114" width="15" style="245" bestFit="1" customWidth="1"/>
    <col min="5115" max="5116" width="11.5546875" style="245"/>
    <col min="5117" max="5119" width="15" style="245" bestFit="1" customWidth="1"/>
    <col min="5120" max="5120" width="11.5546875" style="245"/>
    <col min="5121" max="5121" width="15" style="245" bestFit="1" customWidth="1"/>
    <col min="5122" max="5122" width="14.5546875" style="245" bestFit="1" customWidth="1"/>
    <col min="5123" max="5369" width="11.5546875" style="245"/>
    <col min="5370" max="5370" width="15" style="245" bestFit="1" customWidth="1"/>
    <col min="5371" max="5372" width="11.5546875" style="245"/>
    <col min="5373" max="5375" width="15" style="245" bestFit="1" customWidth="1"/>
    <col min="5376" max="5376" width="11.5546875" style="245"/>
    <col min="5377" max="5377" width="15" style="245" bestFit="1" customWidth="1"/>
    <col min="5378" max="5378" width="14.5546875" style="245" bestFit="1" customWidth="1"/>
    <col min="5379" max="5625" width="11.5546875" style="245"/>
    <col min="5626" max="5626" width="15" style="245" bestFit="1" customWidth="1"/>
    <col min="5627" max="5628" width="11.5546875" style="245"/>
    <col min="5629" max="5631" width="15" style="245" bestFit="1" customWidth="1"/>
    <col min="5632" max="5632" width="11.5546875" style="245"/>
    <col min="5633" max="5633" width="15" style="245" bestFit="1" customWidth="1"/>
    <col min="5634" max="5634" width="14.5546875" style="245" bestFit="1" customWidth="1"/>
    <col min="5635" max="5881" width="11.5546875" style="245"/>
    <col min="5882" max="5882" width="15" style="245" bestFit="1" customWidth="1"/>
    <col min="5883" max="5884" width="11.5546875" style="245"/>
    <col min="5885" max="5887" width="15" style="245" bestFit="1" customWidth="1"/>
    <col min="5888" max="5888" width="11.5546875" style="245"/>
    <col min="5889" max="5889" width="15" style="245" bestFit="1" customWidth="1"/>
    <col min="5890" max="5890" width="14.5546875" style="245" bestFit="1" customWidth="1"/>
    <col min="5891" max="6137" width="11.5546875" style="245"/>
    <col min="6138" max="6138" width="15" style="245" bestFit="1" customWidth="1"/>
    <col min="6139" max="6140" width="11.5546875" style="245"/>
    <col min="6141" max="6143" width="15" style="245" bestFit="1" customWidth="1"/>
    <col min="6144" max="6144" width="11.5546875" style="245"/>
    <col min="6145" max="6145" width="15" style="245" bestFit="1" customWidth="1"/>
    <col min="6146" max="6146" width="14.5546875" style="245" bestFit="1" customWidth="1"/>
    <col min="6147" max="6393" width="11.5546875" style="245"/>
    <col min="6394" max="6394" width="15" style="245" bestFit="1" customWidth="1"/>
    <col min="6395" max="6396" width="11.5546875" style="245"/>
    <col min="6397" max="6399" width="15" style="245" bestFit="1" customWidth="1"/>
    <col min="6400" max="6400" width="11.5546875" style="245"/>
    <col min="6401" max="6401" width="15" style="245" bestFit="1" customWidth="1"/>
    <col min="6402" max="6402" width="14.5546875" style="245" bestFit="1" customWidth="1"/>
    <col min="6403" max="6649" width="11.5546875" style="245"/>
    <col min="6650" max="6650" width="15" style="245" bestFit="1" customWidth="1"/>
    <col min="6651" max="6652" width="11.5546875" style="245"/>
    <col min="6653" max="6655" width="15" style="245" bestFit="1" customWidth="1"/>
    <col min="6656" max="6656" width="11.5546875" style="245"/>
    <col min="6657" max="6657" width="15" style="245" bestFit="1" customWidth="1"/>
    <col min="6658" max="6658" width="14.5546875" style="245" bestFit="1" customWidth="1"/>
    <col min="6659" max="6905" width="11.5546875" style="245"/>
    <col min="6906" max="6906" width="15" style="245" bestFit="1" customWidth="1"/>
    <col min="6907" max="6908" width="11.5546875" style="245"/>
    <col min="6909" max="6911" width="15" style="245" bestFit="1" customWidth="1"/>
    <col min="6912" max="6912" width="11.5546875" style="245"/>
    <col min="6913" max="6913" width="15" style="245" bestFit="1" customWidth="1"/>
    <col min="6914" max="6914" width="14.5546875" style="245" bestFit="1" customWidth="1"/>
    <col min="6915" max="7161" width="11.5546875" style="245"/>
    <col min="7162" max="7162" width="15" style="245" bestFit="1" customWidth="1"/>
    <col min="7163" max="7164" width="11.5546875" style="245"/>
    <col min="7165" max="7167" width="15" style="245" bestFit="1" customWidth="1"/>
    <col min="7168" max="7168" width="11.5546875" style="245"/>
    <col min="7169" max="7169" width="15" style="245" bestFit="1" customWidth="1"/>
    <col min="7170" max="7170" width="14.5546875" style="245" bestFit="1" customWidth="1"/>
    <col min="7171" max="7417" width="11.5546875" style="245"/>
    <col min="7418" max="7418" width="15" style="245" bestFit="1" customWidth="1"/>
    <col min="7419" max="7420" width="11.5546875" style="245"/>
    <col min="7421" max="7423" width="15" style="245" bestFit="1" customWidth="1"/>
    <col min="7424" max="7424" width="11.5546875" style="245"/>
    <col min="7425" max="7425" width="15" style="245" bestFit="1" customWidth="1"/>
    <col min="7426" max="7426" width="14.5546875" style="245" bestFit="1" customWidth="1"/>
    <col min="7427" max="7673" width="11.5546875" style="245"/>
    <col min="7674" max="7674" width="15" style="245" bestFit="1" customWidth="1"/>
    <col min="7675" max="7676" width="11.5546875" style="245"/>
    <col min="7677" max="7679" width="15" style="245" bestFit="1" customWidth="1"/>
    <col min="7680" max="7680" width="11.5546875" style="245"/>
    <col min="7681" max="7681" width="15" style="245" bestFit="1" customWidth="1"/>
    <col min="7682" max="7682" width="14.5546875" style="245" bestFit="1" customWidth="1"/>
    <col min="7683" max="7929" width="11.5546875" style="245"/>
    <col min="7930" max="7930" width="15" style="245" bestFit="1" customWidth="1"/>
    <col min="7931" max="7932" width="11.5546875" style="245"/>
    <col min="7933" max="7935" width="15" style="245" bestFit="1" customWidth="1"/>
    <col min="7936" max="7936" width="11.5546875" style="245"/>
    <col min="7937" max="7937" width="15" style="245" bestFit="1" customWidth="1"/>
    <col min="7938" max="7938" width="14.5546875" style="245" bestFit="1" customWidth="1"/>
    <col min="7939" max="8185" width="11.5546875" style="245"/>
    <col min="8186" max="8186" width="15" style="245" bestFit="1" customWidth="1"/>
    <col min="8187" max="8188" width="11.5546875" style="245"/>
    <col min="8189" max="8191" width="15" style="245" bestFit="1" customWidth="1"/>
    <col min="8192" max="8192" width="11.5546875" style="245"/>
    <col min="8193" max="8193" width="15" style="245" bestFit="1" customWidth="1"/>
    <col min="8194" max="8194" width="14.5546875" style="245" bestFit="1" customWidth="1"/>
    <col min="8195" max="8441" width="11.5546875" style="245"/>
    <col min="8442" max="8442" width="15" style="245" bestFit="1" customWidth="1"/>
    <col min="8443" max="8444" width="11.5546875" style="245"/>
    <col min="8445" max="8447" width="15" style="245" bestFit="1" customWidth="1"/>
    <col min="8448" max="8448" width="11.5546875" style="245"/>
    <col min="8449" max="8449" width="15" style="245" bestFit="1" customWidth="1"/>
    <col min="8450" max="8450" width="14.5546875" style="245" bestFit="1" customWidth="1"/>
    <col min="8451" max="8697" width="11.5546875" style="245"/>
    <col min="8698" max="8698" width="15" style="245" bestFit="1" customWidth="1"/>
    <col min="8699" max="8700" width="11.5546875" style="245"/>
    <col min="8701" max="8703" width="15" style="245" bestFit="1" customWidth="1"/>
    <col min="8704" max="8704" width="11.5546875" style="245"/>
    <col min="8705" max="8705" width="15" style="245" bestFit="1" customWidth="1"/>
    <col min="8706" max="8706" width="14.5546875" style="245" bestFit="1" customWidth="1"/>
    <col min="8707" max="8953" width="11.5546875" style="245"/>
    <col min="8954" max="8954" width="15" style="245" bestFit="1" customWidth="1"/>
    <col min="8955" max="8956" width="11.5546875" style="245"/>
    <col min="8957" max="8959" width="15" style="245" bestFit="1" customWidth="1"/>
    <col min="8960" max="8960" width="11.5546875" style="245"/>
    <col min="8961" max="8961" width="15" style="245" bestFit="1" customWidth="1"/>
    <col min="8962" max="8962" width="14.5546875" style="245" bestFit="1" customWidth="1"/>
    <col min="8963" max="9209" width="11.5546875" style="245"/>
    <col min="9210" max="9210" width="15" style="245" bestFit="1" customWidth="1"/>
    <col min="9211" max="9212" width="11.5546875" style="245"/>
    <col min="9213" max="9215" width="15" style="245" bestFit="1" customWidth="1"/>
    <col min="9216" max="9216" width="11.5546875" style="245"/>
    <col min="9217" max="9217" width="15" style="245" bestFit="1" customWidth="1"/>
    <col min="9218" max="9218" width="14.5546875" style="245" bestFit="1" customWidth="1"/>
    <col min="9219" max="9465" width="11.5546875" style="245"/>
    <col min="9466" max="9466" width="15" style="245" bestFit="1" customWidth="1"/>
    <col min="9467" max="9468" width="11.5546875" style="245"/>
    <col min="9469" max="9471" width="15" style="245" bestFit="1" customWidth="1"/>
    <col min="9472" max="9472" width="11.5546875" style="245"/>
    <col min="9473" max="9473" width="15" style="245" bestFit="1" customWidth="1"/>
    <col min="9474" max="9474" width="14.5546875" style="245" bestFit="1" customWidth="1"/>
    <col min="9475" max="9721" width="11.5546875" style="245"/>
    <col min="9722" max="9722" width="15" style="245" bestFit="1" customWidth="1"/>
    <col min="9723" max="9724" width="11.5546875" style="245"/>
    <col min="9725" max="9727" width="15" style="245" bestFit="1" customWidth="1"/>
    <col min="9728" max="9728" width="11.5546875" style="245"/>
    <col min="9729" max="9729" width="15" style="245" bestFit="1" customWidth="1"/>
    <col min="9730" max="9730" width="14.5546875" style="245" bestFit="1" customWidth="1"/>
    <col min="9731" max="9977" width="11.5546875" style="245"/>
    <col min="9978" max="9978" width="15" style="245" bestFit="1" customWidth="1"/>
    <col min="9979" max="9980" width="11.5546875" style="245"/>
    <col min="9981" max="9983" width="15" style="245" bestFit="1" customWidth="1"/>
    <col min="9984" max="9984" width="11.5546875" style="245"/>
    <col min="9985" max="9985" width="15" style="245" bestFit="1" customWidth="1"/>
    <col min="9986" max="9986" width="14.5546875" style="245" bestFit="1" customWidth="1"/>
    <col min="9987" max="10233" width="11.5546875" style="245"/>
    <col min="10234" max="10234" width="15" style="245" bestFit="1" customWidth="1"/>
    <col min="10235" max="10236" width="11.5546875" style="245"/>
    <col min="10237" max="10239" width="15" style="245" bestFit="1" customWidth="1"/>
    <col min="10240" max="10240" width="11.5546875" style="245"/>
    <col min="10241" max="10241" width="15" style="245" bestFit="1" customWidth="1"/>
    <col min="10242" max="10242" width="14.5546875" style="245" bestFit="1" customWidth="1"/>
    <col min="10243" max="10489" width="11.5546875" style="245"/>
    <col min="10490" max="10490" width="15" style="245" bestFit="1" customWidth="1"/>
    <col min="10491" max="10492" width="11.5546875" style="245"/>
    <col min="10493" max="10495" width="15" style="245" bestFit="1" customWidth="1"/>
    <col min="10496" max="10496" width="11.5546875" style="245"/>
    <col min="10497" max="10497" width="15" style="245" bestFit="1" customWidth="1"/>
    <col min="10498" max="10498" width="14.5546875" style="245" bestFit="1" customWidth="1"/>
    <col min="10499" max="10745" width="11.5546875" style="245"/>
    <col min="10746" max="10746" width="15" style="245" bestFit="1" customWidth="1"/>
    <col min="10747" max="10748" width="11.5546875" style="245"/>
    <col min="10749" max="10751" width="15" style="245" bestFit="1" customWidth="1"/>
    <col min="10752" max="10752" width="11.5546875" style="245"/>
    <col min="10753" max="10753" width="15" style="245" bestFit="1" customWidth="1"/>
    <col min="10754" max="10754" width="14.5546875" style="245" bestFit="1" customWidth="1"/>
    <col min="10755" max="11001" width="11.5546875" style="245"/>
    <col min="11002" max="11002" width="15" style="245" bestFit="1" customWidth="1"/>
    <col min="11003" max="11004" width="11.5546875" style="245"/>
    <col min="11005" max="11007" width="15" style="245" bestFit="1" customWidth="1"/>
    <col min="11008" max="11008" width="11.5546875" style="245"/>
    <col min="11009" max="11009" width="15" style="245" bestFit="1" customWidth="1"/>
    <col min="11010" max="11010" width="14.5546875" style="245" bestFit="1" customWidth="1"/>
    <col min="11011" max="11257" width="11.5546875" style="245"/>
    <col min="11258" max="11258" width="15" style="245" bestFit="1" customWidth="1"/>
    <col min="11259" max="11260" width="11.5546875" style="245"/>
    <col min="11261" max="11263" width="15" style="245" bestFit="1" customWidth="1"/>
    <col min="11264" max="11264" width="11.5546875" style="245"/>
    <col min="11265" max="11265" width="15" style="245" bestFit="1" customWidth="1"/>
    <col min="11266" max="11266" width="14.5546875" style="245" bestFit="1" customWidth="1"/>
    <col min="11267" max="11513" width="11.5546875" style="245"/>
    <col min="11514" max="11514" width="15" style="245" bestFit="1" customWidth="1"/>
    <col min="11515" max="11516" width="11.5546875" style="245"/>
    <col min="11517" max="11519" width="15" style="245" bestFit="1" customWidth="1"/>
    <col min="11520" max="11520" width="11.5546875" style="245"/>
    <col min="11521" max="11521" width="15" style="245" bestFit="1" customWidth="1"/>
    <col min="11522" max="11522" width="14.5546875" style="245" bestFit="1" customWidth="1"/>
    <col min="11523" max="11769" width="11.5546875" style="245"/>
    <col min="11770" max="11770" width="15" style="245" bestFit="1" customWidth="1"/>
    <col min="11771" max="11772" width="11.5546875" style="245"/>
    <col min="11773" max="11775" width="15" style="245" bestFit="1" customWidth="1"/>
    <col min="11776" max="11776" width="11.5546875" style="245"/>
    <col min="11777" max="11777" width="15" style="245" bestFit="1" customWidth="1"/>
    <col min="11778" max="11778" width="14.5546875" style="245" bestFit="1" customWidth="1"/>
    <col min="11779" max="12025" width="11.5546875" style="245"/>
    <col min="12026" max="12026" width="15" style="245" bestFit="1" customWidth="1"/>
    <col min="12027" max="12028" width="11.5546875" style="245"/>
    <col min="12029" max="12031" width="15" style="245" bestFit="1" customWidth="1"/>
    <col min="12032" max="12032" width="11.5546875" style="245"/>
    <col min="12033" max="12033" width="15" style="245" bestFit="1" customWidth="1"/>
    <col min="12034" max="12034" width="14.5546875" style="245" bestFit="1" customWidth="1"/>
    <col min="12035" max="12281" width="11.5546875" style="245"/>
    <col min="12282" max="12282" width="15" style="245" bestFit="1" customWidth="1"/>
    <col min="12283" max="12284" width="11.5546875" style="245"/>
    <col min="12285" max="12287" width="15" style="245" bestFit="1" customWidth="1"/>
    <col min="12288" max="12288" width="11.5546875" style="245"/>
    <col min="12289" max="12289" width="15" style="245" bestFit="1" customWidth="1"/>
    <col min="12290" max="12290" width="14.5546875" style="245" bestFit="1" customWidth="1"/>
    <col min="12291" max="12537" width="11.5546875" style="245"/>
    <col min="12538" max="12538" width="15" style="245" bestFit="1" customWidth="1"/>
    <col min="12539" max="12540" width="11.5546875" style="245"/>
    <col min="12541" max="12543" width="15" style="245" bestFit="1" customWidth="1"/>
    <col min="12544" max="12544" width="11.5546875" style="245"/>
    <col min="12545" max="12545" width="15" style="245" bestFit="1" customWidth="1"/>
    <col min="12546" max="12546" width="14.5546875" style="245" bestFit="1" customWidth="1"/>
    <col min="12547" max="12793" width="11.5546875" style="245"/>
    <col min="12794" max="12794" width="15" style="245" bestFit="1" customWidth="1"/>
    <col min="12795" max="12796" width="11.5546875" style="245"/>
    <col min="12797" max="12799" width="15" style="245" bestFit="1" customWidth="1"/>
    <col min="12800" max="12800" width="11.5546875" style="245"/>
    <col min="12801" max="12801" width="15" style="245" bestFit="1" customWidth="1"/>
    <col min="12802" max="12802" width="14.5546875" style="245" bestFit="1" customWidth="1"/>
    <col min="12803" max="13049" width="11.5546875" style="245"/>
    <col min="13050" max="13050" width="15" style="245" bestFit="1" customWidth="1"/>
    <col min="13051" max="13052" width="11.5546875" style="245"/>
    <col min="13053" max="13055" width="15" style="245" bestFit="1" customWidth="1"/>
    <col min="13056" max="13056" width="11.5546875" style="245"/>
    <col min="13057" max="13057" width="15" style="245" bestFit="1" customWidth="1"/>
    <col min="13058" max="13058" width="14.5546875" style="245" bestFit="1" customWidth="1"/>
    <col min="13059" max="13305" width="11.5546875" style="245"/>
    <col min="13306" max="13306" width="15" style="245" bestFit="1" customWidth="1"/>
    <col min="13307" max="13308" width="11.5546875" style="245"/>
    <col min="13309" max="13311" width="15" style="245" bestFit="1" customWidth="1"/>
    <col min="13312" max="13312" width="11.5546875" style="245"/>
    <col min="13313" max="13313" width="15" style="245" bestFit="1" customWidth="1"/>
    <col min="13314" max="13314" width="14.5546875" style="245" bestFit="1" customWidth="1"/>
    <col min="13315" max="13561" width="11.5546875" style="245"/>
    <col min="13562" max="13562" width="15" style="245" bestFit="1" customWidth="1"/>
    <col min="13563" max="13564" width="11.5546875" style="245"/>
    <col min="13565" max="13567" width="15" style="245" bestFit="1" customWidth="1"/>
    <col min="13568" max="13568" width="11.5546875" style="245"/>
    <col min="13569" max="13569" width="15" style="245" bestFit="1" customWidth="1"/>
    <col min="13570" max="13570" width="14.5546875" style="245" bestFit="1" customWidth="1"/>
    <col min="13571" max="13817" width="11.5546875" style="245"/>
    <col min="13818" max="13818" width="15" style="245" bestFit="1" customWidth="1"/>
    <col min="13819" max="13820" width="11.5546875" style="245"/>
    <col min="13821" max="13823" width="15" style="245" bestFit="1" customWidth="1"/>
    <col min="13824" max="13824" width="11.5546875" style="245"/>
    <col min="13825" max="13825" width="15" style="245" bestFit="1" customWidth="1"/>
    <col min="13826" max="13826" width="14.5546875" style="245" bestFit="1" customWidth="1"/>
    <col min="13827" max="14073" width="11.5546875" style="245"/>
    <col min="14074" max="14074" width="15" style="245" bestFit="1" customWidth="1"/>
    <col min="14075" max="14076" width="11.5546875" style="245"/>
    <col min="14077" max="14079" width="15" style="245" bestFit="1" customWidth="1"/>
    <col min="14080" max="14080" width="11.5546875" style="245"/>
    <col min="14081" max="14081" width="15" style="245" bestFit="1" customWidth="1"/>
    <col min="14082" max="14082" width="14.5546875" style="245" bestFit="1" customWidth="1"/>
    <col min="14083" max="14329" width="11.5546875" style="245"/>
    <col min="14330" max="14330" width="15" style="245" bestFit="1" customWidth="1"/>
    <col min="14331" max="14332" width="11.5546875" style="245"/>
    <col min="14333" max="14335" width="15" style="245" bestFit="1" customWidth="1"/>
    <col min="14336" max="14336" width="11.5546875" style="245"/>
    <col min="14337" max="14337" width="15" style="245" bestFit="1" customWidth="1"/>
    <col min="14338" max="14338" width="14.5546875" style="245" bestFit="1" customWidth="1"/>
    <col min="14339" max="14585" width="11.5546875" style="245"/>
    <col min="14586" max="14586" width="15" style="245" bestFit="1" customWidth="1"/>
    <col min="14587" max="14588" width="11.5546875" style="245"/>
    <col min="14589" max="14591" width="15" style="245" bestFit="1" customWidth="1"/>
    <col min="14592" max="14592" width="11.5546875" style="245"/>
    <col min="14593" max="14593" width="15" style="245" bestFit="1" customWidth="1"/>
    <col min="14594" max="14594" width="14.5546875" style="245" bestFit="1" customWidth="1"/>
    <col min="14595" max="14841" width="11.5546875" style="245"/>
    <col min="14842" max="14842" width="15" style="245" bestFit="1" customWidth="1"/>
    <col min="14843" max="14844" width="11.5546875" style="245"/>
    <col min="14845" max="14847" width="15" style="245" bestFit="1" customWidth="1"/>
    <col min="14848" max="14848" width="11.5546875" style="245"/>
    <col min="14849" max="14849" width="15" style="245" bestFit="1" customWidth="1"/>
    <col min="14850" max="14850" width="14.5546875" style="245" bestFit="1" customWidth="1"/>
    <col min="14851" max="15097" width="11.5546875" style="245"/>
    <col min="15098" max="15098" width="15" style="245" bestFit="1" customWidth="1"/>
    <col min="15099" max="15100" width="11.5546875" style="245"/>
    <col min="15101" max="15103" width="15" style="245" bestFit="1" customWidth="1"/>
    <col min="15104" max="15104" width="11.5546875" style="245"/>
    <col min="15105" max="15105" width="15" style="245" bestFit="1" customWidth="1"/>
    <col min="15106" max="15106" width="14.5546875" style="245" bestFit="1" customWidth="1"/>
    <col min="15107" max="15353" width="11.5546875" style="245"/>
    <col min="15354" max="15354" width="15" style="245" bestFit="1" customWidth="1"/>
    <col min="15355" max="15356" width="11.5546875" style="245"/>
    <col min="15357" max="15359" width="15" style="245" bestFit="1" customWidth="1"/>
    <col min="15360" max="15360" width="11.5546875" style="245"/>
    <col min="15361" max="15361" width="15" style="245" bestFit="1" customWidth="1"/>
    <col min="15362" max="15362" width="14.5546875" style="245" bestFit="1" customWidth="1"/>
    <col min="15363" max="15609" width="11.5546875" style="245"/>
    <col min="15610" max="15610" width="15" style="245" bestFit="1" customWidth="1"/>
    <col min="15611" max="15612" width="11.5546875" style="245"/>
    <col min="15613" max="15615" width="15" style="245" bestFit="1" customWidth="1"/>
    <col min="15616" max="15616" width="11.5546875" style="245"/>
    <col min="15617" max="15617" width="15" style="245" bestFit="1" customWidth="1"/>
    <col min="15618" max="15618" width="14.5546875" style="245" bestFit="1" customWidth="1"/>
    <col min="15619" max="15865" width="11.5546875" style="245"/>
    <col min="15866" max="15866" width="15" style="245" bestFit="1" customWidth="1"/>
    <col min="15867" max="15868" width="11.5546875" style="245"/>
    <col min="15869" max="15871" width="15" style="245" bestFit="1" customWidth="1"/>
    <col min="15872" max="15872" width="11.5546875" style="245"/>
    <col min="15873" max="15873" width="15" style="245" bestFit="1" customWidth="1"/>
    <col min="15874" max="15874" width="14.5546875" style="245" bestFit="1" customWidth="1"/>
    <col min="15875" max="16121" width="11.5546875" style="245"/>
    <col min="16122" max="16122" width="15" style="245" bestFit="1" customWidth="1"/>
    <col min="16123" max="16124" width="11.5546875" style="245"/>
    <col min="16125" max="16127" width="15" style="245" bestFit="1" customWidth="1"/>
    <col min="16128" max="16128" width="11.5546875" style="245"/>
    <col min="16129" max="16129" width="15" style="245" bestFit="1" customWidth="1"/>
    <col min="16130" max="16130" width="14.5546875" style="245" bestFit="1" customWidth="1"/>
    <col min="16131" max="16384" width="11.5546875" style="245"/>
  </cols>
  <sheetData>
    <row r="1" spans="1:10" ht="15" customHeight="1" thickBot="1">
      <c r="A1" s="616" t="s">
        <v>767</v>
      </c>
      <c r="B1" s="616" t="s">
        <v>766</v>
      </c>
      <c r="C1" s="616" t="s">
        <v>773</v>
      </c>
      <c r="D1" s="616" t="s">
        <v>772</v>
      </c>
      <c r="E1" s="616" t="s">
        <v>771</v>
      </c>
      <c r="F1" s="616" t="s">
        <v>770</v>
      </c>
      <c r="G1" s="616" t="s">
        <v>769</v>
      </c>
      <c r="H1" s="615"/>
      <c r="I1" s="615"/>
      <c r="J1" s="614"/>
    </row>
    <row r="2" spans="1:10" ht="16.2" thickBot="1">
      <c r="A2" s="606">
        <v>2565</v>
      </c>
      <c r="B2" s="610" t="str">
        <f t="shared" ref="B2:B12" si="0">IF(ISBLANK(A2),"",IFERROR(VLOOKUP(A2,code,2,FALSE),"Code erreur"))</f>
        <v>bas12</v>
      </c>
      <c r="C2" s="610" t="str">
        <f t="shared" ref="C2:C12" si="1">IF(ISBLANK(A2),"",IFERROR(VLOOKUP(A2,code,3,FALSE),"il n'y a rien"))</f>
        <v>R001</v>
      </c>
      <c r="D2" s="610">
        <v>5000</v>
      </c>
      <c r="E2" s="609">
        <f t="shared" ref="E2:E12" si="2">IF(ISBLANK(A2),"",IFERROR(VLOOKUP(A2,code,5,FALSE),"HO OH!"))</f>
        <v>21.5</v>
      </c>
      <c r="F2" s="610">
        <f t="shared" ref="F2:F7" si="3">VLOOKUP(A2,code,8)</f>
        <v>170</v>
      </c>
      <c r="G2" s="612">
        <f t="shared" ref="G2:G7" si="4">D2*E2*(1+$H$2)</f>
        <v>130075</v>
      </c>
      <c r="H2" s="613">
        <v>0.21</v>
      </c>
      <c r="I2" s="600"/>
      <c r="J2" s="600"/>
    </row>
    <row r="3" spans="1:10" ht="16.2" thickBot="1">
      <c r="A3" s="606">
        <v>1256</v>
      </c>
      <c r="B3" s="610" t="str">
        <f t="shared" si="0"/>
        <v>blook14</v>
      </c>
      <c r="C3" s="610" t="str">
        <f t="shared" si="1"/>
        <v>D001</v>
      </c>
      <c r="D3" s="610">
        <v>2500</v>
      </c>
      <c r="E3" s="609">
        <f t="shared" si="2"/>
        <v>4.34</v>
      </c>
      <c r="F3" s="610">
        <f t="shared" si="3"/>
        <v>180</v>
      </c>
      <c r="G3" s="612">
        <f t="shared" si="4"/>
        <v>13128.5</v>
      </c>
      <c r="H3" s="601"/>
      <c r="I3" s="600"/>
      <c r="J3" s="600"/>
    </row>
    <row r="4" spans="1:10" ht="16.2" thickBot="1">
      <c r="A4" s="606">
        <v>3698</v>
      </c>
      <c r="B4" s="610" t="str">
        <f t="shared" si="0"/>
        <v>=bas12</v>
      </c>
      <c r="C4" s="610" t="str">
        <f t="shared" si="1"/>
        <v>R001</v>
      </c>
      <c r="D4" s="610">
        <v>12000</v>
      </c>
      <c r="E4" s="609">
        <f t="shared" si="2"/>
        <v>4.12</v>
      </c>
      <c r="F4" s="610">
        <f t="shared" si="3"/>
        <v>190</v>
      </c>
      <c r="G4" s="612">
        <f t="shared" si="4"/>
        <v>59822.400000000001</v>
      </c>
      <c r="H4" s="601"/>
      <c r="I4" s="600"/>
      <c r="J4" s="600"/>
    </row>
    <row r="5" spans="1:10" ht="16.2" thickBot="1">
      <c r="A5" s="606">
        <v>2589</v>
      </c>
      <c r="B5" s="610" t="str">
        <f t="shared" si="0"/>
        <v>@cond45</v>
      </c>
      <c r="C5" s="610" t="str">
        <f t="shared" si="1"/>
        <v>C001</v>
      </c>
      <c r="D5" s="610">
        <v>10000</v>
      </c>
      <c r="E5" s="609">
        <f t="shared" si="2"/>
        <v>7.5</v>
      </c>
      <c r="F5" s="610">
        <f t="shared" si="3"/>
        <v>200</v>
      </c>
      <c r="G5" s="612">
        <f t="shared" si="4"/>
        <v>90750</v>
      </c>
      <c r="H5" s="601"/>
      <c r="I5" s="600"/>
      <c r="J5" s="600"/>
    </row>
    <row r="6" spans="1:10" ht="16.2" thickBot="1">
      <c r="A6" s="606">
        <v>1456</v>
      </c>
      <c r="B6" s="610" t="str">
        <f t="shared" si="0"/>
        <v>bas15</v>
      </c>
      <c r="C6" s="610" t="str">
        <f t="shared" si="1"/>
        <v>R001</v>
      </c>
      <c r="D6" s="610">
        <v>7500</v>
      </c>
      <c r="E6" s="609">
        <f t="shared" si="2"/>
        <v>1.23</v>
      </c>
      <c r="F6" s="610">
        <f t="shared" si="3"/>
        <v>170</v>
      </c>
      <c r="G6" s="612">
        <f t="shared" si="4"/>
        <v>11162.25</v>
      </c>
      <c r="H6" s="601"/>
      <c r="I6" s="600"/>
      <c r="J6" s="600"/>
    </row>
    <row r="7" spans="1:10" ht="16.2" thickBot="1">
      <c r="A7" s="606">
        <v>2565</v>
      </c>
      <c r="B7" s="610" t="str">
        <f t="shared" si="0"/>
        <v>bas12</v>
      </c>
      <c r="C7" s="610" t="str">
        <f t="shared" si="1"/>
        <v>R001</v>
      </c>
      <c r="D7" s="610">
        <v>8000</v>
      </c>
      <c r="E7" s="609">
        <f t="shared" si="2"/>
        <v>21.5</v>
      </c>
      <c r="F7" s="610">
        <f t="shared" si="3"/>
        <v>170</v>
      </c>
      <c r="G7" s="612">
        <f t="shared" si="4"/>
        <v>208120</v>
      </c>
      <c r="H7" s="601"/>
      <c r="I7" s="600"/>
      <c r="J7" s="600"/>
    </row>
    <row r="8" spans="1:10" ht="16.2" thickBot="1">
      <c r="A8" s="606">
        <v>3695</v>
      </c>
      <c r="B8" s="610" t="str">
        <f t="shared" si="0"/>
        <v>Code erreur</v>
      </c>
      <c r="C8" s="610" t="str">
        <f t="shared" si="1"/>
        <v>il n'y a rien</v>
      </c>
      <c r="D8" s="610" t="str" cm="1">
        <f t="array" ref="D8">IF(IFERROR($A$8,code),"",VLOOKUP($A$8,code,2,FALSE))</f>
        <v/>
      </c>
      <c r="E8" s="609" t="str">
        <f t="shared" si="2"/>
        <v>HO OH!</v>
      </c>
      <c r="F8" s="610" t="str" cm="1">
        <f t="array" ref="F8">IF(IFERROR($A$8,code),"",VLOOKUP($A$8,code,2,FALSE))</f>
        <v/>
      </c>
      <c r="G8" s="611" t="str" cm="1">
        <f t="array" ref="G8">IF(IFERROR($A$8,code),"",VLOOKUP($A$8,code,2,FALSE))</f>
        <v/>
      </c>
      <c r="H8" s="601"/>
      <c r="I8" s="600"/>
      <c r="J8" s="600"/>
    </row>
    <row r="9" spans="1:10" ht="16.2" thickBot="1">
      <c r="A9" s="606"/>
      <c r="B9" s="610" t="str">
        <f t="shared" si="0"/>
        <v/>
      </c>
      <c r="C9" s="610" t="str">
        <f t="shared" si="1"/>
        <v/>
      </c>
      <c r="D9" s="610"/>
      <c r="E9" s="609" t="str">
        <f t="shared" si="2"/>
        <v/>
      </c>
      <c r="F9" s="608"/>
      <c r="G9" s="607"/>
      <c r="H9" s="601"/>
      <c r="I9" s="600"/>
      <c r="J9" s="600"/>
    </row>
    <row r="10" spans="1:10" ht="16.2" thickBot="1">
      <c r="A10" s="606"/>
      <c r="B10" s="610" t="str">
        <f t="shared" si="0"/>
        <v/>
      </c>
      <c r="C10" s="610" t="str">
        <f t="shared" si="1"/>
        <v/>
      </c>
      <c r="D10" s="610"/>
      <c r="E10" s="609" t="str">
        <f t="shared" si="2"/>
        <v/>
      </c>
      <c r="F10" s="608"/>
      <c r="G10" s="607"/>
      <c r="H10" s="601"/>
      <c r="I10" s="600"/>
      <c r="J10" s="600"/>
    </row>
    <row r="11" spans="1:10" ht="16.2" thickBot="1">
      <c r="A11" s="606"/>
      <c r="B11" s="610" t="str">
        <f t="shared" si="0"/>
        <v/>
      </c>
      <c r="C11" s="610" t="str">
        <f t="shared" si="1"/>
        <v/>
      </c>
      <c r="D11" s="610"/>
      <c r="E11" s="609" t="str">
        <f t="shared" si="2"/>
        <v/>
      </c>
      <c r="F11" s="608"/>
      <c r="G11" s="607"/>
      <c r="H11" s="601"/>
      <c r="I11" s="600"/>
      <c r="J11" s="600"/>
    </row>
    <row r="12" spans="1:10" ht="16.2" thickBot="1">
      <c r="A12" s="606"/>
      <c r="B12" s="605" t="str">
        <f t="shared" si="0"/>
        <v/>
      </c>
      <c r="C12" s="605" t="str">
        <f t="shared" si="1"/>
        <v/>
      </c>
      <c r="D12" s="605"/>
      <c r="E12" s="604" t="str">
        <f t="shared" si="2"/>
        <v/>
      </c>
      <c r="F12" s="603"/>
      <c r="G12" s="602"/>
      <c r="H12" s="601"/>
      <c r="I12" s="600"/>
      <c r="J12" s="600"/>
    </row>
    <row r="13" spans="1:10" ht="16.8" thickTop="1" thickBot="1">
      <c r="C13" s="599"/>
      <c r="F13" s="599" t="s">
        <v>768</v>
      </c>
      <c r="G13" s="598">
        <f>SUM(G2:G12)</f>
        <v>513058.15</v>
      </c>
    </row>
    <row r="14" spans="1:10" ht="16.2" thickTop="1">
      <c r="H14" s="597"/>
    </row>
  </sheetData>
  <dataValidations count="1">
    <dataValidation type="list" allowBlank="1" showInputMessage="1" showErrorMessage="1" sqref="IP2:IP12 WVB983037:WVB983047 WLF983037:WLF983047 WBJ983037:WBJ983047 VRN983037:VRN983047 VHR983037:VHR983047 UXV983037:UXV983047 UNZ983037:UNZ983047 UED983037:UED983047 TUH983037:TUH983047 TKL983037:TKL983047 TAP983037:TAP983047 SQT983037:SQT983047 SGX983037:SGX983047 RXB983037:RXB983047 RNF983037:RNF983047 RDJ983037:RDJ983047 QTN983037:QTN983047 QJR983037:QJR983047 PZV983037:PZV983047 PPZ983037:PPZ983047 PGD983037:PGD983047 OWH983037:OWH983047 OML983037:OML983047 OCP983037:OCP983047 NST983037:NST983047 NIX983037:NIX983047 MZB983037:MZB983047 MPF983037:MPF983047 MFJ983037:MFJ983047 LVN983037:LVN983047 LLR983037:LLR983047 LBV983037:LBV983047 KRZ983037:KRZ983047 KID983037:KID983047 JYH983037:JYH983047 JOL983037:JOL983047 JEP983037:JEP983047 IUT983037:IUT983047 IKX983037:IKX983047 IBB983037:IBB983047 HRF983037:HRF983047 HHJ983037:HHJ983047 GXN983037:GXN983047 GNR983037:GNR983047 GDV983037:GDV983047 FTZ983037:FTZ983047 FKD983037:FKD983047 FAH983037:FAH983047 EQL983037:EQL983047 EGP983037:EGP983047 DWT983037:DWT983047 DMX983037:DMX983047 DDB983037:DDB983047 CTF983037:CTF983047 CJJ983037:CJJ983047 BZN983037:BZN983047 BPR983037:BPR983047 BFV983037:BFV983047 AVZ983037:AVZ983047 AMD983037:AMD983047 ACH983037:ACH983047 SL983037:SL983047 IP983037:IP983047 WVB917501:WVB917511 WLF917501:WLF917511 WBJ917501:WBJ917511 VRN917501:VRN917511 VHR917501:VHR917511 UXV917501:UXV917511 UNZ917501:UNZ917511 UED917501:UED917511 TUH917501:TUH917511 TKL917501:TKL917511 TAP917501:TAP917511 SQT917501:SQT917511 SGX917501:SGX917511 RXB917501:RXB917511 RNF917501:RNF917511 RDJ917501:RDJ917511 QTN917501:QTN917511 QJR917501:QJR917511 PZV917501:PZV917511 PPZ917501:PPZ917511 PGD917501:PGD917511 OWH917501:OWH917511 OML917501:OML917511 OCP917501:OCP917511 NST917501:NST917511 NIX917501:NIX917511 MZB917501:MZB917511 MPF917501:MPF917511 MFJ917501:MFJ917511 LVN917501:LVN917511 LLR917501:LLR917511 LBV917501:LBV917511 KRZ917501:KRZ917511 KID917501:KID917511 JYH917501:JYH917511 JOL917501:JOL917511 JEP917501:JEP917511 IUT917501:IUT917511 IKX917501:IKX917511 IBB917501:IBB917511 HRF917501:HRF917511 HHJ917501:HHJ917511 GXN917501:GXN917511 GNR917501:GNR917511 GDV917501:GDV917511 FTZ917501:FTZ917511 FKD917501:FKD917511 FAH917501:FAH917511 EQL917501:EQL917511 EGP917501:EGP917511 DWT917501:DWT917511 DMX917501:DMX917511 DDB917501:DDB917511 CTF917501:CTF917511 CJJ917501:CJJ917511 BZN917501:BZN917511 BPR917501:BPR917511 BFV917501:BFV917511 AVZ917501:AVZ917511 AMD917501:AMD917511 ACH917501:ACH917511 SL917501:SL917511 IP917501:IP917511 WVB851965:WVB851975 WLF851965:WLF851975 WBJ851965:WBJ851975 VRN851965:VRN851975 VHR851965:VHR851975 UXV851965:UXV851975 UNZ851965:UNZ851975 UED851965:UED851975 TUH851965:TUH851975 TKL851965:TKL851975 TAP851965:TAP851975 SQT851965:SQT851975 SGX851965:SGX851975 RXB851965:RXB851975 RNF851965:RNF851975 RDJ851965:RDJ851975 QTN851965:QTN851975 QJR851965:QJR851975 PZV851965:PZV851975 PPZ851965:PPZ851975 PGD851965:PGD851975 OWH851965:OWH851975 OML851965:OML851975 OCP851965:OCP851975 NST851965:NST851975 NIX851965:NIX851975 MZB851965:MZB851975 MPF851965:MPF851975 MFJ851965:MFJ851975 LVN851965:LVN851975 LLR851965:LLR851975 LBV851965:LBV851975 KRZ851965:KRZ851975 KID851965:KID851975 JYH851965:JYH851975 JOL851965:JOL851975 JEP851965:JEP851975 IUT851965:IUT851975 IKX851965:IKX851975 IBB851965:IBB851975 HRF851965:HRF851975 HHJ851965:HHJ851975 GXN851965:GXN851975 GNR851965:GNR851975 GDV851965:GDV851975 FTZ851965:FTZ851975 FKD851965:FKD851975 FAH851965:FAH851975 EQL851965:EQL851975 EGP851965:EGP851975 DWT851965:DWT851975 DMX851965:DMX851975 DDB851965:DDB851975 CTF851965:CTF851975 CJJ851965:CJJ851975 BZN851965:BZN851975 BPR851965:BPR851975 BFV851965:BFV851975 AVZ851965:AVZ851975 AMD851965:AMD851975 ACH851965:ACH851975 SL851965:SL851975 IP851965:IP851975 WVB786429:WVB786439 WLF786429:WLF786439 WBJ786429:WBJ786439 VRN786429:VRN786439 VHR786429:VHR786439 UXV786429:UXV786439 UNZ786429:UNZ786439 UED786429:UED786439 TUH786429:TUH786439 TKL786429:TKL786439 TAP786429:TAP786439 SQT786429:SQT786439 SGX786429:SGX786439 RXB786429:RXB786439 RNF786429:RNF786439 RDJ786429:RDJ786439 QTN786429:QTN786439 QJR786429:QJR786439 PZV786429:PZV786439 PPZ786429:PPZ786439 PGD786429:PGD786439 OWH786429:OWH786439 OML786429:OML786439 OCP786429:OCP786439 NST786429:NST786439 NIX786429:NIX786439 MZB786429:MZB786439 MPF786429:MPF786439 MFJ786429:MFJ786439 LVN786429:LVN786439 LLR786429:LLR786439 LBV786429:LBV786439 KRZ786429:KRZ786439 KID786429:KID786439 JYH786429:JYH786439 JOL786429:JOL786439 JEP786429:JEP786439 IUT786429:IUT786439 IKX786429:IKX786439 IBB786429:IBB786439 HRF786429:HRF786439 HHJ786429:HHJ786439 GXN786429:GXN786439 GNR786429:GNR786439 GDV786429:GDV786439 FTZ786429:FTZ786439 FKD786429:FKD786439 FAH786429:FAH786439 EQL786429:EQL786439 EGP786429:EGP786439 DWT786429:DWT786439 DMX786429:DMX786439 DDB786429:DDB786439 CTF786429:CTF786439 CJJ786429:CJJ786439 BZN786429:BZN786439 BPR786429:BPR786439 BFV786429:BFV786439 AVZ786429:AVZ786439 AMD786429:AMD786439 ACH786429:ACH786439 SL786429:SL786439 IP786429:IP786439 WVB720893:WVB720903 WLF720893:WLF720903 WBJ720893:WBJ720903 VRN720893:VRN720903 VHR720893:VHR720903 UXV720893:UXV720903 UNZ720893:UNZ720903 UED720893:UED720903 TUH720893:TUH720903 TKL720893:TKL720903 TAP720893:TAP720903 SQT720893:SQT720903 SGX720893:SGX720903 RXB720893:RXB720903 RNF720893:RNF720903 RDJ720893:RDJ720903 QTN720893:QTN720903 QJR720893:QJR720903 PZV720893:PZV720903 PPZ720893:PPZ720903 PGD720893:PGD720903 OWH720893:OWH720903 OML720893:OML720903 OCP720893:OCP720903 NST720893:NST720903 NIX720893:NIX720903 MZB720893:MZB720903 MPF720893:MPF720903 MFJ720893:MFJ720903 LVN720893:LVN720903 LLR720893:LLR720903 LBV720893:LBV720903 KRZ720893:KRZ720903 KID720893:KID720903 JYH720893:JYH720903 JOL720893:JOL720903 JEP720893:JEP720903 IUT720893:IUT720903 IKX720893:IKX720903 IBB720893:IBB720903 HRF720893:HRF720903 HHJ720893:HHJ720903 GXN720893:GXN720903 GNR720893:GNR720903 GDV720893:GDV720903 FTZ720893:FTZ720903 FKD720893:FKD720903 FAH720893:FAH720903 EQL720893:EQL720903 EGP720893:EGP720903 DWT720893:DWT720903 DMX720893:DMX720903 DDB720893:DDB720903 CTF720893:CTF720903 CJJ720893:CJJ720903 BZN720893:BZN720903 BPR720893:BPR720903 BFV720893:BFV720903 AVZ720893:AVZ720903 AMD720893:AMD720903 ACH720893:ACH720903 SL720893:SL720903 IP720893:IP720903 WVB655357:WVB655367 WLF655357:WLF655367 WBJ655357:WBJ655367 VRN655357:VRN655367 VHR655357:VHR655367 UXV655357:UXV655367 UNZ655357:UNZ655367 UED655357:UED655367 TUH655357:TUH655367 TKL655357:TKL655367 TAP655357:TAP655367 SQT655357:SQT655367 SGX655357:SGX655367 RXB655357:RXB655367 RNF655357:RNF655367 RDJ655357:RDJ655367 QTN655357:QTN655367 QJR655357:QJR655367 PZV655357:PZV655367 PPZ655357:PPZ655367 PGD655357:PGD655367 OWH655357:OWH655367 OML655357:OML655367 OCP655357:OCP655367 NST655357:NST655367 NIX655357:NIX655367 MZB655357:MZB655367 MPF655357:MPF655367 MFJ655357:MFJ655367 LVN655357:LVN655367 LLR655357:LLR655367 LBV655357:LBV655367 KRZ655357:KRZ655367 KID655357:KID655367 JYH655357:JYH655367 JOL655357:JOL655367 JEP655357:JEP655367 IUT655357:IUT655367 IKX655357:IKX655367 IBB655357:IBB655367 HRF655357:HRF655367 HHJ655357:HHJ655367 GXN655357:GXN655367 GNR655357:GNR655367 GDV655357:GDV655367 FTZ655357:FTZ655367 FKD655357:FKD655367 FAH655357:FAH655367 EQL655357:EQL655367 EGP655357:EGP655367 DWT655357:DWT655367 DMX655357:DMX655367 DDB655357:DDB655367 CTF655357:CTF655367 CJJ655357:CJJ655367 BZN655357:BZN655367 BPR655357:BPR655367 BFV655357:BFV655367 AVZ655357:AVZ655367 AMD655357:AMD655367 ACH655357:ACH655367 SL655357:SL655367 IP655357:IP655367 WVB589821:WVB589831 WLF589821:WLF589831 WBJ589821:WBJ589831 VRN589821:VRN589831 VHR589821:VHR589831 UXV589821:UXV589831 UNZ589821:UNZ589831 UED589821:UED589831 TUH589821:TUH589831 TKL589821:TKL589831 TAP589821:TAP589831 SQT589821:SQT589831 SGX589821:SGX589831 RXB589821:RXB589831 RNF589821:RNF589831 RDJ589821:RDJ589831 QTN589821:QTN589831 QJR589821:QJR589831 PZV589821:PZV589831 PPZ589821:PPZ589831 PGD589821:PGD589831 OWH589821:OWH589831 OML589821:OML589831 OCP589821:OCP589831 NST589821:NST589831 NIX589821:NIX589831 MZB589821:MZB589831 MPF589821:MPF589831 MFJ589821:MFJ589831 LVN589821:LVN589831 LLR589821:LLR589831 LBV589821:LBV589831 KRZ589821:KRZ589831 KID589821:KID589831 JYH589821:JYH589831 JOL589821:JOL589831 JEP589821:JEP589831 IUT589821:IUT589831 IKX589821:IKX589831 IBB589821:IBB589831 HRF589821:HRF589831 HHJ589821:HHJ589831 GXN589821:GXN589831 GNR589821:GNR589831 GDV589821:GDV589831 FTZ589821:FTZ589831 FKD589821:FKD589831 FAH589821:FAH589831 EQL589821:EQL589831 EGP589821:EGP589831 DWT589821:DWT589831 DMX589821:DMX589831 DDB589821:DDB589831 CTF589821:CTF589831 CJJ589821:CJJ589831 BZN589821:BZN589831 BPR589821:BPR589831 BFV589821:BFV589831 AVZ589821:AVZ589831 AMD589821:AMD589831 ACH589821:ACH589831 SL589821:SL589831 IP589821:IP589831 WVB524285:WVB524295 WLF524285:WLF524295 WBJ524285:WBJ524295 VRN524285:VRN524295 VHR524285:VHR524295 UXV524285:UXV524295 UNZ524285:UNZ524295 UED524285:UED524295 TUH524285:TUH524295 TKL524285:TKL524295 TAP524285:TAP524295 SQT524285:SQT524295 SGX524285:SGX524295 RXB524285:RXB524295 RNF524285:RNF524295 RDJ524285:RDJ524295 QTN524285:QTN524295 QJR524285:QJR524295 PZV524285:PZV524295 PPZ524285:PPZ524295 PGD524285:PGD524295 OWH524285:OWH524295 OML524285:OML524295 OCP524285:OCP524295 NST524285:NST524295 NIX524285:NIX524295 MZB524285:MZB524295 MPF524285:MPF524295 MFJ524285:MFJ524295 LVN524285:LVN524295 LLR524285:LLR524295 LBV524285:LBV524295 KRZ524285:KRZ524295 KID524285:KID524295 JYH524285:JYH524295 JOL524285:JOL524295 JEP524285:JEP524295 IUT524285:IUT524295 IKX524285:IKX524295 IBB524285:IBB524295 HRF524285:HRF524295 HHJ524285:HHJ524295 GXN524285:GXN524295 GNR524285:GNR524295 GDV524285:GDV524295 FTZ524285:FTZ524295 FKD524285:FKD524295 FAH524285:FAH524295 EQL524285:EQL524295 EGP524285:EGP524295 DWT524285:DWT524295 DMX524285:DMX524295 DDB524285:DDB524295 CTF524285:CTF524295 CJJ524285:CJJ524295 BZN524285:BZN524295 BPR524285:BPR524295 BFV524285:BFV524295 AVZ524285:AVZ524295 AMD524285:AMD524295 ACH524285:ACH524295 SL524285:SL524295 IP524285:IP524295 WVB458749:WVB458759 WLF458749:WLF458759 WBJ458749:WBJ458759 VRN458749:VRN458759 VHR458749:VHR458759 UXV458749:UXV458759 UNZ458749:UNZ458759 UED458749:UED458759 TUH458749:TUH458759 TKL458749:TKL458759 TAP458749:TAP458759 SQT458749:SQT458759 SGX458749:SGX458759 RXB458749:RXB458759 RNF458749:RNF458759 RDJ458749:RDJ458759 QTN458749:QTN458759 QJR458749:QJR458759 PZV458749:PZV458759 PPZ458749:PPZ458759 PGD458749:PGD458759 OWH458749:OWH458759 OML458749:OML458759 OCP458749:OCP458759 NST458749:NST458759 NIX458749:NIX458759 MZB458749:MZB458759 MPF458749:MPF458759 MFJ458749:MFJ458759 LVN458749:LVN458759 LLR458749:LLR458759 LBV458749:LBV458759 KRZ458749:KRZ458759 KID458749:KID458759 JYH458749:JYH458759 JOL458749:JOL458759 JEP458749:JEP458759 IUT458749:IUT458759 IKX458749:IKX458759 IBB458749:IBB458759 HRF458749:HRF458759 HHJ458749:HHJ458759 GXN458749:GXN458759 GNR458749:GNR458759 GDV458749:GDV458759 FTZ458749:FTZ458759 FKD458749:FKD458759 FAH458749:FAH458759 EQL458749:EQL458759 EGP458749:EGP458759 DWT458749:DWT458759 DMX458749:DMX458759 DDB458749:DDB458759 CTF458749:CTF458759 CJJ458749:CJJ458759 BZN458749:BZN458759 BPR458749:BPR458759 BFV458749:BFV458759 AVZ458749:AVZ458759 AMD458749:AMD458759 ACH458749:ACH458759 SL458749:SL458759 IP458749:IP458759 WVB393213:WVB393223 WLF393213:WLF393223 WBJ393213:WBJ393223 VRN393213:VRN393223 VHR393213:VHR393223 UXV393213:UXV393223 UNZ393213:UNZ393223 UED393213:UED393223 TUH393213:TUH393223 TKL393213:TKL393223 TAP393213:TAP393223 SQT393213:SQT393223 SGX393213:SGX393223 RXB393213:RXB393223 RNF393213:RNF393223 RDJ393213:RDJ393223 QTN393213:QTN393223 QJR393213:QJR393223 PZV393213:PZV393223 PPZ393213:PPZ393223 PGD393213:PGD393223 OWH393213:OWH393223 OML393213:OML393223 OCP393213:OCP393223 NST393213:NST393223 NIX393213:NIX393223 MZB393213:MZB393223 MPF393213:MPF393223 MFJ393213:MFJ393223 LVN393213:LVN393223 LLR393213:LLR393223 LBV393213:LBV393223 KRZ393213:KRZ393223 KID393213:KID393223 JYH393213:JYH393223 JOL393213:JOL393223 JEP393213:JEP393223 IUT393213:IUT393223 IKX393213:IKX393223 IBB393213:IBB393223 HRF393213:HRF393223 HHJ393213:HHJ393223 GXN393213:GXN393223 GNR393213:GNR393223 GDV393213:GDV393223 FTZ393213:FTZ393223 FKD393213:FKD393223 FAH393213:FAH393223 EQL393213:EQL393223 EGP393213:EGP393223 DWT393213:DWT393223 DMX393213:DMX393223 DDB393213:DDB393223 CTF393213:CTF393223 CJJ393213:CJJ393223 BZN393213:BZN393223 BPR393213:BPR393223 BFV393213:BFV393223 AVZ393213:AVZ393223 AMD393213:AMD393223 ACH393213:ACH393223 SL393213:SL393223 IP393213:IP393223 WVB327677:WVB327687 WLF327677:WLF327687 WBJ327677:WBJ327687 VRN327677:VRN327687 VHR327677:VHR327687 UXV327677:UXV327687 UNZ327677:UNZ327687 UED327677:UED327687 TUH327677:TUH327687 TKL327677:TKL327687 TAP327677:TAP327687 SQT327677:SQT327687 SGX327677:SGX327687 RXB327677:RXB327687 RNF327677:RNF327687 RDJ327677:RDJ327687 QTN327677:QTN327687 QJR327677:QJR327687 PZV327677:PZV327687 PPZ327677:PPZ327687 PGD327677:PGD327687 OWH327677:OWH327687 OML327677:OML327687 OCP327677:OCP327687 NST327677:NST327687 NIX327677:NIX327687 MZB327677:MZB327687 MPF327677:MPF327687 MFJ327677:MFJ327687 LVN327677:LVN327687 LLR327677:LLR327687 LBV327677:LBV327687 KRZ327677:KRZ327687 KID327677:KID327687 JYH327677:JYH327687 JOL327677:JOL327687 JEP327677:JEP327687 IUT327677:IUT327687 IKX327677:IKX327687 IBB327677:IBB327687 HRF327677:HRF327687 HHJ327677:HHJ327687 GXN327677:GXN327687 GNR327677:GNR327687 GDV327677:GDV327687 FTZ327677:FTZ327687 FKD327677:FKD327687 FAH327677:FAH327687 EQL327677:EQL327687 EGP327677:EGP327687 DWT327677:DWT327687 DMX327677:DMX327687 DDB327677:DDB327687 CTF327677:CTF327687 CJJ327677:CJJ327687 BZN327677:BZN327687 BPR327677:BPR327687 BFV327677:BFV327687 AVZ327677:AVZ327687 AMD327677:AMD327687 ACH327677:ACH327687 SL327677:SL327687 IP327677:IP327687 WVB262141:WVB262151 WLF262141:WLF262151 WBJ262141:WBJ262151 VRN262141:VRN262151 VHR262141:VHR262151 UXV262141:UXV262151 UNZ262141:UNZ262151 UED262141:UED262151 TUH262141:TUH262151 TKL262141:TKL262151 TAP262141:TAP262151 SQT262141:SQT262151 SGX262141:SGX262151 RXB262141:RXB262151 RNF262141:RNF262151 RDJ262141:RDJ262151 QTN262141:QTN262151 QJR262141:QJR262151 PZV262141:PZV262151 PPZ262141:PPZ262151 PGD262141:PGD262151 OWH262141:OWH262151 OML262141:OML262151 OCP262141:OCP262151 NST262141:NST262151 NIX262141:NIX262151 MZB262141:MZB262151 MPF262141:MPF262151 MFJ262141:MFJ262151 LVN262141:LVN262151 LLR262141:LLR262151 LBV262141:LBV262151 KRZ262141:KRZ262151 KID262141:KID262151 JYH262141:JYH262151 JOL262141:JOL262151 JEP262141:JEP262151 IUT262141:IUT262151 IKX262141:IKX262151 IBB262141:IBB262151 HRF262141:HRF262151 HHJ262141:HHJ262151 GXN262141:GXN262151 GNR262141:GNR262151 GDV262141:GDV262151 FTZ262141:FTZ262151 FKD262141:FKD262151 FAH262141:FAH262151 EQL262141:EQL262151 EGP262141:EGP262151 DWT262141:DWT262151 DMX262141:DMX262151 DDB262141:DDB262151 CTF262141:CTF262151 CJJ262141:CJJ262151 BZN262141:BZN262151 BPR262141:BPR262151 BFV262141:BFV262151 AVZ262141:AVZ262151 AMD262141:AMD262151 ACH262141:ACH262151 SL262141:SL262151 IP262141:IP262151 WVB196605:WVB196615 WLF196605:WLF196615 WBJ196605:WBJ196615 VRN196605:VRN196615 VHR196605:VHR196615 UXV196605:UXV196615 UNZ196605:UNZ196615 UED196605:UED196615 TUH196605:TUH196615 TKL196605:TKL196615 TAP196605:TAP196615 SQT196605:SQT196615 SGX196605:SGX196615 RXB196605:RXB196615 RNF196605:RNF196615 RDJ196605:RDJ196615 QTN196605:QTN196615 QJR196605:QJR196615 PZV196605:PZV196615 PPZ196605:PPZ196615 PGD196605:PGD196615 OWH196605:OWH196615 OML196605:OML196615 OCP196605:OCP196615 NST196605:NST196615 NIX196605:NIX196615 MZB196605:MZB196615 MPF196605:MPF196615 MFJ196605:MFJ196615 LVN196605:LVN196615 LLR196605:LLR196615 LBV196605:LBV196615 KRZ196605:KRZ196615 KID196605:KID196615 JYH196605:JYH196615 JOL196605:JOL196615 JEP196605:JEP196615 IUT196605:IUT196615 IKX196605:IKX196615 IBB196605:IBB196615 HRF196605:HRF196615 HHJ196605:HHJ196615 GXN196605:GXN196615 GNR196605:GNR196615 GDV196605:GDV196615 FTZ196605:FTZ196615 FKD196605:FKD196615 FAH196605:FAH196615 EQL196605:EQL196615 EGP196605:EGP196615 DWT196605:DWT196615 DMX196605:DMX196615 DDB196605:DDB196615 CTF196605:CTF196615 CJJ196605:CJJ196615 BZN196605:BZN196615 BPR196605:BPR196615 BFV196605:BFV196615 AVZ196605:AVZ196615 AMD196605:AMD196615 ACH196605:ACH196615 SL196605:SL196615 IP196605:IP196615 WVB131069:WVB131079 WLF131069:WLF131079 WBJ131069:WBJ131079 VRN131069:VRN131079 VHR131069:VHR131079 UXV131069:UXV131079 UNZ131069:UNZ131079 UED131069:UED131079 TUH131069:TUH131079 TKL131069:TKL131079 TAP131069:TAP131079 SQT131069:SQT131079 SGX131069:SGX131079 RXB131069:RXB131079 RNF131069:RNF131079 RDJ131069:RDJ131079 QTN131069:QTN131079 QJR131069:QJR131079 PZV131069:PZV131079 PPZ131069:PPZ131079 PGD131069:PGD131079 OWH131069:OWH131079 OML131069:OML131079 OCP131069:OCP131079 NST131069:NST131079 NIX131069:NIX131079 MZB131069:MZB131079 MPF131069:MPF131079 MFJ131069:MFJ131079 LVN131069:LVN131079 LLR131069:LLR131079 LBV131069:LBV131079 KRZ131069:KRZ131079 KID131069:KID131079 JYH131069:JYH131079 JOL131069:JOL131079 JEP131069:JEP131079 IUT131069:IUT131079 IKX131069:IKX131079 IBB131069:IBB131079 HRF131069:HRF131079 HHJ131069:HHJ131079 GXN131069:GXN131079 GNR131069:GNR131079 GDV131069:GDV131079 FTZ131069:FTZ131079 FKD131069:FKD131079 FAH131069:FAH131079 EQL131069:EQL131079 EGP131069:EGP131079 DWT131069:DWT131079 DMX131069:DMX131079 DDB131069:DDB131079 CTF131069:CTF131079 CJJ131069:CJJ131079 BZN131069:BZN131079 BPR131069:BPR131079 BFV131069:BFV131079 AVZ131069:AVZ131079 AMD131069:AMD131079 ACH131069:ACH131079 SL131069:SL131079 IP131069:IP131079 WVB65533:WVB65543 WLF65533:WLF65543 WBJ65533:WBJ65543 VRN65533:VRN65543 VHR65533:VHR65543 UXV65533:UXV65543 UNZ65533:UNZ65543 UED65533:UED65543 TUH65533:TUH65543 TKL65533:TKL65543 TAP65533:TAP65543 SQT65533:SQT65543 SGX65533:SGX65543 RXB65533:RXB65543 RNF65533:RNF65543 RDJ65533:RDJ65543 QTN65533:QTN65543 QJR65533:QJR65543 PZV65533:PZV65543 PPZ65533:PPZ65543 PGD65533:PGD65543 OWH65533:OWH65543 OML65533:OML65543 OCP65533:OCP65543 NST65533:NST65543 NIX65533:NIX65543 MZB65533:MZB65543 MPF65533:MPF65543 MFJ65533:MFJ65543 LVN65533:LVN65543 LLR65533:LLR65543 LBV65533:LBV65543 KRZ65533:KRZ65543 KID65533:KID65543 JYH65533:JYH65543 JOL65533:JOL65543 JEP65533:JEP65543 IUT65533:IUT65543 IKX65533:IKX65543 IBB65533:IBB65543 HRF65533:HRF65543 HHJ65533:HHJ65543 GXN65533:GXN65543 GNR65533:GNR65543 GDV65533:GDV65543 FTZ65533:FTZ65543 FKD65533:FKD65543 FAH65533:FAH65543 EQL65533:EQL65543 EGP65533:EGP65543 DWT65533:DWT65543 DMX65533:DMX65543 DDB65533:DDB65543 CTF65533:CTF65543 CJJ65533:CJJ65543 BZN65533:BZN65543 BPR65533:BPR65543 BFV65533:BFV65543 AVZ65533:AVZ65543 AMD65533:AMD65543 ACH65533:ACH65543 SL65533:SL65543 IP65533:IP65543 WVB2:WVB12 WLF2:WLF12 WBJ2:WBJ12 VRN2:VRN12 VHR2:VHR12 UXV2:UXV12 UNZ2:UNZ12 UED2:UED12 TUH2:TUH12 TKL2:TKL12 TAP2:TAP12 SQT2:SQT12 SGX2:SGX12 RXB2:RXB12 RNF2:RNF12 RDJ2:RDJ12 QTN2:QTN12 QJR2:QJR12 PZV2:PZV12 PPZ2:PPZ12 PGD2:PGD12 OWH2:OWH12 OML2:OML12 OCP2:OCP12 NST2:NST12 NIX2:NIX12 MZB2:MZB12 MPF2:MPF12 MFJ2:MFJ12 LVN2:LVN12 LLR2:LLR12 LBV2:LBV12 KRZ2:KRZ12 KID2:KID12 JYH2:JYH12 JOL2:JOL12 JEP2:JEP12 IUT2:IUT12 IKX2:IKX12 IBB2:IBB12 HRF2:HRF12 HHJ2:HHJ12 GXN2:GXN12 GNR2:GNR12 GDV2:GDV12 FTZ2:FTZ12 FKD2:FKD12 FAH2:FAH12 EQL2:EQL12 EGP2:EGP12 DWT2:DWT12 DMX2:DMX12 DDB2:DDB12 CTF2:CTF12 CJJ2:CJJ12 BZN2:BZN12 BPR2:BPR12 BFV2:BFV12 AVZ2:AVZ12 AMD2:AMD12 ACH2:ACH12 SL2:SL12" xr:uid="{00000000-0002-0000-0700-000000000000}">
      <formula1>#REF!</formula1>
    </dataValidation>
  </dataValidations>
  <printOptions headings="1"/>
  <pageMargins left="0.78740157499999996" right="0.78740157499999996" top="0.984251969" bottom="0.984251969" header="0.4921259845" footer="0.4921259845"/>
  <pageSetup paperSize="9" orientation="portrait" horizontalDpi="300" verticalDpi="300" r:id="rId1"/>
  <headerFooter alignWithMargins="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Feuilles de calcul</vt:lpstr>
      </vt:variant>
      <vt:variant>
        <vt:i4>43</vt:i4>
      </vt:variant>
      <vt:variant>
        <vt:lpstr>Plages nommées</vt:lpstr>
      </vt:variant>
      <vt:variant>
        <vt:i4>14</vt:i4>
      </vt:variant>
    </vt:vector>
  </HeadingPairs>
  <TitlesOfParts>
    <vt:vector size="57" baseType="lpstr">
      <vt:lpstr>1</vt:lpstr>
      <vt:lpstr>2.1</vt:lpstr>
      <vt:lpstr>2.2</vt:lpstr>
      <vt:lpstr>2.3</vt:lpstr>
      <vt:lpstr>2.4</vt:lpstr>
      <vt:lpstr>3.1</vt:lpstr>
      <vt:lpstr>3.2</vt:lpstr>
      <vt:lpstr>3.3</vt:lpstr>
      <vt:lpstr>3.4</vt:lpstr>
      <vt:lpstr>4.1</vt:lpstr>
      <vt:lpstr>5.1</vt:lpstr>
      <vt:lpstr>5.2</vt:lpstr>
      <vt:lpstr>5.3</vt:lpstr>
      <vt:lpstr>6.1</vt:lpstr>
      <vt:lpstr>7.1</vt:lpstr>
      <vt:lpstr>7.2</vt:lpstr>
      <vt:lpstr>7.3</vt:lpstr>
      <vt:lpstr>7.4</vt:lpstr>
      <vt:lpstr>8.1</vt:lpstr>
      <vt:lpstr>8.2</vt:lpstr>
      <vt:lpstr>8.3</vt:lpstr>
      <vt:lpstr>8.4</vt:lpstr>
      <vt:lpstr>8.5-Infos</vt:lpstr>
      <vt:lpstr>8.5-Coûts</vt:lpstr>
      <vt:lpstr>8.6</vt:lpstr>
      <vt:lpstr>9.1</vt:lpstr>
      <vt:lpstr>9.2</vt:lpstr>
      <vt:lpstr>9.3</vt:lpstr>
      <vt:lpstr>9.4</vt:lpstr>
      <vt:lpstr>10.1</vt:lpstr>
      <vt:lpstr>10.2</vt:lpstr>
      <vt:lpstr>10.3</vt:lpstr>
      <vt:lpstr>Test 1</vt:lpstr>
      <vt:lpstr>Test 1.1</vt:lpstr>
      <vt:lpstr>Test 1.2</vt:lpstr>
      <vt:lpstr>11.1</vt:lpstr>
      <vt:lpstr>11.2</vt:lpstr>
      <vt:lpstr>11.3_DATA</vt:lpstr>
      <vt:lpstr>11.3_INV</vt:lpstr>
      <vt:lpstr>11.4</vt:lpstr>
      <vt:lpstr>11.5</vt:lpstr>
      <vt:lpstr>11.6_Données</vt:lpstr>
      <vt:lpstr>11.6_Calc</vt:lpstr>
      <vt:lpstr>carburant</vt:lpstr>
      <vt:lpstr>clientok</vt:lpstr>
      <vt:lpstr>code</vt:lpstr>
      <vt:lpstr>mode</vt:lpstr>
      <vt:lpstr>montant</vt:lpstr>
      <vt:lpstr>moyengé</vt:lpstr>
      <vt:lpstr>pays</vt:lpstr>
      <vt:lpstr>produit</vt:lpstr>
      <vt:lpstr>Q.Cµ</vt:lpstr>
      <vt:lpstr>QC</vt:lpstr>
      <vt:lpstr>qqch</vt:lpstr>
      <vt:lpstr>QV</vt:lpstr>
      <vt:lpstr>Stock</vt:lpstr>
      <vt:lpstr>tab</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Houssam Alcabir</dc:creator>
  <cp:lastModifiedBy>Houssam Alcabir</cp:lastModifiedBy>
  <dcterms:created xsi:type="dcterms:W3CDTF">2020-11-30T09:51:43Z</dcterms:created>
  <dcterms:modified xsi:type="dcterms:W3CDTF">2020-11-30T11:08:51Z</dcterms:modified>
</cp:coreProperties>
</file>