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lez\Documents\PHD\Semester 17\19092023_mayab\Licenciatura en economia y negocios\courseworks\28_FIN1403\parciales\"/>
    </mc:Choice>
  </mc:AlternateContent>
  <xr:revisionPtr revIDLastSave="0" documentId="13_ncr:1_{1660AEF5-058F-44E6-A1F5-914EC6F8559D}" xr6:coauthVersionLast="47" xr6:coauthVersionMax="47" xr10:uidLastSave="{00000000-0000-0000-0000-000000000000}"/>
  <bookViews>
    <workbookView xWindow="-120" yWindow="-120" windowWidth="29040" windowHeight="15720" xr2:uid="{AE49D265-1F59-424F-800B-B7FC813AA90A}"/>
  </bookViews>
  <sheets>
    <sheet name="6_A" sheetId="1" r:id="rId1"/>
    <sheet name="11_A" sheetId="2" r:id="rId2"/>
    <sheet name="6_B" sheetId="3" r:id="rId3"/>
    <sheet name="11_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4" l="1"/>
  <c r="B4" i="4"/>
  <c r="B2" i="4"/>
  <c r="B3" i="4"/>
  <c r="B2" i="3"/>
  <c r="E14" i="3"/>
  <c r="E16" i="3"/>
  <c r="E15" i="3"/>
  <c r="E9" i="3"/>
  <c r="E10" i="3"/>
  <c r="E11" i="3"/>
  <c r="E12" i="3"/>
  <c r="E13" i="3"/>
  <c r="C9" i="3"/>
  <c r="C10" i="3"/>
  <c r="C11" i="3"/>
  <c r="C12" i="3"/>
  <c r="C13" i="3"/>
  <c r="C8" i="3"/>
  <c r="E8" i="3" s="1"/>
  <c r="C7" i="3"/>
  <c r="E7" i="3" s="1"/>
  <c r="B3" i="3"/>
  <c r="C3" i="3" s="1"/>
  <c r="E3" i="3" s="1"/>
  <c r="B4" i="3"/>
  <c r="C4" i="3" s="1"/>
  <c r="E4" i="3" s="1"/>
  <c r="B5" i="3"/>
  <c r="C5" i="3" s="1"/>
  <c r="E5" i="3" s="1"/>
  <c r="B6" i="3"/>
  <c r="C6" i="3" s="1"/>
  <c r="E6" i="3" s="1"/>
  <c r="C2" i="3"/>
  <c r="E2" i="3" s="1"/>
  <c r="E5" i="2"/>
  <c r="F5" i="2"/>
  <c r="G5" i="2"/>
  <c r="H5" i="2" s="1"/>
  <c r="H4" i="2"/>
  <c r="E4" i="2"/>
  <c r="F4" i="2"/>
  <c r="G4" i="2"/>
  <c r="H3" i="2"/>
  <c r="G3" i="2"/>
  <c r="E3" i="2"/>
  <c r="F3" i="2"/>
  <c r="F2" i="2"/>
  <c r="G2" i="2"/>
  <c r="H2" i="2" s="1"/>
  <c r="E2" i="2"/>
  <c r="B10" i="2"/>
  <c r="B6" i="2"/>
  <c r="B5" i="2"/>
  <c r="B4" i="2"/>
  <c r="B3" i="2"/>
  <c r="B2" i="2"/>
  <c r="L14" i="1"/>
  <c r="L13" i="1"/>
  <c r="L12" i="1"/>
  <c r="L8" i="1"/>
  <c r="L9" i="1"/>
  <c r="L10" i="1"/>
  <c r="L11" i="1"/>
  <c r="L7" i="1"/>
  <c r="J8" i="1"/>
  <c r="J9" i="1"/>
  <c r="J10" i="1"/>
  <c r="J11" i="1"/>
  <c r="J7" i="1"/>
  <c r="L6" i="1"/>
  <c r="J6" i="1"/>
  <c r="L3" i="1"/>
  <c r="L4" i="1"/>
  <c r="L5" i="1"/>
  <c r="J3" i="1"/>
  <c r="J4" i="1"/>
  <c r="J5" i="1"/>
  <c r="I3" i="1"/>
  <c r="I4" i="1"/>
  <c r="I5" i="1"/>
  <c r="L2" i="1"/>
  <c r="J2" i="1"/>
  <c r="I2" i="1"/>
  <c r="B6" i="4" l="1"/>
  <c r="B10" i="4" l="1"/>
  <c r="F2" i="4"/>
  <c r="E3" i="4" l="1"/>
  <c r="E5" i="4"/>
  <c r="E2" i="4"/>
  <c r="G2" i="4" s="1"/>
  <c r="H2" i="4" s="1"/>
  <c r="E4" i="4"/>
  <c r="F3" i="4" l="1"/>
  <c r="G3" i="4"/>
  <c r="H3" i="4" s="1"/>
  <c r="F4" i="4" l="1"/>
  <c r="G4" i="4" s="1"/>
  <c r="H4" i="4" s="1"/>
  <c r="F5" i="4" l="1"/>
  <c r="G5" i="4" s="1"/>
  <c r="H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Mario GS</author>
  </authors>
  <commentList>
    <comment ref="E4" authorId="0" shapeId="0" xr:uid="{AC776780-A2B5-4D1F-A96A-423955D9ACD3}">
      <text>
        <r>
          <rPr>
            <b/>
            <sz val="9"/>
            <color indexed="81"/>
            <rFont val="Tahoma"/>
            <charset val="1"/>
          </rPr>
          <t>Mario GS:</t>
        </r>
        <r>
          <rPr>
            <sz val="9"/>
            <color indexed="81"/>
            <rFont val="Tahoma"/>
            <charset val="1"/>
          </rPr>
          <t xml:space="preserve">
6) Supongamos que decides abrir una cafetería en tu localidad. La cafetería se especializa en café orgánico y productos de repostería casera.
-   Inversiones (Entradas de Dinero):
    -   A partir del segundo año, la cafetería genera ingresos netos anuales de $150,000.00$ pesos que se invierten en un fondo de inversión con un rendimiento anual promedio del 3% capitalizado mensualmente por 4 años.
-   Deudas (Salidas de Dinero):
  -   En el primer año, inviertes en la remodelación del local $100,000.00$ pesos y en la compra de maquinaria $200,000.00$ pesos con una tasa de interés del 5% compuesto anual.
  -   Se estima que los gastos fijos de la cafetería serán de $75,000.00 anuales con una tasa de interés compuesta del 4% anual.
Calcula la suma de las entradas de dinero en valor futuro.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Mario GS</author>
  </authors>
  <commentList>
    <comment ref="F9" authorId="0" shapeId="0" xr:uid="{02514241-CE46-4619-8108-EECACD32FD9D}">
      <text>
        <r>
          <rPr>
            <b/>
            <sz val="9"/>
            <color indexed="81"/>
            <rFont val="Tahoma"/>
            <charset val="1"/>
          </rPr>
          <t>Mario GS:</t>
        </r>
        <r>
          <rPr>
            <sz val="9"/>
            <color indexed="81"/>
            <rFont val="Tahoma"/>
            <charset val="1"/>
          </rPr>
          <t xml:space="preserve">
Calcula los primeros 4 meses de la tabla de amortización de un crédito automotriz de un Toyota Corolla SE CVT, 2024. El costo del vehículo es de $526,400$ MNX con interés compuesto anual de $15.99$% y un enganche del $10$% a 48 pagos mensuales. Se considera una comisión por apertura del $2.5$% del monto inicial que se incluye en el financiamiento. Además, el crédito incluye una póliza de seguro de $1,150.00$ MXN, mensual que se incluye en el financiamiento. Asume un pago extraordinario de $15,000.00$ en el mes 3.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Mario GS</author>
  </authors>
  <commentList>
    <comment ref="H7" authorId="0" shapeId="0" xr:uid="{35819A8F-A25B-436C-AE15-6C359778A16F}">
      <text>
        <r>
          <rPr>
            <b/>
            <sz val="9"/>
            <color indexed="81"/>
            <rFont val="Tahoma"/>
            <charset val="1"/>
          </rPr>
          <t>Mario GS:</t>
        </r>
        <r>
          <rPr>
            <sz val="9"/>
            <color indexed="81"/>
            <rFont val="Tahoma"/>
            <charset val="1"/>
          </rPr>
          <t xml:space="preserve">
Imagina que abres un gimnasio con el objetivo de promover un estilo de vida saludable en tu comunidad.
-   Inversiones (Entradas de Dinero):
  -   A partir del segundo año, el gimnasio obtiene ingresos netos anuales de $250,000.00$ pesos que se invierten en acciones de empresas relacionadas con la salud y el deporte, con un rendimiento anual promedio del 4% capitalizado trimestralmente por 5 años.
-   Deudas (Salidas de Dinero):
  -   En el primer año, inviertes en equipo de ejercicio $300,000.00$ pesos y en la capacitación del personal $50,000.00$ pesos con una tasa de interés del 6% compuesto anual.
  -   Los gastos fijos del gimnasio se estiman en $100,000.00$ anuales con una tasa de interés compuesta del 4.5% anual.
Calcula la suma de las entradas de dinero en valor futuro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Mario GS</author>
  </authors>
  <commentList>
    <comment ref="J5" authorId="0" shapeId="0" xr:uid="{11F719F8-383B-4147-AF6A-9CBB7699BC79}">
      <text>
        <r>
          <rPr>
            <b/>
            <sz val="9"/>
            <color indexed="81"/>
            <rFont val="Tahoma"/>
            <charset val="1"/>
          </rPr>
          <t>Mario GS:</t>
        </r>
        <r>
          <rPr>
            <sz val="9"/>
            <color indexed="81"/>
            <rFont val="Tahoma"/>
            <charset val="1"/>
          </rPr>
          <t xml:space="preserve">
Calcula los primeros 4 meses de la tabla de amortización de un crédito automotriz de un Toyota Prius 2024, 2024. El costo del vehículo es de $469,900$ MNX con interés compuesto anual de $15.99$% y un enganche del $10$% a 48 pagos mensuales. Se considera una comisión por apertura del $2.5$% del monto inicial que se incluye en el financiamiento. Además, el crédito incluye una póliza de seguro de $1,350.00$ MXN, mensual que se incluye en el financiamiento. Asume un pago extraordinario de $17,000.00$ en el mes 3.</t>
        </r>
      </text>
    </comment>
    <comment ref="F9" authorId="0" shapeId="0" xr:uid="{CA68C3B7-1672-4376-8141-67B08581BCB8}">
      <text>
        <r>
          <rPr>
            <b/>
            <sz val="9"/>
            <color indexed="81"/>
            <rFont val="Tahoma"/>
            <charset val="1"/>
          </rPr>
          <t>Mario GS:</t>
        </r>
        <r>
          <rPr>
            <sz val="9"/>
            <color indexed="81"/>
            <rFont val="Tahoma"/>
            <charset val="1"/>
          </rPr>
          <t xml:space="preserve">
Calcula los primeros 4 meses de la tabla de amortización de un crédito automotriz de un Toyota Prius 2024, 2024. El costo del vehículo es de $469,900$ MNX con interés compuesto anual de $15.99$% y un enganche del $10$% a 48 pagos mensuales. Se considera una comisión por apertura del $2.5$% del monto inicial que se incluye en el financiamiento. Además, el crédito incluye una póliza de seguro de $1,350.00$ MXN, mensual que se incluye en el financiamiento. Asume un pago extraordinario de $17,000.00$ en el mes 3.</t>
        </r>
      </text>
    </comment>
    <comment ref="E10" authorId="0" shapeId="0" xr:uid="{EBB5FC21-DEED-460A-B949-D92B99FDDAAB}">
      <text>
        <r>
          <rPr>
            <b/>
            <sz val="9"/>
            <color indexed="81"/>
            <rFont val="Tahoma"/>
            <charset val="1"/>
          </rPr>
          <t>Mario GS:</t>
        </r>
        <r>
          <rPr>
            <sz val="9"/>
            <color indexed="81"/>
            <rFont val="Tahoma"/>
            <charset val="1"/>
          </rPr>
          <t xml:space="preserve">
Calcula los primeros 4 meses de la tabla de amortización de un crédito automotriz de un Toyota Prius 2024, 2024. El costo del vehículo es de $469,900$ MNX con interés compuesto anual de $15.99$% y un enganche del $10$% a 48 pagos mensuales. Se considera una comisión por apertura del $2.5$% del monto inicial que se incluye en el financiamiento. Además, el crédito incluye una póliza de seguro de $1,350.00$ MXN, mensual que se incluye en el financiamiento. Asume un pago extraordinario de $17,000.00$ en el mes 3.</t>
        </r>
      </text>
    </comment>
  </commentList>
</comments>
</file>

<file path=xl/sharedStrings.xml><?xml version="1.0" encoding="utf-8"?>
<sst xmlns="http://schemas.openxmlformats.org/spreadsheetml/2006/main" count="48" uniqueCount="21">
  <si>
    <t>t</t>
  </si>
  <si>
    <t>TIE</t>
  </si>
  <si>
    <t>TASA</t>
  </si>
  <si>
    <t>FLUJO</t>
  </si>
  <si>
    <t>RESULTADO</t>
  </si>
  <si>
    <t>Entradas</t>
  </si>
  <si>
    <t>Salidas</t>
  </si>
  <si>
    <t>VFN</t>
  </si>
  <si>
    <t>Valor Vehículo</t>
  </si>
  <si>
    <t>Enganche</t>
  </si>
  <si>
    <t>Subtotal</t>
  </si>
  <si>
    <t>Costo Apertura</t>
  </si>
  <si>
    <t>Seguro</t>
  </si>
  <si>
    <t>P</t>
  </si>
  <si>
    <t>R</t>
  </si>
  <si>
    <t>n</t>
  </si>
  <si>
    <t>r</t>
  </si>
  <si>
    <t>I</t>
  </si>
  <si>
    <t>A</t>
  </si>
  <si>
    <t>SP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</si>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</sst>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DA94-4673-4D29-B015-D2D21E9957CC}">
  <dimension ref="E1:L14"/>
  <sheetViews>
    <sheetView tabSelected="1" zoomScale="120" zoomScaleNormal="120" workbookViewId="0">
      <selection activeCell="E4" sqref="E4"/>
    </sheetView>
  </sheetViews>
  <sheetFormatPr baseColWidth="10" defaultRowHeight="15" x14ac:dyDescent="0.25"/>
  <sheetData>
    <row r="1" spans="5:12" x14ac:dyDescent="0.25"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5:12" x14ac:dyDescent="0.25">
      <c r="H2">
        <v>4</v>
      </c>
      <c r="I2">
        <f>((1+0.03/12)^12)-1</f>
        <v>3.0415956913506736E-2</v>
      </c>
      <c r="J2">
        <f>(1+I2)^H2</f>
        <v>1.1273280210399312</v>
      </c>
      <c r="K2">
        <v>150000</v>
      </c>
      <c r="L2">
        <f>K2*J2</f>
        <v>169099.20315598967</v>
      </c>
    </row>
    <row r="3" spans="5:12" x14ac:dyDescent="0.25">
      <c r="H3">
        <v>3</v>
      </c>
      <c r="I3">
        <f t="shared" ref="I3:I5" si="0">((1+0.03/12)^12)-1</f>
        <v>3.0415956913506736E-2</v>
      </c>
      <c r="J3">
        <f t="shared" ref="J3:J5" si="1">(1+I3)^H3</f>
        <v>1.0940514007728623</v>
      </c>
      <c r="K3">
        <v>150000</v>
      </c>
      <c r="L3">
        <f t="shared" ref="L3:L11" si="2">K3*J3</f>
        <v>164107.71011592934</v>
      </c>
    </row>
    <row r="4" spans="5:12" x14ac:dyDescent="0.25">
      <c r="H4">
        <v>2</v>
      </c>
      <c r="I4">
        <f t="shared" si="0"/>
        <v>3.0415956913506736E-2</v>
      </c>
      <c r="J4">
        <f t="shared" si="1"/>
        <v>1.0617570442619777</v>
      </c>
      <c r="K4">
        <v>150000</v>
      </c>
      <c r="L4">
        <f t="shared" si="2"/>
        <v>159263.55663929664</v>
      </c>
    </row>
    <row r="5" spans="5:12" x14ac:dyDescent="0.25">
      <c r="H5">
        <v>1</v>
      </c>
      <c r="I5">
        <f t="shared" si="0"/>
        <v>3.0415956913506736E-2</v>
      </c>
      <c r="J5">
        <f t="shared" si="1"/>
        <v>1.0304159569135067</v>
      </c>
      <c r="K5">
        <v>150000</v>
      </c>
      <c r="L5">
        <f t="shared" si="2"/>
        <v>154562.39353702602</v>
      </c>
    </row>
    <row r="6" spans="5:12" x14ac:dyDescent="0.25">
      <c r="H6">
        <v>5</v>
      </c>
      <c r="J6">
        <f>(1+0.05)^H6</f>
        <v>1.2762815625000001</v>
      </c>
      <c r="K6">
        <v>-300000</v>
      </c>
      <c r="L6">
        <f t="shared" si="2"/>
        <v>-382884.46875000006</v>
      </c>
    </row>
    <row r="7" spans="5:12" x14ac:dyDescent="0.25">
      <c r="H7">
        <v>5</v>
      </c>
      <c r="J7">
        <f>(1+0.04)^H7</f>
        <v>1.2166529024000003</v>
      </c>
      <c r="K7">
        <v>-75000</v>
      </c>
      <c r="L7">
        <f t="shared" si="2"/>
        <v>-91248.967680000031</v>
      </c>
    </row>
    <row r="8" spans="5:12" x14ac:dyDescent="0.25">
      <c r="H8">
        <v>4</v>
      </c>
      <c r="J8">
        <f t="shared" ref="J8:J11" si="3">(1+0.04)^H8</f>
        <v>1.1698585600000002</v>
      </c>
      <c r="K8">
        <v>-75000</v>
      </c>
      <c r="L8">
        <f t="shared" si="2"/>
        <v>-87739.392000000022</v>
      </c>
    </row>
    <row r="9" spans="5:12" x14ac:dyDescent="0.25">
      <c r="H9">
        <v>3</v>
      </c>
      <c r="J9">
        <f t="shared" si="3"/>
        <v>1.1248640000000001</v>
      </c>
      <c r="K9">
        <v>-75000</v>
      </c>
      <c r="L9">
        <f t="shared" si="2"/>
        <v>-84364.800000000003</v>
      </c>
    </row>
    <row r="10" spans="5:12" x14ac:dyDescent="0.25">
      <c r="H10">
        <v>2</v>
      </c>
      <c r="J10">
        <f t="shared" si="3"/>
        <v>1.0816000000000001</v>
      </c>
      <c r="K10">
        <v>-75000</v>
      </c>
      <c r="L10">
        <f t="shared" si="2"/>
        <v>-81120.000000000015</v>
      </c>
    </row>
    <row r="11" spans="5:12" x14ac:dyDescent="0.25">
      <c r="H11">
        <v>1</v>
      </c>
      <c r="J11">
        <f t="shared" si="3"/>
        <v>1.04</v>
      </c>
      <c r="K11">
        <v>-75000</v>
      </c>
      <c r="L11">
        <f t="shared" si="2"/>
        <v>-78000</v>
      </c>
    </row>
    <row r="12" spans="5:12" x14ac:dyDescent="0.25">
      <c r="K12" t="s">
        <v>7</v>
      </c>
      <c r="L12">
        <f>SUM(L2:L11)</f>
        <v>-158324.7649817584</v>
      </c>
    </row>
    <row r="13" spans="5:12" x14ac:dyDescent="0.25">
      <c r="K13" t="s">
        <v>5</v>
      </c>
      <c r="L13">
        <f>SUM(L2:L5)</f>
        <v>647032.86344824173</v>
      </c>
    </row>
    <row r="14" spans="5:12" x14ac:dyDescent="0.25">
      <c r="K14" t="s">
        <v>6</v>
      </c>
      <c r="L14">
        <f>SUM(L6:L11)</f>
        <v>-805357.62843000016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FF61-4837-4905-BB38-43874E722351}">
  <dimension ref="A1:I34"/>
  <sheetViews>
    <sheetView topLeftCell="A2" zoomScale="112" zoomScaleNormal="112" workbookViewId="0">
      <selection activeCell="F9" sqref="F9"/>
    </sheetView>
  </sheetViews>
  <sheetFormatPr baseColWidth="10" defaultRowHeight="15" x14ac:dyDescent="0.25"/>
  <cols>
    <col min="1" max="1" width="13.85546875" bestFit="1" customWidth="1"/>
    <col min="9" max="9" width="13.85546875" bestFit="1" customWidth="1"/>
  </cols>
  <sheetData>
    <row r="1" spans="1:9" x14ac:dyDescent="0.25">
      <c r="A1" t="s">
        <v>8</v>
      </c>
      <c r="B1">
        <v>526400</v>
      </c>
      <c r="D1" t="s">
        <v>13</v>
      </c>
      <c r="E1" t="s">
        <v>14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9</v>
      </c>
      <c r="B2">
        <f>B1*0.1</f>
        <v>52640</v>
      </c>
      <c r="D2">
        <v>1</v>
      </c>
      <c r="E2">
        <f>$B$10</f>
        <v>15323.767620894279</v>
      </c>
      <c r="F2">
        <f>B6*($B$7/$B$9)</f>
        <v>7206.2132999999994</v>
      </c>
      <c r="G2">
        <f>E2-F2</f>
        <v>8117.55432089428</v>
      </c>
      <c r="H2">
        <f>B6-G2</f>
        <v>532686.4456791057</v>
      </c>
    </row>
    <row r="3" spans="1:9" x14ac:dyDescent="0.25">
      <c r="A3" t="s">
        <v>10</v>
      </c>
      <c r="B3">
        <f>B1-B2</f>
        <v>473760</v>
      </c>
      <c r="D3">
        <v>2</v>
      </c>
      <c r="E3">
        <f>$B$10</f>
        <v>15323.767620894279</v>
      </c>
      <c r="F3">
        <f>H2*($B$7/$B$9)</f>
        <v>7098.0468886740828</v>
      </c>
      <c r="G3">
        <f>E3-F3</f>
        <v>8225.7207322201975</v>
      </c>
      <c r="H3">
        <f>H2-G3</f>
        <v>524460.72494688549</v>
      </c>
    </row>
    <row r="4" spans="1:9" x14ac:dyDescent="0.25">
      <c r="A4" t="s">
        <v>11</v>
      </c>
      <c r="B4">
        <f>B3*0.025</f>
        <v>11844</v>
      </c>
      <c r="D4">
        <v>3</v>
      </c>
      <c r="E4">
        <f>$B$10</f>
        <v>15323.767620894279</v>
      </c>
      <c r="F4">
        <f>H3*($B$7/$B$9)</f>
        <v>6988.4391599172486</v>
      </c>
      <c r="G4">
        <f>E4-F4</f>
        <v>8335.3284609770308</v>
      </c>
      <c r="H4">
        <f>H3-G4-I4</f>
        <v>501125.39648590848</v>
      </c>
      <c r="I4">
        <v>15000</v>
      </c>
    </row>
    <row r="5" spans="1:9" x14ac:dyDescent="0.25">
      <c r="A5" t="s">
        <v>12</v>
      </c>
      <c r="B5">
        <f>1150*48</f>
        <v>55200</v>
      </c>
      <c r="D5">
        <v>4</v>
      </c>
      <c r="E5">
        <f>$B$10</f>
        <v>15323.767620894279</v>
      </c>
      <c r="F5">
        <f>H4*($B$7/$B$9)</f>
        <v>6677.4959081747293</v>
      </c>
      <c r="G5">
        <f>E5-F5</f>
        <v>8646.2717127195501</v>
      </c>
      <c r="H5">
        <f>H4-G5-I5</f>
        <v>492479.12477318896</v>
      </c>
    </row>
    <row r="6" spans="1:9" x14ac:dyDescent="0.25">
      <c r="A6" t="s">
        <v>13</v>
      </c>
      <c r="B6">
        <f>B3+B4+B5</f>
        <v>540804</v>
      </c>
    </row>
    <row r="7" spans="1:9" x14ac:dyDescent="0.25">
      <c r="A7" t="s">
        <v>16</v>
      </c>
      <c r="B7">
        <v>0.15989999999999999</v>
      </c>
    </row>
    <row r="8" spans="1:9" x14ac:dyDescent="0.25">
      <c r="A8" t="s">
        <v>0</v>
      </c>
      <c r="B8">
        <v>4</v>
      </c>
    </row>
    <row r="9" spans="1:9" x14ac:dyDescent="0.25">
      <c r="A9" t="s">
        <v>15</v>
      </c>
      <c r="B9">
        <v>12</v>
      </c>
    </row>
    <row r="10" spans="1:9" x14ac:dyDescent="0.25">
      <c r="A10" t="s">
        <v>14</v>
      </c>
      <c r="B10">
        <f>(B6 * B7/B9) / (1 - (1 + B7/B9)^ -(B8*B9))</f>
        <v>15323.767620894279</v>
      </c>
    </row>
    <row r="34" spans="9:9" x14ac:dyDescent="0.25">
      <c r="I34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CAD0-40A7-464D-8FBD-D3727B2CC4A5}">
  <dimension ref="A1:H16"/>
  <sheetViews>
    <sheetView workbookViewId="0">
      <selection activeCell="H7" sqref="H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5</v>
      </c>
      <c r="B2">
        <f>((1+0.04/4)^4)-1</f>
        <v>4.0604010000000024E-2</v>
      </c>
      <c r="C2">
        <f>(1+B2)^A2</f>
        <v>1.220190039947967</v>
      </c>
      <c r="D2">
        <v>250000</v>
      </c>
      <c r="E2">
        <f>D2*C2</f>
        <v>305047.50998699176</v>
      </c>
    </row>
    <row r="3" spans="1:8" x14ac:dyDescent="0.25">
      <c r="A3">
        <v>4</v>
      </c>
      <c r="B3">
        <f t="shared" ref="B3:B6" si="0">((1+0.04/4)^4)-1</f>
        <v>4.0604010000000024E-2</v>
      </c>
      <c r="C3">
        <f t="shared" ref="C3:C6" si="1">(1+B3)^A3</f>
        <v>1.1725786449236988</v>
      </c>
      <c r="D3">
        <v>250000</v>
      </c>
      <c r="E3">
        <f t="shared" ref="E3:E13" si="2">D3*C3</f>
        <v>293144.66123092471</v>
      </c>
    </row>
    <row r="4" spans="1:8" x14ac:dyDescent="0.25">
      <c r="A4">
        <v>3</v>
      </c>
      <c r="B4">
        <f t="shared" si="0"/>
        <v>4.0604010000000024E-2</v>
      </c>
      <c r="C4">
        <f t="shared" si="1"/>
        <v>1.1268250301319698</v>
      </c>
      <c r="D4">
        <v>250000</v>
      </c>
      <c r="E4">
        <f t="shared" si="2"/>
        <v>281706.25753299246</v>
      </c>
    </row>
    <row r="5" spans="1:8" x14ac:dyDescent="0.25">
      <c r="A5">
        <v>2</v>
      </c>
      <c r="B5">
        <f t="shared" si="0"/>
        <v>4.0604010000000024E-2</v>
      </c>
      <c r="C5">
        <f t="shared" si="1"/>
        <v>1.0828567056280802</v>
      </c>
      <c r="D5">
        <v>250000</v>
      </c>
      <c r="E5">
        <f t="shared" si="2"/>
        <v>270714.17640702007</v>
      </c>
    </row>
    <row r="6" spans="1:8" x14ac:dyDescent="0.25">
      <c r="A6">
        <v>1</v>
      </c>
      <c r="B6">
        <f t="shared" si="0"/>
        <v>4.0604010000000024E-2</v>
      </c>
      <c r="C6">
        <f t="shared" si="1"/>
        <v>1.04060401</v>
      </c>
      <c r="D6">
        <v>250000</v>
      </c>
      <c r="E6">
        <f t="shared" si="2"/>
        <v>260151.0025</v>
      </c>
    </row>
    <row r="7" spans="1:8" x14ac:dyDescent="0.25">
      <c r="A7">
        <v>6</v>
      </c>
      <c r="C7">
        <f>(1+0.06)^A7</f>
        <v>1.4185191122560006</v>
      </c>
      <c r="D7">
        <v>-350000</v>
      </c>
      <c r="E7">
        <f t="shared" si="2"/>
        <v>-496481.68928960018</v>
      </c>
    </row>
    <row r="8" spans="1:8" x14ac:dyDescent="0.25">
      <c r="A8">
        <v>6</v>
      </c>
      <c r="C8">
        <f>(1+0.045)^A8</f>
        <v>1.3022601248475147</v>
      </c>
      <c r="D8">
        <v>-100000</v>
      </c>
      <c r="E8">
        <f t="shared" si="2"/>
        <v>-130226.01248475147</v>
      </c>
    </row>
    <row r="9" spans="1:8" x14ac:dyDescent="0.25">
      <c r="A9">
        <v>5</v>
      </c>
      <c r="C9">
        <f t="shared" ref="C9:C13" si="3">(1+0.045)^A9</f>
        <v>1.2461819376531245</v>
      </c>
      <c r="D9">
        <v>-100000</v>
      </c>
      <c r="E9">
        <f t="shared" si="2"/>
        <v>-124618.19376531245</v>
      </c>
    </row>
    <row r="10" spans="1:8" x14ac:dyDescent="0.25">
      <c r="A10">
        <v>4</v>
      </c>
      <c r="C10">
        <f t="shared" si="3"/>
        <v>1.1925186006249995</v>
      </c>
      <c r="D10">
        <v>-100000</v>
      </c>
      <c r="E10">
        <f t="shared" si="2"/>
        <v>-119251.86006249995</v>
      </c>
    </row>
    <row r="11" spans="1:8" x14ac:dyDescent="0.25">
      <c r="A11">
        <v>3</v>
      </c>
      <c r="C11">
        <f t="shared" si="3"/>
        <v>1.1411661249999998</v>
      </c>
      <c r="D11">
        <v>-100000</v>
      </c>
      <c r="E11">
        <f t="shared" si="2"/>
        <v>-114116.61249999997</v>
      </c>
    </row>
    <row r="12" spans="1:8" x14ac:dyDescent="0.25">
      <c r="A12">
        <v>2</v>
      </c>
      <c r="C12">
        <f t="shared" si="3"/>
        <v>1.0920249999999998</v>
      </c>
      <c r="D12">
        <v>-100000</v>
      </c>
      <c r="E12">
        <f t="shared" si="2"/>
        <v>-109202.49999999999</v>
      </c>
    </row>
    <row r="13" spans="1:8" x14ac:dyDescent="0.25">
      <c r="A13">
        <v>1</v>
      </c>
      <c r="C13">
        <f t="shared" si="3"/>
        <v>1.0449999999999999</v>
      </c>
      <c r="D13">
        <v>-100000</v>
      </c>
      <c r="E13">
        <f t="shared" si="2"/>
        <v>-104500</v>
      </c>
    </row>
    <row r="14" spans="1:8" x14ac:dyDescent="0.25">
      <c r="D14" t="s">
        <v>7</v>
      </c>
      <c r="E14">
        <f>SUM(E2:E13)</f>
        <v>212366.739555765</v>
      </c>
    </row>
    <row r="15" spans="1:8" x14ac:dyDescent="0.25">
      <c r="D15" t="s">
        <v>5</v>
      </c>
      <c r="E15">
        <f>SUM(E2:E6)</f>
        <v>1410763.607657929</v>
      </c>
    </row>
    <row r="16" spans="1:8" x14ac:dyDescent="0.25">
      <c r="D16" t="s">
        <v>6</v>
      </c>
      <c r="E16">
        <f>SUM(E7:E13)</f>
        <v>-1198396.868102164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7447-B100-4CEE-B10B-C77A5A9EC210}">
  <dimension ref="A1:J34"/>
  <sheetViews>
    <sheetView workbookViewId="0">
      <selection activeCell="E10" sqref="E10:I16"/>
    </sheetView>
  </sheetViews>
  <sheetFormatPr baseColWidth="10" defaultRowHeight="15" x14ac:dyDescent="0.25"/>
  <cols>
    <col min="1" max="1" width="13.85546875" bestFit="1" customWidth="1"/>
    <col min="9" max="9" width="13.85546875" bestFit="1" customWidth="1"/>
  </cols>
  <sheetData>
    <row r="1" spans="1:10" x14ac:dyDescent="0.25">
      <c r="A1" t="s">
        <v>8</v>
      </c>
      <c r="B1">
        <v>469900</v>
      </c>
      <c r="D1" t="s">
        <v>13</v>
      </c>
      <c r="E1" t="s">
        <v>14</v>
      </c>
      <c r="F1" t="s">
        <v>17</v>
      </c>
      <c r="G1" t="s">
        <v>18</v>
      </c>
      <c r="H1" t="s">
        <v>19</v>
      </c>
      <c r="I1" t="s">
        <v>20</v>
      </c>
    </row>
    <row r="2" spans="1:10" x14ac:dyDescent="0.25">
      <c r="A2" t="s">
        <v>9</v>
      </c>
      <c r="B2">
        <f>B1*0.1</f>
        <v>46990</v>
      </c>
      <c r="D2">
        <v>1</v>
      </c>
      <c r="E2">
        <f>$B$10</f>
        <v>14118.921218223533</v>
      </c>
      <c r="F2">
        <f>B6*($B$7/$B$9)</f>
        <v>6639.6176437499989</v>
      </c>
      <c r="G2">
        <f>E2-F2</f>
        <v>7479.3035744735344</v>
      </c>
      <c r="H2">
        <f>B6-G2</f>
        <v>490803.44642552646</v>
      </c>
    </row>
    <row r="3" spans="1:10" x14ac:dyDescent="0.25">
      <c r="A3" t="s">
        <v>10</v>
      </c>
      <c r="B3">
        <f>B1-B2</f>
        <v>422910</v>
      </c>
      <c r="D3">
        <v>2</v>
      </c>
      <c r="E3">
        <f>$B$10</f>
        <v>14118.921218223533</v>
      </c>
      <c r="F3">
        <f>H2*($B$7/$B$9)</f>
        <v>6539.9559236201394</v>
      </c>
      <c r="G3">
        <f>E3-F3</f>
        <v>7578.9652946033939</v>
      </c>
      <c r="H3">
        <f>H2-G3</f>
        <v>483224.48113092309</v>
      </c>
    </row>
    <row r="4" spans="1:10" x14ac:dyDescent="0.25">
      <c r="A4" t="s">
        <v>11</v>
      </c>
      <c r="B4">
        <f>B3*0.025</f>
        <v>10572.75</v>
      </c>
      <c r="D4">
        <v>3</v>
      </c>
      <c r="E4">
        <f>$B$10</f>
        <v>14118.921218223533</v>
      </c>
      <c r="F4">
        <f>H3*($B$7/$B$9)</f>
        <v>6438.966211069549</v>
      </c>
      <c r="G4">
        <f>E4-F4</f>
        <v>7679.9550071539843</v>
      </c>
      <c r="H4">
        <f>H3-G4-I4</f>
        <v>458544.52612376912</v>
      </c>
      <c r="I4">
        <v>17000</v>
      </c>
    </row>
    <row r="5" spans="1:10" x14ac:dyDescent="0.25">
      <c r="A5" t="s">
        <v>12</v>
      </c>
      <c r="B5">
        <f>1350*48</f>
        <v>64800</v>
      </c>
      <c r="D5">
        <v>4</v>
      </c>
      <c r="E5">
        <f>$B$10</f>
        <v>14118.921218223533</v>
      </c>
      <c r="F5">
        <f>H4*($B$7/$B$9)</f>
        <v>6110.1058105992224</v>
      </c>
      <c r="G5">
        <f>E5-F5</f>
        <v>8008.8154076243109</v>
      </c>
      <c r="H5">
        <f>H4-G5-I5</f>
        <v>450535.71071614482</v>
      </c>
    </row>
    <row r="6" spans="1:10" x14ac:dyDescent="0.25">
      <c r="A6" t="s">
        <v>13</v>
      </c>
      <c r="B6">
        <f>B3+B4+B5</f>
        <v>498282.75</v>
      </c>
    </row>
    <row r="7" spans="1:10" x14ac:dyDescent="0.25">
      <c r="A7" t="s">
        <v>16</v>
      </c>
      <c r="B7">
        <v>0.15989999999999999</v>
      </c>
    </row>
    <row r="8" spans="1:10" x14ac:dyDescent="0.25">
      <c r="A8" t="s">
        <v>0</v>
      </c>
      <c r="B8">
        <v>4</v>
      </c>
    </row>
    <row r="9" spans="1:10" x14ac:dyDescent="0.25">
      <c r="A9" t="s">
        <v>15</v>
      </c>
      <c r="B9">
        <v>12</v>
      </c>
    </row>
    <row r="10" spans="1:10" x14ac:dyDescent="0.25">
      <c r="A10" t="s">
        <v>14</v>
      </c>
      <c r="B10">
        <f>(B6 * B7/B9) / (1 - (1 + B7/B9)^ -(B8*B9))</f>
        <v>14118.921218223533</v>
      </c>
    </row>
    <row r="34" spans="9:9" x14ac:dyDescent="0.25">
      <c r="I3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6_A</vt:lpstr>
      <vt:lpstr>11_A</vt:lpstr>
      <vt:lpstr>6_B</vt:lpstr>
      <vt:lpstr>11_B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Mario GS</cp:lastModifiedBy>
  <dcterms:created xsi:type="dcterms:W3CDTF">2024-04-23T17:39:49Z</dcterms:created>
  <dcterms:modified xsi:type="dcterms:W3CDTF">2024-05-06T14:24:24Z</dcterms:modified>
</cp:coreProperties>
</file>