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<sst xmlns="http://schemas.openxmlformats.org/spreadsheetml/2006/main" count="6097" uniqueCount="3494">
  <si>
    <t>  Date
Announced</t>
  </si>
  <si>
    <t>Target Name</t>
  </si>
  <si>
    <t>Acquirer Name</t>
  </si>
  <si>
    <t>Florida National Bank</t>
  </si>
  <si>
    <t>Southeast Banking Corp,Miami</t>
  </si>
  <si>
    <t>First United Bancorp Inc</t>
  </si>
  <si>
    <t>InterFirst Corp,Dallas,Texas</t>
  </si>
  <si>
    <t>Flagship Bk-Tallahassee (Sun)</t>
  </si>
  <si>
    <t>First Florida Banks Inc</t>
  </si>
  <si>
    <t>Cullen/Frost Bankers Inc</t>
  </si>
  <si>
    <t>First City Bancorp of Texas</t>
  </si>
  <si>
    <t>Arltru Bancorp</t>
  </si>
  <si>
    <t>Hartford National Corp, CT</t>
  </si>
  <si>
    <t>Heritage Bancorporation, NJ</t>
  </si>
  <si>
    <t>Mellon National Corp</t>
  </si>
  <si>
    <t>Maine National Corp</t>
  </si>
  <si>
    <t>Bank of New England,Boston,MA</t>
  </si>
  <si>
    <t>IntraWest Financial,Denver,Co</t>
  </si>
  <si>
    <t>Affiliated Bankshares of CO</t>
  </si>
  <si>
    <t>Citizens Trust Co,Virginia</t>
  </si>
  <si>
    <t>First Virginia Banks Inc,VA</t>
  </si>
  <si>
    <t>Banc of Maine Corp</t>
  </si>
  <si>
    <t>Norstar Bancorp,Albany,NY</t>
  </si>
  <si>
    <t>Hawaiian Trust Co</t>
  </si>
  <si>
    <t>Bancorp Hawaii Inc,Honolulu,HI</t>
  </si>
  <si>
    <t>Nevada State Bk,NV</t>
  </si>
  <si>
    <t>Zions Utah Bancorp,UT</t>
  </si>
  <si>
    <t>Trust Co of Georgia,Atlanta</t>
  </si>
  <si>
    <t>Sun Banks Inc,Orlando,Florida</t>
  </si>
  <si>
    <t>Bank of Virginia Co</t>
  </si>
  <si>
    <t>Independence Bank Group Inc</t>
  </si>
  <si>
    <t>Marine Corp, Milwaukee,WI</t>
  </si>
  <si>
    <t>City National Bancshares Inc,</t>
  </si>
  <si>
    <t>First Commerce,New Orleans,LA</t>
  </si>
  <si>
    <t>Rapides Bk&amp;Tr,Alexandria,LA</t>
  </si>
  <si>
    <t>Alaska Pacific Bancorp,AK</t>
  </si>
  <si>
    <t>Key Banks Inc</t>
  </si>
  <si>
    <t>United Jersey Bks,Princeton,NJ</t>
  </si>
  <si>
    <t>Midlantic Banks Inc,Edison,NJ</t>
  </si>
  <si>
    <t>First National State Bancorp</t>
  </si>
  <si>
    <t>First Bank of Grantsburg,WI</t>
  </si>
  <si>
    <t>First Wisconsin Corp</t>
  </si>
  <si>
    <t>Community Bancshares Corp,NJ</t>
  </si>
  <si>
    <t>Michigan National Corp</t>
  </si>
  <si>
    <t>Comerica Inc</t>
  </si>
  <si>
    <t>First Ruskin Bk, Hillsborough</t>
  </si>
  <si>
    <t>Barnett Banks FL Inc,Florida</t>
  </si>
  <si>
    <t>Guaranty Bancshares Inc</t>
  </si>
  <si>
    <t>Louisiana Bancshares Inc</t>
  </si>
  <si>
    <t>CharterCorp of Kansas City</t>
  </si>
  <si>
    <t>Boatmen's Bancshares,St Louis</t>
  </si>
  <si>
    <t>Landmark Banking Corp of FL</t>
  </si>
  <si>
    <t>Citizens and Southern GA Corp</t>
  </si>
  <si>
    <t>Citizens Bk &amp; Tr,Glastonbury</t>
  </si>
  <si>
    <t>CBT Corp,Hartford,CT</t>
  </si>
  <si>
    <t>Commerce Bancorp Inc,MI</t>
  </si>
  <si>
    <t>Security Bancorp,Southgate,MI</t>
  </si>
  <si>
    <t>Northwestern Fincl Corp,NC</t>
  </si>
  <si>
    <t>First Union Corp,Charlotte,NC</t>
  </si>
  <si>
    <t>First National Bancorp Inc</t>
  </si>
  <si>
    <t>SouthTrust Corp,Birmingham,AL</t>
  </si>
  <si>
    <t>NS&amp;T Bankshares,Washington,DC</t>
  </si>
  <si>
    <t>United Virginia Bankshares Inc</t>
  </si>
  <si>
    <t>Undisclosed Philadelphia Bank</t>
  </si>
  <si>
    <t>Equimark Corp,Pittsburgh,PA</t>
  </si>
  <si>
    <t>Oregon Bank(Orbanco Finl Svcs)</t>
  </si>
  <si>
    <t>BankAmerica Corp</t>
  </si>
  <si>
    <t>Fidelity Bk of Indiana,Carmel</t>
  </si>
  <si>
    <t>Indiana National Corp</t>
  </si>
  <si>
    <t>Cedarburg State Bank</t>
  </si>
  <si>
    <t>Security Financial Services Co</t>
  </si>
  <si>
    <t>First Hardin Natl Bank &amp; Trust</t>
  </si>
  <si>
    <t>Citizens Fidelity, Louisville</t>
  </si>
  <si>
    <t>Midwest Commerce Corp</t>
  </si>
  <si>
    <t>NBD Bancorp,Detroit,Michigan</t>
  </si>
  <si>
    <t>First Interstate Corp of WI</t>
  </si>
  <si>
    <t>Marine Corp</t>
  </si>
  <si>
    <t>Atlantic Bancorporation</t>
  </si>
  <si>
    <t>First Atlanta Corp,Atlanta,GA</t>
  </si>
  <si>
    <t>NCNB Corp,Charlotte,NC</t>
  </si>
  <si>
    <t>Wachovia Corp,Winston-Salem,NC</t>
  </si>
  <si>
    <t>Business Bancorp,San Jose,Cal</t>
  </si>
  <si>
    <t>Pacific Western Bancshares,CA</t>
  </si>
  <si>
    <t>Citizens Natl Bk &amp; Tr,Kansas</t>
  </si>
  <si>
    <t>Fourth Financial Corp</t>
  </si>
  <si>
    <t>Fidelity Natl Finl,Baton Rouge</t>
  </si>
  <si>
    <t>Hibernia Corp,New Orleans,LA</t>
  </si>
  <si>
    <t>Calhoun First National Bank</t>
  </si>
  <si>
    <t>First RR &amp; Banking,Augusta,GA</t>
  </si>
  <si>
    <t>DC Natl Bancorp,Washington,DC</t>
  </si>
  <si>
    <t>Sovran Financial,Norfolk,VA</t>
  </si>
  <si>
    <t>Hanover Bank of Pennsylvania</t>
  </si>
  <si>
    <t>First Valley Corp</t>
  </si>
  <si>
    <t>Bankers Trust South Carolina</t>
  </si>
  <si>
    <t>Broad Street Natl Bk,Trenton</t>
  </si>
  <si>
    <t>First Jersey National Corp</t>
  </si>
  <si>
    <t>Union Trust Bancorp</t>
  </si>
  <si>
    <t>Sylvania BanCorp,Sylvania,OH</t>
  </si>
  <si>
    <t>Toledo Trustcorp Inc</t>
  </si>
  <si>
    <t>Pan American Banks,Miami,FL</t>
  </si>
  <si>
    <t>Statewide Bancorp</t>
  </si>
  <si>
    <t>First Financial Group</t>
  </si>
  <si>
    <t>Union National Corp,PA</t>
  </si>
  <si>
    <t>Southern Natl Bankshares, GA</t>
  </si>
  <si>
    <t>American Bancorp,Newport,KY</t>
  </si>
  <si>
    <t>Fifth Third Bancorp,OH</t>
  </si>
  <si>
    <t>Franklin Bancorp</t>
  </si>
  <si>
    <t>First Connecticut Bancorp</t>
  </si>
  <si>
    <t>Fleet Finl Group,Providence,RI</t>
  </si>
  <si>
    <t>General Bancshares Corp</t>
  </si>
  <si>
    <t>First Interstate Corp of AK</t>
  </si>
  <si>
    <t>Second National Bk,Saginaw,MI</t>
  </si>
  <si>
    <t>Citizens Banking Corp,Flint,MI</t>
  </si>
  <si>
    <t>Merrill Bankshares Co</t>
  </si>
  <si>
    <t>Bank of Middlesex, Urbana,VA</t>
  </si>
  <si>
    <t>Arizona Bancwest Corp,Phoenix</t>
  </si>
  <si>
    <t>Security Pacific,Los Angeles</t>
  </si>
  <si>
    <t>Banknorth Group Inc</t>
  </si>
  <si>
    <t>Banknorth Group Inc,VT</t>
  </si>
  <si>
    <t>IVB Financial Corp</t>
  </si>
  <si>
    <t>Fidelcor Inc,Philadelphia,PA</t>
  </si>
  <si>
    <t>FirstGulf Bancorp,Mobile,</t>
  </si>
  <si>
    <t>AmSouth Bancorp,Alabama</t>
  </si>
  <si>
    <t>Central Bancorp</t>
  </si>
  <si>
    <t>Huntington Bancshares Inc,OH</t>
  </si>
  <si>
    <t>Commonwealth Trust Bancorp</t>
  </si>
  <si>
    <t>Purdue National Corp</t>
  </si>
  <si>
    <t>BANC ONE Corp,Columbus,Ohio</t>
  </si>
  <si>
    <t>Citizens and Southern Corp,SC</t>
  </si>
  <si>
    <t>Commonwealth Natl Finl,PA</t>
  </si>
  <si>
    <t>Meridian Bancorp Inc</t>
  </si>
  <si>
    <t>Fayette Bk &amp; Tr, Uniontown, PA</t>
  </si>
  <si>
    <t>BT Financial Corp,Johnstown,PA</t>
  </si>
  <si>
    <t>Southern Bancorp,Greenville,SC</t>
  </si>
  <si>
    <t>Suburban Bancorp, Bethesda, MD</t>
  </si>
  <si>
    <t>South Sound National Bank</t>
  </si>
  <si>
    <t>Rainier Bancorporation,WA</t>
  </si>
  <si>
    <t>Corpus Christi Bancshares,TX</t>
  </si>
  <si>
    <t>Natl Bancshares Corp of TX,TX</t>
  </si>
  <si>
    <t>Mellon Bank Corp,Pittsburgh,PA</t>
  </si>
  <si>
    <t>Money Management Corp,Indiana</t>
  </si>
  <si>
    <t>KeyCorp,Albany,NY(Key Corp,OH)</t>
  </si>
  <si>
    <t>Citizens DeKalb Bk,Clarkston</t>
  </si>
  <si>
    <t>City National Bank of Laredo</t>
  </si>
  <si>
    <t>BancTEXAS Tyler,Tyler,Texas</t>
  </si>
  <si>
    <t>Texas American Bancshares Inc</t>
  </si>
  <si>
    <t>First Indiana Bancorp, Elkhart</t>
  </si>
  <si>
    <t>AmeriTrust Corp,Cleveland,OH</t>
  </si>
  <si>
    <t>Central Fl Bk Corp,Dade City</t>
  </si>
  <si>
    <t>Capitol Bancorporation</t>
  </si>
  <si>
    <t>Citizens Financial Group,RI</t>
  </si>
  <si>
    <t>First Bankers Corp of Florida</t>
  </si>
  <si>
    <t>Lowell National Bank,Lowell,IN</t>
  </si>
  <si>
    <t>Farmers &amp; Merchants Bk,Indiana</t>
  </si>
  <si>
    <t>Lincoln Financial Corp,IN</t>
  </si>
  <si>
    <t>NewCentury Bank Corp,MI</t>
  </si>
  <si>
    <t>First of Amer Bk,Kalamazoo,MI</t>
  </si>
  <si>
    <t>Security National Corp</t>
  </si>
  <si>
    <t>Union Bancorp, Grand Rapids,MI</t>
  </si>
  <si>
    <t>Indiana Banks (2)</t>
  </si>
  <si>
    <t>Summcorp,Fort Wayne,Indiana</t>
  </si>
  <si>
    <t>Dartmouth National Corp of NH</t>
  </si>
  <si>
    <t>Indian Head Banks Inc, Nashua</t>
  </si>
  <si>
    <t>Continental Bancor, Scottsdale</t>
  </si>
  <si>
    <t>Chase Manhattan Corp</t>
  </si>
  <si>
    <t>Commercial Bank,Bel Air, MD</t>
  </si>
  <si>
    <t>National Bank of Commerce,DC</t>
  </si>
  <si>
    <t>Dominion Bankshares,Roanoke,VA</t>
  </si>
  <si>
    <t>American Natl Hldg,Kalamazoo</t>
  </si>
  <si>
    <t>Old Kent Finl Corp,Michigan</t>
  </si>
  <si>
    <t>Century Bank, Phoenix, Arizona</t>
  </si>
  <si>
    <t>First Fidelity Bancorp,NJ</t>
  </si>
  <si>
    <t>FNB Bancorp, Fenton, Michigan</t>
  </si>
  <si>
    <t>Spartan Bankcorp,E Lansing,MI</t>
  </si>
  <si>
    <t>Patriot Bancorp,Boston,MA</t>
  </si>
  <si>
    <t>Conifer/Essex Group Inc</t>
  </si>
  <si>
    <t>First Bank of Colonia,NJ</t>
  </si>
  <si>
    <t>Commercial Bancshares Inc,NJ</t>
  </si>
  <si>
    <t>Chemung Financial,Elmira,NY</t>
  </si>
  <si>
    <t>Tennessee National Bancshares</t>
  </si>
  <si>
    <t>First American Corp,Tennessee</t>
  </si>
  <si>
    <t>Thunderbird Capital,Phoenix,AZ</t>
  </si>
  <si>
    <t>Marshall &amp; Ilsley,Milwaukee,WI</t>
  </si>
  <si>
    <t>Mid-Continental Bancorp,WI</t>
  </si>
  <si>
    <t>Chapter 17 Bancorp,Richmond,IN</t>
  </si>
  <si>
    <t>Northwest Nat Bk,Rensselaer,IN</t>
  </si>
  <si>
    <t>First Ashland Corp, Kentucky</t>
  </si>
  <si>
    <t>First Interstate Bancorp,CA</t>
  </si>
  <si>
    <t>Pacwest Bancorp,Portland,OR</t>
  </si>
  <si>
    <t>Citizen Natl Bk, Stevens Point</t>
  </si>
  <si>
    <t>Security Natl,Consumer Svgs,MA</t>
  </si>
  <si>
    <t>CommerceAmerica Corp,Indiana</t>
  </si>
  <si>
    <t>Horry County Natl Bk, SC</t>
  </si>
  <si>
    <t>Southern Natl,Winston-Salem,NC</t>
  </si>
  <si>
    <t>KBT Corp,Madisonville,KY</t>
  </si>
  <si>
    <t>Liberty United Bancorp Inc,KY</t>
  </si>
  <si>
    <t>Georgia ST Bancshares,Mableton</t>
  </si>
  <si>
    <t>First La Porte Financial, IN</t>
  </si>
  <si>
    <t>United Bank,Tacoma,Washington</t>
  </si>
  <si>
    <t>Mutual Banc Corp</t>
  </si>
  <si>
    <t>First Kentucky National Corp</t>
  </si>
  <si>
    <t>Pennsylvania Natl Financial</t>
  </si>
  <si>
    <t>Keystone Finl,Harrisburg,PA</t>
  </si>
  <si>
    <t>Bank of Redmond,Redmond Mtg</t>
  </si>
  <si>
    <t>Puget Sound Bancorp,Tacoma,WA</t>
  </si>
  <si>
    <t>Bk of Seattle(Seattle Bancorp)</t>
  </si>
  <si>
    <t>Horizon Bancorp,Morristown,NJ</t>
  </si>
  <si>
    <t>Chemical Banking Corp</t>
  </si>
  <si>
    <t>Clinton County Bancorp,IN</t>
  </si>
  <si>
    <t>American Fletcher,Indianapolis</t>
  </si>
  <si>
    <t>Central South Bancorp,Franklin</t>
  </si>
  <si>
    <t>Commerce Union Corp,Nashville</t>
  </si>
  <si>
    <t>Mount Hood Sec Bank,Oregon</t>
  </si>
  <si>
    <t>Citizens Bk of Tifton, Georgia</t>
  </si>
  <si>
    <t>Bank South Corp,Atlanta,GA</t>
  </si>
  <si>
    <t>First Citizen Bank AL,Oneonta</t>
  </si>
  <si>
    <t>First AL Bancshares,AL</t>
  </si>
  <si>
    <t>Nashville CityBank,Tennessee</t>
  </si>
  <si>
    <t>Farmers&amp;Mrchnts Bk,Walterboro</t>
  </si>
  <si>
    <t>Citizens &amp; Southern Georgia</t>
  </si>
  <si>
    <t>New Jersey Natl Corp(CoreStat)</t>
  </si>
  <si>
    <t>CoreStates Financial Corp,PA</t>
  </si>
  <si>
    <t>Andrews Bk&amp;Tr,Andrews,SC</t>
  </si>
  <si>
    <t>First National Bk Pike Cty, PA</t>
  </si>
  <si>
    <t>GCB Bancorp Inc,Princeton,IN</t>
  </si>
  <si>
    <t>Old Natl Bancorp,Evansville,IN</t>
  </si>
  <si>
    <t>Outagamie Bank Shares Inc,WI</t>
  </si>
  <si>
    <t>Peoples Bk Westn PA,New Castle</t>
  </si>
  <si>
    <t>Fidelity Trust Co,Stamford,CT</t>
  </si>
  <si>
    <t>Shawmut Corp,Boston,MA</t>
  </si>
  <si>
    <t>Guaranty Bank and Trust Co,</t>
  </si>
  <si>
    <t>Riggs Natl Corp,Washington,DC</t>
  </si>
  <si>
    <t>First NE Bankshares, MA</t>
  </si>
  <si>
    <t>First Bank Capital, Tupelo, MS</t>
  </si>
  <si>
    <t>Deposit Guaranty,Jackson,MS</t>
  </si>
  <si>
    <t>Charter Finl,Farmingham,MA</t>
  </si>
  <si>
    <t>Peoples Liberty Banc,Covington</t>
  </si>
  <si>
    <t>Third Natl Bk &amp; Tr,Scranton,PA</t>
  </si>
  <si>
    <t>Independence Bancorp,Perkasie</t>
  </si>
  <si>
    <t>Independent Community Banks,FL</t>
  </si>
  <si>
    <t>PNC Financial,Pittsburgh,PA</t>
  </si>
  <si>
    <t>Bank of Coweta,Newman,Georgia</t>
  </si>
  <si>
    <t>CB&amp;T Bancshares,Columbus,GA</t>
  </si>
  <si>
    <t>Bank of Manchester,Georgia</t>
  </si>
  <si>
    <t>Home Bank &amp; Trust, Meriden, CT</t>
  </si>
  <si>
    <t>BancTEXAS Grp-4 Houston Banks</t>
  </si>
  <si>
    <t>United Bankers Inc,Waco,Texas</t>
  </si>
  <si>
    <t>Union Banc Corp, Kokomo, IN</t>
  </si>
  <si>
    <t>First Indiana Corp,Indiana</t>
  </si>
  <si>
    <t>Premier Banks,Libertyville,IL</t>
  </si>
  <si>
    <t>Banks(4),Chicago,Illinois</t>
  </si>
  <si>
    <t>First Colonial Bankshares,IL</t>
  </si>
  <si>
    <t>Cheshire Natl Bank of Keene,NH</t>
  </si>
  <si>
    <t>First NH Banks Inc,Manchester</t>
  </si>
  <si>
    <t>Merchants Bancorp,Allentown,PA</t>
  </si>
  <si>
    <t>American Security Corp,DC</t>
  </si>
  <si>
    <t>Maryland National Corp</t>
  </si>
  <si>
    <t>First National Bank Palm Beach</t>
  </si>
  <si>
    <t>First Tuskaloosa Corp,Alabama</t>
  </si>
  <si>
    <t>SSB Bancorp,Shipshewana,IN</t>
  </si>
  <si>
    <t>Trenton Bank &amp; Tr,Trenton,MI</t>
  </si>
  <si>
    <t>First National Bk,Deerfield,IL</t>
  </si>
  <si>
    <t>Continental Illinois Corp</t>
  </si>
  <si>
    <t>First Natl Bk Western Springs</t>
  </si>
  <si>
    <t>South Suburban Bancorp,IL</t>
  </si>
  <si>
    <t>Cobanco Inc,Santa Cruz</t>
  </si>
  <si>
    <t>First Mississippi Natl Corp</t>
  </si>
  <si>
    <t>Bancorp of Mississippi,Tupelo</t>
  </si>
  <si>
    <t>Third Natl Corp,Nashville,TN</t>
  </si>
  <si>
    <t>SunTrust Banks Inc,Atlanta,GA</t>
  </si>
  <si>
    <t>Boone Corp,Lebanon,IN</t>
  </si>
  <si>
    <t>OmniBank Corp,Wyandotte,MI</t>
  </si>
  <si>
    <t>North American Bancorp Inc</t>
  </si>
  <si>
    <t>Bank of New York Co Inc,NY</t>
  </si>
  <si>
    <t>First Pennsylvania Corp</t>
  </si>
  <si>
    <t>Marine Midland Banks Inc</t>
  </si>
  <si>
    <t>First Community Bancshares, GA</t>
  </si>
  <si>
    <t>Commercial Bankshares,Adrian</t>
  </si>
  <si>
    <t>Trustcorp Inc,Toledo,Ohio</t>
  </si>
  <si>
    <t>Popular Bankshares,Miami,FL</t>
  </si>
  <si>
    <t>Bank of Greer,South Carolina</t>
  </si>
  <si>
    <t>United Carolina Bancshares</t>
  </si>
  <si>
    <t>Roswell Bank, Georgia</t>
  </si>
  <si>
    <t>Granite Svg Bk&amp;Trust,Barre,VT</t>
  </si>
  <si>
    <t>Howard Bancorp,Burlington,VT</t>
  </si>
  <si>
    <t>Madison Financial Corp,IL</t>
  </si>
  <si>
    <t>Exchange International Corp</t>
  </si>
  <si>
    <t>USAmeribancs, Highland Park,</t>
  </si>
  <si>
    <t>Valley Utah Bancorp,Salt Lake</t>
  </si>
  <si>
    <t>Valley National Corp,Phoenix</t>
  </si>
  <si>
    <t>Nevada Natl Bancorp,Reno,NV</t>
  </si>
  <si>
    <t>Orbanco Finl Svcs Corp</t>
  </si>
  <si>
    <t>Chester Bank, Chester, CT</t>
  </si>
  <si>
    <t>RHNB Corp,Rock Hill, SC</t>
  </si>
  <si>
    <t>First Bank,Troy,North Carolina</t>
  </si>
  <si>
    <t>Commonwealth Bancshares Corp</t>
  </si>
  <si>
    <t>Natl Bankshares La Jolla,Other</t>
  </si>
  <si>
    <t>First National Corp,San Diego</t>
  </si>
  <si>
    <t>Westamerica Bancorp,California</t>
  </si>
  <si>
    <t>WB Financial,Wayne,Michigan</t>
  </si>
  <si>
    <t>Texas Commerce Bancshares,TX</t>
  </si>
  <si>
    <t>Chemical New York Corp</t>
  </si>
  <si>
    <t>Old Natl Bancorp, Spokane, WA</t>
  </si>
  <si>
    <t>US Bancorp,Portland,Oregon</t>
  </si>
  <si>
    <t>Seattle Trust &amp; Savings Bank</t>
  </si>
  <si>
    <t>Beneficial National Bank</t>
  </si>
  <si>
    <t>First Chicago Corp,Illinois</t>
  </si>
  <si>
    <t>Liberty State Bk,Mt Carmel,PA</t>
  </si>
  <si>
    <t>Eastville Bank, Eastville, VA</t>
  </si>
  <si>
    <t>Mercantile Bankshares Corp,MD</t>
  </si>
  <si>
    <t>First United Financial Svcs,IL</t>
  </si>
  <si>
    <t>Citizens Bancorp,Hartford,IN</t>
  </si>
  <si>
    <t>First State Bancorp,Dunkirk,IN</t>
  </si>
  <si>
    <t>Midwest Bancorp,Columbus,IN</t>
  </si>
  <si>
    <t>Second Natl Bank,Masontown,PA</t>
  </si>
  <si>
    <t>United Bancorp of Maryland Inc</t>
  </si>
  <si>
    <t>BancServe Group,Rockford,IL</t>
  </si>
  <si>
    <t>Community Banks, Middleton, WI</t>
  </si>
  <si>
    <t>Valley Bancorp,Appleton,WI</t>
  </si>
  <si>
    <t>Suncook Bank,Suncook,NH</t>
  </si>
  <si>
    <t>Bank of New Hampshire Corp</t>
  </si>
  <si>
    <t>First Bank Sys,Minneapolis,MN</t>
  </si>
  <si>
    <t>Madison Natl Bank,Richmond,KY</t>
  </si>
  <si>
    <t>Diablo Bank, Danville, CA</t>
  </si>
  <si>
    <t>First Natl Bank of Fenton, MI</t>
  </si>
  <si>
    <t>Elston Corp</t>
  </si>
  <si>
    <t>Merchants National Corp</t>
  </si>
  <si>
    <t>United Nat Bk,Callicoon,NY</t>
  </si>
  <si>
    <t>United Vermont Bancorp,Rutland</t>
  </si>
  <si>
    <t>Merchants Bancshares Inc,VT</t>
  </si>
  <si>
    <t>Commercial Security Bancorp,UT</t>
  </si>
  <si>
    <t>Central Natl BK, Buckhannon,WV</t>
  </si>
  <si>
    <t>Key Centurion Bancshares,WV</t>
  </si>
  <si>
    <t>County Bancorp,Lyndhurst,NJ</t>
  </si>
  <si>
    <t>Midlantic Corp</t>
  </si>
  <si>
    <t>First Springfield National,TN</t>
  </si>
  <si>
    <t>Illinois Regional Bancorp,IL</t>
  </si>
  <si>
    <t>Affiliated Banc Group Inc</t>
  </si>
  <si>
    <t>Manufacturers National Corp</t>
  </si>
  <si>
    <t>Delaware Trust Co,DE</t>
  </si>
  <si>
    <t>CitizensTrust Bancorp Inc,MI</t>
  </si>
  <si>
    <t>Allied Bancshares,Houston,TX</t>
  </si>
  <si>
    <t>First Interstate Bancorp</t>
  </si>
  <si>
    <t>Peoples Ban Corp,Seattle</t>
  </si>
  <si>
    <t>First Fidelity Bk,Rockville,MD</t>
  </si>
  <si>
    <t>State National Corp,Evanston</t>
  </si>
  <si>
    <t>Liberty National Bank</t>
  </si>
  <si>
    <t>Western Security Finl,Salem,OR</t>
  </si>
  <si>
    <t>Lebanon Bank,Tennessee</t>
  </si>
  <si>
    <t>First Tennessee National Corp</t>
  </si>
  <si>
    <t>Bank of Bellevue,Nashville,TN</t>
  </si>
  <si>
    <t>Security Bank of Nevada,Reno</t>
  </si>
  <si>
    <t>Valley Capital Corp,Las Vegas</t>
  </si>
  <si>
    <t>Franklin First Natl,Dechard,TN</t>
  </si>
  <si>
    <t>West Florida Bank,Pensacola</t>
  </si>
  <si>
    <t>Firstbancorp, Batesville, In</t>
  </si>
  <si>
    <t>Central Bancorporation Inc</t>
  </si>
  <si>
    <t>Ypsilanti Savings Bank,MI</t>
  </si>
  <si>
    <t>American SW Bancshares El Paso</t>
  </si>
  <si>
    <t>Sunwest Finl Svcs,Albuquerque</t>
  </si>
  <si>
    <t>Midwest Natl Bank Indianapolis</t>
  </si>
  <si>
    <t>Peoples &amp; Union Bk,Lewisburg</t>
  </si>
  <si>
    <t>First Natl Bk of Richmond,IN</t>
  </si>
  <si>
    <t>First Granite Bancorp Inc, IL</t>
  </si>
  <si>
    <t>Magna Group Inc,St. Louis,MO</t>
  </si>
  <si>
    <t>First Place Financial Corp</t>
  </si>
  <si>
    <t>Heritage Bancorp,Glenville,WV</t>
  </si>
  <si>
    <t>United Bankshares Inc,WV</t>
  </si>
  <si>
    <t>United Midwest Bancorp,Troy,MI</t>
  </si>
  <si>
    <t>Greene County Bancshares Inc</t>
  </si>
  <si>
    <t>First Coml Bancshares,LA</t>
  </si>
  <si>
    <t>Liberty Bancorp,Avenel,NJ</t>
  </si>
  <si>
    <t>First Eastern Corp,PA</t>
  </si>
  <si>
    <t>Profile Financial Corp</t>
  </si>
  <si>
    <t>Cornerstone Financial Corp</t>
  </si>
  <si>
    <t>Irving Bank Corp,New York,</t>
  </si>
  <si>
    <t>Freedom Finl, Charlestown, IN</t>
  </si>
  <si>
    <t>Liberty Natl Bancorp,Kentucky</t>
  </si>
  <si>
    <t>First National Bk of Destin,FL</t>
  </si>
  <si>
    <t>Florida Coml Banks Inc, Miami</t>
  </si>
  <si>
    <t>Lafayette Trust Bk,Easton,PA</t>
  </si>
  <si>
    <t>Fulton Financial Corp</t>
  </si>
  <si>
    <t>Ultra Bancorp,Bridgewater,NJ</t>
  </si>
  <si>
    <t>Summit Bancorporation</t>
  </si>
  <si>
    <t>Lincoln Natl Bank,Hamlin,WV</t>
  </si>
  <si>
    <t>Merchants &amp; Planters Corp</t>
  </si>
  <si>
    <t>Pennbancorp,Titusville,PA</t>
  </si>
  <si>
    <t>First Fulton Bancshares, Ga</t>
  </si>
  <si>
    <t>Barnett Banks,Jacksonville,FL</t>
  </si>
  <si>
    <t>Bank of Elizabethtown Inc</t>
  </si>
  <si>
    <t>Central Wisconsin Bankshares</t>
  </si>
  <si>
    <t>Coml Bancshares, Champaign,IL</t>
  </si>
  <si>
    <t>Marine Corp,Springfield,IL</t>
  </si>
  <si>
    <t>Gary-Wheaton Corp</t>
  </si>
  <si>
    <t>Northern of Tennessee Corp</t>
  </si>
  <si>
    <t>First BanCorp,Mechanicsburg,PA</t>
  </si>
  <si>
    <t>Natl Bk Commerce,Williamson,WV</t>
  </si>
  <si>
    <t>Decatur Bancshares Inc</t>
  </si>
  <si>
    <t>Commercial National Bank,Ohio</t>
  </si>
  <si>
    <t>Southold Savings Bank</t>
  </si>
  <si>
    <t>North Fork Bancorp,Melville,NY</t>
  </si>
  <si>
    <t>Citizens Nat Bk,DownersGrove</t>
  </si>
  <si>
    <t>Boulevard Bancorp Inc</t>
  </si>
  <si>
    <t>M&amp;M Financial Corp</t>
  </si>
  <si>
    <t>Southern Bankshares,Beckley,WV</t>
  </si>
  <si>
    <t>First Natl Bk of Wood River,IL</t>
  </si>
  <si>
    <t>IB&amp;T Corp,Boise,Idaho</t>
  </si>
  <si>
    <t>National City Corp,Cleveland</t>
  </si>
  <si>
    <t>United Bank of Arizona</t>
  </si>
  <si>
    <t>Citicorp</t>
  </si>
  <si>
    <t>OmniBank of CT Inc,Clinton</t>
  </si>
  <si>
    <t>NESB Corp</t>
  </si>
  <si>
    <t>Taney County Bancorp</t>
  </si>
  <si>
    <t>Landmark Bancshares Corp</t>
  </si>
  <si>
    <t>Northwestern Commercial Bk,WA</t>
  </si>
  <si>
    <t>Union Bank(Standard Chartered)</t>
  </si>
  <si>
    <t>California First Bank,CA</t>
  </si>
  <si>
    <t>First City Corp,Fort Smith,AR</t>
  </si>
  <si>
    <t>First United Bancshares Inc,AR</t>
  </si>
  <si>
    <t>Hibernia Bank</t>
  </si>
  <si>
    <t>Grand Bancshares Inc,Dallas,TX</t>
  </si>
  <si>
    <t>Amer Asian BK,San Francisco,CA</t>
  </si>
  <si>
    <t>Peoples First Natl Bk &amp; Tr, PA</t>
  </si>
  <si>
    <t>Unibancorp Inc,Chicago,IL</t>
  </si>
  <si>
    <t>Charter Bank Grp,Northfield,IL</t>
  </si>
  <si>
    <t>Universal Corp</t>
  </si>
  <si>
    <t>Central Bancorporation</t>
  </si>
  <si>
    <t>Monroe Bankshares,Tennessee</t>
  </si>
  <si>
    <t>C&amp;P Bank Corp,Pensacola,FL</t>
  </si>
  <si>
    <t>Point West Bancorp,Sacramento</t>
  </si>
  <si>
    <t>Ohio Valley Natl Bk,Vienna,WV</t>
  </si>
  <si>
    <t>Webster County Natl Bk,WV</t>
  </si>
  <si>
    <t>Quad Cities 1st,Rock Island</t>
  </si>
  <si>
    <t>First Wyoming Bancorp,Wyoming</t>
  </si>
  <si>
    <t>Eastern Shore National Bank</t>
  </si>
  <si>
    <t>Somerset Bancorp,Somerville,NJ</t>
  </si>
  <si>
    <t>GuarantyShares of WV</t>
  </si>
  <si>
    <t>National Banc of Commerce Co</t>
  </si>
  <si>
    <t>First Interstate BK of In</t>
  </si>
  <si>
    <t>United Southern Corp</t>
  </si>
  <si>
    <t>Union Planters Corp,Memphis,TN</t>
  </si>
  <si>
    <t>Alliance Finl,Dearborn,MI</t>
  </si>
  <si>
    <t>Benton State Bankshares Inc,AR</t>
  </si>
  <si>
    <t>First Commercial Corp,Arkansas</t>
  </si>
  <si>
    <t>Fleet/Norstar Financial Grp,RI</t>
  </si>
  <si>
    <t>St Anthony National Bank</t>
  </si>
  <si>
    <t>Suisun Valley Bank</t>
  </si>
  <si>
    <t>Napa Valley Bancorp</t>
  </si>
  <si>
    <t>First Bank of Marion County,TN</t>
  </si>
  <si>
    <t>Heritage Group Inc-Two Banks</t>
  </si>
  <si>
    <t>FNW Bancorp Inc</t>
  </si>
  <si>
    <t>ANB Bancshares,Brunswick,GA</t>
  </si>
  <si>
    <t>First Natl Bk of Massillon,OH</t>
  </si>
  <si>
    <t>First Bancorp of Ohio,Akron</t>
  </si>
  <si>
    <t>Peoples Mid-Illinois Corp</t>
  </si>
  <si>
    <t>Midwest Financial Group Inc</t>
  </si>
  <si>
    <t>Bank of Delaware, Wilmington</t>
  </si>
  <si>
    <t>New Palestine Bancorp</t>
  </si>
  <si>
    <t>Farmers &amp; Merchants Bank,MD</t>
  </si>
  <si>
    <t>Susquehanna Bancshares Inc</t>
  </si>
  <si>
    <t>Concorde Bank,Dallas,Texas</t>
  </si>
  <si>
    <t>Northern Trust Corp</t>
  </si>
  <si>
    <t>St Francis St Bk,St Francis,WI</t>
  </si>
  <si>
    <t>F&amp;M Financial Services Corp</t>
  </si>
  <si>
    <t>Landmark Bank,La Habra,CA</t>
  </si>
  <si>
    <t>Eldorado Bancorp,Tustin,CA</t>
  </si>
  <si>
    <t>FN Bancorp Inc</t>
  </si>
  <si>
    <t>Fort Wayne Natl Corp,Indiana</t>
  </si>
  <si>
    <t>Portage National Bank,PA</t>
  </si>
  <si>
    <t>Central Banking System Inc</t>
  </si>
  <si>
    <t>Security Natl Bank of Manistee</t>
  </si>
  <si>
    <t>First Michigan Bank Corp,MI</t>
  </si>
  <si>
    <t>FBC Bancshares Inc,OH</t>
  </si>
  <si>
    <t>Mid Am Inc,Bowling Green,Ohio</t>
  </si>
  <si>
    <t>Community Finl,Harbor Beach,MI</t>
  </si>
  <si>
    <t>Chemical Financial Corp</t>
  </si>
  <si>
    <t>Elk National Bk,Big Chimney,WV</t>
  </si>
  <si>
    <t>Southwest Bancorp Inc,OK</t>
  </si>
  <si>
    <t>Lincoln Trust Co</t>
  </si>
  <si>
    <t>Quincy Savings Bank,Quincy,MA</t>
  </si>
  <si>
    <t>Scottscom Bancorp Inc</t>
  </si>
  <si>
    <t>Western Independent Bancshares</t>
  </si>
  <si>
    <t>First Security Bank of Tacoma</t>
  </si>
  <si>
    <t>Moore Financial Group Inc</t>
  </si>
  <si>
    <t>C S Bancshares Inc</t>
  </si>
  <si>
    <t>Metropolitan Bancorp Inc</t>
  </si>
  <si>
    <t>First Coastal Banks Inc</t>
  </si>
  <si>
    <t>Peoples Heritage Finl Group,ME</t>
  </si>
  <si>
    <t>Central Trust Co and 4 Others</t>
  </si>
  <si>
    <t>Pickens County Bancshares Inc</t>
  </si>
  <si>
    <t>First National Bancorp,Georgia</t>
  </si>
  <si>
    <t>Florida Nat Bks of Florida Inc</t>
  </si>
  <si>
    <t>Citizens Bank &amp; Tr,Wartburg,TN</t>
  </si>
  <si>
    <t>New Holland Farmers Bank</t>
  </si>
  <si>
    <t>ABT Bancshares Corp</t>
  </si>
  <si>
    <t>First National Bankshares Inc</t>
  </si>
  <si>
    <t>First State Bank and Trust Co</t>
  </si>
  <si>
    <t>Nevada First Development Corp</t>
  </si>
  <si>
    <t>Citizens Bancshares,Bedford,IL</t>
  </si>
  <si>
    <t>INB Financial Corp</t>
  </si>
  <si>
    <t>First Natl Bk&amp;Tr,El Dorado,KS</t>
  </si>
  <si>
    <t>Ravenswood Financial Corp</t>
  </si>
  <si>
    <t>National Commerce Corp</t>
  </si>
  <si>
    <t>Northern Highlands State Bank</t>
  </si>
  <si>
    <t>Sesser Bancorporation Inc</t>
  </si>
  <si>
    <t>SBH Corp</t>
  </si>
  <si>
    <t>Pinnacle Banc Grp,Oak Brook,IL</t>
  </si>
  <si>
    <t>Commercial National Corp</t>
  </si>
  <si>
    <t>Northern Bk,Northern Natl Bk</t>
  </si>
  <si>
    <t>Allied Bankshares Inc,GA</t>
  </si>
  <si>
    <t>Tower Properties Co</t>
  </si>
  <si>
    <t>Commerce Bancshares Inc</t>
  </si>
  <si>
    <t>First Financial Services Inc</t>
  </si>
  <si>
    <t>Winnetka Bank,IL</t>
  </si>
  <si>
    <t>First Security Bk,Hillsboro,OH</t>
  </si>
  <si>
    <t>Steiner Bank,Birmingham,AL</t>
  </si>
  <si>
    <t>Southwest Financial Corp</t>
  </si>
  <si>
    <t>Society Corp</t>
  </si>
  <si>
    <t>Security Bancshares Inc</t>
  </si>
  <si>
    <t>First Woburn Bancorp,Woburn,MA</t>
  </si>
  <si>
    <t>MASSBank Corp</t>
  </si>
  <si>
    <t>Central Financial Group Inc</t>
  </si>
  <si>
    <t>First Illini Bancorp Inc</t>
  </si>
  <si>
    <t>Bank of Myrtle Point</t>
  </si>
  <si>
    <t>Western Bank,Coos Bay,Oregon</t>
  </si>
  <si>
    <t>Monroe City Bank,Missouri</t>
  </si>
  <si>
    <t>United Missouri Bancshares</t>
  </si>
  <si>
    <t>Equitable Bancorp,Baltimore,MD</t>
  </si>
  <si>
    <t>MNC Financial Inc</t>
  </si>
  <si>
    <t>Citizens St Bk,Greenville,OH</t>
  </si>
  <si>
    <t>Peoples Bank,Dickson,Tennesee</t>
  </si>
  <si>
    <t>Chesapeake Bank Corp</t>
  </si>
  <si>
    <t>Jefferson Bankshares Inc,VA</t>
  </si>
  <si>
    <t>Citizens Loan &amp; Building Co</t>
  </si>
  <si>
    <t>Investors Trust Financial Corp</t>
  </si>
  <si>
    <t>Concord Commercial Bank</t>
  </si>
  <si>
    <t>Mission Valley Bancorp</t>
  </si>
  <si>
    <t>First Banc Securities Inc</t>
  </si>
  <si>
    <t>First Ohio Bancshares Inc</t>
  </si>
  <si>
    <t>Woodburn Bancorp,Woodburn,OR</t>
  </si>
  <si>
    <t>First National Bk,Wyoming,PA</t>
  </si>
  <si>
    <t>Integra Financial Corp</t>
  </si>
  <si>
    <t>Citizens Bank,Murphy,NC</t>
  </si>
  <si>
    <t>Union Bancshares,Blairsville</t>
  </si>
  <si>
    <t>Arrow Bank Corp</t>
  </si>
  <si>
    <t>New Haven Merchants Bank</t>
  </si>
  <si>
    <t>BNH Bancshares,New Haven,CT</t>
  </si>
  <si>
    <t>Park Forest Holdings</t>
  </si>
  <si>
    <t>Firstar Corp,Milwaukee, Wi</t>
  </si>
  <si>
    <t>Westside Bank</t>
  </si>
  <si>
    <t>Alameda Bancorporation Inc</t>
  </si>
  <si>
    <t>Baltimore Trust Co</t>
  </si>
  <si>
    <t>Meadowlands National Bank,NJ</t>
  </si>
  <si>
    <t>Valley National Bancorp,NJ</t>
  </si>
  <si>
    <t>Signal Bancorp,Monticello,IN</t>
  </si>
  <si>
    <t>Farmers &amp; Citizens State Bk,WV</t>
  </si>
  <si>
    <t>One Valley Bancorp of WV,WV</t>
  </si>
  <si>
    <t>Meigs County Bancshares Inc</t>
  </si>
  <si>
    <t>BMR Financial Group</t>
  </si>
  <si>
    <t>NBWC Corp</t>
  </si>
  <si>
    <t>Synovus Financial Corp</t>
  </si>
  <si>
    <t>CSB Inc</t>
  </si>
  <si>
    <t>FirstBank Shinnston</t>
  </si>
  <si>
    <t>Scottsbluff Natl Bk &amp; Trust,NE</t>
  </si>
  <si>
    <t>FirsTier Financial Inc</t>
  </si>
  <si>
    <t>Northern Virginia Banking Corp</t>
  </si>
  <si>
    <t>Crestar Finl Corp,Richmond,VA</t>
  </si>
  <si>
    <t>First Macomb Bancorp Inc</t>
  </si>
  <si>
    <t>Flat Top Bankshares Inc</t>
  </si>
  <si>
    <t>First Community Bancshares,WV</t>
  </si>
  <si>
    <t>Norwest Corp,Minneapolis,MN</t>
  </si>
  <si>
    <t>Plaza Commerce Bancorp</t>
  </si>
  <si>
    <t>First Community Bancorp Inc PA</t>
  </si>
  <si>
    <t>River Forest Bancorp</t>
  </si>
  <si>
    <t>Carolina Mountain Holding Co</t>
  </si>
  <si>
    <t>First National Bank of Cudahy</t>
  </si>
  <si>
    <t>Clifton Trust Bank,MD</t>
  </si>
  <si>
    <t>Monticello State Bank,Iowa</t>
  </si>
  <si>
    <t>Iowa National Bankshares Corp</t>
  </si>
  <si>
    <t>Central of Illinois Inc</t>
  </si>
  <si>
    <t>AMCORE Financial Inc</t>
  </si>
  <si>
    <t>Valley Bank,Mount Vernon,WA</t>
  </si>
  <si>
    <t>La Jolla Bancorp</t>
  </si>
  <si>
    <t>Danville Bancorp Inc</t>
  </si>
  <si>
    <t>Valley Financial Services Inc</t>
  </si>
  <si>
    <t>First Illinois Corp, Evanston</t>
  </si>
  <si>
    <t>First Bank of Greater Pittston</t>
  </si>
  <si>
    <t>Warner Center Bk,CA</t>
  </si>
  <si>
    <t>City National Corp</t>
  </si>
  <si>
    <t>Bank First NA,McLean,Virginia</t>
  </si>
  <si>
    <t>DSB Bancshares Inc</t>
  </si>
  <si>
    <t>SBT Bancorp Inc,Mt Carmel,IL</t>
  </si>
  <si>
    <t>Peoples Bancorp,Rocky Mount,NC</t>
  </si>
  <si>
    <t>Planters Corp</t>
  </si>
  <si>
    <t>First Interstate of Hawaii Inc</t>
  </si>
  <si>
    <t>First Hawaiian Inc,Honolulu,HI</t>
  </si>
  <si>
    <t>First Essex Bancorp Inc,MA</t>
  </si>
  <si>
    <t>Andover Bancorp Inc,Andover,MA</t>
  </si>
  <si>
    <t>First Interstate Bancorp-3 NM</t>
  </si>
  <si>
    <t>United New Mexico Financial</t>
  </si>
  <si>
    <t>American Interstate Bank</t>
  </si>
  <si>
    <t>Plainfield National Bank</t>
  </si>
  <si>
    <t>First Midwest Bancorp Inc</t>
  </si>
  <si>
    <t>Farmers Bank and Trust Co</t>
  </si>
  <si>
    <t>Independent Banks of Virginia</t>
  </si>
  <si>
    <t>Signet Bkg Corp,Richmond,VA</t>
  </si>
  <si>
    <t>Wyoming National Bancorp</t>
  </si>
  <si>
    <t>Santa Clarita National Bank</t>
  </si>
  <si>
    <t>Eastchester Financial Corp</t>
  </si>
  <si>
    <t>InBancshares</t>
  </si>
  <si>
    <t>People's Bk of Central VA</t>
  </si>
  <si>
    <t>F&amp;M National,Winchester,VA</t>
  </si>
  <si>
    <t>Citizens State Bank,Kiel,WI</t>
  </si>
  <si>
    <t>Empire Bancorp</t>
  </si>
  <si>
    <t>California State Bank</t>
  </si>
  <si>
    <t>Spectrum Financial Corp</t>
  </si>
  <si>
    <t>De Anza Holding Corp</t>
  </si>
  <si>
    <t>Farmers &amp; Merchant-Eastn Shore</t>
  </si>
  <si>
    <t>Brookfield Bancshares</t>
  </si>
  <si>
    <t>Lockwood Banc Group Inc</t>
  </si>
  <si>
    <t>Bank of Hundred</t>
  </si>
  <si>
    <t>CB&amp;T Financial,Fairmont,WV</t>
  </si>
  <si>
    <t>United Banks of Colorado</t>
  </si>
  <si>
    <t>Palmer Bancorp</t>
  </si>
  <si>
    <t>Banks of Iowa Inc</t>
  </si>
  <si>
    <t>Twin City Bank,TC Bankshares</t>
  </si>
  <si>
    <t>Worthen Banking,Little Rock,AR</t>
  </si>
  <si>
    <t>Homestate Bancorp Inc</t>
  </si>
  <si>
    <t>Northwestern Bank Corp,MI</t>
  </si>
  <si>
    <t>NBSC Corp</t>
  </si>
  <si>
    <t>Liberty Natl Bank,Liberty MO</t>
  </si>
  <si>
    <t>Barneveld State Bank</t>
  </si>
  <si>
    <t>Commercial Bk,Douglasville,GA</t>
  </si>
  <si>
    <t>First United Bancorp,IN</t>
  </si>
  <si>
    <t>First Merchants Corp</t>
  </si>
  <si>
    <t>Valley Bank Hldg,Security,CO</t>
  </si>
  <si>
    <t>First Colony Bancshares Inc,OH</t>
  </si>
  <si>
    <t>Prime Bancshares,Decatur,GA</t>
  </si>
  <si>
    <t>Rosendale Bancshares Inc</t>
  </si>
  <si>
    <t>Montgomery Bancorp, Mount</t>
  </si>
  <si>
    <t>JSB Bancorp</t>
  </si>
  <si>
    <t>CNB Bancshares Inc,IN</t>
  </si>
  <si>
    <t>Founders National Bank,Brea,CA</t>
  </si>
  <si>
    <t>Landmark Bancorp</t>
  </si>
  <si>
    <t>Marine Bank,Chicago,Illinois</t>
  </si>
  <si>
    <t>Central Trust-4 Ohio Branches</t>
  </si>
  <si>
    <t>Plaza National Bank,Dallas,TX</t>
  </si>
  <si>
    <t>Central Bancshares of South,AL</t>
  </si>
  <si>
    <t>Promenade Bancshares Inc</t>
  </si>
  <si>
    <t>Aetna Bancorp Inc</t>
  </si>
  <si>
    <t>Independence Bancorp-Credit</t>
  </si>
  <si>
    <t>Bank of Lexington and Trust,KY</t>
  </si>
  <si>
    <t>Liberty National Bancorp</t>
  </si>
  <si>
    <t>First Interstate Bank of OK</t>
  </si>
  <si>
    <t>Gleneagles Natl,Bk Las Colinas</t>
  </si>
  <si>
    <t>Ameriway Bank NA</t>
  </si>
  <si>
    <t>One Natl Bk,AR-8 Branches</t>
  </si>
  <si>
    <t>Farmers Exchange Bk,Kentucky</t>
  </si>
  <si>
    <t>Morgan Community Bancorp,IL</t>
  </si>
  <si>
    <t>Albright Bancorp Inc</t>
  </si>
  <si>
    <t>WesBanco Inc,Wheeling,WV</t>
  </si>
  <si>
    <t>Citadel Bk of Independence,MO</t>
  </si>
  <si>
    <t>1st Heritage Bank,Illinois</t>
  </si>
  <si>
    <t>Heritage Financial Services</t>
  </si>
  <si>
    <t>Natl City Corp,Cleveland,Ohio</t>
  </si>
  <si>
    <t>Valley Bank,Moreno Valley</t>
  </si>
  <si>
    <t>South Carolina National</t>
  </si>
  <si>
    <t>C&amp;S/Sovran Corp</t>
  </si>
  <si>
    <t>Gainer Corp</t>
  </si>
  <si>
    <t>Manufacturers Hanover Corp</t>
  </si>
  <si>
    <t>Davenport Bank &amp; Trust Co,IA</t>
  </si>
  <si>
    <t>First Natl Bk of Fayetteville</t>
  </si>
  <si>
    <t>Utah Bank&amp;Trust,Salt Lake City</t>
  </si>
  <si>
    <t>First Security Corp,Utah</t>
  </si>
  <si>
    <t>First Natl Bank of N Idaho</t>
  </si>
  <si>
    <t>Bk of Willamette Valley,Oregon</t>
  </si>
  <si>
    <t>Hasten Bancorp</t>
  </si>
  <si>
    <t>Tygarts Valley Natl Bk,VA</t>
  </si>
  <si>
    <t>Kaw Valley Bancshares Inc</t>
  </si>
  <si>
    <t>MidAmerican Corp</t>
  </si>
  <si>
    <t>Old National Bancshares Inc</t>
  </si>
  <si>
    <t>Mercantile Bancorp,St Louis,MO</t>
  </si>
  <si>
    <t>Associated Banc-Corp</t>
  </si>
  <si>
    <t>Foothill Independent Bancorp</t>
  </si>
  <si>
    <t>CVB Financial Corp,Ontario,CA</t>
  </si>
  <si>
    <t>Northwestern National Bank,WA</t>
  </si>
  <si>
    <t>Wellsburg Banking and Trust Co</t>
  </si>
  <si>
    <t>American Bancorporation Inc,WV</t>
  </si>
  <si>
    <t>John Muir National Bank</t>
  </si>
  <si>
    <t>First National Pennsylvania</t>
  </si>
  <si>
    <t>Shawmut National Corp</t>
  </si>
  <si>
    <t>Bank of Boston Corp,Boston,MA</t>
  </si>
  <si>
    <t>Florida Westcoast Banks Inc</t>
  </si>
  <si>
    <t>Liberty Bankshares,WV</t>
  </si>
  <si>
    <t>First Interstate of Iowa Inc</t>
  </si>
  <si>
    <t>First Interstate of ND Inc</t>
  </si>
  <si>
    <t>Community First Bankshares,ND</t>
  </si>
  <si>
    <t>Summit Holding Corp</t>
  </si>
  <si>
    <t>Citizens State Bank,Trenton,TN</t>
  </si>
  <si>
    <t>Volunteer Bancshares Inc</t>
  </si>
  <si>
    <t>Valley Bancorp,Idaho Falls,ID</t>
  </si>
  <si>
    <t>Eastbrook State Bank,WI</t>
  </si>
  <si>
    <t>State Finl Svcs Corp,WI</t>
  </si>
  <si>
    <t>Northeast WI Finl Services Inc</t>
  </si>
  <si>
    <t>Indiana Bancshares Inc</t>
  </si>
  <si>
    <t>First Geneva Banqueshares Inc</t>
  </si>
  <si>
    <t>Ameribanc Inc</t>
  </si>
  <si>
    <t>Home Bancorp Inc,Fort Wayne,IN</t>
  </si>
  <si>
    <t>City Holding Co,Charleston,WV</t>
  </si>
  <si>
    <t>Main Line Bancshares Inc</t>
  </si>
  <si>
    <t>First Natll Bk of Barnesville</t>
  </si>
  <si>
    <t>First Petersburg Bancshares</t>
  </si>
  <si>
    <t>Omni Capital Group Inc</t>
  </si>
  <si>
    <t>Security Capital Bancorp</t>
  </si>
  <si>
    <t>First Security Corp of KY</t>
  </si>
  <si>
    <t>Alsip Bank &amp; Trust,Alsip,IL</t>
  </si>
  <si>
    <t>BankAmerica-Certain Branches</t>
  </si>
  <si>
    <t>First Peoria Corp</t>
  </si>
  <si>
    <t>CCNB Corp</t>
  </si>
  <si>
    <t>National Bank of the West,CO</t>
  </si>
  <si>
    <t>Southeastern Bancshares Inc</t>
  </si>
  <si>
    <t>People's Bk of Charles Town,WV</t>
  </si>
  <si>
    <t>Dixon Bancorp</t>
  </si>
  <si>
    <t>Liberty Svg-9 Philly Branches</t>
  </si>
  <si>
    <t>Peoples Bank,Front Royal,VA</t>
  </si>
  <si>
    <t>Evergreen Bancorp Inc</t>
  </si>
  <si>
    <t>Glacier Bancorp Inc,MT</t>
  </si>
  <si>
    <t>Jefferson Bancorp,Peoria,Il</t>
  </si>
  <si>
    <t>Interstate Bancshares Inc,TX</t>
  </si>
  <si>
    <t>Bank Shares Inc</t>
  </si>
  <si>
    <t>Flagship Financial Corp</t>
  </si>
  <si>
    <t>First American Bank of Georgia</t>
  </si>
  <si>
    <t>Village Corp</t>
  </si>
  <si>
    <t>FB &amp; T Corp</t>
  </si>
  <si>
    <t>Dauphin Deposit Corp,PA</t>
  </si>
  <si>
    <t>United Bancshares Inc,1 Other</t>
  </si>
  <si>
    <t>Columbia Bank,Wenatchee,WA</t>
  </si>
  <si>
    <t>First Southeast Banking Corp</t>
  </si>
  <si>
    <t>First Peoples Financial Corp</t>
  </si>
  <si>
    <t>Security Financial Group Inc</t>
  </si>
  <si>
    <t>Metropolitan Financial Corp</t>
  </si>
  <si>
    <t>Parke State Bank,Rockville,IN</t>
  </si>
  <si>
    <t>Union of Arkansas, Little Rock</t>
  </si>
  <si>
    <t>Merchants Nat Bk&amp;Tr,Union Natl</t>
  </si>
  <si>
    <t>ONBANCorp Inc,Syracuse,NY</t>
  </si>
  <si>
    <t>Crater Bank,Central Point,OR</t>
  </si>
  <si>
    <t>Cornerstone Bancshares Inc</t>
  </si>
  <si>
    <t>Columbia Bank,Avondale,Arizona</t>
  </si>
  <si>
    <t>Valley Natl Bk,Phoenix,AZ</t>
  </si>
  <si>
    <t>Security Pacific Natl-33 Brchs</t>
  </si>
  <si>
    <t>Union Bank,San Francisco,CA</t>
  </si>
  <si>
    <t>Citizens First Bank</t>
  </si>
  <si>
    <t>First Community Financial,WA</t>
  </si>
  <si>
    <t>Team Bancshares Inc</t>
  </si>
  <si>
    <t>Peoples Bancorp Inc,Lebanon,PA</t>
  </si>
  <si>
    <t>Theodore Roosevelt Natl Bank</t>
  </si>
  <si>
    <t>Industrial Bk of Washington,DC</t>
  </si>
  <si>
    <t>Magna Bank of Sthrn Missouri</t>
  </si>
  <si>
    <t>Capital Bancorp</t>
  </si>
  <si>
    <t>First Commercial Bancshares</t>
  </si>
  <si>
    <t>First Bank/Las Colinas,Texas</t>
  </si>
  <si>
    <t>BancTEXAS Group Inc</t>
  </si>
  <si>
    <t>Central Financial Corp</t>
  </si>
  <si>
    <t>People's Bank of VA Beach</t>
  </si>
  <si>
    <t>FWNB Bancshares,Carrollton,TX</t>
  </si>
  <si>
    <t>City National Bancshares Inc</t>
  </si>
  <si>
    <t>Security Finanical Holding Co</t>
  </si>
  <si>
    <t>BB&amp;T Financial Corp</t>
  </si>
  <si>
    <t>Mission Hills Bancshares Inc</t>
  </si>
  <si>
    <t>First Citizens Bank,Tennessee</t>
  </si>
  <si>
    <t>Mid-South Bancorp Inc</t>
  </si>
  <si>
    <t>Financial Dominion of KY Corp</t>
  </si>
  <si>
    <t>First National Bk,Rockport,TX</t>
  </si>
  <si>
    <t>Victoria Bankshares Inc</t>
  </si>
  <si>
    <t>Bank of Commerce,Woodbury,TN</t>
  </si>
  <si>
    <t>Security Bk,First Bk,Catoosa</t>
  </si>
  <si>
    <t>Johnson County Bankshares Inc</t>
  </si>
  <si>
    <t>FedFirst Bancshares Inc</t>
  </si>
  <si>
    <t>Oakland Commerce Bank,MI</t>
  </si>
  <si>
    <t>Capitol Bancorp Ltd</t>
  </si>
  <si>
    <t>Cherry Hill National Bank,NJ</t>
  </si>
  <si>
    <t>Hibernia Natl Bk in Texas</t>
  </si>
  <si>
    <t>NationsBank Corp,Charlotte,NC</t>
  </si>
  <si>
    <t>Denver National Bank,Denver,PA</t>
  </si>
  <si>
    <t>First Community Bancorp Inc</t>
  </si>
  <si>
    <t>First Northbrook Bancorp Inc</t>
  </si>
  <si>
    <t>Premier Financial Services</t>
  </si>
  <si>
    <t>Peoples National Bk,Liberal,KS</t>
  </si>
  <si>
    <t>Center Banks Inc</t>
  </si>
  <si>
    <t>NBT Bancorp Inc</t>
  </si>
  <si>
    <t>DSB Corp</t>
  </si>
  <si>
    <t>South Central Illinois Bancorp</t>
  </si>
  <si>
    <t>Fourth National Corp</t>
  </si>
  <si>
    <t>First City Inc</t>
  </si>
  <si>
    <t>First Dubuque Corp,Dubuque,IA</t>
  </si>
  <si>
    <t>Hawkeye Bancorp</t>
  </si>
  <si>
    <t>Sunrise Bancorp Inc,WV</t>
  </si>
  <si>
    <t>Mountaineer Bankshares of WV</t>
  </si>
  <si>
    <t>DCB Corp</t>
  </si>
  <si>
    <t>First State Bk,Fayette Cnty,TN</t>
  </si>
  <si>
    <t>CNB Financial Corp,Kansas City</t>
  </si>
  <si>
    <t>Multibank Financial Corp</t>
  </si>
  <si>
    <t>Dawson Springs Bancorp</t>
  </si>
  <si>
    <t>Trans Finl,Bowling Green,KY</t>
  </si>
  <si>
    <t>First National Bak of Flora,IL</t>
  </si>
  <si>
    <t>Buffalo Bank</t>
  </si>
  <si>
    <t>Meritor Savings FA</t>
  </si>
  <si>
    <t>First Gibraltar Bk-Most Assets</t>
  </si>
  <si>
    <t>GAB Bancorp</t>
  </si>
  <si>
    <t>Sugar Creek National Bank,TX</t>
  </si>
  <si>
    <t>First United Bancorp Inc,AL</t>
  </si>
  <si>
    <t>Valley Commun Bk,Kingston,PA</t>
  </si>
  <si>
    <t>Farmers State Bk,Palestine,IL</t>
  </si>
  <si>
    <t>Ambanc Corp,Vincennes,Indiana</t>
  </si>
  <si>
    <t>Peoples Holding Co Inc,MI</t>
  </si>
  <si>
    <t>Cardinal Bancorp,Everett,PA</t>
  </si>
  <si>
    <t>First Commonwealth Finl Corp</t>
  </si>
  <si>
    <t>First American State Bk,WA</t>
  </si>
  <si>
    <t>Columbia Banking System Inc</t>
  </si>
  <si>
    <t>Union Bank &amp; Tr,Morganfeld,KY</t>
  </si>
  <si>
    <t>Natl City Bancshares Inc,IN</t>
  </si>
  <si>
    <t>Charter Oak Financial Corp</t>
  </si>
  <si>
    <t>Flagler Bank Corp</t>
  </si>
  <si>
    <t>Financial Concepts Bancorp</t>
  </si>
  <si>
    <t>National City Bancorp</t>
  </si>
  <si>
    <t>Financial Future Corp</t>
  </si>
  <si>
    <t>Hi-Bancorp Inc,GNP Bancorp Inc</t>
  </si>
  <si>
    <t>First Lehigh Corp</t>
  </si>
  <si>
    <t>NorthPark National Corp</t>
  </si>
  <si>
    <t>Colorado National Bankshares</t>
  </si>
  <si>
    <t>Peoples Bancorp,Marietta,OH</t>
  </si>
  <si>
    <t>Dorn Banking Co</t>
  </si>
  <si>
    <t>LSB Bancshares Inc of SC</t>
  </si>
  <si>
    <t>Metro Bancorp,Waterlood,IA</t>
  </si>
  <si>
    <t>VerBanc Financial Corp</t>
  </si>
  <si>
    <t>Chittenden Corp,Burlington,VT</t>
  </si>
  <si>
    <t>Stephenville Bank and Trust</t>
  </si>
  <si>
    <t>First Abilene Bankshares Inc</t>
  </si>
  <si>
    <t>ECSB Holding Co Inc</t>
  </si>
  <si>
    <t>Centennial Savings Bank FSB</t>
  </si>
  <si>
    <t>Aspen Bancshares Inc,Aspen,CO</t>
  </si>
  <si>
    <t>Pitcairn Private Bank</t>
  </si>
  <si>
    <t>Ohio Bancorp</t>
  </si>
  <si>
    <t>First Nat Bk,TX-Tyler Branch</t>
  </si>
  <si>
    <t>First Nat Bank,Marshall,TX</t>
  </si>
  <si>
    <t>Sailors and Merchants Bank</t>
  </si>
  <si>
    <t>Pilgrim State Bank</t>
  </si>
  <si>
    <t>Hudson United Bancorp,NJ</t>
  </si>
  <si>
    <t>Brookside Bancshares Inc</t>
  </si>
  <si>
    <t>BOK Financial Corp</t>
  </si>
  <si>
    <t>Sand Springs Bancshares Inc</t>
  </si>
  <si>
    <t>First Financial Associates</t>
  </si>
  <si>
    <t>Northeast Bancorp,MD</t>
  </si>
  <si>
    <t>Tracy Bankshares,Denver,CO</t>
  </si>
  <si>
    <t>California Bancshares Inc</t>
  </si>
  <si>
    <t>Villa Rica Bancorp Inc</t>
  </si>
  <si>
    <t>Citizens Savings Bank,NC</t>
  </si>
  <si>
    <t>MidAmerica Financial Corp</t>
  </si>
  <si>
    <t>Nichols Hills Bancorp</t>
  </si>
  <si>
    <t>First Natl Bk,Clearwater,FL</t>
  </si>
  <si>
    <t>Mickler Corp</t>
  </si>
  <si>
    <t>Desert Southwest Community</t>
  </si>
  <si>
    <t>First City Bank-2 Branches</t>
  </si>
  <si>
    <t>First City Bank-Branch</t>
  </si>
  <si>
    <t>First Natl Bk of Lubbock,Texas</t>
  </si>
  <si>
    <t>Columbia National Bankshares</t>
  </si>
  <si>
    <t>National Community Banks Inc</t>
  </si>
  <si>
    <t>M&amp;D Holding Co</t>
  </si>
  <si>
    <t>Huntley Bancshares Inc</t>
  </si>
  <si>
    <t>Suburban Bancorp,Palatine,IL</t>
  </si>
  <si>
    <t>Midwest Bancorporation,Hays,KS</t>
  </si>
  <si>
    <t>First Bath Corp</t>
  </si>
  <si>
    <t>South Alabama Bancorp,AL</t>
  </si>
  <si>
    <t>Mobile National Corp</t>
  </si>
  <si>
    <t>Commercial Landmark Corp</t>
  </si>
  <si>
    <t>First Sunbelt Bankshares Inc</t>
  </si>
  <si>
    <t>Massachusetts Co Inc</t>
  </si>
  <si>
    <t>PNC Bank Corp,Pittsburgh,PA</t>
  </si>
  <si>
    <t>First American Metro Corp</t>
  </si>
  <si>
    <t>United Southern Bank,TN</t>
  </si>
  <si>
    <t>Gulf &amp; Southern Financial Corp</t>
  </si>
  <si>
    <t>Mt Vernon Bancorp Inc</t>
  </si>
  <si>
    <t>HomeTown Bancorp,Myersville</t>
  </si>
  <si>
    <t>First United Corp,Oakland,MD</t>
  </si>
  <si>
    <t>Charter Banking Corp,FL</t>
  </si>
  <si>
    <t>Harvest Bancorp Inc</t>
  </si>
  <si>
    <t>Shelby County Bank,Shelbyville</t>
  </si>
  <si>
    <t>United Bank NA,Lancaster,TX</t>
  </si>
  <si>
    <t>Kilgore First National BK,TX</t>
  </si>
  <si>
    <t>Freedom Valley Bk,PA</t>
  </si>
  <si>
    <t>Wilmington Trust Corp,DE</t>
  </si>
  <si>
    <t>Royal Bank Group Inc</t>
  </si>
  <si>
    <t>New Dartmouth Bank,NH</t>
  </si>
  <si>
    <t>Trans Kentucky Bancorp</t>
  </si>
  <si>
    <t>First Fed Svgs BK,Marianna,FL</t>
  </si>
  <si>
    <t>Orange Banking Corp</t>
  </si>
  <si>
    <t>Community Bank,Carrollton,GA</t>
  </si>
  <si>
    <t>Valley Bancshares Inc</t>
  </si>
  <si>
    <t>Bremer Financial(Bremer Otto)</t>
  </si>
  <si>
    <t>American Home Bank</t>
  </si>
  <si>
    <t>Independent Bank Corp,MA</t>
  </si>
  <si>
    <t>Missouri Bridge Bank</t>
  </si>
  <si>
    <t>Premier Banks,Northridge,CA</t>
  </si>
  <si>
    <t>Trans-World Bank,Sherman Oaks</t>
  </si>
  <si>
    <t>West Coast Bancorp</t>
  </si>
  <si>
    <t>Barnett Banks Inc-Atlanta Ops</t>
  </si>
  <si>
    <t>First Western Bank NA,San Dieg</t>
  </si>
  <si>
    <t>Peninsula Bank of San Diego,CA</t>
  </si>
  <si>
    <t>Commerce Banc Corp</t>
  </si>
  <si>
    <t>First Bentonville Bancshares</t>
  </si>
  <si>
    <t>Grange Natl Bk,New Milford PA</t>
  </si>
  <si>
    <t>Blue Springs Bank</t>
  </si>
  <si>
    <t>Central Mortgage Bancshares</t>
  </si>
  <si>
    <t>Continental Bancorp</t>
  </si>
  <si>
    <t>Spring National Bank</t>
  </si>
  <si>
    <t>Key State Bank</t>
  </si>
  <si>
    <t>First Natl Finl,Albuquerque,NM</t>
  </si>
  <si>
    <t>Central Banking Group Inc</t>
  </si>
  <si>
    <t>First National Bank of Vermont</t>
  </si>
  <si>
    <t>First Federal Savings,Belzoni</t>
  </si>
  <si>
    <t>National Commerce Bancorp</t>
  </si>
  <si>
    <t>New River Bank</t>
  </si>
  <si>
    <t>1st United Bancorp,FL</t>
  </si>
  <si>
    <t>Cal Rep Bancorp Inc</t>
  </si>
  <si>
    <t>Mid States Bancshares Inc</t>
  </si>
  <si>
    <t>Citizens Bank,Smithville,TN</t>
  </si>
  <si>
    <t>First City Bancorp Inc</t>
  </si>
  <si>
    <t>F&amp;M Bancorp,Kaukauna,WI</t>
  </si>
  <si>
    <t>Firestone Bank,Lisbon,Ohio</t>
  </si>
  <si>
    <t>Citizens Bancshares Inc,OH</t>
  </si>
  <si>
    <t>Community Financial Bancorp</t>
  </si>
  <si>
    <t>National Penn Bancshares,PA</t>
  </si>
  <si>
    <t>Western National Bancorp Inc</t>
  </si>
  <si>
    <t>Texas Commerce-Longview,1 Oth</t>
  </si>
  <si>
    <t>First Performance Nat Bank</t>
  </si>
  <si>
    <t>Compass Bancshares Inc,AL</t>
  </si>
  <si>
    <t>Valley Bancorp</t>
  </si>
  <si>
    <t>First Corp</t>
  </si>
  <si>
    <t>Inter Community Bancorp</t>
  </si>
  <si>
    <t>Cleveland Bank &amp; Trust Co</t>
  </si>
  <si>
    <t>First Acadiana National Bncshr</t>
  </si>
  <si>
    <t>Tristate Bancorp,Cincinnati,OH</t>
  </si>
  <si>
    <t>City Bancorp Inc,MO</t>
  </si>
  <si>
    <t>Great Southern Bancorp Inc</t>
  </si>
  <si>
    <t>First Amarillo Bancorp Inc</t>
  </si>
  <si>
    <t>Alerion Corp</t>
  </si>
  <si>
    <t>Premier Bancorp,Baton Rouge,LA</t>
  </si>
  <si>
    <t>First National Bank,Downsville</t>
  </si>
  <si>
    <t>Wilber Corp</t>
  </si>
  <si>
    <t>First United Bank Group Inc</t>
  </si>
  <si>
    <t>FirstBank Group Inc</t>
  </si>
  <si>
    <t>Parkway Bancorp,Illinois</t>
  </si>
  <si>
    <t>Enterprise Bank,Houston,Texas</t>
  </si>
  <si>
    <t>Sterling Bancshares Inc</t>
  </si>
  <si>
    <t>First AmFed Corp,Huntsville,AL</t>
  </si>
  <si>
    <t>Colonial BancGroup Inc</t>
  </si>
  <si>
    <t>Constellation Bancorp</t>
  </si>
  <si>
    <t>First Federal Savings,Calhoun</t>
  </si>
  <si>
    <t>San Diego Financial Corp</t>
  </si>
  <si>
    <t>Citizens National Corp</t>
  </si>
  <si>
    <t>Metro Bancorp of Douglasville</t>
  </si>
  <si>
    <t>WM Bancorp</t>
  </si>
  <si>
    <t>Otwell State Bank Inc</t>
  </si>
  <si>
    <t>Houghton Financial Inc</t>
  </si>
  <si>
    <t>Michigan Financial Corp</t>
  </si>
  <si>
    <t>First Fidelity Bancorp Inc,WV</t>
  </si>
  <si>
    <t>Peoples Bancorp of Worcester</t>
  </si>
  <si>
    <t>BankVest Inc,Wilkes-Barre,PA</t>
  </si>
  <si>
    <t>First Peoples National Bank,</t>
  </si>
  <si>
    <t>First Citizens United Inc</t>
  </si>
  <si>
    <t>Guardian Bancshares Inc</t>
  </si>
  <si>
    <t>Penn Central Bancorp Inc</t>
  </si>
  <si>
    <t>Omega Financial Corp,PA</t>
  </si>
  <si>
    <t>Commerce Financial Corp</t>
  </si>
  <si>
    <t>KSB Financial</t>
  </si>
  <si>
    <t>Coweta Bancshares,2 Others</t>
  </si>
  <si>
    <t>BancFirst Corp</t>
  </si>
  <si>
    <t>Hamptons Bancshares Inc</t>
  </si>
  <si>
    <t>Suffolk Bancorp</t>
  </si>
  <si>
    <t>Pulaski Bancshares Inc</t>
  </si>
  <si>
    <t>Chattahoochee Bancorp Inc</t>
  </si>
  <si>
    <t>MBC Corp</t>
  </si>
  <si>
    <t>Merchant Bank of Atlanta</t>
  </si>
  <si>
    <t>Commercial Bancorp of Colorado</t>
  </si>
  <si>
    <t>Peoples Bank of Western</t>
  </si>
  <si>
    <t>Corpus Christi National Bank</t>
  </si>
  <si>
    <t>National Bancorp of Arizona</t>
  </si>
  <si>
    <t>Zions Bancorp</t>
  </si>
  <si>
    <t>BankWorcester,Worcester,MA</t>
  </si>
  <si>
    <t>First Natl bancorp Shelbyville</t>
  </si>
  <si>
    <t>Western Indiana Bancorp</t>
  </si>
  <si>
    <t>Liberty Bank,Honolulu,Hawaii</t>
  </si>
  <si>
    <t>Candlewood Bank &amp; Trust Co</t>
  </si>
  <si>
    <t>New Milford Bank &amp; Trust Co</t>
  </si>
  <si>
    <t>First Kentucky Bancorp Inc</t>
  </si>
  <si>
    <t>Peoples First Corp</t>
  </si>
  <si>
    <t>Lincolnland Bancshares Inc</t>
  </si>
  <si>
    <t>InvestArk Bankshares Inc</t>
  </si>
  <si>
    <t>PNB Bankshares Inc</t>
  </si>
  <si>
    <t>Security Bank NA,Houston,TX</t>
  </si>
  <si>
    <t>Suburban Bancshares Inc</t>
  </si>
  <si>
    <t>First National Bk,Madison,Ill</t>
  </si>
  <si>
    <t>EdgeMark Financial Corp</t>
  </si>
  <si>
    <t>Orange County Bancorp,Paoli,IN</t>
  </si>
  <si>
    <t>Bastrop National Bank of LA</t>
  </si>
  <si>
    <t>First Bancorp of Louisiana</t>
  </si>
  <si>
    <t>Woodland Bancorp Inc,Tulsa,OK</t>
  </si>
  <si>
    <t>Kentucky Community Bancorp</t>
  </si>
  <si>
    <t>State First Financial Corp</t>
  </si>
  <si>
    <t>Country Natl Bank,Redding,CA</t>
  </si>
  <si>
    <t>TriCo Bancshares,Chico,CA</t>
  </si>
  <si>
    <t>First Clyde Banc Corp</t>
  </si>
  <si>
    <t>First Finl Bancorp,Ohio</t>
  </si>
  <si>
    <t>American Bancshares Inc,FL</t>
  </si>
  <si>
    <t>Annapolis Bancorp</t>
  </si>
  <si>
    <t>Western Industrial National</t>
  </si>
  <si>
    <t>Rio Salado Bancorp</t>
  </si>
  <si>
    <t>Lake Shore Bancorp Inc</t>
  </si>
  <si>
    <t>Central State Bank,High Pt,NC</t>
  </si>
  <si>
    <t>First Bancorp,Troy,NC</t>
  </si>
  <si>
    <t>Vinings Bank &amp; Trust,Cobb,GA</t>
  </si>
  <si>
    <t>Summit National Bank</t>
  </si>
  <si>
    <t>Security National Bk,Pottstown</t>
  </si>
  <si>
    <t>Harleysville National Corp,PA</t>
  </si>
  <si>
    <t>Dreyfus Corp</t>
  </si>
  <si>
    <t>First Continental Bancshares</t>
  </si>
  <si>
    <t>First Natl,Natl Bank,KY</t>
  </si>
  <si>
    <t>First Columbus Financial Corp</t>
  </si>
  <si>
    <t>National Bank of Commerce</t>
  </si>
  <si>
    <t>Sterling Bank &amp; Trust Co FSB</t>
  </si>
  <si>
    <t>Provident Bankshares Corp,MD</t>
  </si>
  <si>
    <t>Chase Bank of Arizona</t>
  </si>
  <si>
    <t>Farmers Svgs Bk, Northwood OH</t>
  </si>
  <si>
    <t>Interstate Bank Holding Co</t>
  </si>
  <si>
    <t>Intercontinental Bank,Miami,FL</t>
  </si>
  <si>
    <t>PNB Financial Corp</t>
  </si>
  <si>
    <t>VSB Bancorp Inc</t>
  </si>
  <si>
    <t>UJB Financial Corp</t>
  </si>
  <si>
    <t>Mid-Atlantic Bankcorp</t>
  </si>
  <si>
    <t>Plaza Natl Bk,Bartlesville,OK</t>
  </si>
  <si>
    <t>Peoples Financial Services</t>
  </si>
  <si>
    <t>Farmers Bancshares Inc</t>
  </si>
  <si>
    <t>First Banks Inc,Clayton</t>
  </si>
  <si>
    <t>Guaranty Bancorp,Louisiana</t>
  </si>
  <si>
    <t>Regions Financial Corp,AL</t>
  </si>
  <si>
    <t>Jefferson Bancshares Inc</t>
  </si>
  <si>
    <t>Hallmark Bank &amp; Trust Co,VA</t>
  </si>
  <si>
    <t>First Bank Washington of Omak</t>
  </si>
  <si>
    <t>Central Bancorp,Wenatchee,WA</t>
  </si>
  <si>
    <t>BMC Bankcorp Inc</t>
  </si>
  <si>
    <t>CBT Corp,Paducah,Kentucky</t>
  </si>
  <si>
    <t>Bank of Loudoun</t>
  </si>
  <si>
    <t>Equitable-8 OH Branches</t>
  </si>
  <si>
    <t>Bank of Marlington</t>
  </si>
  <si>
    <t>First Citizens Bancshares,TN</t>
  </si>
  <si>
    <t>Indiana State Bank of Terra</t>
  </si>
  <si>
    <t>Bank of Iredell,Statesville,</t>
  </si>
  <si>
    <t>Frankford Corp</t>
  </si>
  <si>
    <t>Bank of Anaheim NA</t>
  </si>
  <si>
    <t>Barrow Bancshares</t>
  </si>
  <si>
    <t>BankFirst Corp,Decatur,Alabama</t>
  </si>
  <si>
    <t>Continental Bank Corp NA</t>
  </si>
  <si>
    <t>FGC Holding Co</t>
  </si>
  <si>
    <t>Citizens Express Co</t>
  </si>
  <si>
    <t>Bank of Livermore,California</t>
  </si>
  <si>
    <t>Tri-State Bank &amp; Trust, IL</t>
  </si>
  <si>
    <t>Northwest Illinois Bancorp</t>
  </si>
  <si>
    <t>First State Bancorp,Princeton,</t>
  </si>
  <si>
    <t>Tampa Bay Banking Co</t>
  </si>
  <si>
    <t>Lincoln Bank South</t>
  </si>
  <si>
    <t>First Commerce Bancshares Inc</t>
  </si>
  <si>
    <t>First Public Svgs Bk FSB,CA</t>
  </si>
  <si>
    <t>GBC Bancorp,Los Angeles,CA</t>
  </si>
  <si>
    <t>Pioneer Financial Corp</t>
  </si>
  <si>
    <t>First Community Bank of Henry</t>
  </si>
  <si>
    <t>Bank Holding Co,Griffin,GA</t>
  </si>
  <si>
    <t>Heritage Financial Corp</t>
  </si>
  <si>
    <t>Libsab Bancorp Inc</t>
  </si>
  <si>
    <t>Pioneer Financial,Malden,MA</t>
  </si>
  <si>
    <t>SJNB Financial Corp,CA</t>
  </si>
  <si>
    <t>Plano Bancshares Inc</t>
  </si>
  <si>
    <t>First National Bancorp Inc,IL</t>
  </si>
  <si>
    <t>Bank of South County,St Louis</t>
  </si>
  <si>
    <t>Capital Bancorporation Inc</t>
  </si>
  <si>
    <t>Citizens Bank &amp; Trust,Evans,GA</t>
  </si>
  <si>
    <t>Life Federal Savings Bank,FL</t>
  </si>
  <si>
    <t>Midlothian State Bank</t>
  </si>
  <si>
    <t>Cornerstone Bank Group Inc</t>
  </si>
  <si>
    <t>BNR Bancshares,New Roads,LA</t>
  </si>
  <si>
    <t>First Community Bancshares,GA</t>
  </si>
  <si>
    <t>Baltimore Bancorp,Maryland</t>
  </si>
  <si>
    <t>Fayette County Bancshares,GA</t>
  </si>
  <si>
    <t>United National Bancorp</t>
  </si>
  <si>
    <t>First Natl Finl Corp,Vicksburg</t>
  </si>
  <si>
    <t>Trustmark Corp,Jackson,MS</t>
  </si>
  <si>
    <t>Fishkill National Corp</t>
  </si>
  <si>
    <t>Community Bancorp Inc NY</t>
  </si>
  <si>
    <t>Fredericksburg National</t>
  </si>
  <si>
    <t>Planters Bank,Tunica,MS</t>
  </si>
  <si>
    <t>Community Federal Savings Bank</t>
  </si>
  <si>
    <t>Ithaca Bancorp Inc</t>
  </si>
  <si>
    <t>First Empire State Corp,NY</t>
  </si>
  <si>
    <t>Union State Bank,Wautoma,WI</t>
  </si>
  <si>
    <t>United American Bancshares</t>
  </si>
  <si>
    <t>Unity Bancorp,New Waterford,OH</t>
  </si>
  <si>
    <t>Atlanfed Bancorp Inc</t>
  </si>
  <si>
    <t>First Park Ridge Corp</t>
  </si>
  <si>
    <t>Oklahoma Savings Inc</t>
  </si>
  <si>
    <t>Brundidge Banking Co</t>
  </si>
  <si>
    <t>Glendale Federal Bk-FL Branch</t>
  </si>
  <si>
    <t>BancWest Bancorp Inc</t>
  </si>
  <si>
    <t>First Fed Svgs Bk Bainbridge</t>
  </si>
  <si>
    <t>PAB Bankshares Inc</t>
  </si>
  <si>
    <t>White County Bancshares Inc</t>
  </si>
  <si>
    <t>United Community Banks Inc</t>
  </si>
  <si>
    <t>Goreville Bancorp</t>
  </si>
  <si>
    <t>Mineral King Bancorp Inc</t>
  </si>
  <si>
    <t>ValliCorp Holdings Inc,CA</t>
  </si>
  <si>
    <t>Glendale Bancorporation</t>
  </si>
  <si>
    <t>NBB Bancorp Inc</t>
  </si>
  <si>
    <t>Fleet Financial Group Inc,MA</t>
  </si>
  <si>
    <t>North American Bank Corp</t>
  </si>
  <si>
    <t>Marshall &amp; Illsley-Middleton,</t>
  </si>
  <si>
    <t>Citizens Holdings Corp</t>
  </si>
  <si>
    <t>Lakeside Bancshares Inc</t>
  </si>
  <si>
    <t>Old Stone Bank of Calfornia</t>
  </si>
  <si>
    <t>Dalhart Bancshares Inc</t>
  </si>
  <si>
    <t>First Natl Bk,Whitesboro,TX</t>
  </si>
  <si>
    <t>Surety Capital Corp</t>
  </si>
  <si>
    <t>Harrisburg Bancshares Inc,IL</t>
  </si>
  <si>
    <t>Kilgore First Bancorp Inc</t>
  </si>
  <si>
    <t>First Bancshares,Slidell,LA</t>
  </si>
  <si>
    <t>Security First Bank</t>
  </si>
  <si>
    <t>Jefferson Bank,Philadelphia,PA</t>
  </si>
  <si>
    <t>Pioneer Bancshares Inc,TN</t>
  </si>
  <si>
    <t>America Bancshares Inc,LA</t>
  </si>
  <si>
    <t>LBO Bancorp Inc</t>
  </si>
  <si>
    <t>City Bancorp Inc,Louisiana</t>
  </si>
  <si>
    <t>Hinton Financial Corp</t>
  </si>
  <si>
    <t>Dickenson Buchanan Bank</t>
  </si>
  <si>
    <t>Premier Bankshs,Bluefield,VA</t>
  </si>
  <si>
    <t>J Hanson Svngs Bnk-Branches(4)</t>
  </si>
  <si>
    <t>F&amp;C Bancshares Inc</t>
  </si>
  <si>
    <t>George Washington Banking Corp</t>
  </si>
  <si>
    <t>Franklin Bancorp,Washington,DC</t>
  </si>
  <si>
    <t>Moniteau National Bank</t>
  </si>
  <si>
    <t>Southwest Bankers Inc</t>
  </si>
  <si>
    <t>Bank One Fresno(Banc One AZ)</t>
  </si>
  <si>
    <t>Sacramento First Natl Bk,CA</t>
  </si>
  <si>
    <t>Business &amp; Professional Bk,CA</t>
  </si>
  <si>
    <t>Bocaq Bancorp Inc</t>
  </si>
  <si>
    <t>Casco Northern,BANKVERMONT</t>
  </si>
  <si>
    <t>KeyCorp,Cleveland,Ohio</t>
  </si>
  <si>
    <t>Commerce Bank,VA</t>
  </si>
  <si>
    <t>Twin City Corp</t>
  </si>
  <si>
    <t>Metro Bancshares Inc</t>
  </si>
  <si>
    <t>Oblong Bancshares Inc</t>
  </si>
  <si>
    <t>Presidential Holding Co</t>
  </si>
  <si>
    <t>First Citizens Bancorp of IN</t>
  </si>
  <si>
    <t>Farmers National Bancorp MD</t>
  </si>
  <si>
    <t>Grenada Sunburst System Corp</t>
  </si>
  <si>
    <t>Wedge Bank,Alton,IL</t>
  </si>
  <si>
    <t>Minowa Bancshares Inc</t>
  </si>
  <si>
    <t>Washington Bancorp Inc</t>
  </si>
  <si>
    <t>Hancock Holding Co</t>
  </si>
  <si>
    <t>Union Bank &amp; Trust Montgomery</t>
  </si>
  <si>
    <t>Old White Bankshares Inc,WV</t>
  </si>
  <si>
    <t>NBA Holding Company</t>
  </si>
  <si>
    <t>First State Bank,Wilmington,DE</t>
  </si>
  <si>
    <t>Central Indiana Bancorp</t>
  </si>
  <si>
    <t>Pace American Bank</t>
  </si>
  <si>
    <t>PV Financial</t>
  </si>
  <si>
    <t>Westamerica Bancorp</t>
  </si>
  <si>
    <t>First Community Bk,Dawsonville</t>
  </si>
  <si>
    <t>Century South Banks Inc,GA</t>
  </si>
  <si>
    <t>FirstBank of Texarkana,TX</t>
  </si>
  <si>
    <t>CommerceBank,Newport Beach,CA</t>
  </si>
  <si>
    <t>Med Center Bank</t>
  </si>
  <si>
    <t>Western Community Bank,CA</t>
  </si>
  <si>
    <t>Bank of San Bernardino</t>
  </si>
  <si>
    <t>Levy Bancorp</t>
  </si>
  <si>
    <t>Bank of Waverly</t>
  </si>
  <si>
    <t>Bank of Suffolk</t>
  </si>
  <si>
    <t>NBM Bancorp Inc,Ohio</t>
  </si>
  <si>
    <t>Bank of Newport,Newport Beach</t>
  </si>
  <si>
    <t>Peach State Bank,Riverdale,GA</t>
  </si>
  <si>
    <t>First State Bk&amp; Trust Co,LA</t>
  </si>
  <si>
    <t>ASB Bankcorp Inc,Adrian,MI</t>
  </si>
  <si>
    <t>Bank of Western Massachusetts</t>
  </si>
  <si>
    <t>Acorn Financial Corp</t>
  </si>
  <si>
    <t>White County Bank,Carmi,IL</t>
  </si>
  <si>
    <t>First Denham Bancshares,LA</t>
  </si>
  <si>
    <t>First National Bank Corp</t>
  </si>
  <si>
    <t>Independent Bancorp of Arizona</t>
  </si>
  <si>
    <t>First Moline Financial Corp</t>
  </si>
  <si>
    <t>Superior Financial Corp,MI</t>
  </si>
  <si>
    <t>Independent Bank,Manassas,VA</t>
  </si>
  <si>
    <t>State Bank of Fayetteville</t>
  </si>
  <si>
    <t>United Counties Bancorp</t>
  </si>
  <si>
    <t>Omnibancorp,Denver,Colorado</t>
  </si>
  <si>
    <t>Citizens &amp; Merchant Corp</t>
  </si>
  <si>
    <t>Point Bancorp Inc</t>
  </si>
  <si>
    <t>Standard Bank &amp; Trust Co,Dunn</t>
  </si>
  <si>
    <t>Triangle Bancorp,Raleigh,NC</t>
  </si>
  <si>
    <t>BANC ONE Corp-MI Branches</t>
  </si>
  <si>
    <t>Standard Bancorp Inc</t>
  </si>
  <si>
    <t>Atlantic Community Bancorp Inc</t>
  </si>
  <si>
    <t>First Natl Bk of Bay City,TX</t>
  </si>
  <si>
    <t>American Bank,Norco,Louisiana</t>
  </si>
  <si>
    <t>Commercial Bank,Middlesboro,KY</t>
  </si>
  <si>
    <t>Pikeville Natl,Pikeville,KY</t>
  </si>
  <si>
    <t>Citizens National Bank Corp</t>
  </si>
  <si>
    <t>Community Bancshares Inc,TN</t>
  </si>
  <si>
    <t>Columbus National Bank,NC</t>
  </si>
  <si>
    <t>First Community Bankshares,CA</t>
  </si>
  <si>
    <t>Goldenbanks of Colorado</t>
  </si>
  <si>
    <t>American Bancorporation South</t>
  </si>
  <si>
    <t>Community Bank,Lexington,KY</t>
  </si>
  <si>
    <t>Woodford Bancorp,Versailles,KY</t>
  </si>
  <si>
    <t>Community State Bank,IL</t>
  </si>
  <si>
    <t>ENB Financial Corp</t>
  </si>
  <si>
    <t>FCNB Corp,Frederick,MD</t>
  </si>
  <si>
    <t>University Bank &amp; Trust Co,CA</t>
  </si>
  <si>
    <t>Jefferson National Bank</t>
  </si>
  <si>
    <t>Owego National Financial Corp</t>
  </si>
  <si>
    <t>First Robinson Bancorp</t>
  </si>
  <si>
    <t>Aiken County National Bank</t>
  </si>
  <si>
    <t>Carolina First Corp,SC</t>
  </si>
  <si>
    <t>United Citizens Bk,Alchua,Fl</t>
  </si>
  <si>
    <t>Southeastern Banking Corp</t>
  </si>
  <si>
    <t>American Union Bank,Union,NJ</t>
  </si>
  <si>
    <t>Bank of Orleans,Orleans,IN</t>
  </si>
  <si>
    <t>Peoples Commercial Svcs Corp</t>
  </si>
  <si>
    <t>First Commercial Bancshares,LA</t>
  </si>
  <si>
    <t>Bank Maryland Corp,Maryland</t>
  </si>
  <si>
    <t>Mason-Dixon Bancshares,MD</t>
  </si>
  <si>
    <t>US Trust Corp,New York,NY</t>
  </si>
  <si>
    <t>Bank of Mystic</t>
  </si>
  <si>
    <t>Washington Trust Bancorp,RI</t>
  </si>
  <si>
    <t>Commercial Bancorp Inc</t>
  </si>
  <si>
    <t>Cleveland Federal Bank</t>
  </si>
  <si>
    <t>Centura Bank Inc,NC</t>
  </si>
  <si>
    <t>Union Bancshares,Wichita,KS</t>
  </si>
  <si>
    <t>HNB Financial Group Inc</t>
  </si>
  <si>
    <t>STABA Bancshares Inc</t>
  </si>
  <si>
    <t>Peoples Bk &amp; Tr,Sunman,IN</t>
  </si>
  <si>
    <t>State Natl Bank of Marlow,OK</t>
  </si>
  <si>
    <t>Dumas Bancshares Inc,Dumas,AK</t>
  </si>
  <si>
    <t>Simmons First Natl Corp</t>
  </si>
  <si>
    <t>First National Bk of Pampa,TX</t>
  </si>
  <si>
    <t>Midlands National Bank,SC</t>
  </si>
  <si>
    <t>West Side Bancshares,TX</t>
  </si>
  <si>
    <t>United Financial Bancorp Inc</t>
  </si>
  <si>
    <t>Bank of the Potomac</t>
  </si>
  <si>
    <t>CapitolBank Sacramento</t>
  </si>
  <si>
    <t>Greensboro National Bank</t>
  </si>
  <si>
    <t>Mutual Community Savings Bank</t>
  </si>
  <si>
    <t>First Denver Corp</t>
  </si>
  <si>
    <t>Vectra Banking Corp,Denver,CO</t>
  </si>
  <si>
    <t>Jupiter Tequesta National Bank</t>
  </si>
  <si>
    <t>Abbott Bank Group Inc</t>
  </si>
  <si>
    <t>Financial Holdings Inc</t>
  </si>
  <si>
    <t>Mountain Parks Finl Corp,MN</t>
  </si>
  <si>
    <t>Bellbrook Bancorp Inc</t>
  </si>
  <si>
    <t>BancFirst Ohio Corp,OH</t>
  </si>
  <si>
    <t>Progressive Bancorp,Terrebonne</t>
  </si>
  <si>
    <t>Citizens Natl Bancshares,LA</t>
  </si>
  <si>
    <t>TC Bankshares Inc</t>
  </si>
  <si>
    <t>Chase Manhattan Bank-NY Br(15)</t>
  </si>
  <si>
    <t>Community Bank System Inc</t>
  </si>
  <si>
    <t>North Bay Bancorp(Westamerica)</t>
  </si>
  <si>
    <t>First Southern Bancorp,NC</t>
  </si>
  <si>
    <t>First Bank of Grants</t>
  </si>
  <si>
    <t>First State Bancorp,NM</t>
  </si>
  <si>
    <t>Planters Bank &amp; Trust Co,AR</t>
  </si>
  <si>
    <t>Park Forest National Bank Inc</t>
  </si>
  <si>
    <t>Sparks State Bank,Sparks,MD</t>
  </si>
  <si>
    <t>Morris State Bancorporation,MN</t>
  </si>
  <si>
    <t>Southern Bank Group Inc</t>
  </si>
  <si>
    <t>Sugarland Bancshares Inc</t>
  </si>
  <si>
    <t>MidSouth Bancorp Inc,LA</t>
  </si>
  <si>
    <t>Hazelhurst Corp</t>
  </si>
  <si>
    <t>Great Neck Bancorp</t>
  </si>
  <si>
    <t>Shawnee Financial Services</t>
  </si>
  <si>
    <t>Montour Bank,Danville,PA</t>
  </si>
  <si>
    <t>Val Cor Bancorp</t>
  </si>
  <si>
    <t>United Bancorp of Kentucky</t>
  </si>
  <si>
    <t>Pacific Bank NA,CA</t>
  </si>
  <si>
    <t>Bank of St John,La Place,LA</t>
  </si>
  <si>
    <t>First Fed Bk for Svgs,MS</t>
  </si>
  <si>
    <t>BancorpSouth Inc</t>
  </si>
  <si>
    <t>Southwest Bancshares Inc</t>
  </si>
  <si>
    <t>New Era Bank</t>
  </si>
  <si>
    <t>United National Bancorp,NJ</t>
  </si>
  <si>
    <t>First Bank Sys-Wisconsin Br(5)</t>
  </si>
  <si>
    <t>First Fed Bancshares of Eau Cl</t>
  </si>
  <si>
    <t>Tanglewood Bancshares</t>
  </si>
  <si>
    <t>Delaware National Bankshares</t>
  </si>
  <si>
    <t>Urban National Bank</t>
  </si>
  <si>
    <t>AmeriFirst Bancorp</t>
  </si>
  <si>
    <t>FBC Holding Co Ltd</t>
  </si>
  <si>
    <t>Financial Investment Corp</t>
  </si>
  <si>
    <t>Heritage Federal Bancshares</t>
  </si>
  <si>
    <t>Bank of Harrisburg,IL</t>
  </si>
  <si>
    <t>First Trust Bank-Branches(14)</t>
  </si>
  <si>
    <t>First Commercial Bank</t>
  </si>
  <si>
    <t>Equity Bank,Wethersfield,CT</t>
  </si>
  <si>
    <t>New England Cmnty Bancorp,CT</t>
  </si>
  <si>
    <t>First Merchants Bancorp,WV</t>
  </si>
  <si>
    <t>Mt Vernon Financial Corp</t>
  </si>
  <si>
    <t>GN Bancorp</t>
  </si>
  <si>
    <t>BayBanks,Boston,Massachusetts</t>
  </si>
  <si>
    <t>Putnam Trust Co</t>
  </si>
  <si>
    <t>Corporate Bank</t>
  </si>
  <si>
    <t>CU Bancorp,Encino,California</t>
  </si>
  <si>
    <t>Templeton National</t>
  </si>
  <si>
    <t>Bank of Santa Maria,CA</t>
  </si>
  <si>
    <t>Farmers &amp; Merchants Bank,AL</t>
  </si>
  <si>
    <t>Old North State Bank</t>
  </si>
  <si>
    <t>Piedmont Bancshares Corp</t>
  </si>
  <si>
    <t>First Natl Bk of Paoli,Indiana</t>
  </si>
  <si>
    <t>Western Bank,Gallup,New Mexico</t>
  </si>
  <si>
    <t>Peoples Bank &amp; Tr(Midway Corp)</t>
  </si>
  <si>
    <t>Valley Banc Services Corp</t>
  </si>
  <si>
    <t>Merchants Bancorp,Aurora,IL</t>
  </si>
  <si>
    <t>First National Bank,Denver,CO</t>
  </si>
  <si>
    <t>HNB Corp</t>
  </si>
  <si>
    <t>Metrobank NA</t>
  </si>
  <si>
    <t>Village Bank,Chapel Hill,NC</t>
  </si>
  <si>
    <t>El Capitan Bancshares Inc</t>
  </si>
  <si>
    <t>Central Corp,Monroe,Louisiana</t>
  </si>
  <si>
    <t>First Merchants Financial Corp</t>
  </si>
  <si>
    <t>Maco Bancorp</t>
  </si>
  <si>
    <t>Pinnacle Financial Svcs Inc,MI</t>
  </si>
  <si>
    <t>West-Ark Bancshares Inc</t>
  </si>
  <si>
    <t>Laurel Bancorp,Laurel,Maryland</t>
  </si>
  <si>
    <t>Mariners Bancorp</t>
  </si>
  <si>
    <t>F&amp;M Bancorp,Rochester,IN</t>
  </si>
  <si>
    <t>FDH Bancshares Inc</t>
  </si>
  <si>
    <t>MNB Bancshares Inc,KS</t>
  </si>
  <si>
    <t>Community Bank of the Islands</t>
  </si>
  <si>
    <t>Alabama Natl BanCorp,AL</t>
  </si>
  <si>
    <t>Jessamine First Federal</t>
  </si>
  <si>
    <t>Bourbon Bancshares Inc,KY</t>
  </si>
  <si>
    <t>Bank of Danielsville</t>
  </si>
  <si>
    <t>United Whitley Corp</t>
  </si>
  <si>
    <t>FNB Bancshares Inc</t>
  </si>
  <si>
    <t>LaPorte State Bank,La Porte,TX</t>
  </si>
  <si>
    <t>Charter Bancshares Inc</t>
  </si>
  <si>
    <t>Wes-Tenn Bancorp Inc</t>
  </si>
  <si>
    <t>Capital Bancorp Inc</t>
  </si>
  <si>
    <t>Commerce Bancorp,McLoud,OK</t>
  </si>
  <si>
    <t>Security Bancorp Inc,Canton,GA</t>
  </si>
  <si>
    <t>Habersham Bancorp,Cornelia,GA</t>
  </si>
  <si>
    <t>Delta Bank &amp; Trust Co,LA</t>
  </si>
  <si>
    <t>QuestStar Bank NA</t>
  </si>
  <si>
    <t>Bank of The Isle of Wight</t>
  </si>
  <si>
    <t>James River Bankshares Inc,VA</t>
  </si>
  <si>
    <t>First Colonial Bank FSB,VA</t>
  </si>
  <si>
    <t>Citizens Natl Bank of Ashland</t>
  </si>
  <si>
    <t>Community Banks,Millersburg,PA</t>
  </si>
  <si>
    <t>Western Reserve Bank of Ohio</t>
  </si>
  <si>
    <t>Security Bank of Conway,AR</t>
  </si>
  <si>
    <t>Ponte Vedra Banking Corp</t>
  </si>
  <si>
    <t>CoBank Financial Corp</t>
  </si>
  <si>
    <t>First Sterling Bancorp Inc</t>
  </si>
  <si>
    <t>National American Bancorp Inc</t>
  </si>
  <si>
    <t>Bank of Robstown</t>
  </si>
  <si>
    <t>Flemington Natl Bank &amp; Trust</t>
  </si>
  <si>
    <t>Huntington National Bank,PA</t>
  </si>
  <si>
    <t>Bergen Commercial Bank,NJ</t>
  </si>
  <si>
    <t>Great Falls Bancorp</t>
  </si>
  <si>
    <t>Park Natl Bank of Houston,TX</t>
  </si>
  <si>
    <t>Enterprise National,Dunwoody</t>
  </si>
  <si>
    <t>Gateway American Bank of</t>
  </si>
  <si>
    <t>RB Bancorp Inc</t>
  </si>
  <si>
    <t>FP Bancorp,Escondidio,CA</t>
  </si>
  <si>
    <t>Rancho Santa Fe National Bk,CA</t>
  </si>
  <si>
    <t>Metro Financial Corp</t>
  </si>
  <si>
    <t>Financial Institutions</t>
  </si>
  <si>
    <t>Suburban Bancshares</t>
  </si>
  <si>
    <t>Chemical Banking Corp,New York</t>
  </si>
  <si>
    <t>Johnston County Bancshares Inc</t>
  </si>
  <si>
    <t>Bunkie Bancshares Inc</t>
  </si>
  <si>
    <t>Farmers &amp; Merchants Bank,PA</t>
  </si>
  <si>
    <t>Brentwood National Bank</t>
  </si>
  <si>
    <t>Bank of Union,Monroe,NC</t>
  </si>
  <si>
    <t>First Charter Corp,Charlotte</t>
  </si>
  <si>
    <t>Centerpoint Bank,Bedford,NH</t>
  </si>
  <si>
    <t>Community Bankshares,NH</t>
  </si>
  <si>
    <t>Extebank-Domestic Coml Bk Bus</t>
  </si>
  <si>
    <t>Flagship Bank &amp; Trust Co</t>
  </si>
  <si>
    <t>State Savings Bancorp</t>
  </si>
  <si>
    <t>City Bankshares,Oklahoma City</t>
  </si>
  <si>
    <t>Brooklyn Bancorp Inc</t>
  </si>
  <si>
    <t>Republic New York Corp,NY,NY</t>
  </si>
  <si>
    <t>Weatherford Natl Bankshares</t>
  </si>
  <si>
    <t>First Finl Bankshares Inc,TX</t>
  </si>
  <si>
    <t>Bank of California</t>
  </si>
  <si>
    <t>First Natl Bk of Lockport,IL</t>
  </si>
  <si>
    <t>First Citizens Bancstock</t>
  </si>
  <si>
    <t>Whitney Holding Corp,Louisiana</t>
  </si>
  <si>
    <t>First Nationwide-NY Brchs(10)</t>
  </si>
  <si>
    <t>Shawmut Bank-MA Branches(13)</t>
  </si>
  <si>
    <t>Burlingame Bancorp</t>
  </si>
  <si>
    <t>River Bend Bancshares Inc</t>
  </si>
  <si>
    <t>Triad Bank,Greensboro,NC</t>
  </si>
  <si>
    <t>Palmer National Bancorp Inc</t>
  </si>
  <si>
    <t>George Mason Bankshares Inc</t>
  </si>
  <si>
    <t>First Gwinnett Bankshares Inc</t>
  </si>
  <si>
    <t>Gloucester County Bankshares</t>
  </si>
  <si>
    <t>Henrietta Bancshares</t>
  </si>
  <si>
    <t>NBD Bank,Columbus,Ohio</t>
  </si>
  <si>
    <t>Cypress National Bk,Houston,TX</t>
  </si>
  <si>
    <t>Smoky Mtn Bancorp,Gatlinburg</t>
  </si>
  <si>
    <t>Randolph County Bancorp</t>
  </si>
  <si>
    <t>Republic Bancorporation Inc</t>
  </si>
  <si>
    <t>ExecuFirst Bancorp Inc</t>
  </si>
  <si>
    <t>Du Quoin Bancorp Inc</t>
  </si>
  <si>
    <t>Moxham Bank Corp</t>
  </si>
  <si>
    <t>FB&amp;T Financial Corp</t>
  </si>
  <si>
    <t>CFB Bancorp Inc</t>
  </si>
  <si>
    <t>First Commercial Holding Corp</t>
  </si>
  <si>
    <t>Greene Bancorp,Greene,Iowa</t>
  </si>
  <si>
    <t>Lincoln Bancorp</t>
  </si>
  <si>
    <t>US Bancorp-Ellensburg,WA Brch</t>
  </si>
  <si>
    <t>Texas Bank,Baytown,Texas</t>
  </si>
  <si>
    <t>West One Bancorp-WA,OR,ID</t>
  </si>
  <si>
    <t>American City Bancorp</t>
  </si>
  <si>
    <t>Community National Bk,Franklin</t>
  </si>
  <si>
    <t>Crawford Bancorp</t>
  </si>
  <si>
    <t>First Financial Corp</t>
  </si>
  <si>
    <t>First Mercantile Natl Bank,FL</t>
  </si>
  <si>
    <t>ABC Bancorp,Moultrie,Georgia</t>
  </si>
  <si>
    <t>National Westminster Bancorp</t>
  </si>
  <si>
    <t>Peoples State Bank,Topeka,KS</t>
  </si>
  <si>
    <t>Manchester State Bank,CT</t>
  </si>
  <si>
    <t>Southern Banking Corp</t>
  </si>
  <si>
    <t>Commercial Bancorp of Georgia</t>
  </si>
  <si>
    <t>Bank Land Co</t>
  </si>
  <si>
    <t>Central Bankshares,Cordele,GA</t>
  </si>
  <si>
    <t>Community State Bank,Wisconsin</t>
  </si>
  <si>
    <t>Charter Bancorp,Englewood,CO</t>
  </si>
  <si>
    <t>Jacob Schmidt Co</t>
  </si>
  <si>
    <t>Home Interstate Bancorp,CA</t>
  </si>
  <si>
    <t>Southern Arizona Bancorp Inc</t>
  </si>
  <si>
    <t>Northern Illinois Financial</t>
  </si>
  <si>
    <t>Prairie Bancorp,Princeton,IL</t>
  </si>
  <si>
    <t>UnionBancorp Inc,Ottawa,IL</t>
  </si>
  <si>
    <t>New Iberia Bancorp,Louisiana</t>
  </si>
  <si>
    <t>Union Natl Bancorp,Liberty,IN</t>
  </si>
  <si>
    <t>Union Cnty Natl Bancorp,IN</t>
  </si>
  <si>
    <t>Barrington Bancorp,Illinois</t>
  </si>
  <si>
    <t>First Chicago NBD Corp</t>
  </si>
  <si>
    <t>CSB Financial Corp,VA</t>
  </si>
  <si>
    <t>One Valley Bancorp Inc,WV</t>
  </si>
  <si>
    <t>North Bank Corp</t>
  </si>
  <si>
    <t>Independent Bank Corp</t>
  </si>
  <si>
    <t>Southwest Banks Inc</t>
  </si>
  <si>
    <t>FNB Corp,Hermitage,PA</t>
  </si>
  <si>
    <t>Bank of Gonzales Holding Co,LA</t>
  </si>
  <si>
    <t>Lafayette American Bancorp Inc</t>
  </si>
  <si>
    <t>Twentieth Bancorp Inc</t>
  </si>
  <si>
    <t>Horizon Bancorp,Beckley,WV</t>
  </si>
  <si>
    <t>Cedar Creek Bancshares Inc,TX</t>
  </si>
  <si>
    <t>Bank of Weirton,Weirton,WV</t>
  </si>
  <si>
    <t>Union Bancshares,Bellevue,Ohio</t>
  </si>
  <si>
    <t>Croghan Bancshares Inc</t>
  </si>
  <si>
    <t>Vancouver Bancorp,WA</t>
  </si>
  <si>
    <t>ANB Financial Corp</t>
  </si>
  <si>
    <t>American Bancshares of Houma</t>
  </si>
  <si>
    <t>Farmers Deposit Bancorp,KY</t>
  </si>
  <si>
    <t>Premier Finl Bancorp,WV</t>
  </si>
  <si>
    <t>Inland Empire Bk,Hermiston,OR</t>
  </si>
  <si>
    <t>First Svgs Bk of WA Bancorp</t>
  </si>
  <si>
    <t>Rockdale Community Bank,GA</t>
  </si>
  <si>
    <t>CitNat Bancorp Inc,Urbana,OH</t>
  </si>
  <si>
    <t>Security Banc Corp,OH</t>
  </si>
  <si>
    <t>First Community Bk,Gastonia,NC</t>
  </si>
  <si>
    <t>Mid-America National Bancorp</t>
  </si>
  <si>
    <t>Todays Bancorp Inc</t>
  </si>
  <si>
    <t>Fairbank Inc,Fairhaven,MA</t>
  </si>
  <si>
    <t>Weetamoe Bancorp,Somerset,MA</t>
  </si>
  <si>
    <t>King George State Bank,VA</t>
  </si>
  <si>
    <t>Union Bankshares Ltd,Denver,CO</t>
  </si>
  <si>
    <t>Country Bancshares Inc,IL</t>
  </si>
  <si>
    <t>Auburn Bancorp,Auburn,CA</t>
  </si>
  <si>
    <t>Carlisle Bancshares Inc,AR</t>
  </si>
  <si>
    <t>St Bernard Bank &amp; Trust Co</t>
  </si>
  <si>
    <t>Home Federal,Hagerstown,MD</t>
  </si>
  <si>
    <t>F&amp;M Bancorp,Frederick,MD</t>
  </si>
  <si>
    <t>Navarre Bank Deposit Co,OH</t>
  </si>
  <si>
    <t>Sunrise Bancorp,Roseville,CA</t>
  </si>
  <si>
    <t>First National Finl Corp,GA</t>
  </si>
  <si>
    <t>Annapolis Bancshares Inc,MD</t>
  </si>
  <si>
    <t>Sandy Spring Bancorp Inc</t>
  </si>
  <si>
    <t>First Natl Bk of Clifton Forge</t>
  </si>
  <si>
    <t>MainStreet BankGroup Inc,VA</t>
  </si>
  <si>
    <t>FirstSouth Bank,Burlington,NC</t>
  </si>
  <si>
    <t>Allegiance Banc,Bethesda,MD</t>
  </si>
  <si>
    <t>Third Financial Corp,Piqua,OH</t>
  </si>
  <si>
    <t>Liberty Holding,Pensacola,FL</t>
  </si>
  <si>
    <t>Heritage Bancshares Inc,FL</t>
  </si>
  <si>
    <t>Hometown Bancorporation Inc,CT</t>
  </si>
  <si>
    <t>TAC Bancshares,Miami Florida</t>
  </si>
  <si>
    <t>Hanover Bank,Mechanicsville,VA</t>
  </si>
  <si>
    <t>City National Bk,Whitehouse,TX</t>
  </si>
  <si>
    <t>United Mizrahi Bank &amp; Trust</t>
  </si>
  <si>
    <t>Commercial Bank of New York</t>
  </si>
  <si>
    <t>Old Natl Bank of Huntington,WV</t>
  </si>
  <si>
    <t>Central Jersey Financial Corp</t>
  </si>
  <si>
    <t>Summit Bancorp,Princeton,NJ</t>
  </si>
  <si>
    <t>Farmers State Bancorp,Indiana</t>
  </si>
  <si>
    <t>Cathay Bancorp,Los Angeles,CA</t>
  </si>
  <si>
    <t>SBT Bancshares Inc,Selmer,TN</t>
  </si>
  <si>
    <t>First Natl Bk of Wayne City,IL</t>
  </si>
  <si>
    <t>Seaway Finl Corp,St Clair,MI</t>
  </si>
  <si>
    <t>Cupertino National Bancorp,CA</t>
  </si>
  <si>
    <t>Greater Bay Bancorp,Palo Alto</t>
  </si>
  <si>
    <t>FirstBanc Holding Co,Alabama</t>
  </si>
  <si>
    <t>Granville United Bk,Oxford,NC</t>
  </si>
  <si>
    <t>First Sterling Bancorp,PA</t>
  </si>
  <si>
    <t>Prime Bancorp,Philadelphia,PA</t>
  </si>
  <si>
    <t>Community Bancshares,Louisiana</t>
  </si>
  <si>
    <t>Westport Bancorp,Westport,CT</t>
  </si>
  <si>
    <t>First Banks America Inc,TX</t>
  </si>
  <si>
    <t>Financial Bancshares Inc,MO</t>
  </si>
  <si>
    <t>Hastings Financial Corp</t>
  </si>
  <si>
    <t>Peoples Bancorp of Washington</t>
  </si>
  <si>
    <t>German American Bancorp,IN</t>
  </si>
  <si>
    <t>First Finl Corp of America,MO</t>
  </si>
  <si>
    <t>Crown Park Bancshares,Texas</t>
  </si>
  <si>
    <t>Independent Bankshares Inc</t>
  </si>
  <si>
    <t>North Side Savings Bank,NY</t>
  </si>
  <si>
    <t>Atcorp Inc,Marlton,New Jersey</t>
  </si>
  <si>
    <t>Farmers Banc,Mullica Hill,NJ</t>
  </si>
  <si>
    <t>South Valley Bancorporation,CA</t>
  </si>
  <si>
    <t>Pacific Capital Bancorp,CA</t>
  </si>
  <si>
    <t>Tomoka Bancorp,Ormond Beach,FL</t>
  </si>
  <si>
    <t>Tuscaloosa Bancshares,LA</t>
  </si>
  <si>
    <t>Carolina State Bank,Shelby,NC</t>
  </si>
  <si>
    <t>Bank of Granite Corp</t>
  </si>
  <si>
    <t>Park Bankshares,Lake Park,FL</t>
  </si>
  <si>
    <t>Southeast National Bank,LA</t>
  </si>
  <si>
    <t>Enterprise National Bank,FL</t>
  </si>
  <si>
    <t>Metroplex Bancshares,Dallas,TX</t>
  </si>
  <si>
    <t>Security National Bank,TX</t>
  </si>
  <si>
    <t>Missoula Bancshares,Montana</t>
  </si>
  <si>
    <t>East Troy Bancshares,Wisconsin</t>
  </si>
  <si>
    <t>UST Bank/Connecticut,CN</t>
  </si>
  <si>
    <t>Fidelity Finl Bankshares,VA</t>
  </si>
  <si>
    <t>Assumption Bank &amp; Trust Co,LA</t>
  </si>
  <si>
    <t>ArgentBank,Thibodaux,Louisiana</t>
  </si>
  <si>
    <t>Jefferson Guaranty Bancorp,LA</t>
  </si>
  <si>
    <t>Regional Bancshares,Alton,IL</t>
  </si>
  <si>
    <t>BMJ Financial Corp,New Jersey</t>
  </si>
  <si>
    <t>Big Stone Gap Bank &amp; Trust,VA</t>
  </si>
  <si>
    <t>Homeland Bankshares Corp,Iowa</t>
  </si>
  <si>
    <t>Bank of Stapleton,Stapleton,GA</t>
  </si>
  <si>
    <t>Jefferson Bancorp,Florida</t>
  </si>
  <si>
    <t>Prairie Security Bank, Yelm,</t>
  </si>
  <si>
    <t>Midland Bancorporation Inc,NJ</t>
  </si>
  <si>
    <t>Citizens Bancorp,Laurel,MD</t>
  </si>
  <si>
    <t>Central Bancorp,Fort Forth,TX</t>
  </si>
  <si>
    <t>Broadway Capital,Chelsea,MA</t>
  </si>
  <si>
    <t>BostonFed Bancorp Inc,MA</t>
  </si>
  <si>
    <t>Fort Brooke Bancorporation,FL</t>
  </si>
  <si>
    <t>Sun Capital Bancorp,Utah</t>
  </si>
  <si>
    <t>Gulf South Bancshares Inc,LA</t>
  </si>
  <si>
    <t>Woodstown Natl Bk &amp; Tr,NJ</t>
  </si>
  <si>
    <t>Austin State Bank,Austin,IN</t>
  </si>
  <si>
    <t>SY Bancorp,Louisville,KY</t>
  </si>
  <si>
    <t>Country Bank Shares Corp,WI</t>
  </si>
  <si>
    <t>First Federal Savings Bank,KY</t>
  </si>
  <si>
    <t>South Hillsborough Cmnty Bk,FL</t>
  </si>
  <si>
    <t>Provident Bancorp,OH</t>
  </si>
  <si>
    <t>BMC Bancshares Inc,Texas</t>
  </si>
  <si>
    <t>Hartsville Bancshares Inc,TN</t>
  </si>
  <si>
    <t>Independence Bancorp Inc,NJ</t>
  </si>
  <si>
    <t>Commerce Bancorp,New Jersey</t>
  </si>
  <si>
    <t>Mark Twain Bancshares,MO</t>
  </si>
  <si>
    <t>First-Knox Banc Corp</t>
  </si>
  <si>
    <t>Park National Corp,OH</t>
  </si>
  <si>
    <t>Citi-Bancshares Inc</t>
  </si>
  <si>
    <t>SJS Bancorp Inc,St Joseph,MI</t>
  </si>
  <si>
    <t>Shoreline Financial Corp,MI</t>
  </si>
  <si>
    <t>Farrington Bk,N Brunswick,NJ</t>
  </si>
  <si>
    <t>Merchants Bancshares Inc,MS</t>
  </si>
  <si>
    <t>West Coast Bancorp Inc,Florida</t>
  </si>
  <si>
    <t>Blue Ridge Bank,Sparta,NC</t>
  </si>
  <si>
    <t>FCFT Inc,Princeton,WV</t>
  </si>
  <si>
    <t>First Finl Corp of Wstn MD</t>
  </si>
  <si>
    <t>Peoples Bank of Unity,PA</t>
  </si>
  <si>
    <t>S&amp;T Bancorp Inc,Indiana,PA</t>
  </si>
  <si>
    <t>Farmers Bk of Mardela Springs</t>
  </si>
  <si>
    <t>First Valley Bank,Lompoc,CA</t>
  </si>
  <si>
    <t>Santa Barbara Bancorp,CA</t>
  </si>
  <si>
    <t>First Bankshares,Hapeville,GA</t>
  </si>
  <si>
    <t>California Coml Bankshares,CA</t>
  </si>
  <si>
    <t>Monarch Bancorp,California</t>
  </si>
  <si>
    <t>Financial Trust,Carlisle,PA</t>
  </si>
  <si>
    <t>Firstate Financial,Orlando,FL</t>
  </si>
  <si>
    <t>Republic Bank</t>
  </si>
  <si>
    <t>SB&amp;T Corp,Smyrna,Georgia</t>
  </si>
  <si>
    <t>Shawnee Bank,S Charleston,WV</t>
  </si>
  <si>
    <t>Southwest Bancshares,Arkansas</t>
  </si>
  <si>
    <t>First Capital Bancorp</t>
  </si>
  <si>
    <t>Liberty Bancorp Inc,Oklahoma</t>
  </si>
  <si>
    <t>Island National Bank &amp; Tr,FL</t>
  </si>
  <si>
    <t>Southeastern IN Bancorp,IN</t>
  </si>
  <si>
    <t>Central Texas Bancorp,Waco,TX</t>
  </si>
  <si>
    <t>County Bank of Chesterfield,VA</t>
  </si>
  <si>
    <t>Community Bankshares Inc,VA</t>
  </si>
  <si>
    <t>Central &amp; Southern Holding,GA</t>
  </si>
  <si>
    <t>Premier BancShares,Atlanta,GA</t>
  </si>
  <si>
    <t>Shawnee State Bank,Kansas</t>
  </si>
  <si>
    <t>Old North State Bank,NC</t>
  </si>
  <si>
    <t>LSB Bancshares,Lexington,NC</t>
  </si>
  <si>
    <t>Mercantile Bank,Sacramento,CA</t>
  </si>
  <si>
    <t>SierraWest Bancorp,Truckee,CA</t>
  </si>
  <si>
    <t>CB Financial Corp,Jackson,MI</t>
  </si>
  <si>
    <t>Lowcountry Savings Bank,SC</t>
  </si>
  <si>
    <t>Penncore Finl Svcs,Newtown,PA</t>
  </si>
  <si>
    <t>ML Bancorp,Villanova,PA</t>
  </si>
  <si>
    <t>First Central Corp,Searcy,AR</t>
  </si>
  <si>
    <t>Founders Bank,Bryn Mawr,PA</t>
  </si>
  <si>
    <t>First Commerce Banks of FL,FL</t>
  </si>
  <si>
    <t>First Patriot Bankshares,VA</t>
  </si>
  <si>
    <t>Lakeview Finl Corp,Lakeview,MI</t>
  </si>
  <si>
    <t>Firstbank Corp,Alma,Michigan</t>
  </si>
  <si>
    <t>Port St Lucie Natl Bk Hldg,FL</t>
  </si>
  <si>
    <t>Seacoast Bkg Corp of Florida</t>
  </si>
  <si>
    <t>Great Southern Bancorp,Florida</t>
  </si>
  <si>
    <t>NBC Financial Corp,Louisiana</t>
  </si>
  <si>
    <t>Pacific Century Financial Corp</t>
  </si>
  <si>
    <t>First Bank of West Hartford,CT</t>
  </si>
  <si>
    <t>Glendale Co-Operative Bank,MA</t>
  </si>
  <si>
    <t>Citizens Natl Bk of Darlington</t>
  </si>
  <si>
    <t>AmFirst Bancorp Inc,Everett,WA</t>
  </si>
  <si>
    <t>Cascade Financial Corp</t>
  </si>
  <si>
    <t>Bank of Commerce &amp; Trust,LA</t>
  </si>
  <si>
    <t>CB Bancorp,Michigan City,IN</t>
  </si>
  <si>
    <t>Broad Natl Bancorp,Newark,NJ</t>
  </si>
  <si>
    <t>Lafayette Bancshares Inc,MO</t>
  </si>
  <si>
    <t>Lexington B&amp;L Finl Corp,MO</t>
  </si>
  <si>
    <t>Fallbrook Natl Bk,Fallbrook,CA</t>
  </si>
  <si>
    <t>Bank of Commerce,San Diego,CA</t>
  </si>
  <si>
    <t>PEMI Bancorp Inc,Plymouth,NH</t>
  </si>
  <si>
    <t>Berlin City National Bank</t>
  </si>
  <si>
    <t>Security Capital,Milwaukee,WI</t>
  </si>
  <si>
    <t>Bank Corp of Georgia,Macon,GA</t>
  </si>
  <si>
    <t>First Houston Bancshares,Texas</t>
  </si>
  <si>
    <t>Fredonia Bancshares Inc,Texas</t>
  </si>
  <si>
    <t>Peoples Bk of Elkton,Elkton,MD</t>
  </si>
  <si>
    <t>US Bancorp,Minneapolis,MN</t>
  </si>
  <si>
    <t>Goleta National Bank,Goleta,CA</t>
  </si>
  <si>
    <t>Los Robles Bancorp,California</t>
  </si>
  <si>
    <t>Bk of Mecklenburg,Charlotte,NC</t>
  </si>
  <si>
    <t>Peoples Bancshares,Kansas</t>
  </si>
  <si>
    <t>Gold Banc Corp Inc,Leawood,KS</t>
  </si>
  <si>
    <t>Gateway Bancorp,KY</t>
  </si>
  <si>
    <t>Pinemont Bank,Houston,TX</t>
  </si>
  <si>
    <t>Southwest Bancorp of Texas,TX</t>
  </si>
  <si>
    <t>SC Bancorp,Anaheim,California</t>
  </si>
  <si>
    <t>Western Bancorp,California</t>
  </si>
  <si>
    <t>Cardinal Bancshares,Kentucky</t>
  </si>
  <si>
    <t>Area Bancshares Corp,Kentucky</t>
  </si>
  <si>
    <t>Continental Bk,Garden City,NY</t>
  </si>
  <si>
    <t>Reliance Bancorp Inc,New York</t>
  </si>
  <si>
    <t>Executive Bancshares,Paris,TX</t>
  </si>
  <si>
    <t>Indian Rocks State Bank</t>
  </si>
  <si>
    <t>Josephine Bancshares Inc,KY</t>
  </si>
  <si>
    <t>Beckley Bancorp Inc,Beckley,WV</t>
  </si>
  <si>
    <t>Florida Gulfcoast Bancorp,FL</t>
  </si>
  <si>
    <t>Provident Financial Group Inc</t>
  </si>
  <si>
    <t>Sun State Capital,Las Vegas,NV</t>
  </si>
  <si>
    <t>Great Lakes Natl Bk Ohio,Ohio</t>
  </si>
  <si>
    <t>Pacific National Corp,MA</t>
  </si>
  <si>
    <t>BankBoston Corp,Boston,MA</t>
  </si>
  <si>
    <t>Unicorp Bancshares-Texas,TX</t>
  </si>
  <si>
    <t>Sabina Bank,Sabina,Ohio</t>
  </si>
  <si>
    <t>PTC Bancorp,Brookville,Indiana</t>
  </si>
  <si>
    <t>Indiana United Bancorp,IN</t>
  </si>
  <si>
    <t>Citizens State Bank,CA</t>
  </si>
  <si>
    <t>Peoples Bank, Catawba, NC</t>
  </si>
  <si>
    <t>Carolina First Bancshares,NC</t>
  </si>
  <si>
    <t>High Desert National Bk,CA</t>
  </si>
  <si>
    <t>Business Bank of California</t>
  </si>
  <si>
    <t>Professional Bank,Glendale,CO</t>
  </si>
  <si>
    <t>First of America Bank-Florida</t>
  </si>
  <si>
    <t>Ballston Bancorp,Arlington,VA</t>
  </si>
  <si>
    <t>Abigail Adams National Bancorp</t>
  </si>
  <si>
    <t>Culver National Bank,Culver</t>
  </si>
  <si>
    <t>Bank of Los Angeles,CA</t>
  </si>
  <si>
    <t>SparBank Inc,McHenry,Illinois</t>
  </si>
  <si>
    <t>American National Bancorp,MD</t>
  </si>
  <si>
    <t>Dadeland Bancshares,Miami,FL</t>
  </si>
  <si>
    <t>Atlantic Bancorp,Portland,ME</t>
  </si>
  <si>
    <t>Central Fidelity Banks Inc,VA</t>
  </si>
  <si>
    <t>Citizens Gwinnett Bankshares</t>
  </si>
  <si>
    <t>Commerce Bank,College Park,MD</t>
  </si>
  <si>
    <t>Heritage Bancorp,Montana</t>
  </si>
  <si>
    <t>United Financial Corp,MT</t>
  </si>
  <si>
    <t>ASB Bancshares Inc,Ashville,AL</t>
  </si>
  <si>
    <t>Highland Fed Bk,CA-CA Branch</t>
  </si>
  <si>
    <t>Pacific State Bk,Reedsport,OR</t>
  </si>
  <si>
    <t>Security Bank Holding,OR</t>
  </si>
  <si>
    <t>Farmers Bancshares Inc,KS</t>
  </si>
  <si>
    <t>South Florida Banking Corp,FL</t>
  </si>
  <si>
    <t>First American Bancorp,AL</t>
  </si>
  <si>
    <t>First Commercial Bancorp,CA</t>
  </si>
  <si>
    <t>Sky Valley Bank Corp,Colorado</t>
  </si>
  <si>
    <t>Tysons Financial Corp,VA</t>
  </si>
  <si>
    <t>UniBank,Steubenville,Ohio</t>
  </si>
  <si>
    <t>Surety Bank,Vallejo,California</t>
  </si>
  <si>
    <t>Horizon Bancorp,Arkadelphia,AR</t>
  </si>
  <si>
    <t>Mercantile Bank of Southwest</t>
  </si>
  <si>
    <t>Santa Monica Bank</t>
  </si>
  <si>
    <t>Colonial Bkg Co,Grants Pass,OR</t>
  </si>
  <si>
    <t>VRB Bancorp, Rogue River, OR</t>
  </si>
  <si>
    <t>Capital Bancorp,Florida</t>
  </si>
  <si>
    <t>Covenant Bancorp,New Jersey</t>
  </si>
  <si>
    <t>GSB Investments,Gainesville,FL</t>
  </si>
  <si>
    <t>Bank of Southington</t>
  </si>
  <si>
    <t>West Coast Bank of Sarasota</t>
  </si>
  <si>
    <t>Gateway Bancshares,McMechen,WV</t>
  </si>
  <si>
    <t>Coml Bancshares,Parkersburg,WV</t>
  </si>
  <si>
    <t>Keystone Heritage Group</t>
  </si>
  <si>
    <t>Liberty Financial Corp</t>
  </si>
  <si>
    <t>Commercial Federal,Omaha,NE</t>
  </si>
  <si>
    <t>Greenville Financial Corp,SC</t>
  </si>
  <si>
    <t>First National Summit,CO</t>
  </si>
  <si>
    <t>Community Bancorp,Pullman,WA</t>
  </si>
  <si>
    <t>United Security Bancorp,WA</t>
  </si>
  <si>
    <t>Republic National Bancorp,AZ</t>
  </si>
  <si>
    <t>Harbor Bancorp,Long Beach,CA</t>
  </si>
  <si>
    <t>First Bank of the Americas</t>
  </si>
  <si>
    <t>Oswego County Svgs Bk,NY</t>
  </si>
  <si>
    <t>Oswego City Svgs Bk,Oswego,NY</t>
  </si>
  <si>
    <t>Brownsville Bancshares,Texas</t>
  </si>
  <si>
    <t>Texas Regional Bancshares,TX</t>
  </si>
  <si>
    <t>Peninsula Bank of Commerce,CA</t>
  </si>
  <si>
    <t>TB&amp;T Bancshares,Brownsville,TX</t>
  </si>
  <si>
    <t>Florida Security Holding,FL</t>
  </si>
  <si>
    <t>Smith Cnty Bk,Taylorsville,MS</t>
  </si>
  <si>
    <t>United American Holding Corp</t>
  </si>
  <si>
    <t>First Central Bank,Florida</t>
  </si>
  <si>
    <t>BANC ONE Corp,Columbus,Ohio-37</t>
  </si>
  <si>
    <t>NationsBbank-Oklahoma Br(10)</t>
  </si>
  <si>
    <t>First National Bank Shares</t>
  </si>
  <si>
    <t>Metropolitan State Bank,NJ</t>
  </si>
  <si>
    <t>Lakeland Bancorp Inc</t>
  </si>
  <si>
    <t>Community Svgs Bk,Bristol,CT</t>
  </si>
  <si>
    <t>Cardinal State Bank,OH</t>
  </si>
  <si>
    <t>Ameriana Bancorp</t>
  </si>
  <si>
    <t>Richmond Bancorp,Richmond,IL</t>
  </si>
  <si>
    <t>Pacific Bay Bank,San Pablo,CA</t>
  </si>
  <si>
    <t>First United Bancorp,SC</t>
  </si>
  <si>
    <t>Murdock Florida Bank,Charlotte</t>
  </si>
  <si>
    <t>Tri-State Finance,Denver,CO</t>
  </si>
  <si>
    <t>Victory Bancshares,Memphis,TN</t>
  </si>
  <si>
    <t>Union State Bank,Payne,Ohio</t>
  </si>
  <si>
    <t>First Community Bancshares,TN</t>
  </si>
  <si>
    <t>Chippewa Valley Bancshares,OH</t>
  </si>
  <si>
    <t>Wayne Bancorp Inc,Wooster,OH</t>
  </si>
  <si>
    <t>Texstar National Bk,Texas</t>
  </si>
  <si>
    <t>First of America Bk-FL,Florida</t>
  </si>
  <si>
    <t>Upper Valley Bancorp Inc</t>
  </si>
  <si>
    <t>First Jermyn Corp,Jermyn,PA</t>
  </si>
  <si>
    <t>Guaranty State Bancorp,NC</t>
  </si>
  <si>
    <t>Freedom Bancshares,Kansas</t>
  </si>
  <si>
    <t>First Republic Bancshares,LA</t>
  </si>
  <si>
    <t>CSB Bancorp,Petersburg,Indiana</t>
  </si>
  <si>
    <t>Green Country Bank,Miami,OK</t>
  </si>
  <si>
    <t>Local Financial Corp,OK</t>
  </si>
  <si>
    <t>Firstshares of Texas Inc,TX</t>
  </si>
  <si>
    <t>Regency Financial Shares,VA</t>
  </si>
  <si>
    <t>Peoples State Bank,PA</t>
  </si>
  <si>
    <t>Community Banks Inc,PA</t>
  </si>
  <si>
    <t>Life Bancorp Inc</t>
  </si>
  <si>
    <t>BB&amp;T Corp.</t>
  </si>
  <si>
    <t>Pittsburg Bancshares Inc,KS</t>
  </si>
  <si>
    <t>Centennial Holdings,Olympia,WA</t>
  </si>
  <si>
    <t>Ohio River Bank,Ironton,OH</t>
  </si>
  <si>
    <t>CoBancorp Inc</t>
  </si>
  <si>
    <t>FirstMerit Corp</t>
  </si>
  <si>
    <t>Shelby Financial Corp,Ohio</t>
  </si>
  <si>
    <t>St Mary Holding Corp</t>
  </si>
  <si>
    <t>Bank of America,CA-Branches(4)</t>
  </si>
  <si>
    <t>Six Rivers National Bank,CA</t>
  </si>
  <si>
    <t>Ameribank Bancshares Inc,FL</t>
  </si>
  <si>
    <t>Century Finl Corp,Rochester,PA</t>
  </si>
  <si>
    <t>Raymondville Bancorp Inc,TX</t>
  </si>
  <si>
    <t>BCB Financial Services Corp,PA</t>
  </si>
  <si>
    <t>Heritage Bancorp,Pottsville,PA</t>
  </si>
  <si>
    <t>Heartland Cmnty Bk,Camden,AR</t>
  </si>
  <si>
    <t>Bank of the Ozarks Inc</t>
  </si>
  <si>
    <t>Marshall National Bk &amp; Tr,VA</t>
  </si>
  <si>
    <t>First Bank of Deer Park,TX</t>
  </si>
  <si>
    <t>Bay Bancshares,Laporte,Texas</t>
  </si>
  <si>
    <t>Texas Natl Bank of Baytown,TX</t>
  </si>
  <si>
    <t>Towne Bancorp Inc,OH</t>
  </si>
  <si>
    <t>BancSecurity Corp,IA</t>
  </si>
  <si>
    <t>First Alma Bancshares Inc,KS</t>
  </si>
  <si>
    <t>Merchants &amp; Planters,AL</t>
  </si>
  <si>
    <t>Peoples BancTrust,Selma,AL</t>
  </si>
  <si>
    <t>Peoples Bank of Virginia</t>
  </si>
  <si>
    <t>Capital State Bank Inc,WV</t>
  </si>
  <si>
    <t>South Branch Valley Bancorp,WV</t>
  </si>
  <si>
    <t>Louisiana National Security</t>
  </si>
  <si>
    <t>Haymarket Cooperative Bank</t>
  </si>
  <si>
    <t>Century Bancorp Inc,Medford,MA</t>
  </si>
  <si>
    <t>First State Corp,Albany,Ga</t>
  </si>
  <si>
    <t>Bank of Alexandria,Alexandria,</t>
  </si>
  <si>
    <t>Elmore County Bancshares Inc,</t>
  </si>
  <si>
    <t>Lanier Bank &amp; Trust,Cumming,GA</t>
  </si>
  <si>
    <t>NCF Financial Corp</t>
  </si>
  <si>
    <t>Community Bank Shares of IN</t>
  </si>
  <si>
    <t>BANC ONE-West Virginia Br(17)</t>
  </si>
  <si>
    <t>Community Trust Bancorp,KY</t>
  </si>
  <si>
    <t>Central Bank,Miami,FL</t>
  </si>
  <si>
    <t>BankUnited Financial Corp,FL</t>
  </si>
  <si>
    <t>SBT Bancshares,Colorado</t>
  </si>
  <si>
    <t>Sterling West Bancorp,CA</t>
  </si>
  <si>
    <t>Hub Financial Corp,Helena,MT</t>
  </si>
  <si>
    <t>Pee Dee State Bank,SC</t>
  </si>
  <si>
    <t>State Savings Co,Columbus,OH</t>
  </si>
  <si>
    <t>Sunbelt Natl Bk of Houston,TX</t>
  </si>
  <si>
    <t>Prime Bancshares Inc,Texas</t>
  </si>
  <si>
    <t>Bank of Mingo,Naugatuck,WV</t>
  </si>
  <si>
    <t>CB&amp;T Inc</t>
  </si>
  <si>
    <t>Miners Bank of Lykens</t>
  </si>
  <si>
    <t>Mid Penn Bancorp Inc,PA</t>
  </si>
  <si>
    <t>Bainbridge National Bank</t>
  </si>
  <si>
    <t>Etowah Bank,Canton,Georgia</t>
  </si>
  <si>
    <t>Merchants Bancshares Inc,TX</t>
  </si>
  <si>
    <t>Ambassador Bk of Commonwealth</t>
  </si>
  <si>
    <t>Bancshares of West Memphis Inc</t>
  </si>
  <si>
    <t>Routt County National Bank</t>
  </si>
  <si>
    <t>Jersey Bank of Savings,NJ</t>
  </si>
  <si>
    <t>Interchange Financial Svcs,NJ</t>
  </si>
  <si>
    <t>DNB Financial,Riverside,CA</t>
  </si>
  <si>
    <t>BYL Bancorp,Orange,CA</t>
  </si>
  <si>
    <t>Southern Ohio Community</t>
  </si>
  <si>
    <t>United Bancorp Inc,OH</t>
  </si>
  <si>
    <t>BSM Bancorp,Santa Maria,CA</t>
  </si>
  <si>
    <t>Mid-State Bk,Arroya Grande,CA</t>
  </si>
  <si>
    <t>American Banks of Florida</t>
  </si>
  <si>
    <t>Glen Burnie Bancorp,MD</t>
  </si>
  <si>
    <t>First Mariner Bancorp,MD</t>
  </si>
  <si>
    <t>Seminole Bank,Seminole,FL</t>
  </si>
  <si>
    <t>KeyCorp NA-Branches(33)</t>
  </si>
  <si>
    <t>Sterling Financial Corp</t>
  </si>
  <si>
    <t>Button Gwinnett Financial</t>
  </si>
  <si>
    <t>Peoples Hldg,Minden,Louisiana</t>
  </si>
  <si>
    <t>Rancho Vista Natl Bk,Vista,CA</t>
  </si>
  <si>
    <t>Bankers Savings Bank,FL</t>
  </si>
  <si>
    <t>Republic Bancshares Inc,FL</t>
  </si>
  <si>
    <t>Bryan Bancorp of Georgia Inc</t>
  </si>
  <si>
    <t>Savannah Bancorp,Savannah,GA</t>
  </si>
  <si>
    <t>First Community Banking Svcs</t>
  </si>
  <si>
    <t>National Bancorp,Tell City,ID</t>
  </si>
  <si>
    <t>Olde Port Bank and Trust,NH</t>
  </si>
  <si>
    <t>Overton Bancshares,Fort Worth</t>
  </si>
  <si>
    <t>Sandwich Bancorp,Sandwich,MA</t>
  </si>
  <si>
    <t>Cape Cod Bank &amp; Trust,MA</t>
  </si>
  <si>
    <t>Humble National Bank,Houston</t>
  </si>
  <si>
    <t>Jacobs Bank,Scottsboro,Alabama</t>
  </si>
  <si>
    <t>PNC Bank Corp-Branches(16),</t>
  </si>
  <si>
    <t>First Western Bancorp Inc,PA</t>
  </si>
  <si>
    <t>Rappahannock Bancshares,VA</t>
  </si>
  <si>
    <t>Union Bankshares Corp,VA</t>
  </si>
  <si>
    <t>Commercial Bank of Nevada</t>
  </si>
  <si>
    <t>Public Service Bank FSB</t>
  </si>
  <si>
    <t>Southside Bancshares Corp</t>
  </si>
  <si>
    <t>Trustbank Financial Corp</t>
  </si>
  <si>
    <t>Community Financial Hldg,NJ</t>
  </si>
  <si>
    <t>Public Bank Corp,St Cloud,FL</t>
  </si>
  <si>
    <t>Community First Financial,KY</t>
  </si>
  <si>
    <t>Bank of South Windsor,Windsor</t>
  </si>
  <si>
    <t>Grant National Bank,Ephrata,WA</t>
  </si>
  <si>
    <t>Village Bankshares Inc,FL</t>
  </si>
  <si>
    <t>Sumitomo Bank of California</t>
  </si>
  <si>
    <t>CNB Holding Co</t>
  </si>
  <si>
    <t>Dime Financial Corp</t>
  </si>
  <si>
    <t>CFX Corp,Keene,NH-Branches(5)</t>
  </si>
  <si>
    <t>Citizens Holding Co</t>
  </si>
  <si>
    <t>FNB Corp</t>
  </si>
  <si>
    <t>Enfin Inc,Solon,Ohio</t>
  </si>
  <si>
    <t>Second Bancorp Inc,Warren,OH</t>
  </si>
  <si>
    <t>Star Banc Corp,Cincinnati,OH</t>
  </si>
  <si>
    <t>Finl Svcs Corp of the Midwest</t>
  </si>
  <si>
    <t>ComSouth Bankshares Inc</t>
  </si>
  <si>
    <t>Anchor Financial Corp</t>
  </si>
  <si>
    <t>Community Bank &amp; Trust Co,NC</t>
  </si>
  <si>
    <t>First Capitol Bank,York,PA</t>
  </si>
  <si>
    <t>Douglas National Bank,Tecumseh</t>
  </si>
  <si>
    <t>South Umpqua Bank,Oregon</t>
  </si>
  <si>
    <t>Virginia Heartland Bank</t>
  </si>
  <si>
    <t>Virginia Commonwealth Finl</t>
  </si>
  <si>
    <t>First Evergreen Corp,IL</t>
  </si>
  <si>
    <t>Hoosier Hills Financial,IN</t>
  </si>
  <si>
    <t>Jackson Savings Bank,Jackson</t>
  </si>
  <si>
    <t>Ohio Valley Bancorp,OH</t>
  </si>
  <si>
    <t>Big Sky Bancorp Inc,MT</t>
  </si>
  <si>
    <t>First State Bank,MT</t>
  </si>
  <si>
    <t>Pacific Commerce Bank,CA</t>
  </si>
  <si>
    <t>Scripps Bank,La Jolla,CA</t>
  </si>
  <si>
    <t>Macon Bank Inc</t>
  </si>
  <si>
    <t>Palomar Savings &amp; Loan,CA</t>
  </si>
  <si>
    <t>Community West Bancshares</t>
  </si>
  <si>
    <t>Eagle Bancorp,Statesboro,GA</t>
  </si>
  <si>
    <t>Farmers State Bancshares,KS</t>
  </si>
  <si>
    <t>Tri-County Bancshares Inc,KS</t>
  </si>
  <si>
    <t>M&amp;M Financial Corp,Marion,SC</t>
  </si>
  <si>
    <t>Merchants Capital Corp</t>
  </si>
  <si>
    <t>Firstbank,Dallas,TX</t>
  </si>
  <si>
    <t>First Financial Bancorp,Iowa</t>
  </si>
  <si>
    <t>First Financial Bancorp,IL</t>
  </si>
  <si>
    <t>Blackhawk Bancorp Inc</t>
  </si>
  <si>
    <t>Kersey Bancorp Inc</t>
  </si>
  <si>
    <t>First National Bank of Pickens</t>
  </si>
  <si>
    <t>Commerce Bancorp,Seattle,WA</t>
  </si>
  <si>
    <t>VB&amp;T Banchshares,Valdosta,GA</t>
  </si>
  <si>
    <t>Summit Bankshares Inc,Raphine</t>
  </si>
  <si>
    <t>Northwest Bancshares,TX</t>
  </si>
  <si>
    <t>First State Bancorp,Pittsburg</t>
  </si>
  <si>
    <t>1st Bancorp Vienna Inc,Vienna</t>
  </si>
  <si>
    <t>Alvin Bancshares,Alvin,Texas</t>
  </si>
  <si>
    <t>Princeton Federal Bank,KY</t>
  </si>
  <si>
    <t>Prime Bank of Central Florida</t>
  </si>
  <si>
    <t>Middle Tennessee Bank,TN</t>
  </si>
  <si>
    <t>Mountain Bancshares Inc,AR</t>
  </si>
  <si>
    <t>Colonial Bank of SC Inc</t>
  </si>
  <si>
    <t>Southern Bancshares,Illinois</t>
  </si>
  <si>
    <t>BancWest Corp,San Francisco,CA</t>
  </si>
  <si>
    <t>Lake Community Bk,Lakeport,CA</t>
  </si>
  <si>
    <t>Western Sierra Bancorp,CA</t>
  </si>
  <si>
    <t>Azle Bancorp,Azle,Texas</t>
  </si>
  <si>
    <t>Wayne Bancorp Inc,Wayne,NJ</t>
  </si>
  <si>
    <t>United Bancorp,Roseburg,OR</t>
  </si>
  <si>
    <t>Cowlitz Bancorp</t>
  </si>
  <si>
    <t>Citizens Bancorp,Marianna,FL</t>
  </si>
  <si>
    <t>Peoples National Bank</t>
  </si>
  <si>
    <t>Community Financial Corp</t>
  </si>
  <si>
    <t>Redwood Bancorp,CA</t>
  </si>
  <si>
    <t>Wells Fargo &amp; Co</t>
  </si>
  <si>
    <t>CSB Financial Corp,Tennessee</t>
  </si>
  <si>
    <t>Hometown Bancshares Inc</t>
  </si>
  <si>
    <t>Roseville 1st Community,CA</t>
  </si>
  <si>
    <t>Whatcom State Bancorp Inc</t>
  </si>
  <si>
    <t>BankSouth Corp,Oklahoma</t>
  </si>
  <si>
    <t>Duck Hill Bank</t>
  </si>
  <si>
    <t>NSS Bancorp,Norwalk,CT</t>
  </si>
  <si>
    <t>Little Mountain Bancshares Inc</t>
  </si>
  <si>
    <t>Republic Bank of Torrance,CA</t>
  </si>
  <si>
    <t>Capital Bank,Rockville,MD</t>
  </si>
  <si>
    <t>1st Bancorp,Vincennes,Indiana</t>
  </si>
  <si>
    <t>State Bank of South Orange</t>
  </si>
  <si>
    <t>Gold Country National Bank</t>
  </si>
  <si>
    <t>American River Holdings,CA</t>
  </si>
  <si>
    <t>Poinsett Financial Corp</t>
  </si>
  <si>
    <t>MarTex Bancshares,Pittsburg,TX</t>
  </si>
  <si>
    <t>BankBoston-Berkshire County</t>
  </si>
  <si>
    <t>Arizona Bank,Tuscon,AZ</t>
  </si>
  <si>
    <t>Commercial National Bank,AL</t>
  </si>
  <si>
    <t>Frederica Bank &amp; Trust,GA</t>
  </si>
  <si>
    <t>Downstate Banking Co</t>
  </si>
  <si>
    <t>Progressive Bancshares Inc</t>
  </si>
  <si>
    <t>Southwest National Corp,PA</t>
  </si>
  <si>
    <t>Bullsboro BancShares,GA</t>
  </si>
  <si>
    <t>Elverson National Bank</t>
  </si>
  <si>
    <t>Ohio Bank,Findlay,Ohio</t>
  </si>
  <si>
    <t>St James Bancorp,Lutcher,LA</t>
  </si>
  <si>
    <t>American Bancshares Arkansas</t>
  </si>
  <si>
    <t>First National Bank of Spring</t>
  </si>
  <si>
    <t>Penns Woods Bancorp Inc,PA</t>
  </si>
  <si>
    <t>First Nat'l Corp,West Point,MS</t>
  </si>
  <si>
    <t>NBC Capital Corp</t>
  </si>
  <si>
    <t>Patriot Bank Corp,Pottstown,PA</t>
  </si>
  <si>
    <t>Northern Lehigh Bancorp Inc,PA</t>
  </si>
  <si>
    <t>First Guaranty Bank,Hammond</t>
  </si>
  <si>
    <t>Valley Bancorp,Sumner,WA</t>
  </si>
  <si>
    <t>Frontier Finl Corp,Everett,WA</t>
  </si>
  <si>
    <t>American Independent Bank</t>
  </si>
  <si>
    <t>First Coastal Bankshares Inc</t>
  </si>
  <si>
    <t>First National Bank of Tampa</t>
  </si>
  <si>
    <t>Florida Banks Inc,FL</t>
  </si>
  <si>
    <t>Arkansas Banking,Jonesboro,AR</t>
  </si>
  <si>
    <t>Southeast Bancorp Inc,KY</t>
  </si>
  <si>
    <t>Signal Corp,Wooster,OH</t>
  </si>
  <si>
    <t>Community First Banking Co</t>
  </si>
  <si>
    <t>Skylands Community Bank</t>
  </si>
  <si>
    <t>Little Falls Bancorp Inc</t>
  </si>
  <si>
    <t>Harbor Bancorp Inc,Grays</t>
  </si>
  <si>
    <t>Guaranty Bank &amp; Trust Co</t>
  </si>
  <si>
    <t>Jay Financial Corp,Portland,IN</t>
  </si>
  <si>
    <t>Anderson Cmnty Bank,Anderson</t>
  </si>
  <si>
    <t>Lincoln Bancshares Inc,AR</t>
  </si>
  <si>
    <t>Peoples Bancorp of Winchester</t>
  </si>
  <si>
    <t>MainStreet Financial Corp</t>
  </si>
  <si>
    <t>Ready State Bank of Hialeah</t>
  </si>
  <si>
    <t>Eagle Holding Co</t>
  </si>
  <si>
    <t>Citizens Bancorp Inc,Tulsa,OK</t>
  </si>
  <si>
    <t>Monocacy Bancshares Inc</t>
  </si>
  <si>
    <t>First Chicago NBD-Branches(51)</t>
  </si>
  <si>
    <t>First Bolivar Capital Corp</t>
  </si>
  <si>
    <t>First M&amp;F Corp,Kosciusko,MS</t>
  </si>
  <si>
    <t>Antelope Valley Bank,CA</t>
  </si>
  <si>
    <t>El Dorado Bancshares Inc,CA</t>
  </si>
  <si>
    <t>Prestige Financial Corp</t>
  </si>
  <si>
    <t>Community Bank of Naples</t>
  </si>
  <si>
    <t>Enterprise Federal Bancorp,OH</t>
  </si>
  <si>
    <t>Washington Indep Bancshares</t>
  </si>
  <si>
    <t>Evergreen Bank NA,Wisconsin</t>
  </si>
  <si>
    <t>Baylake Corp</t>
  </si>
  <si>
    <t>Windsor Bancshares Inc,MN</t>
  </si>
  <si>
    <t>Mt Vernon Bancshares Inc,KY</t>
  </si>
  <si>
    <t>PNB Financial Group</t>
  </si>
  <si>
    <t>Mayflower Co-Operative Bank</t>
  </si>
  <si>
    <t>First Finan Corp,Providence,RI</t>
  </si>
  <si>
    <t>Sterling Bancorp,Baltimore,MD</t>
  </si>
  <si>
    <t>Big Sky Wstn Bk,Big Sky,MT</t>
  </si>
  <si>
    <t>Farmers State Bancorp,OH</t>
  </si>
  <si>
    <t>ANB Corp</t>
  </si>
  <si>
    <t>Wayne Bancorp,Jesup,Georgia</t>
  </si>
  <si>
    <t>First Banking Co of Southeast</t>
  </si>
  <si>
    <t>Inter-City Federal Bank,MI</t>
  </si>
  <si>
    <t>South Florida Bank Hldg Corp</t>
  </si>
  <si>
    <t>Sweet Water Bancshares Inc</t>
  </si>
  <si>
    <t>Homebanc Corp,Guntersville,AL</t>
  </si>
  <si>
    <t>Security Bank Corp</t>
  </si>
  <si>
    <t>Bancwest Finl Corp,WA</t>
  </si>
  <si>
    <t>Commercial Bancshares</t>
  </si>
  <si>
    <t>Banc Corp,Birmingham,Alabama</t>
  </si>
  <si>
    <t>First Citizens Bancorp of AL</t>
  </si>
  <si>
    <t>La Place Bancshares Inc,LA</t>
  </si>
  <si>
    <t>Maple Leaf Financial Inc,Ohio</t>
  </si>
  <si>
    <t>GLB Bancorp Inc,Mentor,OH</t>
  </si>
  <si>
    <t>Chase Bank of TX-Beaumont Op</t>
  </si>
  <si>
    <t>FSB Inc,Covington,TN</t>
  </si>
  <si>
    <t>High Point Financial Corp</t>
  </si>
  <si>
    <t>FNB Rochester Corp,NY</t>
  </si>
  <si>
    <t>M&amp;T Bank Corp,Buffalo,New York</t>
  </si>
  <si>
    <t>First Philson Financial Corp</t>
  </si>
  <si>
    <t>Sky Financial Group Inc,</t>
  </si>
  <si>
    <t>Vermont Financial Services,VT</t>
  </si>
  <si>
    <t>Sand Ridge Financial Corp,</t>
  </si>
  <si>
    <t>Wood Bancorp,Bowling Green,OH</t>
  </si>
  <si>
    <t>Ramapo Financial Corp</t>
  </si>
  <si>
    <t>Seaport Citizens Bank,Idaho</t>
  </si>
  <si>
    <t>First Washington Bancorp Inc</t>
  </si>
  <si>
    <t>Hebron Bancorp Inc,KY</t>
  </si>
  <si>
    <t>First Carolina Fed Svgs,NC</t>
  </si>
  <si>
    <t>First National Bank,Shelby,NC</t>
  </si>
  <si>
    <t>Merchants Shenandoah Bancorp</t>
  </si>
  <si>
    <t>First Leesport Bancorp Inc</t>
  </si>
  <si>
    <t>Clearfield Bank and Trust,PA</t>
  </si>
  <si>
    <t>Penn Laurel Financial Corp</t>
  </si>
  <si>
    <t>Bellingham Bancorp</t>
  </si>
  <si>
    <t>Horizon Financial Corp,WA</t>
  </si>
  <si>
    <t>Riverton State Bank Holding</t>
  </si>
  <si>
    <t>Skaneateles Bancorp Inc</t>
  </si>
  <si>
    <t>BSB Bancorp Inc,Binghamton,NY</t>
  </si>
  <si>
    <t>Bay Area Bancshares,CA</t>
  </si>
  <si>
    <t>Citizens First National Bk,FL</t>
  </si>
  <si>
    <t>BB&amp;T Corp</t>
  </si>
  <si>
    <t>C&amp;L Bank of Blountstown,FL</t>
  </si>
  <si>
    <t>C&amp;L Bank Corp,Bristol,FL</t>
  </si>
  <si>
    <t>First Central Bank,LA,CA</t>
  </si>
  <si>
    <t>East West Bancorp Inc</t>
  </si>
  <si>
    <t>Independence Cmnty Bk Corp,NY</t>
  </si>
  <si>
    <t>Grady Holding Co,Cairo,Georgia</t>
  </si>
  <si>
    <t>Capital City Bank Group,FL</t>
  </si>
  <si>
    <t>Emerald Coast Bancshares,FL</t>
  </si>
  <si>
    <t>Exchange Bank of Kingstree,Sc</t>
  </si>
  <si>
    <t>First Citizens Bancorp SC</t>
  </si>
  <si>
    <t>State Bank of Remington,VA</t>
  </si>
  <si>
    <t>Republic Banking Corp,Miami,FL</t>
  </si>
  <si>
    <t>Damen Financial Corp</t>
  </si>
  <si>
    <t>Midcity Financial Corp</t>
  </si>
  <si>
    <t>First Natl Bank,Spangler,PA</t>
  </si>
  <si>
    <t>CNB Financial Corp</t>
  </si>
  <si>
    <t>Pierbank,South Kingstown,RI</t>
  </si>
  <si>
    <t>Matewan Bancshares Inc</t>
  </si>
  <si>
    <t>FirstBancorp Inc,Beaufort,SC</t>
  </si>
  <si>
    <t>First National Corp,SC</t>
  </si>
  <si>
    <t>First Frederick Financial Corp</t>
  </si>
  <si>
    <t>First Waukegan Corp,Illinois</t>
  </si>
  <si>
    <t>Farmers State Bank,Illinois</t>
  </si>
  <si>
    <t>Illini Corp,Springfield,IL</t>
  </si>
  <si>
    <t>Citrus Bk of Orlando,FL</t>
  </si>
  <si>
    <t>Horizon Bank of Virginia</t>
  </si>
  <si>
    <t>Southern Finl Bancorp Inc,VA</t>
  </si>
  <si>
    <t>First Bank of Philadelphia</t>
  </si>
  <si>
    <t>PSB Bancorp,Philadelphia,PA</t>
  </si>
  <si>
    <t>Merit Holding Corp,Tucker,GA</t>
  </si>
  <si>
    <t>Ready Bank of West Florida</t>
  </si>
  <si>
    <t>CNBT Bancshares Inc,Bellaire</t>
  </si>
  <si>
    <t>North Fulton Bancshares,GA</t>
  </si>
  <si>
    <t>Potomac Valley Bank,Petersburg</t>
  </si>
  <si>
    <t>Statewide Financial Corp,NJ</t>
  </si>
  <si>
    <t>City Commerce Bank,CA</t>
  </si>
  <si>
    <t>Farmers &amp; Merchants Bank,GA</t>
  </si>
  <si>
    <t>Harlingen Bancshares Inc,TX</t>
  </si>
  <si>
    <t>First American Financial,TX</t>
  </si>
  <si>
    <t>Regency Bancorp,Fresno,CA</t>
  </si>
  <si>
    <t>Bay Commercial Services,CA</t>
  </si>
  <si>
    <t>Pioneer Bancorp,Reno,Nevada</t>
  </si>
  <si>
    <t>Valley National Corp,CA</t>
  </si>
  <si>
    <t>Humboldt Bancorp,Eureka,CA</t>
  </si>
  <si>
    <t>Orange National Bancorp</t>
  </si>
  <si>
    <t>Black Diamond Savings Bank</t>
  </si>
  <si>
    <t>FNB Financial Services Corp,NC</t>
  </si>
  <si>
    <t>Gloversville Federal Savings</t>
  </si>
  <si>
    <t>CNB Bancorp,Gloversville,NY</t>
  </si>
  <si>
    <t>American Pacific State Bank,CA</t>
  </si>
  <si>
    <t>Mahoning National Bancorp</t>
  </si>
  <si>
    <t>Hartland Bank NA</t>
  </si>
  <si>
    <t>South Texas Bancshares,TX</t>
  </si>
  <si>
    <t>Prosperity Bancshares Inc,TX</t>
  </si>
  <si>
    <t>Southern Jersey Bancorp,NJ</t>
  </si>
  <si>
    <t>Eagle Bancgroup,Bloomington,IL</t>
  </si>
  <si>
    <t>First Busey Corp,Urbana,Il</t>
  </si>
  <si>
    <t>LCB Corp,Fayetteville,TN</t>
  </si>
  <si>
    <t>Peoples Bank Corp,Indiana</t>
  </si>
  <si>
    <t>Minden Bancshares Inc,LA</t>
  </si>
  <si>
    <t>Western Bancshares,NM</t>
  </si>
  <si>
    <t>KSB Bancorp Inc,Kingfield,ME</t>
  </si>
  <si>
    <t>Camden National Corp,Camden,ME</t>
  </si>
  <si>
    <t>Letchworth Independent Bancshs</t>
  </si>
  <si>
    <t>Tompkins TrustCo Inc,NY</t>
  </si>
  <si>
    <t>Haywood Bancshares Inc</t>
  </si>
  <si>
    <t>JSB Financial Inc,Lynbrook,NY</t>
  </si>
  <si>
    <t>Lake Ariel Bancorp Inc,PA</t>
  </si>
  <si>
    <t>Anson Bancorp Inc,Wadesboro,NC</t>
  </si>
  <si>
    <t>Uwharrie Capital Corp,NC</t>
  </si>
  <si>
    <t>Horizon Bancshares Inc,FL</t>
  </si>
  <si>
    <t>Lanier Bancshares Inc</t>
  </si>
  <si>
    <t>Saratoga Bancorp,Saratoga,CA</t>
  </si>
  <si>
    <t>Firstbancorp-SC Branches(3)</t>
  </si>
  <si>
    <t>Patapsco Valley Bancshares Inc</t>
  </si>
  <si>
    <t>Kings River Bancorp</t>
  </si>
  <si>
    <t>VIB Corp,El Centro,California</t>
  </si>
  <si>
    <t>Grand Premier Financial Inc</t>
  </si>
  <si>
    <t>Mt Diablo Bancshares Inc</t>
  </si>
  <si>
    <t>Northern Bank of Commerce,OR</t>
  </si>
  <si>
    <t>Columbia Bancorp Inc</t>
  </si>
  <si>
    <t>Bank of Leipsic Co Inc,Leipsic</t>
  </si>
  <si>
    <t>United Bancshares Inc,Columbus</t>
  </si>
  <si>
    <t>Johnson Bank,Chicago,Illinois,</t>
  </si>
  <si>
    <t>PrivateBancorp Inc</t>
  </si>
  <si>
    <t>NMBT Corp,New Milford,CT</t>
  </si>
  <si>
    <t>North Valley Bancorp</t>
  </si>
  <si>
    <t>ComBankshares Inc</t>
  </si>
  <si>
    <t>Team Financial Inc</t>
  </si>
  <si>
    <t>State Bank Alleghenies,VA</t>
  </si>
  <si>
    <t>BC Bankshares Inc,Georgia</t>
  </si>
  <si>
    <t>Carolina Fincorp Inc,NC</t>
  </si>
  <si>
    <t>Village Financial Corp,NJ</t>
  </si>
  <si>
    <t>TF Financial Corp,Newtown,PA</t>
  </si>
  <si>
    <t>Countrybanc Hldg Co,OK</t>
  </si>
  <si>
    <t>First Cmnty Bk of the Desert</t>
  </si>
  <si>
    <t>MegaBank Financial Corp</t>
  </si>
  <si>
    <t>Bank of Houston,Houston,Texas</t>
  </si>
  <si>
    <t>Hardwick Holding Co</t>
  </si>
  <si>
    <t>Napa National Bancorp,CA</t>
  </si>
  <si>
    <t>Pioneer American Holding Corp</t>
  </si>
  <si>
    <t>Tarpon Financial Corp</t>
  </si>
  <si>
    <t>Community National Bancorp</t>
  </si>
  <si>
    <t>UB Bancshares Inc,Bucyrus,OH</t>
  </si>
  <si>
    <t>Coast Bancorp</t>
  </si>
  <si>
    <t>First Savings Bancorp Inc,NC</t>
  </si>
  <si>
    <t>Permanent Bancorp Inc,Indiana</t>
  </si>
  <si>
    <t>Natl Bancorp Of Alaska Inc</t>
  </si>
  <si>
    <t>Sentinel Cmnty Bk,Sonora,CA</t>
  </si>
  <si>
    <t>Sierra National,Tehachapi,CA</t>
  </si>
  <si>
    <t>Bank of the Sierra,California</t>
  </si>
  <si>
    <t>Piedmont Bancorp Inc</t>
  </si>
  <si>
    <t>Citizens Bank &amp; Trust Co,PA</t>
  </si>
  <si>
    <t>Commercial Guaranty Bancshares</t>
  </si>
  <si>
    <t>Enterbank Holdings Inc,MO</t>
  </si>
  <si>
    <t>Union National Bancorp Inc,MD</t>
  </si>
  <si>
    <t>Hanover Bancorp Inc,Hanover,PA</t>
  </si>
  <si>
    <t>Bank of Santa Clara</t>
  </si>
  <si>
    <t>GBT Bancorp Inc,Gloucester,MA</t>
  </si>
  <si>
    <t>1st Choice Financial Corp</t>
  </si>
  <si>
    <t>Empire Banc Corp,Traverse City</t>
  </si>
  <si>
    <t>N Point Bancshares,Dawsonville</t>
  </si>
  <si>
    <t>Panasia Bk,Fort Lee,NJ</t>
  </si>
  <si>
    <t>Skylands Financial Corp</t>
  </si>
  <si>
    <t>Commerce Natl,Winter Park,FL</t>
  </si>
  <si>
    <t>North Coast Bank,Windsor,CA</t>
  </si>
  <si>
    <t>First Counties Bank,Clearlake</t>
  </si>
  <si>
    <t>CCB Financial Corp,Durham,NC</t>
  </si>
  <si>
    <t>Bank Petaluma California</t>
  </si>
  <si>
    <t>Estes Bank Corp,Estes Park,CO</t>
  </si>
  <si>
    <t>Vail Banks Inc,Vail,Colorado</t>
  </si>
  <si>
    <t>Bank of Ventura,Ventura,CA</t>
  </si>
  <si>
    <t>Holland Bancorp Inc,Holland,IN</t>
  </si>
  <si>
    <t>Mid-Coast Bancorp Inc,ME</t>
  </si>
  <si>
    <t>Union Bankshares Co,Ellsworth,</t>
  </si>
  <si>
    <t>First Natl Bancshares,LA</t>
  </si>
  <si>
    <t>Heritage Bancorp Inc</t>
  </si>
  <si>
    <t>Heritage Bancorp Inc,McLean,VA</t>
  </si>
  <si>
    <t>Cardinal Financial Corp</t>
  </si>
  <si>
    <t>Rockingham Heritage Bank</t>
  </si>
  <si>
    <t>Marathon Financial Corp</t>
  </si>
  <si>
    <t>FSB Bancorp</t>
  </si>
  <si>
    <t>IBT Bancorp Inc,Pennsylvania</t>
  </si>
  <si>
    <t>Calhoun Bancshares Inc</t>
  </si>
  <si>
    <t>Exchange National Bancshares</t>
  </si>
  <si>
    <t>Harbor Federal Bancorp Inc,MD</t>
  </si>
  <si>
    <t>Western Holdings Bancorp</t>
  </si>
  <si>
    <t>Heritage Commerce Corp</t>
  </si>
  <si>
    <t>Northfield Bancorp Inc</t>
  </si>
  <si>
    <t>Patapsco Bancorp Inc</t>
  </si>
  <si>
    <t>First SW Bk,Frederick,OK</t>
  </si>
  <si>
    <t>Security Financial Corp</t>
  </si>
  <si>
    <t>Farmers National Banc Corp</t>
  </si>
  <si>
    <t>Catskill Financial Corp,NY</t>
  </si>
  <si>
    <t>Troy Financial Corp,Troy,NY</t>
  </si>
  <si>
    <t>Hudson River Bancorp Inc,NY</t>
  </si>
  <si>
    <t>TrustCo Bank Corp,NY</t>
  </si>
  <si>
    <t>Citizens Sthrn Bk,Beckley,WV</t>
  </si>
  <si>
    <t>First Cmnty Bancshares Inc</t>
  </si>
  <si>
    <t>Coml Bank of San Francisco</t>
  </si>
  <si>
    <t>First Bank &amp; Trust,Newport Bea</t>
  </si>
  <si>
    <t>Webster Bancorp Inc,Clay,KY</t>
  </si>
  <si>
    <t>Integra Bank Corp,Evansville</t>
  </si>
  <si>
    <t>Atlantic Financial,Corp,VA</t>
  </si>
  <si>
    <t>Brenton Banks,Des Moines,IA</t>
  </si>
  <si>
    <t>Premier Natl Bancorp Inc, NY</t>
  </si>
  <si>
    <t>CNB Holdings Inc,Alpharetta,GA</t>
  </si>
  <si>
    <t>FNB Corp,Christianburg,VA</t>
  </si>
  <si>
    <t>Community Independent Bank</t>
  </si>
  <si>
    <t>TALBOT BANCSHARES INC</t>
  </si>
  <si>
    <t>Shore Bancshares Inc</t>
  </si>
  <si>
    <t>SWVA Bancshares Inc</t>
  </si>
  <si>
    <t>BankFirst Corp</t>
  </si>
  <si>
    <t>Millennium Bank,San Francisco</t>
  </si>
  <si>
    <t>Community Bankshares,Bowie,MD</t>
  </si>
  <si>
    <t>Firstier Corp</t>
  </si>
  <si>
    <t>Merchants New York Bancorp</t>
  </si>
  <si>
    <t>Citizens National Bk of Malone</t>
  </si>
  <si>
    <t>Friendship Community Bank,FL</t>
  </si>
  <si>
    <t>American Bank,Houston,TX</t>
  </si>
  <si>
    <t>Tehama County Bank,Red Bluff</t>
  </si>
  <si>
    <t>Bank of San Francisco,San Fran</t>
  </si>
  <si>
    <t>First Bankshares of West Point</t>
  </si>
  <si>
    <t>United National-Branches(2)</t>
  </si>
  <si>
    <t>First West Virginia Bancorp</t>
  </si>
  <si>
    <t>Lower Salem Commercial Bank</t>
  </si>
  <si>
    <t>FleetBoston Financial Corp,MA</t>
  </si>
  <si>
    <t>First Sec Bank,Sarasota,FL</t>
  </si>
  <si>
    <t>United Financial Holdings Inc</t>
  </si>
  <si>
    <t>Citizens Bankers,Baytown,Texas</t>
  </si>
  <si>
    <t>Timberline Bancshares Inc</t>
  </si>
  <si>
    <t>PremierWest Bancorp,Medford,OR</t>
  </si>
  <si>
    <t>First Capital Bank,Phoenix,AZ</t>
  </si>
  <si>
    <t>Colorado Business Bankshares</t>
  </si>
  <si>
    <t>Camino Real Bancshares</t>
  </si>
  <si>
    <t>Interbancorp Inc,Duvall,WA</t>
  </si>
  <si>
    <t>Capital Holdings Inc</t>
  </si>
  <si>
    <t>Imperial Bancorp,Inglewood,CA</t>
  </si>
  <si>
    <t>Bath National Corp</t>
  </si>
  <si>
    <t>Financial Institutions Inc</t>
  </si>
  <si>
    <t>Prime Bank,Los Angeles,CA</t>
  </si>
  <si>
    <t>First Liberty Bank,PA</t>
  </si>
  <si>
    <t>Tri-County Bank,Trenton,FL</t>
  </si>
  <si>
    <t>First Farmers &amp; Merchants Corp</t>
  </si>
  <si>
    <t>Citizens Community Bancorp Inc</t>
  </si>
  <si>
    <t>Drovers Bancshares Corp</t>
  </si>
  <si>
    <t>CBOC Inc</t>
  </si>
  <si>
    <t>Merchants,Mnfr Bancorp Inc,WI</t>
  </si>
  <si>
    <t>Guaranty Bank NA,Wilkes-Barre,</t>
  </si>
  <si>
    <t>Sun Bancorp Inc,Selinsgrove,PA</t>
  </si>
  <si>
    <t>Maine Bank Corp,Portland,Maine</t>
  </si>
  <si>
    <t>Lamar Capital Corp</t>
  </si>
  <si>
    <t>Pennsylvania Capital Bank</t>
  </si>
  <si>
    <t>Three Rivers Bancorp Inc,PA</t>
  </si>
  <si>
    <t>Community Tr Finl Svcs Corp</t>
  </si>
  <si>
    <t>GB&amp;T Bancshares Inc,Georgia</t>
  </si>
  <si>
    <t>FSL Holdings Inc,South Holland</t>
  </si>
  <si>
    <t>MB Financial Inc,Chicago,IL</t>
  </si>
  <si>
    <t>Euro Amer Bank,Uniondale,NY</t>
  </si>
  <si>
    <t>Citigroup Inc</t>
  </si>
  <si>
    <t>Golden Isles Financial Hldgs</t>
  </si>
  <si>
    <t>Commercial Federal-MN Branches</t>
  </si>
  <si>
    <t>HF Financial Corp</t>
  </si>
  <si>
    <t>Lone Star Bancorp,Houston,TX</t>
  </si>
  <si>
    <t>Citrus Financial Services Inc</t>
  </si>
  <si>
    <t>CIB Marine Bancshares Inc</t>
  </si>
  <si>
    <t>FNH Corp,Herminie,PA</t>
  </si>
  <si>
    <t>Promistar Financial Corp</t>
  </si>
  <si>
    <t>City Bancshares Inc,Mineral</t>
  </si>
  <si>
    <t>Marshall &amp; Ilsley Corp,WI</t>
  </si>
  <si>
    <t>Allegiant Bancorp,St Louis,MO</t>
  </si>
  <si>
    <t>FVNB Corp,Victoria,Texas</t>
  </si>
  <si>
    <t>Post Bancorp Inc</t>
  </si>
  <si>
    <t>California Center Bank,CA</t>
  </si>
  <si>
    <t>Hanmi Financial Corp</t>
  </si>
  <si>
    <t>PanAmerican Bank,Miami,FL</t>
  </si>
  <si>
    <t>Southern Security Bank Corp,FL</t>
  </si>
  <si>
    <t>Success Bancshares,Illinois</t>
  </si>
  <si>
    <t>BankFinancial Corp,Il</t>
  </si>
  <si>
    <t>First Charter Bank NA</t>
  </si>
  <si>
    <t>Charter Pacific Bank,Agoura,CA</t>
  </si>
  <si>
    <t>First Gaston Bank of North</t>
  </si>
  <si>
    <t>Catawba Valley Bancshares</t>
  </si>
  <si>
    <t>FleetBoston Finl Corp-Br(36)</t>
  </si>
  <si>
    <t>Banknorth Group Inc,ME</t>
  </si>
  <si>
    <t>MetroWest Bank</t>
  </si>
  <si>
    <t>Belfast Hldg Co</t>
  </si>
  <si>
    <t>First Pulaski Natl Corp</t>
  </si>
  <si>
    <t>Virginia Financial Corp,Staunt</t>
  </si>
  <si>
    <t>Ledger Capital Corp</t>
  </si>
  <si>
    <t>Anchor BanCorp Wisconsin Inc</t>
  </si>
  <si>
    <t>Manufacturers Bank of Florida</t>
  </si>
  <si>
    <t>CNB Finl Corp,Canajoharie,NY</t>
  </si>
  <si>
    <t>Park Meridian Financial Corp</t>
  </si>
  <si>
    <t>Borel Bank &amp; Trust Co,CA</t>
  </si>
  <si>
    <t>Boston Private Financial Hldg</t>
  </si>
  <si>
    <t>FABP Bancshares Inc</t>
  </si>
  <si>
    <t>Rusk County Bancshares Inc</t>
  </si>
  <si>
    <t>Henderson Citizens Bancshares</t>
  </si>
  <si>
    <t>Mid Town Bank &amp; Trust Co</t>
  </si>
  <si>
    <t>MAF Bancorp,Clarendon Hills,IL</t>
  </si>
  <si>
    <t>South Bay Holdings,Torrance,CA</t>
  </si>
  <si>
    <t>National Mercantile Bancorp</t>
  </si>
  <si>
    <t>Union Financial Group Ltd</t>
  </si>
  <si>
    <t>Commerce Exchange Corp</t>
  </si>
  <si>
    <t>Intl Bancshares Corp,TX</t>
  </si>
  <si>
    <t>Salem Community Bankshares Inc</t>
  </si>
  <si>
    <t>Plains Financial,Des Plains</t>
  </si>
  <si>
    <t>Parkvale Financial Corp</t>
  </si>
  <si>
    <t>First Bancshares of Texas,TX</t>
  </si>
  <si>
    <t>MCB Financial Corp,California</t>
  </si>
  <si>
    <t>Business Bancorp,California</t>
  </si>
  <si>
    <t>Pacific Western National Bank</t>
  </si>
  <si>
    <t>Kenwood Bancorp Inc</t>
  </si>
  <si>
    <t>Peoples Comnty Bancorp Inc,OH</t>
  </si>
  <si>
    <t>First Western Bank,NC</t>
  </si>
  <si>
    <t>MountainBank Financial Corp</t>
  </si>
  <si>
    <t>Bank of Tidewater,VA Beach,VA</t>
  </si>
  <si>
    <t>UNB Corp,Canton,Ohio</t>
  </si>
  <si>
    <t>Farmers National Bancshares</t>
  </si>
  <si>
    <t>Nashoba Bancshares Inc</t>
  </si>
  <si>
    <t>Signal Financial Corp</t>
  </si>
  <si>
    <t>Riverway Holdings Inc</t>
  </si>
  <si>
    <t>Huntington Bancshares Inc-FL</t>
  </si>
  <si>
    <t>Oregon Business Bank,Oswego,OR</t>
  </si>
  <si>
    <t>Banner Corp</t>
  </si>
  <si>
    <t>Ocean National Corp,Maine</t>
  </si>
  <si>
    <t>Carnegie Financial Corp,PA</t>
  </si>
  <si>
    <t>Fidelity Bancorp,Pittsburgh,PA</t>
  </si>
  <si>
    <t>Liberty Bank &amp; Trust Co,Boston</t>
  </si>
  <si>
    <t>Lafayette Bancorp,Lafayette,IN</t>
  </si>
  <si>
    <t>Quitman Bancorp Inc</t>
  </si>
  <si>
    <t>Colony Bankcorp,Fitzgerald,GA</t>
  </si>
  <si>
    <t>Gulf Coast Com Bancshares</t>
  </si>
  <si>
    <t>MidAmerica Bancorp,Louisville</t>
  </si>
  <si>
    <t>Civic Bancorp,Oakland,CA</t>
  </si>
  <si>
    <t>Richfield State Agency Inc</t>
  </si>
  <si>
    <t>Vista Bancorp,Phillipsburg,NJ</t>
  </si>
  <si>
    <t>Grand Bank Finl Corp,Grand</t>
  </si>
  <si>
    <t>Macatawa Bank Corp,Holland,MI</t>
  </si>
  <si>
    <t>Ridgeway Bancshares Inc</t>
  </si>
  <si>
    <t>Community Bankshares Inc</t>
  </si>
  <si>
    <t>SBC Financial Corp</t>
  </si>
  <si>
    <t>Oneida Financial Corp</t>
  </si>
  <si>
    <t>First Mercantile Bk of Dallas</t>
  </si>
  <si>
    <t>Century Bancshares Inc</t>
  </si>
  <si>
    <t>Tejas Bancshares Inc,Amarillo,</t>
  </si>
  <si>
    <t>Brookhollow Bancshares,Dallas</t>
  </si>
  <si>
    <t>First Western Bank,CA</t>
  </si>
  <si>
    <t>UnionBanCal Corp,CA</t>
  </si>
  <si>
    <t>Independence Bank Kernersville</t>
  </si>
  <si>
    <t>Bank of North Carolina,NC</t>
  </si>
  <si>
    <t>Independence Bank of Houston</t>
  </si>
  <si>
    <t>Pulaski Bancorp Inc,NJ</t>
  </si>
  <si>
    <t>Kearny Financial Corp</t>
  </si>
  <si>
    <t>Western Security Bancorp</t>
  </si>
  <si>
    <t>Hometown Bank of Villa Rica,</t>
  </si>
  <si>
    <t>Texas Guaranty Natl Bk,Texas</t>
  </si>
  <si>
    <t>Rowan Bancorp,China Grove,NC</t>
  </si>
  <si>
    <t>Ipswich Bancshares,Ipswich,MA</t>
  </si>
  <si>
    <t>WHG Bancshares Corp</t>
  </si>
  <si>
    <t>BCSB Bancorp Inc</t>
  </si>
  <si>
    <t>Peoples Financial Corp Inc</t>
  </si>
  <si>
    <t>Gulf West Banks Inc</t>
  </si>
  <si>
    <t>The South Financial Group Inc</t>
  </si>
  <si>
    <t>Central California Bank</t>
  </si>
  <si>
    <t>Bancorp Connecticut Inc</t>
  </si>
  <si>
    <t>CenterState Bank of Florida</t>
  </si>
  <si>
    <t>CenterState Banks of FL Inc,FL</t>
  </si>
  <si>
    <t>Community Financial Group,TN</t>
  </si>
  <si>
    <t>First National Bk,San Diego,CA</t>
  </si>
  <si>
    <t>High Street Corp,Asheville,NC</t>
  </si>
  <si>
    <t>Capital Bank Corp,Raleigh,NC</t>
  </si>
  <si>
    <t>Paradigm Bancorp Inc,Houston</t>
  </si>
  <si>
    <t>Marathon Bancorp</t>
  </si>
  <si>
    <t>New Southern Bank,Macon,GA</t>
  </si>
  <si>
    <t>Mid Valley Bank, Red Bluff,CA</t>
  </si>
  <si>
    <t>ENB Bankshares Inc</t>
  </si>
  <si>
    <t>Monroe Finl,Greenville,WV</t>
  </si>
  <si>
    <t>First Cmnty Ind BK,Denver,CO</t>
  </si>
  <si>
    <t>Palm Beach National Holding Co</t>
  </si>
  <si>
    <t>CFS Bancshares Inc,Alabama</t>
  </si>
  <si>
    <t>Citizens Bancshares Corp,GA</t>
  </si>
  <si>
    <t>Cardinal Bankshares Corp,VA</t>
  </si>
  <si>
    <t>Fortress Bancshares Inc,WI</t>
  </si>
  <si>
    <t>PFSB Bancorp Inc,Palmyra</t>
  </si>
  <si>
    <t>First Federal Bancshares,IL</t>
  </si>
  <si>
    <t>Mississippi Valley Bancshares</t>
  </si>
  <si>
    <t>CNB Holdings Inc,Pulaski,VA</t>
  </si>
  <si>
    <t>San Juan Bancshares Inc</t>
  </si>
  <si>
    <t>Bank of Canton of California</t>
  </si>
  <si>
    <t>UCBH Holdings Inc</t>
  </si>
  <si>
    <t>Northern State Bank,Towanda,PA</t>
  </si>
  <si>
    <t>Legacy Bank,Harrisburg,PA</t>
  </si>
  <si>
    <t>Bank of the Southwest,Dallas</t>
  </si>
  <si>
    <t>Carolina Community Bankshares</t>
  </si>
  <si>
    <t>Citizens Financial Corp,OK</t>
  </si>
  <si>
    <t>Big Foot Financial Corp</t>
  </si>
  <si>
    <t>Midwest Banc Holdings Inc</t>
  </si>
  <si>
    <t>Bay View Capital-Branches(57)</t>
  </si>
  <si>
    <t>Franklin Financial Corp,TN</t>
  </si>
  <si>
    <t>Trustco Holding Inc</t>
  </si>
  <si>
    <t>Harbor Bank,Gig Harbor,WA</t>
  </si>
  <si>
    <t>Valencia Bank &amp; Trust</t>
  </si>
  <si>
    <t>Warren Bancorp Inc</t>
  </si>
  <si>
    <t>Herkimer Trust Corporation Inc</t>
  </si>
  <si>
    <t>Partners Trust Financial Group</t>
  </si>
  <si>
    <t>CNBC Bancorp,Worthington,Ohio</t>
  </si>
  <si>
    <t>MetroBanCorp,Indianapolis,IN</t>
  </si>
  <si>
    <t>Bank of Ste Genevieve,MO</t>
  </si>
  <si>
    <t>Bank of Coronado,Coronado,CA</t>
  </si>
  <si>
    <t>Acadiana Bancshares,Louisiana</t>
  </si>
  <si>
    <t>IBERIABANK Corp</t>
  </si>
  <si>
    <t>FirstService Bank,PA</t>
  </si>
  <si>
    <t>AllFirst Financial Inc</t>
  </si>
  <si>
    <t>Central Bank of Tampa,Tampa,FL</t>
  </si>
  <si>
    <t>North State National Bank,CA</t>
  </si>
  <si>
    <t>First Bank of Central Jersey</t>
  </si>
  <si>
    <t>Synergy Financial Group Inc</t>
  </si>
  <si>
    <t>1st Constitution Bancorp</t>
  </si>
  <si>
    <t>Greater Community Bancorp</t>
  </si>
  <si>
    <t>CoVest Bancshares Inc,IL</t>
  </si>
  <si>
    <t>Bridge View Bancorp,NJ</t>
  </si>
  <si>
    <t>Interchange Finl Svcs,NJ</t>
  </si>
  <si>
    <t>First Community Bancshares,IN</t>
  </si>
  <si>
    <t>MainSource Finl Grp Inc</t>
  </si>
  <si>
    <t>Kentucky Bancshares Inc,KY</t>
  </si>
  <si>
    <t>First Colony Bancshares Inc,GA</t>
  </si>
  <si>
    <t>Main Street Banks Inc,GA</t>
  </si>
  <si>
    <t>First Commerce Corp,NC</t>
  </si>
  <si>
    <t>Pacific Business Bank,CA</t>
  </si>
  <si>
    <t>First Central Bancshares,TN</t>
  </si>
  <si>
    <t>First County Bk,Doylestown,PA</t>
  </si>
  <si>
    <t>Univest Corp of Pennsylvania</t>
  </si>
  <si>
    <t>Premier Bancorp Inc</t>
  </si>
  <si>
    <t>Millennium Bank,Gainesville,FL</t>
  </si>
  <si>
    <t>Abrams Centre Natl Bank,TX</t>
  </si>
  <si>
    <t>Huntington Bancshares-Offices</t>
  </si>
  <si>
    <t>Dallas Bancshares Corp</t>
  </si>
  <si>
    <t>Maxim Financial Holdings Inc</t>
  </si>
  <si>
    <t>RVB Bancshares Inc,AR</t>
  </si>
  <si>
    <t>Central Sierra,San Andreas,CA</t>
  </si>
  <si>
    <t>CSB Financial Corp,Teaneck,NJ</t>
  </si>
  <si>
    <t>First Continental Bnk,Rosemead</t>
  </si>
  <si>
    <t>Monterey Bay Bank,Watsonville</t>
  </si>
  <si>
    <t>Sequioa Bancshares,Bethesda,MD</t>
  </si>
  <si>
    <t>CB Bancshares Inc,Honolulu,HI</t>
  </si>
  <si>
    <t>CPB Inc,Honolulu,Hawaii</t>
  </si>
  <si>
    <t>Pend Oreille Bancorp,WA</t>
  </si>
  <si>
    <t>Random Lake Bancorp Ltd</t>
  </si>
  <si>
    <t>Reedburg Bancorporation Inc</t>
  </si>
  <si>
    <t>Asiana Bank,Sunnyvale,CA</t>
  </si>
  <si>
    <t>Nara Bancorp Inc,LA,CA</t>
  </si>
  <si>
    <t>Peoples Bankcorp Inc,NY</t>
  </si>
  <si>
    <t>Keweah National Bank,CA</t>
  </si>
  <si>
    <t>CommerceSouth Inc,Eufaula,AL</t>
  </si>
  <si>
    <t>BancTrust Financial Group Inc</t>
  </si>
  <si>
    <t>High Country Financial Corp,NC</t>
  </si>
  <si>
    <t>Yadkin Valley Bank &amp; Trust Co</t>
  </si>
  <si>
    <t>Grange National Banc Corp,PA</t>
  </si>
  <si>
    <t>Hacienda Bank,Santa Maria,CA</t>
  </si>
  <si>
    <t>Heritage Oaks Bancorp</t>
  </si>
  <si>
    <t>Independent Bankshares Corp</t>
  </si>
  <si>
    <t>Lakes Region Bancorp,IL</t>
  </si>
  <si>
    <t>Sarasota Bancorp Inc,FL</t>
  </si>
  <si>
    <t>Advantage National Bancorp,IL</t>
  </si>
  <si>
    <t>Wintrust Financial Corp,IL</t>
  </si>
  <si>
    <t>Colorado Funding Co,Denver,CO</t>
  </si>
  <si>
    <t>First State Bancorp,CA</t>
  </si>
  <si>
    <t>MainBancorp Inc,Austin,TX</t>
  </si>
  <si>
    <t>Community Bk,Pilot Mtn,NC</t>
  </si>
  <si>
    <t>Southern Community Finan Corp</t>
  </si>
  <si>
    <t>Cmnty Bank of Grants Pass,OR</t>
  </si>
  <si>
    <t>Cascade Bancorp,Bend,OR</t>
  </si>
  <si>
    <t>Village Bancorp Inc</t>
  </si>
  <si>
    <t>First Niagara Finl Group Inc</t>
  </si>
  <si>
    <t>California Independent Bancorp</t>
  </si>
  <si>
    <t>Abbeville Capital Corp,SC</t>
  </si>
  <si>
    <t>Community Capital Corp,SC</t>
  </si>
  <si>
    <t>Auburn Cmnty Bancorp,Auburn,CA</t>
  </si>
  <si>
    <t>PNC Finl Svcs Grp Inc</t>
  </si>
  <si>
    <t>Resource Bankshares Corp,VA</t>
  </si>
  <si>
    <t>First &amp; Ocean National Bank,MA</t>
  </si>
  <si>
    <t>Round Lake Bankcorp Inc,IL</t>
  </si>
  <si>
    <t>Nrthn States Finl Corp</t>
  </si>
  <si>
    <t>Southeast Texas Bancshares Inc</t>
  </si>
  <si>
    <t>First Capital Bancorp Inc,GA</t>
  </si>
  <si>
    <t>Caledonia Finl Corp,MI</t>
  </si>
  <si>
    <t>First State Bank of North TX</t>
  </si>
  <si>
    <t>Alliance Bancorp Inc,AR</t>
  </si>
  <si>
    <t>West Michigan Financial Corp</t>
  </si>
  <si>
    <t>Fentura Financial,Fenton,MI</t>
  </si>
  <si>
    <t>Cypress Bankshares Inc,FL</t>
  </si>
  <si>
    <t>Millennium Bank,Malvern,PA</t>
  </si>
  <si>
    <t>Pacific Crest Capital Inc</t>
  </si>
  <si>
    <t>Indian River Banking Co,FL</t>
  </si>
  <si>
    <t>Harbor Bank,Newport News,VA</t>
  </si>
  <si>
    <t>TowneBank,Portsmouth,Virginia</t>
  </si>
  <si>
    <t>Bank of America Corp</t>
  </si>
  <si>
    <t>Newton Financial Corp,NJ</t>
  </si>
  <si>
    <t>Reunion Bancshares Inc,TX</t>
  </si>
  <si>
    <t>Stebbins Bancshares Inc,OH</t>
  </si>
  <si>
    <t>Wayne Savings Bancshares Inc</t>
  </si>
  <si>
    <t>FNB Bancshares Inc,SC</t>
  </si>
  <si>
    <t>American Cmnty Bancshares Inc</t>
  </si>
  <si>
    <t>Midstate Bancorp Inc,Felton,DE</t>
  </si>
  <si>
    <t>Alliance Bank of Baton Rouge</t>
  </si>
  <si>
    <t>Canaan Natl Bancorp Inc,CT</t>
  </si>
  <si>
    <t>Salisbury Bancorp Inc</t>
  </si>
  <si>
    <t>Sylvester Banking Co,GA</t>
  </si>
  <si>
    <t>Southwest Georgia Financial,GA</t>
  </si>
  <si>
    <t>Foxborough Savings Bank,MA</t>
  </si>
  <si>
    <t>First Carolina State Bk,NC</t>
  </si>
  <si>
    <t>CCBT Financial Cos,Yarmouth,MA</t>
  </si>
  <si>
    <t>Enterprise Bancshares Inc,TN</t>
  </si>
  <si>
    <t>GA Financial Inc,Pittsburgh,PA</t>
  </si>
  <si>
    <t>Trust Co of New Jersey,NJ</t>
  </si>
  <si>
    <t>Peoples Finl Corp,IN</t>
  </si>
  <si>
    <t>Horizon Finl Corp,FL</t>
  </si>
  <si>
    <t>Bancshares of Florida Inc,FL</t>
  </si>
  <si>
    <t>Peoples First Inc,Oxford,PA</t>
  </si>
  <si>
    <t>Guaranty Financial Corp,VA</t>
  </si>
  <si>
    <t>PCB Bancorp Inc,Largo,Florida</t>
  </si>
  <si>
    <t>Pacific Union Bank,LA,CA</t>
  </si>
  <si>
    <t>PCB Bancorp,Johnson City,TN</t>
  </si>
  <si>
    <t>First Capital Bkshares Inc,Il</t>
  </si>
  <si>
    <t>First Heritage Bk,PA</t>
  </si>
  <si>
    <t>Quincy State Bank,FL</t>
  </si>
  <si>
    <t>AEA Bancshares Inc,WA</t>
  </si>
  <si>
    <t>Bank One Corp,Chicago,IL</t>
  </si>
  <si>
    <t>JPMorgan Chase &amp; Co</t>
  </si>
  <si>
    <t>CNB Florida Bancshares Inc,FL</t>
  </si>
  <si>
    <t>Independence Bancorp,IN</t>
  </si>
  <si>
    <t>Harrodsburg First Finl Bancorp</t>
  </si>
  <si>
    <t>Regions Financial Corp</t>
  </si>
  <si>
    <t>Unizan Financial Corp,OH</t>
  </si>
  <si>
    <t>Summit Bancshares Inc,TX</t>
  </si>
  <si>
    <t>Midwest Guaranty Bancorp,MI</t>
  </si>
  <si>
    <t>Rocky Mountain Bancorp,MO</t>
  </si>
  <si>
    <t>Heartland Financial USA Inc</t>
  </si>
  <si>
    <t>Issaquah Bancshares,WA</t>
  </si>
  <si>
    <t>Citizens Bank(Kentucky)Inc,</t>
  </si>
  <si>
    <t>Farmers Capital Bank Corp</t>
  </si>
  <si>
    <t>GreenPoint Financial Corp,NY</t>
  </si>
  <si>
    <t>Renasant Bancshares Inc,TN</t>
  </si>
  <si>
    <t>BankTrust of Florida</t>
  </si>
  <si>
    <t>Vision Bancshares Inc</t>
  </si>
  <si>
    <t>FNB Financial Corp,Shelby,Ohio</t>
  </si>
  <si>
    <t>First Citizens Banc Corp,OH</t>
  </si>
  <si>
    <t>Liberty National Bank,TX</t>
  </si>
  <si>
    <t>North Bancorp,Gaylord,MI</t>
  </si>
  <si>
    <t>First Shares Bancorp Inc,IN</t>
  </si>
  <si>
    <t>Lincoln Bancorp,IN</t>
  </si>
  <si>
    <t>Fairbanco Hldg,Fairburn,GA</t>
  </si>
  <si>
    <t>Madison Bancshares Inc,FL</t>
  </si>
  <si>
    <t>Southern Community Bancorp,FL</t>
  </si>
  <si>
    <t>First National Bankshares FL</t>
  </si>
  <si>
    <t>Coquina Bank,FL</t>
  </si>
  <si>
    <t>United Nebraska Finl Co,NE</t>
  </si>
  <si>
    <t>TierOne Corp,Lincoln,Nebraska</t>
  </si>
  <si>
    <t>Madison Bancshares Grp Ltd,PA</t>
  </si>
  <si>
    <t>Leesport Financial Corp,PA</t>
  </si>
  <si>
    <t>Liberty Bancshares Inc,TX</t>
  </si>
  <si>
    <t>Yolo Community Bank,CA</t>
  </si>
  <si>
    <t>GNB Bancshares Inc,TX</t>
  </si>
  <si>
    <t>Texas United Bancshares,TX</t>
  </si>
  <si>
    <t>Central Bank of Houston-Br(2)</t>
  </si>
  <si>
    <t>Slippery Rock Finl Corp,PA</t>
  </si>
  <si>
    <t>FNB Corp,Naples,Hermitage,PA</t>
  </si>
  <si>
    <t>Natl Commerce Finl Corp,TN</t>
  </si>
  <si>
    <t>Northview Financial Corp</t>
  </si>
  <si>
    <t>Citizens Bancshares Inc,FL</t>
  </si>
  <si>
    <t>Klein Bancshares Inc,TX</t>
  </si>
  <si>
    <t>Lamar Bancshares Inc,TX</t>
  </si>
  <si>
    <t>Trust Bancorp,CA</t>
  </si>
  <si>
    <t>Bank of Astoria,OR</t>
  </si>
  <si>
    <t>First Washington FinlCorp,NJ</t>
  </si>
  <si>
    <t>Pennsylvania State Bkg Co,PA</t>
  </si>
  <si>
    <t>Town Bankshares Ltd</t>
  </si>
  <si>
    <t>Encino State Bank,CA</t>
  </si>
  <si>
    <t>First Federal Bank of LA</t>
  </si>
  <si>
    <t>First Allen Parish Bancorp Inc</t>
  </si>
  <si>
    <t>Wachovia Corp,Charlotte,NC</t>
  </si>
  <si>
    <t>Cuyamaca Bank NA,CA</t>
  </si>
  <si>
    <t>Community Bancorp Inc</t>
  </si>
  <si>
    <t>Allaire Community Bank,NJ</t>
  </si>
  <si>
    <t>Monmouth Community Bancorp</t>
  </si>
  <si>
    <t>Jackson Federal Bank,CA</t>
  </si>
  <si>
    <t>Mystic Financial Inc,MA</t>
  </si>
  <si>
    <t>Brookline Bancorp Inc</t>
  </si>
  <si>
    <t>Bank of Amador,Jackson,CA</t>
  </si>
  <si>
    <t>American River Bankshares</t>
  </si>
  <si>
    <t>Heritage Finl Hldg Co,AL</t>
  </si>
  <si>
    <t>Bank of Washtenaw,MI</t>
  </si>
  <si>
    <t>Dearborn Bancorp Inc,MI</t>
  </si>
  <si>
    <t>Bank of Madera Cnty,CA</t>
  </si>
  <si>
    <t>Central Valley Community</t>
  </si>
  <si>
    <t>First City Bank,CT</t>
  </si>
  <si>
    <t>Webster Financial Corp</t>
  </si>
  <si>
    <t>Ripley National Bank,OH</t>
  </si>
  <si>
    <t>Oak Hill Finl Inc,Jackson,OH</t>
  </si>
  <si>
    <t>Snake River Bancorp Inc,ID</t>
  </si>
  <si>
    <t>Intermountain Cmnty Bancorp</t>
  </si>
  <si>
    <t>Custar State Bank,Custar,Ohio</t>
  </si>
  <si>
    <t>PHSB Financial Corp,PA</t>
  </si>
  <si>
    <t>ESB Financial Corp</t>
  </si>
  <si>
    <t>Redwood Empire Bancorp,CA</t>
  </si>
  <si>
    <t>FNB Bankshares,ME</t>
  </si>
  <si>
    <t>First National Lincoln Corp,ME</t>
  </si>
  <si>
    <t>Liberty National Bancshares,GA</t>
  </si>
  <si>
    <t>First Cmnty Capital Corp,TX</t>
  </si>
  <si>
    <t>Eastern WI Bancshares Inc,WI</t>
  </si>
  <si>
    <t>Southwestern Bancshares Inc,TX</t>
  </si>
  <si>
    <t>First Financial Bancorp,CA</t>
  </si>
  <si>
    <t>Placer Sierra Bancshares,CA</t>
  </si>
  <si>
    <t>AdvantageBank-Branches(2)</t>
  </si>
  <si>
    <t>Prospect Bancshares Inc,OH</t>
  </si>
  <si>
    <t>First Community Bancorp Inc,FL</t>
  </si>
  <si>
    <t>Fidelity Bankshares Inc,FL</t>
  </si>
  <si>
    <t>First Clermont Bank,Milford,OH</t>
  </si>
  <si>
    <t>Union Bank of Florida,FL</t>
  </si>
  <si>
    <t>Amer Horizons Bancorp Inc,LA</t>
  </si>
  <si>
    <t>FNBG Bancshares Inc,Duluth,GA</t>
  </si>
  <si>
    <t>Antioch Holding Co</t>
  </si>
  <si>
    <t>NSD Bancorp Inc,Pittsburgh.PA</t>
  </si>
  <si>
    <t>Clyde Financial Corp</t>
  </si>
  <si>
    <t>FirstCapital Bankers Inc,Texas</t>
  </si>
  <si>
    <t>Pointe Financial Corp,FL</t>
  </si>
  <si>
    <t>NorCrown Bank,NJ</t>
  </si>
  <si>
    <t>PennRock Finl Svcs Corp,PA</t>
  </si>
  <si>
    <t>Cmnty Banks Inc,Harrisburg,PA</t>
  </si>
  <si>
    <t>First Northwest Bancorp Inc,Il</t>
  </si>
  <si>
    <t>Gold Country Financial,CA</t>
  </si>
  <si>
    <t>First Natl Banks-West Co,WY</t>
  </si>
  <si>
    <t>Century National Bank,FL</t>
  </si>
  <si>
    <t>Shrewsbury Bancorp,NJ</t>
  </si>
  <si>
    <t>Northeast Pennsylvania Finl</t>
  </si>
  <si>
    <t>KNBT Bancorp Inc,Bethlehem,PA</t>
  </si>
  <si>
    <t>Citizens Bank Hldg Co,ID</t>
  </si>
  <si>
    <t>American Sta Corp,IN</t>
  </si>
  <si>
    <t>New Commerce Bancorp,SC</t>
  </si>
  <si>
    <t>SCBT Finl Corp,Columbia,SC</t>
  </si>
  <si>
    <t>Red Oak Bank,Morristown,NJ</t>
  </si>
  <si>
    <t>Center Bancorp Inc,Union,NJ</t>
  </si>
  <si>
    <t>Valley Comrce Bancorp Ltd,AZ</t>
  </si>
  <si>
    <t>Belmont Bancorp,Bridgeport,OH</t>
  </si>
  <si>
    <t>New York National Bank,NY</t>
  </si>
  <si>
    <t>Hudson Valley Holding Corp,NY</t>
  </si>
  <si>
    <t>Liberty Bank &amp;Trust,Toccoa,GA</t>
  </si>
  <si>
    <t>SVB Financial Services Inc,NJ</t>
  </si>
  <si>
    <t>SouthBank,Woodstock, Georgia</t>
  </si>
  <si>
    <t>Security Bank Corp,Macon.GA</t>
  </si>
  <si>
    <t>Commun Bank of Virginia,VA</t>
  </si>
  <si>
    <t>South Coast Bancorp Inc,CA</t>
  </si>
  <si>
    <t>First California Bank,CA</t>
  </si>
  <si>
    <t>First Alachua Bkg Corp,FL</t>
  </si>
  <si>
    <t>Somonauk FSB Bancorp Inc,IL</t>
  </si>
  <si>
    <t>Princeton National Bancorp,IL</t>
  </si>
  <si>
    <t>Tarpon Coast Bancorp Inc,FL</t>
  </si>
  <si>
    <t>Alliance Finl Corp,Harbert,MI</t>
  </si>
  <si>
    <t>Horizon Bancorp,IN</t>
  </si>
  <si>
    <t>Bank 10,Belton,Missouri</t>
  </si>
  <si>
    <t>First Bancshares Inc,CA</t>
  </si>
  <si>
    <t>Capital One Financial Corp</t>
  </si>
  <si>
    <t>Summit Financial Corp,SC</t>
  </si>
  <si>
    <t>First Citizens BancShares Inc</t>
  </si>
  <si>
    <t>Heritage Community Bk,KY</t>
  </si>
  <si>
    <t>West Metro Fin Svcs Inc</t>
  </si>
  <si>
    <t>First Horizon National Corp,TN</t>
  </si>
  <si>
    <t>First Capital Bank Hldg.FL</t>
  </si>
  <si>
    <t>Coastal Banking Co Inc,SC</t>
  </si>
  <si>
    <t>Cornerstone Bancorp,CT</t>
  </si>
  <si>
    <t>NewAlliance Bancshares Inc,CT</t>
  </si>
  <si>
    <t>Exchange Bancshares Inc,OH</t>
  </si>
  <si>
    <t>Rurban Financial Corp</t>
  </si>
  <si>
    <t>Peoples State Bk,Georgia</t>
  </si>
  <si>
    <t>Rantoul First Bk,Rantoul,IL</t>
  </si>
  <si>
    <t>First BancTrust Corp,Paris,IL</t>
  </si>
  <si>
    <t>Gibraltar Financial Corp,FL</t>
  </si>
  <si>
    <t>Horizon Capital Bk,Houston,TX</t>
  </si>
  <si>
    <t>Rancho Bernardo Bk,CA</t>
  </si>
  <si>
    <t>Washington Coml Bancorp,WA</t>
  </si>
  <si>
    <t>Venture Financial Group,WA</t>
  </si>
  <si>
    <t>Gateway Hldg Co Inc,Dallas,TX</t>
  </si>
  <si>
    <t>PFS Bancorp Inc</t>
  </si>
  <si>
    <t>United Financial Inc,NC</t>
  </si>
  <si>
    <t>Keystone Finl,Kalamazoo,MI</t>
  </si>
  <si>
    <t>Bank of Commerce,Henderson,NV</t>
  </si>
  <si>
    <t>Community Bancorp NV</t>
  </si>
  <si>
    <t>Pacifica Bancorp Inc,Bellevue</t>
  </si>
  <si>
    <t>Equinox Bk,Pembroke Pines,FL</t>
  </si>
  <si>
    <t>Northwest Bancorp,Warren,PA</t>
  </si>
  <si>
    <t>First United Bank,San Diego,CA</t>
  </si>
  <si>
    <t>MetroCorp Bancshares Inc</t>
  </si>
  <si>
    <t>Albemarle First Bk,VA</t>
  </si>
  <si>
    <t>Millennium Bankshares Corp,VA</t>
  </si>
  <si>
    <t>Pacific Liberty Bank,CA</t>
  </si>
  <si>
    <t>Falls Bank,Stow,Ohio</t>
  </si>
  <si>
    <t>Franklin Bank,Nutley,NJ</t>
  </si>
  <si>
    <t>1st State Bancorp Inc,NC</t>
  </si>
  <si>
    <t>EFC Bancorp Inc,Elgin,Illinois</t>
  </si>
  <si>
    <t>MBNA Corp</t>
  </si>
  <si>
    <t>United Natl Bk,San Marino,CA</t>
  </si>
  <si>
    <t>Citizens Bancorp Inc,KY</t>
  </si>
  <si>
    <t>First National Banc Inc,GA</t>
  </si>
  <si>
    <t>Amegy Bancorp Inc,TX</t>
  </si>
  <si>
    <t>Prestonwood Bancshares Inc,TX</t>
  </si>
  <si>
    <t>TD Banknorth Inc,Portland,ME</t>
  </si>
  <si>
    <t>Thompson Falls Hldg Co,MT</t>
  </si>
  <si>
    <t>Sun Bancshares Inc,SC</t>
  </si>
  <si>
    <t>interSTATE NET BANK-Loans</t>
  </si>
  <si>
    <t>Unity Bancorp Inc,Clinton,NJ</t>
  </si>
  <si>
    <t>Palm Beach County Bank,FL</t>
  </si>
  <si>
    <t>First Natl Bancshares Inc,FL</t>
  </si>
  <si>
    <t>Liberty Bank of New York</t>
  </si>
  <si>
    <t>Wilshire Bancorp Inc</t>
  </si>
  <si>
    <t>Long Island Financial Corp,NY</t>
  </si>
  <si>
    <t>New York Community Bancorp Inc</t>
  </si>
  <si>
    <t>Asian American Bank &amp; Trust,MA</t>
  </si>
  <si>
    <t>Bridgeport Financial Corp,TX</t>
  </si>
  <si>
    <t>NWB Financial Corp,Seattle,WA</t>
  </si>
  <si>
    <t>Pac Continental Corp,Eugene,OR</t>
  </si>
  <si>
    <t>Town Bank,Westfield,NJ</t>
  </si>
  <si>
    <t>Two River Comnty Bk,Middletown</t>
  </si>
  <si>
    <t>Advantage Bank,Branchburg,NJ</t>
  </si>
  <si>
    <t>Sun Bancorp Inc,Vineland,NJ</t>
  </si>
  <si>
    <t>Access Anytime Bancorp Inc,NM</t>
  </si>
  <si>
    <t>Texas Community Bancshares,TX</t>
  </si>
  <si>
    <t>Great Eastern Bank,New York,NY</t>
  </si>
  <si>
    <t>Cathay Gen Bancorp,LA,CA</t>
  </si>
  <si>
    <t>Riverside Bancshares Inc,GA</t>
  </si>
  <si>
    <t>First Manhattan Bancorp Inc,KS</t>
  </si>
  <si>
    <t>Landmark Bancorp Inc</t>
  </si>
  <si>
    <t>Rivoli BanCorp Inc,Macon,GA</t>
  </si>
  <si>
    <t>NorthStar Financial Corp,WA</t>
  </si>
  <si>
    <t>Cedars Bank</t>
  </si>
  <si>
    <t>Integrity Financial Corp,NC</t>
  </si>
  <si>
    <t>TexasBanc Holding Co,TX</t>
  </si>
  <si>
    <t>FNB Financial Corp,PA</t>
  </si>
  <si>
    <t>Tower Bancorp Inc</t>
  </si>
  <si>
    <t>Union Bnk of CA NA,CA-Intl</t>
  </si>
  <si>
    <t>Peoples Ohio Financial Corp,OH</t>
  </si>
  <si>
    <t>Cavalry Bancorp Inc,Murfreesbo</t>
  </si>
  <si>
    <t>Pinnacle Financial Partners</t>
  </si>
  <si>
    <t>Atlantic Bank of New York,NY</t>
  </si>
  <si>
    <t>Columbiana Bancshares Inc,AL</t>
  </si>
  <si>
    <t>Crockett County Bancshares,TN</t>
  </si>
  <si>
    <t>Community First Finl Corp,VA</t>
  </si>
  <si>
    <t>American National Bankshares</t>
  </si>
  <si>
    <t>Calnet Business Bank,CA</t>
  </si>
  <si>
    <t>Coml Capital Bancorp Inc,CA</t>
  </si>
  <si>
    <t>Express Bank of Texas,Round</t>
  </si>
  <si>
    <t>Great Lakes Bancorp,Buffalo,</t>
  </si>
  <si>
    <t>Bay View Capital,San Mateo,CA</t>
  </si>
  <si>
    <t>HFS Bank,FSB,Hobart,Indiana</t>
  </si>
  <si>
    <t>Florida Choice Bankshares,FL</t>
  </si>
  <si>
    <t>Stone City Bancshares Inc,</t>
  </si>
  <si>
    <t>Banking Corp of Florida,FL</t>
  </si>
  <si>
    <t>Prosperity Bank &amp; Trust Co,VA</t>
  </si>
  <si>
    <t>Mercantile Financial Corp,OH</t>
  </si>
  <si>
    <t>Alamo Corp of TX,Alamo,TX</t>
  </si>
  <si>
    <t>Maryland Permanent Bk &amp; Tr,MD</t>
  </si>
  <si>
    <t>Minotola National Bank</t>
  </si>
  <si>
    <t>SNB Bancshares Inc,TX</t>
  </si>
  <si>
    <t>First Natl Bank of Newport,PA</t>
  </si>
  <si>
    <t>Orrstown Financial Svcs Inc</t>
  </si>
  <si>
    <t>Big Lake Finl Corp,FL</t>
  </si>
  <si>
    <t>Neighbors Bancshares Inc,GA</t>
  </si>
  <si>
    <t>Columbia Trust Bancorp,WA</t>
  </si>
  <si>
    <t>AmericanWest Bancorp,Spokane</t>
  </si>
  <si>
    <t>University National Bank,Il</t>
  </si>
  <si>
    <t>Wachovia Corp-Corporate Trust</t>
  </si>
  <si>
    <t>Ballston Spa Bancorp Inc,NY</t>
  </si>
  <si>
    <t>Hinsbrook Bancshares Inc,IL</t>
  </si>
  <si>
    <t>Concord Bank NA.Houston, Texas</t>
  </si>
  <si>
    <t>Summit Bank Corp,Atlanta,GA</t>
  </si>
  <si>
    <t>DeKalb Bankshares Inc,SC</t>
  </si>
  <si>
    <t>First Community Corp</t>
  </si>
  <si>
    <t>Bank Calumet,Hammond,Indiana</t>
  </si>
  <si>
    <t>Atlantic Liberty Finl Corp</t>
  </si>
  <si>
    <t>Flushing Financial Corp</t>
  </si>
  <si>
    <t>Trustcorp Finl Inc,MO</t>
  </si>
  <si>
    <t>F&amp;M Holding Co</t>
  </si>
  <si>
    <t>Standard Bank,Monterey Park,CA</t>
  </si>
  <si>
    <t>Intermountain First Bancorp</t>
  </si>
  <si>
    <t>Western Alliance Bancorp,NV</t>
  </si>
  <si>
    <t>Wshington Mutual-Brs(2),MT</t>
  </si>
  <si>
    <t>Northway Financial Inc</t>
  </si>
  <si>
    <t>Bank of the Southwest,AZ</t>
  </si>
  <si>
    <t>Premier Community Bankshares</t>
  </si>
  <si>
    <t>Fulton Bancshares Corp ,pa</t>
  </si>
  <si>
    <t>Franklin Financial Services</t>
  </si>
  <si>
    <t>Western Washington Bancorp,WA</t>
  </si>
  <si>
    <t>Mid-Valley Bank,Woodburn,OR</t>
  </si>
  <si>
    <t>SterlingSouth Bank &amp; Trust Co</t>
  </si>
  <si>
    <t>BNC Bancorp,High Point,NC</t>
  </si>
  <si>
    <t>Bancshares Inc</t>
  </si>
  <si>
    <t>Southwest Cmnty Bancorp,CA</t>
  </si>
  <si>
    <t>Mansfield Bancorp Inc,IL</t>
  </si>
  <si>
    <t>First Mid-Illinois Bancshares</t>
  </si>
  <si>
    <t>Kensington Bankshares Inc,FL</t>
  </si>
  <si>
    <t>Bristol Bank,Coral Gables,FL</t>
  </si>
  <si>
    <t>Suncoast Bancorp Inc,FL</t>
  </si>
  <si>
    <t>Metrocorp Inc</t>
  </si>
  <si>
    <t>National Bancshares Inc,IA</t>
  </si>
  <si>
    <t>Seasons Bancshares Inc,GA</t>
  </si>
  <si>
    <t>NorthStar Bancshares Inc</t>
  </si>
  <si>
    <t>Enterprise Finl Svcs Corp</t>
  </si>
  <si>
    <t>James Monroe Bancorp Inc</t>
  </si>
  <si>
    <t>Bank of NY-Consumer Business</t>
  </si>
  <si>
    <t>Bay Net Financial Inc</t>
  </si>
  <si>
    <t>Community Capital Bank,NY</t>
  </si>
  <si>
    <t>Carver Bancorp Inc,NY,NY</t>
  </si>
  <si>
    <t>Port City Capital Bank, NC</t>
  </si>
  <si>
    <t>Crescent Finl Corp,Cary,NC</t>
  </si>
  <si>
    <t>Smithfield State Bank</t>
  </si>
  <si>
    <t>Centra Financial Holdings Inc</t>
  </si>
  <si>
    <t>Washington Mutual Inc</t>
  </si>
  <si>
    <t>Citizen National Bancshares,KY</t>
  </si>
  <si>
    <t>Republic Bancshares Of Texas</t>
  </si>
  <si>
    <t>West Pointe Bancorp Inc</t>
  </si>
  <si>
    <t>Homestead Bank,Suwanee,GA</t>
  </si>
  <si>
    <t>Citizens Development,Billings</t>
  </si>
  <si>
    <t>Rancho Bank</t>
  </si>
  <si>
    <t>Vineyard National Bancorp</t>
  </si>
  <si>
    <t>Citizen Development Co,MT</t>
  </si>
  <si>
    <t>Home Building Bancorp Inc,IN</t>
  </si>
  <si>
    <t>First Bancorp of Indiana Inc</t>
  </si>
  <si>
    <t>Laurel Capital Group Inc</t>
  </si>
  <si>
    <t>Community Bancshares Inc</t>
  </si>
  <si>
    <t>Nuestra Tarjeta Servicios Inc</t>
  </si>
  <si>
    <t>NBOG Bancorporation</t>
  </si>
  <si>
    <t>Golden West Financial Corp,CA</t>
  </si>
  <si>
    <t>NNB Holdings Inc</t>
  </si>
  <si>
    <t>The Bank Holdings</t>
  </si>
  <si>
    <t>BWC Finl Corp,Walnut Creek,CA</t>
  </si>
  <si>
    <t>First Republic Bank,California</t>
  </si>
  <si>
    <t>PB Financial Services Corp</t>
  </si>
  <si>
    <t>Royal Palm Bancorp Inc,Naples,</t>
  </si>
  <si>
    <t>Mercantile Bancorp Inc</t>
  </si>
  <si>
    <t>First National Bank of Morgan</t>
  </si>
  <si>
    <t>GBC Bancorp Inc,Lawrenceville,</t>
  </si>
  <si>
    <t>Kentucky Banking Centers,KC</t>
  </si>
  <si>
    <t>Citizens First Corp</t>
  </si>
  <si>
    <t>Mountain States Bancorporation</t>
  </si>
  <si>
    <t>UMB Financial Corp</t>
  </si>
  <si>
    <t>FCB Bancorp,Camarillo,CA</t>
  </si>
  <si>
    <t>Farnsworth Bancorp Inc</t>
  </si>
  <si>
    <t>Sterling Banks Inc</t>
  </si>
  <si>
    <t>Republic Bancorp Inc,Owosso,MI</t>
  </si>
  <si>
    <t>Summit Bancshares Inc</t>
  </si>
  <si>
    <t>New Asia Bancorp Inc,Chicago</t>
  </si>
  <si>
    <t>Westbank Corp,MA</t>
  </si>
  <si>
    <t>Cactus Commerce Bank,Glendale</t>
  </si>
  <si>
    <t>BOTH Inc</t>
  </si>
  <si>
    <t>Piedmont Bancshares Inc,Atlant</t>
  </si>
  <si>
    <t>ONB Corp,Clifton Springs,NY</t>
  </si>
  <si>
    <t>Wells River Bancorp Inc</t>
  </si>
  <si>
    <t>Pulaski Invesment Corp</t>
  </si>
  <si>
    <t>Maplesville Bancorp,Clanton,AL</t>
  </si>
  <si>
    <t>SouthCrest Finl Grp Inc</t>
  </si>
  <si>
    <t>Anderson Bank Co</t>
  </si>
  <si>
    <t>Islands Bancorp,Beaufort,SC</t>
  </si>
  <si>
    <t>Ameris Bancorp</t>
  </si>
  <si>
    <t>Landmark Financial Corp,</t>
  </si>
  <si>
    <t>First Internet Bancorp</t>
  </si>
  <si>
    <t>Old Florida Bankshares Inc,FL</t>
  </si>
  <si>
    <t>Southern Bancorp Inc,GA</t>
  </si>
  <si>
    <t>BUCS Financial Corp</t>
  </si>
  <si>
    <t>Stockmen's Bancorp,Kingman,AZ</t>
  </si>
  <si>
    <t>Vernon Bank Corp</t>
  </si>
  <si>
    <t>Fidelity Financial Corp</t>
  </si>
  <si>
    <t>Main Street Trust Inc,Il</t>
  </si>
  <si>
    <t>Front Range Capital Corp</t>
  </si>
  <si>
    <t>Prairie Financial Corp</t>
  </si>
  <si>
    <t>Signature Financial Holdings</t>
  </si>
  <si>
    <t>Legacy Bank NA,Campbell,CA</t>
  </si>
  <si>
    <t>United Security Bancshares,CA</t>
  </si>
  <si>
    <t>Potomac Bank of Virginia</t>
  </si>
  <si>
    <t>Far West Bancorp,Provo Utah</t>
  </si>
  <si>
    <t>St Joseph Capital Corp</t>
  </si>
  <si>
    <t>Business Bank Corp</t>
  </si>
  <si>
    <t>Unison Bancorp Inc,Lenexa,</t>
  </si>
  <si>
    <t>Blue Valley Ban Corp</t>
  </si>
  <si>
    <t>Bank of Venice,Venice,Florida</t>
  </si>
  <si>
    <t>TIB Financial Corp</t>
  </si>
  <si>
    <t>Valrico Bancorp Inc</t>
  </si>
  <si>
    <t>Emerald Bank,Dublin,Ohio</t>
  </si>
  <si>
    <t>Middlefield Banc Corp,Ohio</t>
  </si>
  <si>
    <t>Valley Bank Inc,Bristol,CO</t>
  </si>
  <si>
    <t>New England Bancshares Inc,CT</t>
  </si>
  <si>
    <t>United Heritage Bank,NJ</t>
  </si>
  <si>
    <t>Clayco Banc Corp</t>
  </si>
  <si>
    <t>Bank of Weatherford</t>
  </si>
  <si>
    <t>Columbia Financial Corp</t>
  </si>
  <si>
    <t>Mellon Financial,Pittsburgh,PA</t>
  </si>
  <si>
    <t>South Tulsa Financial Corp</t>
  </si>
  <si>
    <t>United Heritage Bankshares</t>
  </si>
  <si>
    <t>F&amp;M Bank, Spokane, Washington</t>
  </si>
  <si>
    <t>CN Bancorp Inc</t>
  </si>
  <si>
    <t>Citizens Bancorp Inc,PA</t>
  </si>
  <si>
    <t>Citizens &amp; Northern Corp</t>
  </si>
  <si>
    <t>TLNB Financial Corp</t>
  </si>
  <si>
    <t>Bank of Richmond NA</t>
  </si>
  <si>
    <t>Gateway Financial Holdings Inc</t>
  </si>
  <si>
    <t>Chinese American Bank, NY,NY</t>
  </si>
  <si>
    <t>Morgan Bancorp Inc,Hudson,OH</t>
  </si>
  <si>
    <t>LNB Bancorp Inc</t>
  </si>
  <si>
    <t>Peoples Cmnty Bancshares Inc</t>
  </si>
  <si>
    <t>Superior Bancorp,Alabama</t>
  </si>
  <si>
    <t>Merrill Merchants Bancshares</t>
  </si>
  <si>
    <t>Commercial Bankshares Inc</t>
  </si>
  <si>
    <t>First Haralson Corp</t>
  </si>
  <si>
    <t>WGNB Corp</t>
  </si>
  <si>
    <t>Partners Bank of Texas</t>
  </si>
  <si>
    <t>Civitas BankGroup Inc</t>
  </si>
  <si>
    <t>Bank of Kansas,Hutchinson,KS</t>
  </si>
  <si>
    <t>Capital Bancorp Inc,TN</t>
  </si>
  <si>
    <t>Renasant Corp</t>
  </si>
  <si>
    <t>Gwinnett Commercial Group Inc</t>
  </si>
  <si>
    <t>First Coastal Bancshares,El</t>
  </si>
  <si>
    <t>HNB Financial Services Inc</t>
  </si>
  <si>
    <t>Excel Bank Corp,Minneapolis,MN</t>
  </si>
  <si>
    <t>Bk of Chickamauga,Chickamauga</t>
  </si>
  <si>
    <t>Monticello Bancshares Inc</t>
  </si>
  <si>
    <t>CapitalSouth Bancorp</t>
  </si>
  <si>
    <t>Charter Bank,Bellevue,WA</t>
  </si>
  <si>
    <t>Acuity Bank,Sheboygan,WI</t>
  </si>
  <si>
    <t>First Manitowoc Bancorp Inc</t>
  </si>
  <si>
    <t>Worth Bancorp Inc,Texas</t>
  </si>
  <si>
    <t>Northwest Suburban Bancorp Inc</t>
  </si>
  <si>
    <t>Mountain Bank Holding Co</t>
  </si>
  <si>
    <t>Town Ctr Bancorp,Portland,OR</t>
  </si>
  <si>
    <t>Commerce Bank,Aurora,Colorado</t>
  </si>
  <si>
    <t>First Commerce Cmnty Bankshare</t>
  </si>
  <si>
    <t>Randolph Bank &amp; Trust Co</t>
  </si>
  <si>
    <t>Bank of the Carolinas Corp</t>
  </si>
  <si>
    <t>FNB Finl Corp,Three Rivers,MI</t>
  </si>
  <si>
    <t>Southern Michigan Bancorp,MI</t>
  </si>
  <si>
    <t>ABN AMRO North America Holding</t>
  </si>
  <si>
    <t>Desert Community Bk,California</t>
  </si>
  <si>
    <t>Bank of Navasota NA,TX</t>
  </si>
  <si>
    <t>Pocono Cmnty Bk,Stroudsburg,PA</t>
  </si>
  <si>
    <t>First Keystone Corp</t>
  </si>
  <si>
    <t>Factory Point Bancorp Inc</t>
  </si>
  <si>
    <t>Berkshire Hills Bancorp Inc</t>
  </si>
  <si>
    <t>Stamford Bank Corp,Stamford,NY</t>
  </si>
  <si>
    <t>Delaware Bancshares,Walton,NY</t>
  </si>
  <si>
    <t>East Penn Financial Corp</t>
  </si>
  <si>
    <t>Fort Worth Bancshares Inc,TX</t>
  </si>
  <si>
    <t>Southside Bancshares,Tyler,TX</t>
  </si>
  <si>
    <t>Bus First Natl Bk,CA</t>
  </si>
  <si>
    <t>Eagle Fidelity Inc</t>
  </si>
  <si>
    <t>Cmnty Bk &amp; Tr Co,Wolfeboro,NH</t>
  </si>
  <si>
    <t>Futura Banc Corp</t>
  </si>
  <si>
    <t>Yardville National Bancorp,NJ</t>
  </si>
  <si>
    <t>Cardinal State Bank</t>
  </si>
  <si>
    <t>Yadkin Valley Financial Corp</t>
  </si>
  <si>
    <t>Ohio County Bancshares Inc</t>
  </si>
  <si>
    <t>Porter Bancorp Inc</t>
  </si>
  <si>
    <t>Christiana Bank &amp; Trust Co</t>
  </si>
  <si>
    <t>Business Finance Capital Corp</t>
  </si>
  <si>
    <t>Alaska First Bank &amp; Trust NA</t>
  </si>
  <si>
    <t>Northrim Bancorp Inc</t>
  </si>
  <si>
    <t>NCW Community Bank,Wenatchee</t>
  </si>
  <si>
    <t>First Mutual Bancshares Inc</t>
  </si>
  <si>
    <t>Washington Federal Inc</t>
  </si>
  <si>
    <t>Great Pee Dee Bancorp Inc,SC</t>
  </si>
  <si>
    <t>S&amp;C Banco Inc</t>
  </si>
  <si>
    <t>BankFirst NA-Stored Value</t>
  </si>
  <si>
    <t>Bancorp Inc</t>
  </si>
  <si>
    <t>Citrus &amp; Chemical</t>
  </si>
  <si>
    <t>Banco de Chile-US Business</t>
  </si>
  <si>
    <t>Bank of Salem</t>
  </si>
  <si>
    <t>Virginia Finl Grp,Culpeper,VA</t>
  </si>
  <si>
    <t>USB Holding Co Inc,Orangeburg</t>
  </si>
  <si>
    <t>Sycamore Natl Bk,Cincinnati,OH</t>
  </si>
  <si>
    <t>LCNB Corp</t>
  </si>
  <si>
    <t>MidAmerica Bancshares,TN</t>
  </si>
  <si>
    <t>Greenville Cmnty Finl Corp</t>
  </si>
  <si>
    <t>IBT Bancorp Inc,Mt Pleasant,MI</t>
  </si>
  <si>
    <t>Centennial Bancshares Inc,AR</t>
  </si>
  <si>
    <t>Home BancShares Inc</t>
  </si>
  <si>
    <t>Carolina National Corp</t>
  </si>
  <si>
    <t>First National Bancshares Inc</t>
  </si>
  <si>
    <t>MidWestOne Financial Grp Inc</t>
  </si>
  <si>
    <t>ISB Financial Corp</t>
  </si>
  <si>
    <t>Washington Banking Co</t>
  </si>
  <si>
    <t>Equitable Financial Group Inc</t>
  </si>
  <si>
    <t>1st United Bancorp,Boca Raton</t>
  </si>
  <si>
    <t>Slade's Ferry Bancorp,MA</t>
  </si>
  <si>
    <t>Stockmans Finl Group,CA</t>
  </si>
  <si>
    <t>HeritageBanc Inc,Chicago,IL</t>
  </si>
  <si>
    <t>Old Second Bancorp Inc</t>
  </si>
  <si>
    <t>Sleepy Hollow Bancorp Inc</t>
  </si>
  <si>
    <t>Tompkins Financial Corp</t>
  </si>
  <si>
    <t>Oritani Financial Corp</t>
  </si>
  <si>
    <t>Traders Bankshares Inc,WV</t>
  </si>
  <si>
    <t>Fidelity &amp; Trust Finl Corp,MD</t>
  </si>
  <si>
    <t>Eagle Bancorp Inc,Bethesda,MD</t>
  </si>
  <si>
    <t>Millennium Bank NA-Branches(2)</t>
  </si>
  <si>
    <t>Eastern Virginia Bankshares</t>
  </si>
  <si>
    <t>LongLeaf Community Bank,NC</t>
  </si>
  <si>
    <t>Four Oaks Fincorp Inc</t>
  </si>
  <si>
    <t>KLT Bancshares Inc</t>
  </si>
  <si>
    <t>Liberty Bancorp Inc</t>
  </si>
  <si>
    <t>Shore Financial Corp,VA</t>
  </si>
  <si>
    <t>Hampton Roads Bankshares Inc</t>
  </si>
  <si>
    <t>1st Choice Bancorp Inc,TX</t>
  </si>
  <si>
    <t>Iron &amp; Glass Bancorp Inc</t>
  </si>
  <si>
    <t>1st Independence Finl Grp,KY</t>
  </si>
  <si>
    <t>River City Bank,VA</t>
  </si>
  <si>
    <t>Village Bk &amp; Tr Finl Corp</t>
  </si>
  <si>
    <t>Partners Financial Holdings</t>
  </si>
  <si>
    <t>First Clover Leaf Finl Corp</t>
  </si>
  <si>
    <t>Indian Village Bancorp Inc,OH</t>
  </si>
  <si>
    <t>CSB Bancorp Inc,Millersburg,OH</t>
  </si>
  <si>
    <t>Willow Financial Bancorp Inc</t>
  </si>
  <si>
    <t>Service 1st Bancorp,CA</t>
  </si>
  <si>
    <t>JNJ Holdings LLC</t>
  </si>
  <si>
    <t>Bryn Mawr Bank Corp</t>
  </si>
  <si>
    <t>Parish National Corp</t>
  </si>
  <si>
    <t>HNB Bancorp Inc,Halifax,PA</t>
  </si>
  <si>
    <t>First Perry Bancorp Inc</t>
  </si>
  <si>
    <t>CCFNB Bancorp Inc</t>
  </si>
  <si>
    <t>Bank of the San Juans Bancorp</t>
  </si>
  <si>
    <t>Guaranty Financial Services</t>
  </si>
  <si>
    <t>First Sentry Bancshares Inc</t>
  </si>
  <si>
    <t>State of Franklin Bancshares</t>
  </si>
  <si>
    <t>Amer Home Bk,Mountville,PA</t>
  </si>
  <si>
    <t>First Chester County Corp,PA</t>
  </si>
  <si>
    <t>Wachovia Corp,NC-Bkg Op</t>
  </si>
  <si>
    <t>First Wisconsin Bank &amp; Tr Co</t>
  </si>
  <si>
    <t>Freedom Bank-Assets</t>
  </si>
  <si>
    <t>Republic First Bancorp Inc</t>
  </si>
  <si>
    <t>Pennsylvania Commerce Bancorp</t>
  </si>
  <si>
    <t>Citizens Finl Grp Inc-IN Ret</t>
  </si>
  <si>
    <t>Chevy Chase Bank FSB</t>
  </si>
  <si>
    <t>Peoples Bk,GA-Br,Lithonia,GA</t>
  </si>
  <si>
    <t>Canton Bancorp Inc,PA</t>
  </si>
  <si>
    <t>Butler Wick Trust Co Inc</t>
  </si>
  <si>
    <t>Apple Valley Bank &amp; Trust Co</t>
  </si>
  <si>
    <t>First National Bank &amp; Trust,WY</t>
  </si>
  <si>
    <t>AB&amp;T Financial Corp</t>
  </si>
  <si>
    <t>1st Financial Services Corp</t>
  </si>
  <si>
    <t>Bank of Auburn Hills,MI</t>
  </si>
  <si>
    <t>Discovery Bancorp</t>
  </si>
  <si>
    <t>CommerceWest Bank NA</t>
  </si>
  <si>
    <t>First Market Bank,Richmond</t>
  </si>
  <si>
    <t>TriStone Cmnty Bk,NC</t>
  </si>
  <si>
    <t>Natl City Corp,OH-Branch Bkg</t>
  </si>
  <si>
    <t>Cmnty First Bank,Corydon,IN</t>
  </si>
  <si>
    <t>First Svgs Finl Grp Inc,IN</t>
  </si>
  <si>
    <t>Nuestro Banco,Raleigh,NC</t>
  </si>
  <si>
    <t>Carolina Commerce Bk,Gastonia</t>
  </si>
  <si>
    <t>Carolina Trust Bank</t>
  </si>
  <si>
    <t>American Home Bank,Chicago,IL</t>
  </si>
  <si>
    <t>Community National Corp</t>
  </si>
  <si>
    <t>NB&amp;T Financial Group Inc</t>
  </si>
  <si>
    <t>1st Pacific Bk of CA,LaJolla,</t>
  </si>
  <si>
    <t>First Business Bank NA,CA</t>
  </si>
  <si>
    <t>Colonial BancGroup Inc-Bkg</t>
  </si>
  <si>
    <t>First Keystone Financial Inc</t>
  </si>
  <si>
    <t>United Commercial Bank,CA</t>
  </si>
  <si>
    <t>First Bank-Asset Based Loan</t>
  </si>
  <si>
    <t>Oak Financial Corp,MI</t>
  </si>
  <si>
    <t>Roma Financial Corp</t>
  </si>
  <si>
    <t>NexTier Inc</t>
  </si>
  <si>
    <t>Northwest Bancshares Inc</t>
  </si>
  <si>
    <t>Atlantic Bancgroup Inc</t>
  </si>
  <si>
    <t>Jacksonville Bancorp Inc,FL</t>
  </si>
  <si>
    <t>Central Jersey Bancorp,NJ</t>
  </si>
  <si>
    <t>LaFollette First National Corp</t>
  </si>
  <si>
    <t>WSFS Financial Corp</t>
  </si>
  <si>
    <t>The Bank of Currituck-Banking</t>
  </si>
  <si>
    <t>Comm Bancorp Inc</t>
  </si>
  <si>
    <t>Southwest Capital Bank NA</t>
  </si>
  <si>
    <t>Stonegate Bank,Fort</t>
  </si>
  <si>
    <t>Maryland Bankcorp Inc</t>
  </si>
  <si>
    <t>Old Line Bancshares Inc</t>
  </si>
  <si>
    <t>Sam Houston Financial Corp</t>
  </si>
  <si>
    <t>DG Bancorp Inc</t>
  </si>
  <si>
    <t>Cadence Financial Corp</t>
  </si>
  <si>
    <t>Monroe Bancorp,Bloomington,IN</t>
  </si>
  <si>
    <t>Rome Bancorp Inc,Rome,NY</t>
  </si>
  <si>
    <t>Fort Orange Financial Corp</t>
  </si>
  <si>
    <t>First Ipswich Bancorp,MA</t>
  </si>
  <si>
    <t>Charter Oak Bank,Napa,CA</t>
  </si>
  <si>
    <t>Bay Coml Bk,Walnut Creek,CA</t>
  </si>
  <si>
    <t>Center Financial Corp,LA,CA</t>
  </si>
  <si>
    <t>MidCarolina Financial Corp</t>
  </si>
  <si>
    <t>Legacy Bancorp Inc</t>
  </si>
  <si>
    <t>Abington Bancorp,Jenkintown,PA</t>
  </si>
  <si>
    <t>OMNI Bancshares Inc</t>
  </si>
  <si>
    <t>Cameron Bancshares Inc</t>
  </si>
  <si>
    <t>Embarcadero Bk,San Diego,CA</t>
  </si>
  <si>
    <t>Coronado First Bk,Coronado,CA</t>
  </si>
  <si>
    <t>Park Sterling Corp</t>
  </si>
  <si>
    <t>Bancorp Rhode Island Inc</t>
  </si>
  <si>
    <t>FNB United Corp</t>
  </si>
  <si>
    <t>State Bancorp Inc,NY</t>
  </si>
  <si>
    <t>Global Trust Bank</t>
  </si>
  <si>
    <t>Fullerton Federal Savings Assn</t>
  </si>
  <si>
    <t>Fairmount Bancorp Inc</t>
  </si>
  <si>
    <t>Gateway Bancorp,Cerritos,</t>
  </si>
  <si>
    <t>First PacTrust Bancorp Inc</t>
  </si>
  <si>
    <t>RBC Bank(USA),Raleigh,NC</t>
  </si>
  <si>
    <t>Santa Lucia Bancorp</t>
  </si>
  <si>
    <t>Mission Community Bancorp</t>
  </si>
  <si>
    <t>Elgin State Bancorp Inc,IL</t>
  </si>
  <si>
    <t>Wintrust Financial Corp</t>
  </si>
  <si>
    <t>Alliance Bankshares Corp,VA</t>
  </si>
  <si>
    <t>Peoples State Bank of Commerce</t>
  </si>
  <si>
    <t>Tennessee Commerce Bancorp Inc</t>
  </si>
  <si>
    <t>Beach Business Bank,CA</t>
  </si>
  <si>
    <t>Texas Bankers Inc,Austin,Texas</t>
  </si>
  <si>
    <t>Mainline Bancorp Inc</t>
  </si>
  <si>
    <t>Stellar Business Bank</t>
  </si>
  <si>
    <t>AltaPacific Bancorp</t>
  </si>
  <si>
    <t>Freestar Bank,Pontiac,Illinois</t>
  </si>
  <si>
    <t>Anderen Financial Inc</t>
  </si>
  <si>
    <t>The Connecticut Bk &amp; Trust Co</t>
  </si>
  <si>
    <t>BankAtlantic,FL</t>
  </si>
  <si>
    <t>Anglo Irish Bank Corp-US Loan</t>
  </si>
  <si>
    <t>CKF Bancorp Inc,Danville,KY</t>
  </si>
  <si>
    <t>Kentucky First Federal Bancorp</t>
  </si>
  <si>
    <t>Virginia Savings Bancorp Inc</t>
  </si>
  <si>
    <t>Dupont State Bank</t>
  </si>
  <si>
    <t>River Valley Bancorp</t>
  </si>
  <si>
    <t>SE Financial Corp</t>
  </si>
  <si>
    <t>Beneficial Mutual Bancorp Inc</t>
  </si>
  <si>
    <t>Highlands Bancshares Inc,TX</t>
  </si>
  <si>
    <t>ViewPoint Financial Group Inc</t>
  </si>
  <si>
    <t>East Texas Financial Services</t>
  </si>
  <si>
    <t>Peoples Bancorp Inc,Easley,SC</t>
  </si>
  <si>
    <t>KeySource Financial Inc,NC</t>
  </si>
  <si>
    <t>The Bank Arlington,Texas</t>
  </si>
  <si>
    <t>Prosperity Bancshares Inc</t>
  </si>
  <si>
    <t>Indiana Community Bancorp</t>
  </si>
  <si>
    <t>Heartland Bancshares Inc,IN</t>
  </si>
  <si>
    <t>American State Financial Corp</t>
  </si>
  <si>
    <t>Premier Service Bank,Riverside</t>
  </si>
  <si>
    <t>First CA Finl Grp Inc</t>
  </si>
  <si>
    <t>Florida Gulf Bancorp Inc</t>
  </si>
  <si>
    <t>Oceanic Bank Holding Inc</t>
  </si>
  <si>
    <t>FNB Bancorp</t>
  </si>
  <si>
    <t>Gateway Bank of Pennsylvania</t>
  </si>
  <si>
    <t>South Valley Bancorp Inc</t>
  </si>
  <si>
    <t>Central Bancorp Inc,MA</t>
  </si>
  <si>
    <t>WashingtonFirst Bankshare Inc</t>
  </si>
  <si>
    <t>PacWest Bancorp</t>
  </si>
  <si>
    <t>First Trust Bank,Charlotte,NC</t>
  </si>
  <si>
    <t>Sistersville Bancorp Inc</t>
  </si>
  <si>
    <t>Marathon State Bank,Marathon,W</t>
  </si>
  <si>
    <t>PSB Hldg,Wausau,WI</t>
  </si>
  <si>
    <t>Acacia Federal Savings Bank</t>
  </si>
  <si>
    <t>Customers Bancorp Inc</t>
  </si>
  <si>
    <t>Community National Bk,Bellaire</t>
  </si>
  <si>
    <t>First Shares Inc</t>
  </si>
  <si>
    <t>CMS Bancorp Inc</t>
  </si>
  <si>
    <t>Western Liberty Bancorp,NV</t>
  </si>
  <si>
    <t>Citizens Republic Bancorp Inc</t>
  </si>
  <si>
    <t>Northwest Commercial Bank,WA</t>
  </si>
  <si>
    <t>HPK Financial Corp</t>
  </si>
  <si>
    <t>ECB Bancorp Inc,Engelhard,NC</t>
  </si>
  <si>
    <t>Crescent Financial Bancshares</t>
  </si>
  <si>
    <t>PSB Financial Corp</t>
  </si>
  <si>
    <t>Genala Banc Inc</t>
  </si>
  <si>
    <t>Alliance Financial Corp,NY</t>
  </si>
  <si>
    <t>First Capital Bancshares Inc</t>
  </si>
  <si>
    <t>Heritage Bank,Phoenix,Arizona</t>
  </si>
  <si>
    <t>First Associations Bank,Dallas</t>
  </si>
  <si>
    <t>Pacific Premier Bancorp Inc</t>
  </si>
  <si>
    <t>Luzerne National Bank Corp</t>
  </si>
  <si>
    <t>Annapolis Bancorp Inc</t>
  </si>
  <si>
    <t>Pacific International Bancorp</t>
  </si>
  <si>
    <t>BBCN Bancorp Inc</t>
  </si>
  <si>
    <t>Century Bank,Eugene,Oregon</t>
  </si>
  <si>
    <t>First Place Bank</t>
  </si>
  <si>
    <t>Talmer Bancorp Inc,Troy,MI</t>
  </si>
  <si>
    <t>Coppermark Bancshares Inc</t>
  </si>
  <si>
    <t>SY Bancorp Inc,Louisville,KY</t>
  </si>
  <si>
    <t>Roebling Financial Corp Inc</t>
  </si>
  <si>
    <t>Centennial Bank</t>
  </si>
  <si>
    <t>First Lansing Bancorp Inc</t>
  </si>
  <si>
    <t>Somerset Hills Bancorp</t>
  </si>
  <si>
    <t>Virginia Commerce Bancorp Inc</t>
  </si>
  <si>
    <t>First National Bank of Baldwin</t>
  </si>
  <si>
    <t>First Bancshares Inc,MS</t>
  </si>
  <si>
    <t>Flagstar Bank-Coml Bkg Bus</t>
  </si>
  <si>
    <t>Community National Bancorp,IO</t>
  </si>
  <si>
    <t>QCR Holdings Inc</t>
  </si>
  <si>
    <t>Wheatland Bankshares Inc</t>
  </si>
  <si>
    <t>San Diego Trust Bank</t>
  </si>
  <si>
    <t>Enterprise Bancorp Inc</t>
  </si>
  <si>
    <t>FC Banc Corp,Bucyrus,Ohio</t>
  </si>
  <si>
    <t>North Cascades National Bk,WA</t>
  </si>
  <si>
    <t>Foster Bank Shares Inc</t>
  </si>
  <si>
    <t>The Prosperity Banking Co</t>
  </si>
  <si>
    <t>CFS Bancorp Inc</t>
  </si>
  <si>
    <t>Mayflower Bancorp Inc</t>
  </si>
  <si>
    <t>BankAsiana,Palisades Park,New</t>
  </si>
  <si>
    <t>StellarOne Corp</t>
  </si>
  <si>
    <t>Union First Market Bankshares</t>
  </si>
  <si>
    <t>Morrill Bancshares Inc</t>
  </si>
  <si>
    <t>Central Virginia Bankshares</t>
  </si>
  <si>
    <t>C&amp;F Financial Corp</t>
  </si>
  <si>
    <t>Wilton Bank,Wilton,CT</t>
  </si>
  <si>
    <t>Bank of New Canaan</t>
  </si>
  <si>
    <t>Ozarks Legacy Community Finl</t>
  </si>
  <si>
    <t>Southern Missouri Bancorp Inc</t>
  </si>
  <si>
    <t>Penseco Financial Services</t>
  </si>
  <si>
    <t>NorCal Community Bancorp</t>
  </si>
  <si>
    <t>Bank of Marin Bancorp</t>
  </si>
  <si>
    <t>Heritage Community Bank,NJ</t>
  </si>
  <si>
    <t>First Bank,Hamilton,New Jersey</t>
  </si>
  <si>
    <t>Saehan Bancorp</t>
  </si>
  <si>
    <t>Taylor Capital Group Inc</t>
  </si>
  <si>
    <t>MB Financial Inc</t>
  </si>
  <si>
    <t>United Commerce Bancorp</t>
  </si>
  <si>
    <t>Gulfstream Bancshares Inc</t>
  </si>
  <si>
    <t>CenterState Banks,Davenport,FL</t>
  </si>
  <si>
    <t>WNB Bancshares Inc</t>
  </si>
  <si>
    <t>Savannah River Financial Corp</t>
  </si>
  <si>
    <t>Rumson-Fair Haven Bank &amp; Trust</t>
  </si>
  <si>
    <t>Mercantile Bank Corp</t>
  </si>
  <si>
    <t>F&amp;M Bancorporation Inc</t>
  </si>
  <si>
    <t>Florida Shores Bancorp Inc</t>
  </si>
  <si>
    <t>United Financial Banking Cos</t>
  </si>
  <si>
    <t>Tower Financial Corporation</t>
  </si>
  <si>
    <t>Old National Bancorp</t>
  </si>
  <si>
    <t>Metropolitan National Bank,AR</t>
  </si>
  <si>
    <t>Rogers Bancshares Inc,AR</t>
  </si>
  <si>
    <t>FNBNY Bancorp Inc</t>
  </si>
  <si>
    <t>Bridge Bancorp Inc</t>
  </si>
  <si>
    <t>Select Bancorp Inc</t>
  </si>
  <si>
    <t>New Century Bancorp Inc,NC</t>
  </si>
  <si>
    <t>Alaska Pacific Bancshares Inc</t>
  </si>
  <si>
    <t>Eaton Natl Bnk&amp;Trst,Eaton,Ohio</t>
  </si>
  <si>
    <t>CapStone Bank,Raleigh,NC</t>
  </si>
  <si>
    <t>NewBridge Bancorp</t>
  </si>
  <si>
    <t>Independence Bk,Newport Beach</t>
  </si>
  <si>
    <t>Citizens State Bankshares</t>
  </si>
  <si>
    <t>SCB Bancorp Inc</t>
  </si>
  <si>
    <t>Rockville Financial Inc</t>
  </si>
  <si>
    <t>Gassaway Bancshares Inc</t>
  </si>
  <si>
    <t>BOH Holdings Inc</t>
  </si>
  <si>
    <t>Independent Bank Group Inc</t>
  </si>
  <si>
    <t>LegacyTexas Group Inc</t>
  </si>
  <si>
    <t>First Wyoming Financial Corp</t>
  </si>
  <si>
    <t>Cmnty First Finl Grp Inc,IN</t>
  </si>
  <si>
    <t>South Street Financial Corp</t>
  </si>
  <si>
    <t>Insight Bank,Worthington,OH</t>
  </si>
  <si>
    <t>Prince Georges FSB</t>
  </si>
  <si>
    <t>Southern National Bancorp of</t>
  </si>
  <si>
    <t>United Bancorp Inc</t>
  </si>
  <si>
    <t>Ouachita Bancshares Corp</t>
  </si>
  <si>
    <t>Teche Holding Co,New Iberia,LA</t>
  </si>
  <si>
    <t>Community Bank of San Joaquin</t>
  </si>
  <si>
    <t>ConnectOne Bancorp Inc</t>
  </si>
  <si>
    <t>Midwest Bancshares Inc,OH</t>
  </si>
  <si>
    <t>Central Community,Temple,Texas</t>
  </si>
  <si>
    <t>Alpena Banking Corp</t>
  </si>
  <si>
    <t>First Federal of Northern,MI</t>
  </si>
  <si>
    <t>VantageSouth Bancshares Inc</t>
  </si>
  <si>
    <t>Yadkin Financial Corp</t>
  </si>
  <si>
    <t>First Southern Bancorp Inc</t>
  </si>
  <si>
    <t>Atlas Bank</t>
  </si>
  <si>
    <t>Summit Bancorp Inc,Arkadelphia</t>
  </si>
  <si>
    <t>Mission Oaks Bancorp Inc</t>
  </si>
  <si>
    <t>AltaPacific Bank</t>
  </si>
  <si>
    <t>Mountain West Financial Corp</t>
  </si>
  <si>
    <t>First Interstate BancSystem In</t>
  </si>
  <si>
    <t>First Private Holdings Inc</t>
  </si>
  <si>
    <t>Peoples Banking Co</t>
  </si>
  <si>
    <t>Provident Comnty Bancshares</t>
  </si>
  <si>
    <t>BCB Holding Co Inc</t>
  </si>
  <si>
    <t>Northwestern Bancorp Inc</t>
  </si>
  <si>
    <t>Coastal Bankshares Inc</t>
  </si>
  <si>
    <t>Riverside Bank</t>
  </si>
  <si>
    <t>Colonial Virginia Bank</t>
  </si>
  <si>
    <t>Xenith Bankshares Inc</t>
  </si>
  <si>
    <t>Delta Trust &amp; Banking Corp</t>
  </si>
  <si>
    <t>Quinnipiac Bank And Trust Co</t>
  </si>
  <si>
    <t>Bankwell Financial Group</t>
  </si>
  <si>
    <t>Ohio Heritage Bancorp Inc</t>
  </si>
  <si>
    <t>MBT Bancorp,West Harrison,IN</t>
  </si>
  <si>
    <t>Florida Traditions Bank</t>
  </si>
  <si>
    <t>North Akron Savings Bk,Akron,O</t>
  </si>
  <si>
    <t>BANKshares Inc</t>
  </si>
  <si>
    <t>Idaho Bancorp</t>
  </si>
  <si>
    <t>Bank Of Atlanta,Atlanta,GA</t>
  </si>
  <si>
    <t>State Bank Financial Corp</t>
  </si>
  <si>
    <t>Guernsey Bancorp Inc,Ohio</t>
  </si>
  <si>
    <t>Continental Bank Holdings Inc</t>
  </si>
  <si>
    <t>Community First Bancshares Inc</t>
  </si>
  <si>
    <t>First National Bank</t>
  </si>
  <si>
    <t>Aslin Group Inc</t>
  </si>
  <si>
    <t>First Bus Finl Svcs Inc</t>
  </si>
  <si>
    <t>Liberty Bancshares Inc,MO</t>
  </si>
  <si>
    <t>Virginia Co Bank,Newport News</t>
  </si>
  <si>
    <t>California United Bk,Encino,CA</t>
  </si>
  <si>
    <t>1st Enterprise Bk,Los Angeles,</t>
  </si>
  <si>
    <t>Houston Community Bank</t>
  </si>
  <si>
    <t>Harbor Bank Group Inc</t>
  </si>
  <si>
    <t>Valley Green Bank</t>
  </si>
  <si>
    <t>Georgia-Carolina Bancshares</t>
  </si>
  <si>
    <t>Ohio State Bank,Marion,Ohio</t>
  </si>
  <si>
    <t>Great Lakes Finl Resources Inc</t>
  </si>
  <si>
    <t>Private Bancorp Inc</t>
  </si>
  <si>
    <t>Alerus Financial Corp</t>
  </si>
  <si>
    <t>Santa Clara Valley Bank NA,CA</t>
  </si>
  <si>
    <t>Sierra Bancorp,Porterville,CA</t>
  </si>
  <si>
    <t>Peninsula Financial Corp</t>
  </si>
  <si>
    <t>Mackinac Financial Corp</t>
  </si>
  <si>
    <t>Community Bancshares,Indiana</t>
  </si>
  <si>
    <t>Madison Bancorp Inc</t>
  </si>
  <si>
    <t>Codorus Valley Bancorp Inc</t>
  </si>
  <si>
    <t>Founders Financial Corp</t>
  </si>
  <si>
    <t>Broward Finl Hldg Inc,FL</t>
  </si>
  <si>
    <t>Intervest Bancshares Corp</t>
  </si>
  <si>
    <t>Peoples Federal Bancshares Inc</t>
  </si>
  <si>
    <t>First of Huron Corp</t>
  </si>
  <si>
    <t>Siuslaw Financial Group Inc</t>
  </si>
  <si>
    <t>Cmnty Bk of Broward,Weston,FL</t>
  </si>
  <si>
    <t>MainStreet BankShares Inc</t>
  </si>
  <si>
    <t>Phoenix Bancorp</t>
  </si>
  <si>
    <t>Colonial Finl Svcs Inc</t>
  </si>
  <si>
    <t>Cape Bancorp Inc</t>
  </si>
  <si>
    <t>TCNB Financial Corp</t>
  </si>
  <si>
    <t>Herget Financial Corp</t>
  </si>
  <si>
    <t>Florida Bank Group Inc</t>
  </si>
  <si>
    <t>First State Bank of Bourbon,IN</t>
  </si>
  <si>
    <t>Independent Alliance Banks Inc</t>
  </si>
  <si>
    <t>Premier Coml Bk,Greensboro,NC</t>
  </si>
  <si>
    <t>Delavan Bancshares Inc</t>
  </si>
  <si>
    <t>ServisFirst Bancshares Inc</t>
  </si>
  <si>
    <t>Community Banc-Corp of Sheboyg</t>
  </si>
  <si>
    <t>Old Florida Bancshares Inc</t>
  </si>
  <si>
    <t>Citizens Natl Bk,Meyersdale,PA</t>
  </si>
  <si>
    <t>Riverview Financial Corp</t>
  </si>
  <si>
    <t>Monarch Community Bancorp Inc</t>
  </si>
  <si>
    <t>AmericanWest Bank NA</t>
  </si>
  <si>
    <t>Montana Cmnty Bks,Ronan,MT</t>
  </si>
  <si>
    <t>Valley Community Bank</t>
  </si>
  <si>
    <t>W Michigan Svgs Bk,Bangor,</t>
  </si>
  <si>
    <t>Sturgis Bancorp Inc,MI</t>
  </si>
  <si>
    <t>PNA Bank,Chicago,Illinois</t>
  </si>
  <si>
    <t>Royal Financial Inc,Chicago,Il</t>
  </si>
  <si>
    <t>Valley Financial,Roanoke,VA</t>
  </si>
  <si>
    <t>Capital Pacific Bancorp</t>
  </si>
  <si>
    <t>Central Bancshares Inc</t>
  </si>
  <si>
    <t>MidWestOne Financial Group Inc</t>
  </si>
  <si>
    <t>Pac Rim Bk,Honolulu,Hawaii</t>
  </si>
  <si>
    <t>First Foundation Inc</t>
  </si>
  <si>
    <t>Georgia Commerce Bancshares</t>
  </si>
  <si>
    <t>Community National Bank,NY</t>
  </si>
  <si>
    <t>Texas Leadership Bank</t>
  </si>
  <si>
    <t>State Investors Bancorp Inc</t>
  </si>
  <si>
    <t>First NBC Bank Holding Co</t>
  </si>
  <si>
    <t>Lake Michigan Financial Corp</t>
  </si>
  <si>
    <t>C Financial Corp</t>
  </si>
  <si>
    <t>Manhattan Bancorp</t>
  </si>
  <si>
    <t>Plaza Bank,Irvine,California</t>
  </si>
  <si>
    <t>Asia Bancshares Inc</t>
  </si>
  <si>
    <t>Moneytree Corp</t>
  </si>
  <si>
    <t>National Bancshares Corp</t>
  </si>
  <si>
    <t>Merchants &amp; Southern Bank</t>
  </si>
  <si>
    <t>Community Southern Holdings</t>
  </si>
  <si>
    <t>Sunshine Bancorp Inc</t>
  </si>
  <si>
    <t>Peoples Bancorp,Auburn,Indiana</t>
  </si>
  <si>
    <t>Community Financial Shares Inc</t>
  </si>
  <si>
    <t>Square 1 Financial Inc</t>
  </si>
  <si>
    <t>Alliance Bancorp Inc of PA</t>
  </si>
  <si>
    <t>Howard Bancorp Inc</t>
  </si>
  <si>
    <t>Bridge Capital Holdings</t>
  </si>
  <si>
    <t>IBT Bancorp Inc</t>
  </si>
  <si>
    <t>Veritex Holdings Inc</t>
  </si>
  <si>
    <t>Pinnacle Bk of S Carolina</t>
  </si>
  <si>
    <t>Carolina Alliance Bank</t>
  </si>
  <si>
    <t>Grand Bankshares Inc</t>
  </si>
  <si>
    <t>Absarokee Bancorp</t>
  </si>
  <si>
    <t>North Bank,Chicago,Illinois</t>
  </si>
  <si>
    <t>SBM Financial Inc</t>
  </si>
  <si>
    <t>Camden National Corp</t>
  </si>
  <si>
    <t>Easton Bancorp Inc</t>
  </si>
  <si>
    <t>Delmarva Bancshares Inc</t>
  </si>
  <si>
    <t>FBC Bancshares Inc</t>
  </si>
  <si>
    <t>Suburban Illinois Bancorp,IL</t>
  </si>
  <si>
    <t>CapitalMark Bank &amp; Trust</t>
  </si>
  <si>
    <t>Community Bancorp of NM</t>
  </si>
  <si>
    <t>Hamilton Bancorp Inc</t>
  </si>
  <si>
    <t>SBk FSB-Palm Beach Gardens,FL</t>
  </si>
  <si>
    <t>Palmetto Bancshares Inc</t>
  </si>
  <si>
    <t>Focus Business Bank,San Jose</t>
  </si>
  <si>
    <t>Nuvo Bank &amp; Trust Co</t>
  </si>
  <si>
    <t>Magna Bank</t>
  </si>
  <si>
    <t>NEW Bancshares Inc,Wisconsin</t>
  </si>
  <si>
    <t>First Community Bank, Columbus</t>
  </si>
  <si>
    <t>America California Bank,CA</t>
  </si>
  <si>
    <t>First Scottsdale Bank,NA</t>
  </si>
  <si>
    <t>Patriot Bancshares Inc</t>
  </si>
  <si>
    <t>Green Bancorp Inc</t>
  </si>
  <si>
    <t>Bank of America NA-Branches(5)</t>
  </si>
  <si>
    <t>Premier Valley Bank,Fresno,CA</t>
  </si>
  <si>
    <t>CertusBk NA,Greenville,SC-Bran</t>
  </si>
  <si>
    <t>Florida Business Bancgroup Inc</t>
  </si>
  <si>
    <t>First Mountain Bank</t>
  </si>
  <si>
    <t>PBB Bancorp</t>
  </si>
  <si>
    <t>Fairfield Finl Hldg Corp</t>
  </si>
  <si>
    <t>Northwest Bancorp Inc</t>
  </si>
  <si>
    <t>FNBPA Bancorp Inc</t>
  </si>
  <si>
    <t>Juniata Valley Financial Corp</t>
  </si>
  <si>
    <t>First Natl Bk,Fredericksburg</t>
  </si>
  <si>
    <t>Citizens Finl Svcs Inc</t>
  </si>
  <si>
    <t>First National Bankshares Corp</t>
  </si>
  <si>
    <t>Reunion Bank Of Florida</t>
  </si>
  <si>
    <t>Bank of Santa Barbara,CA</t>
  </si>
  <si>
    <t>Amer Riviera Bk,Santa Barbara</t>
  </si>
  <si>
    <t>United International Bank</t>
  </si>
  <si>
    <t>Preferred Bank,Los Angeles,CA</t>
  </si>
  <si>
    <t>Grand Bank,Dallas,TX</t>
  </si>
  <si>
    <t>Sutter Cmnty Bk,Yuba,CA</t>
  </si>
  <si>
    <t>Suncrest Bk,Visalia,California</t>
  </si>
  <si>
    <t>Canon Bank Corp</t>
  </si>
  <si>
    <t>Metro Bancorp Inc,Harrisburg</t>
  </si>
  <si>
    <t>Pascack Bancorp Inc</t>
  </si>
  <si>
    <t>Regal Bancorp Inc</t>
  </si>
  <si>
    <t>Tradition Bancshares Inc</t>
  </si>
  <si>
    <t>Southcoast Financial Corp,SC</t>
  </si>
  <si>
    <t>Mother Lode Bank,Sonora,CA</t>
  </si>
  <si>
    <t>Oak Valley Bancorp</t>
  </si>
  <si>
    <t>Pan Pacific Bank,Fremont,CA</t>
  </si>
  <si>
    <t>California Bank of Commerce</t>
  </si>
  <si>
    <t>Jacksonville Bancorp Inc</t>
  </si>
  <si>
    <t>Security California Bancorp</t>
  </si>
  <si>
    <t>Cmnty Bk of S Florida Inc</t>
  </si>
  <si>
    <t>Cornerstone Bancorp Inc,FL</t>
  </si>
  <si>
    <t>Republic Bancorp Inc</t>
  </si>
  <si>
    <t>Community &amp; Southern Holdings</t>
  </si>
  <si>
    <t>Blueridge Bank,Frederick,MD</t>
  </si>
  <si>
    <t>Revere Bank,Laurel,Maryland</t>
  </si>
  <si>
    <t>KeyWorth Bank,Atlanta,Georgia</t>
  </si>
  <si>
    <t>Heritage Bankshares Inc,VA</t>
  </si>
  <si>
    <t>Southern BancShares(NC)Inc</t>
  </si>
  <si>
    <t>CIC Bancshares Inc</t>
  </si>
  <si>
    <t>Amer Enterprise Bankshares Inc</t>
  </si>
  <si>
    <t>Fidelity Southern Corp</t>
  </si>
  <si>
    <t>Floridian Financial Group Inc</t>
  </si>
  <si>
    <t>Grayson Bankshares Inc</t>
  </si>
  <si>
    <t>C1 Financial Inc</t>
  </si>
  <si>
    <t>Bk of Georgetown,Washington</t>
  </si>
  <si>
    <t>High Point Bank Corp</t>
  </si>
  <si>
    <t>Fox River Valley Bancorp Inc</t>
  </si>
  <si>
    <t>County Bancorp Inc</t>
  </si>
  <si>
    <t>American Chartered Bancorp Inc</t>
  </si>
  <si>
    <t>CommunityOne Bancorp</t>
  </si>
  <si>
    <t>Capital Bank Financial Corp</t>
  </si>
  <si>
    <t>Penn Liberty Finl Corp</t>
  </si>
  <si>
    <t>Great Western Bancorp Inc</t>
  </si>
  <si>
    <t>CBS Financial Corp</t>
  </si>
  <si>
    <t>Charter Financial Corp</t>
  </si>
  <si>
    <t>MBT Bancshares Inc</t>
  </si>
  <si>
    <t>Civic Bank &amp; Trust</t>
  </si>
  <si>
    <t>Franklin Financial Network Inc</t>
  </si>
  <si>
    <t>ProAmerica Bank</t>
  </si>
  <si>
    <t>Pacific Commerce Bank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</si>
</sst>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1" width="12.7091836734694"/>
    <col collapsed="false" hidden="false" max="2" min="2" style="2" width="38.8571428571429"/>
    <col collapsed="false" hidden="false" max="3" min="3" style="2" width="36.7091836734694"/>
    <col collapsed="false" hidden="false" max="1021" min="4" style="2" width="9.14285714285714"/>
    <col collapsed="false" hidden="false" max="1025" min="1022" style="0" width="9.14285714285714"/>
  </cols>
  <sheetData>
    <row r="1" customFormat="false" ht="23.85" hidden="false" customHeight="false" outlineLevel="0" collapsed="false">
      <c r="A1" s="3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3" t="n">
        <f aca="false">DATE(1981,9,8)</f>
        <v>29837</v>
      </c>
      <c r="B2" s="4" t="s">
        <v>3</v>
      </c>
      <c r="C2" s="4" t="s">
        <v>4</v>
      </c>
    </row>
    <row r="3" customFormat="false" ht="12.8" hidden="false" customHeight="false" outlineLevel="0" collapsed="false">
      <c r="A3" s="3" t="n">
        <f aca="false">DATE(1982,5,3)</f>
        <v>30074</v>
      </c>
      <c r="B3" s="4" t="s">
        <v>5</v>
      </c>
      <c r="C3" s="4" t="s">
        <v>6</v>
      </c>
    </row>
    <row r="4" customFormat="false" ht="12.8" hidden="false" customHeight="false" outlineLevel="0" collapsed="false">
      <c r="A4" s="3" t="n">
        <f aca="false">DATE(1983,6,2)</f>
        <v>30469</v>
      </c>
      <c r="B4" s="4" t="s">
        <v>7</v>
      </c>
      <c r="C4" s="4" t="s">
        <v>8</v>
      </c>
    </row>
    <row r="5" customFormat="false" ht="12.8" hidden="false" customHeight="false" outlineLevel="0" collapsed="false">
      <c r="A5" s="3" t="n">
        <f aca="false">DATE(1983,7,26)</f>
        <v>30523</v>
      </c>
      <c r="B5" s="4" t="s">
        <v>9</v>
      </c>
      <c r="C5" s="4" t="s">
        <v>10</v>
      </c>
    </row>
    <row r="6" customFormat="false" ht="12.8" hidden="false" customHeight="false" outlineLevel="0" collapsed="false">
      <c r="A6" s="3" t="n">
        <f aca="false">DATE(1983,9,1)</f>
        <v>30560</v>
      </c>
      <c r="B6" s="4" t="s">
        <v>11</v>
      </c>
      <c r="C6" s="4" t="s">
        <v>12</v>
      </c>
    </row>
    <row r="7" customFormat="false" ht="12.8" hidden="false" customHeight="false" outlineLevel="0" collapsed="false">
      <c r="A7" s="3" t="n">
        <f aca="false">DATE(1983,11,3)</f>
        <v>30623</v>
      </c>
      <c r="B7" s="4" t="s">
        <v>13</v>
      </c>
      <c r="C7" s="4" t="s">
        <v>14</v>
      </c>
    </row>
    <row r="8" customFormat="false" ht="12.8" hidden="false" customHeight="false" outlineLevel="0" collapsed="false">
      <c r="A8" s="3" t="n">
        <f aca="false">DATE(1984,2,13)</f>
        <v>30725</v>
      </c>
      <c r="B8" s="4" t="s">
        <v>15</v>
      </c>
      <c r="C8" s="4" t="s">
        <v>16</v>
      </c>
    </row>
    <row r="9" customFormat="false" ht="12.8" hidden="false" customHeight="false" outlineLevel="0" collapsed="false">
      <c r="A9" s="3" t="n">
        <f aca="false">DATE(1984,4,5)</f>
        <v>30777</v>
      </c>
      <c r="B9" s="4" t="s">
        <v>17</v>
      </c>
      <c r="C9" s="4" t="s">
        <v>18</v>
      </c>
    </row>
    <row r="10" customFormat="false" ht="12.8" hidden="false" customHeight="false" outlineLevel="0" collapsed="false">
      <c r="A10" s="3" t="n">
        <f aca="false">DATE(1984,4,9)</f>
        <v>30781</v>
      </c>
      <c r="B10" s="4" t="s">
        <v>19</v>
      </c>
      <c r="C10" s="4" t="s">
        <v>20</v>
      </c>
    </row>
    <row r="11" customFormat="false" ht="12.8" hidden="false" customHeight="false" outlineLevel="0" collapsed="false">
      <c r="A11" s="3" t="n">
        <f aca="false">DATE(1984,4,23)</f>
        <v>30795</v>
      </c>
      <c r="B11" s="4" t="s">
        <v>21</v>
      </c>
      <c r="C11" s="4" t="s">
        <v>22</v>
      </c>
    </row>
    <row r="12" customFormat="false" ht="12.8" hidden="false" customHeight="false" outlineLevel="0" collapsed="false">
      <c r="A12" s="3" t="n">
        <f aca="false">DATE(1984,4,23)</f>
        <v>30795</v>
      </c>
      <c r="B12" s="4" t="s">
        <v>23</v>
      </c>
      <c r="C12" s="4" t="s">
        <v>24</v>
      </c>
    </row>
    <row r="13" customFormat="false" ht="12.8" hidden="false" customHeight="false" outlineLevel="0" collapsed="false">
      <c r="A13" s="3" t="n">
        <f aca="false">DATE(1984,5,21)</f>
        <v>30823</v>
      </c>
      <c r="B13" s="4" t="s">
        <v>25</v>
      </c>
      <c r="C13" s="4" t="s">
        <v>26</v>
      </c>
    </row>
    <row r="14" customFormat="false" ht="12.8" hidden="false" customHeight="false" outlineLevel="0" collapsed="false">
      <c r="A14" s="3" t="n">
        <f aca="false">DATE(1984,7,2)</f>
        <v>30865</v>
      </c>
      <c r="B14" s="4" t="s">
        <v>27</v>
      </c>
      <c r="C14" s="4" t="s">
        <v>28</v>
      </c>
    </row>
    <row r="15" customFormat="false" ht="12.8" hidden="false" customHeight="false" outlineLevel="0" collapsed="false">
      <c r="A15" s="3" t="n">
        <f aca="false">DATE(1984,9,4)</f>
        <v>30929</v>
      </c>
      <c r="B15" s="4" t="s">
        <v>19</v>
      </c>
      <c r="C15" s="4" t="s">
        <v>29</v>
      </c>
    </row>
    <row r="16" customFormat="false" ht="12.8" hidden="false" customHeight="false" outlineLevel="0" collapsed="false">
      <c r="A16" s="3" t="n">
        <f aca="false">DATE(1984,9,11)</f>
        <v>30936</v>
      </c>
      <c r="B16" s="4" t="s">
        <v>30</v>
      </c>
      <c r="C16" s="4" t="s">
        <v>31</v>
      </c>
    </row>
    <row r="17" customFormat="false" ht="12.8" hidden="false" customHeight="false" outlineLevel="0" collapsed="false">
      <c r="A17" s="3" t="n">
        <f aca="false">DATE(1984,10,16)</f>
        <v>30971</v>
      </c>
      <c r="B17" s="4" t="s">
        <v>32</v>
      </c>
      <c r="C17" s="4" t="s">
        <v>33</v>
      </c>
    </row>
    <row r="18" customFormat="false" ht="12.8" hidden="false" customHeight="false" outlineLevel="0" collapsed="false">
      <c r="A18" s="3" t="n">
        <f aca="false">DATE(1984,10,18)</f>
        <v>30973</v>
      </c>
      <c r="B18" s="4" t="s">
        <v>34</v>
      </c>
      <c r="C18" s="4" t="s">
        <v>33</v>
      </c>
    </row>
    <row r="19" customFormat="false" ht="12.8" hidden="false" customHeight="false" outlineLevel="0" collapsed="false">
      <c r="A19" s="3" t="n">
        <f aca="false">DATE(1984,10,25)</f>
        <v>30980</v>
      </c>
      <c r="B19" s="4" t="s">
        <v>35</v>
      </c>
      <c r="C19" s="4" t="s">
        <v>36</v>
      </c>
    </row>
    <row r="20" customFormat="false" ht="12.8" hidden="false" customHeight="false" outlineLevel="0" collapsed="false">
      <c r="A20" s="3" t="n">
        <f aca="false">DATE(1984,11,28)</f>
        <v>31014</v>
      </c>
      <c r="B20" s="4" t="s">
        <v>13</v>
      </c>
      <c r="C20" s="4" t="s">
        <v>37</v>
      </c>
    </row>
    <row r="21" customFormat="false" ht="12.8" hidden="false" customHeight="false" outlineLevel="0" collapsed="false">
      <c r="A21" s="3" t="n">
        <f aca="false">DATE(1984,12,5)</f>
        <v>31021</v>
      </c>
      <c r="B21" s="4" t="s">
        <v>13</v>
      </c>
      <c r="C21" s="4" t="s">
        <v>38</v>
      </c>
    </row>
    <row r="22" customFormat="false" ht="12.8" hidden="false" customHeight="false" outlineLevel="0" collapsed="false">
      <c r="A22" s="3" t="n">
        <f aca="false">DATE(1984,12,5)</f>
        <v>31021</v>
      </c>
      <c r="B22" s="4" t="s">
        <v>13</v>
      </c>
      <c r="C22" s="4" t="s">
        <v>39</v>
      </c>
    </row>
    <row r="23" customFormat="false" ht="12.8" hidden="false" customHeight="false" outlineLevel="0" collapsed="false">
      <c r="A23" s="3" t="n">
        <f aca="false">DATE(1984,12,12)</f>
        <v>31028</v>
      </c>
      <c r="B23" s="4" t="s">
        <v>40</v>
      </c>
      <c r="C23" s="4" t="s">
        <v>41</v>
      </c>
    </row>
    <row r="24" customFormat="false" ht="12.8" hidden="false" customHeight="false" outlineLevel="0" collapsed="false">
      <c r="A24" s="3" t="n">
        <f aca="false">DATE(1985,1,9)</f>
        <v>31056</v>
      </c>
      <c r="B24" s="4" t="s">
        <v>42</v>
      </c>
      <c r="C24" s="4" t="s">
        <v>39</v>
      </c>
    </row>
    <row r="25" customFormat="false" ht="12.8" hidden="false" customHeight="false" outlineLevel="0" collapsed="false">
      <c r="A25" s="3" t="n">
        <f aca="false">DATE(1985,1,18)</f>
        <v>31065</v>
      </c>
      <c r="B25" s="4" t="s">
        <v>43</v>
      </c>
      <c r="C25" s="4" t="s">
        <v>44</v>
      </c>
    </row>
    <row r="26" customFormat="false" ht="12.8" hidden="false" customHeight="false" outlineLevel="0" collapsed="false">
      <c r="A26" s="3" t="n">
        <f aca="false">DATE(1985,1,22)</f>
        <v>31069</v>
      </c>
      <c r="B26" s="4" t="s">
        <v>45</v>
      </c>
      <c r="C26" s="4" t="s">
        <v>46</v>
      </c>
    </row>
    <row r="27" customFormat="false" ht="12.8" hidden="false" customHeight="false" outlineLevel="0" collapsed="false">
      <c r="A27" s="3" t="n">
        <f aca="false">DATE(1985,1,23)</f>
        <v>31070</v>
      </c>
      <c r="B27" s="4" t="s">
        <v>47</v>
      </c>
      <c r="C27" s="4" t="s">
        <v>48</v>
      </c>
    </row>
    <row r="28" customFormat="false" ht="12.8" hidden="false" customHeight="false" outlineLevel="0" collapsed="false">
      <c r="A28" s="3" t="n">
        <f aca="false">DATE(1985,1,25)</f>
        <v>31072</v>
      </c>
      <c r="B28" s="4" t="s">
        <v>49</v>
      </c>
      <c r="C28" s="4" t="s">
        <v>50</v>
      </c>
    </row>
    <row r="29" customFormat="false" ht="12.8" hidden="false" customHeight="false" outlineLevel="0" collapsed="false">
      <c r="A29" s="3" t="n">
        <f aca="false">DATE(1985,2,20)</f>
        <v>31098</v>
      </c>
      <c r="B29" s="4" t="s">
        <v>51</v>
      </c>
      <c r="C29" s="4" t="s">
        <v>52</v>
      </c>
    </row>
    <row r="30" customFormat="false" ht="12.8" hidden="false" customHeight="false" outlineLevel="0" collapsed="false">
      <c r="A30" s="3" t="n">
        <f aca="false">DATE(1985,2,25)</f>
        <v>31103</v>
      </c>
      <c r="B30" s="4" t="s">
        <v>53</v>
      </c>
      <c r="C30" s="4" t="s">
        <v>54</v>
      </c>
    </row>
    <row r="31" customFormat="false" ht="12.8" hidden="false" customHeight="false" outlineLevel="0" collapsed="false">
      <c r="A31" s="3" t="n">
        <f aca="false">DATE(1985,2,26)</f>
        <v>31104</v>
      </c>
      <c r="B31" s="4" t="s">
        <v>55</v>
      </c>
      <c r="C31" s="4" t="s">
        <v>56</v>
      </c>
    </row>
    <row r="32" customFormat="false" ht="12.8" hidden="false" customHeight="false" outlineLevel="0" collapsed="false">
      <c r="A32" s="3" t="n">
        <f aca="false">DATE(1985,3,4)</f>
        <v>31110</v>
      </c>
      <c r="B32" s="4" t="s">
        <v>57</v>
      </c>
      <c r="C32" s="4" t="s">
        <v>58</v>
      </c>
    </row>
    <row r="33" customFormat="false" ht="12.8" hidden="false" customHeight="false" outlineLevel="0" collapsed="false">
      <c r="A33" s="3" t="n">
        <f aca="false">DATE(1985,3,20)</f>
        <v>31126</v>
      </c>
      <c r="B33" s="4" t="s">
        <v>59</v>
      </c>
      <c r="C33" s="4" t="s">
        <v>60</v>
      </c>
    </row>
    <row r="34" customFormat="false" ht="12.8" hidden="false" customHeight="false" outlineLevel="0" collapsed="false">
      <c r="A34" s="3" t="n">
        <f aca="false">DATE(1985,3,29)</f>
        <v>31135</v>
      </c>
      <c r="B34" s="4" t="s">
        <v>61</v>
      </c>
      <c r="C34" s="4" t="s">
        <v>62</v>
      </c>
    </row>
    <row r="35" customFormat="false" ht="12.8" hidden="false" customHeight="false" outlineLevel="0" collapsed="false">
      <c r="A35" s="3" t="n">
        <f aca="false">DATE(1985,4,3)</f>
        <v>31140</v>
      </c>
      <c r="B35" s="4" t="s">
        <v>63</v>
      </c>
      <c r="C35" s="4" t="s">
        <v>64</v>
      </c>
    </row>
    <row r="36" customFormat="false" ht="12.8" hidden="false" customHeight="false" outlineLevel="0" collapsed="false">
      <c r="A36" s="3" t="n">
        <f aca="false">DATE(1985,4,19)</f>
        <v>31156</v>
      </c>
      <c r="B36" s="4" t="s">
        <v>65</v>
      </c>
      <c r="C36" s="4" t="s">
        <v>66</v>
      </c>
    </row>
    <row r="37" customFormat="false" ht="12.8" hidden="false" customHeight="false" outlineLevel="0" collapsed="false">
      <c r="A37" s="3" t="n">
        <f aca="false">DATE(1985,5,8)</f>
        <v>31175</v>
      </c>
      <c r="B37" s="4" t="s">
        <v>67</v>
      </c>
      <c r="C37" s="4" t="s">
        <v>68</v>
      </c>
    </row>
    <row r="38" customFormat="false" ht="12.8" hidden="false" customHeight="false" outlineLevel="0" collapsed="false">
      <c r="A38" s="3" t="n">
        <f aca="false">DATE(1985,5,9)</f>
        <v>31176</v>
      </c>
      <c r="B38" s="4" t="s">
        <v>69</v>
      </c>
      <c r="C38" s="4" t="s">
        <v>41</v>
      </c>
    </row>
    <row r="39" customFormat="false" ht="12.8" hidden="false" customHeight="false" outlineLevel="0" collapsed="false">
      <c r="A39" s="3" t="n">
        <f aca="false">DATE(1985,5,9)</f>
        <v>31176</v>
      </c>
      <c r="B39" s="4" t="s">
        <v>70</v>
      </c>
      <c r="C39" s="4" t="s">
        <v>41</v>
      </c>
    </row>
    <row r="40" customFormat="false" ht="12.8" hidden="false" customHeight="false" outlineLevel="0" collapsed="false">
      <c r="A40" s="3" t="n">
        <f aca="false">DATE(1985,5,13)</f>
        <v>31180</v>
      </c>
      <c r="B40" s="4" t="s">
        <v>71</v>
      </c>
      <c r="C40" s="4" t="s">
        <v>72</v>
      </c>
    </row>
    <row r="41" customFormat="false" ht="12.8" hidden="false" customHeight="false" outlineLevel="0" collapsed="false">
      <c r="A41" s="3" t="n">
        <f aca="false">DATE(1985,5,20)</f>
        <v>31187</v>
      </c>
      <c r="B41" s="4" t="s">
        <v>73</v>
      </c>
      <c r="C41" s="4" t="s">
        <v>74</v>
      </c>
    </row>
    <row r="42" customFormat="false" ht="12.8" hidden="false" customHeight="false" outlineLevel="0" collapsed="false">
      <c r="A42" s="3" t="n">
        <f aca="false">DATE(1985,6,10)</f>
        <v>31208</v>
      </c>
      <c r="B42" s="4" t="s">
        <v>75</v>
      </c>
      <c r="C42" s="4" t="s">
        <v>76</v>
      </c>
    </row>
    <row r="43" customFormat="false" ht="12.8" hidden="false" customHeight="false" outlineLevel="0" collapsed="false">
      <c r="A43" s="3" t="n">
        <f aca="false">DATE(1985,6,17)</f>
        <v>31215</v>
      </c>
      <c r="B43" s="4" t="s">
        <v>77</v>
      </c>
      <c r="C43" s="4" t="s">
        <v>58</v>
      </c>
    </row>
    <row r="44" customFormat="false" ht="12.8" hidden="false" customHeight="false" outlineLevel="0" collapsed="false">
      <c r="A44" s="3" t="n">
        <f aca="false">DATE(1985,6,17)</f>
        <v>31215</v>
      </c>
      <c r="B44" s="4" t="s">
        <v>78</v>
      </c>
      <c r="C44" s="4" t="s">
        <v>79</v>
      </c>
    </row>
    <row r="45" customFormat="false" ht="12.8" hidden="false" customHeight="false" outlineLevel="0" collapsed="false">
      <c r="A45" s="3" t="n">
        <f aca="false">DATE(1985,6,17)</f>
        <v>31215</v>
      </c>
      <c r="B45" s="4" t="s">
        <v>78</v>
      </c>
      <c r="C45" s="4" t="s">
        <v>80</v>
      </c>
    </row>
    <row r="46" customFormat="false" ht="12.8" hidden="false" customHeight="false" outlineLevel="0" collapsed="false">
      <c r="A46" s="3" t="n">
        <f aca="false">DATE(1985,6,19)</f>
        <v>31217</v>
      </c>
      <c r="B46" s="4" t="s">
        <v>81</v>
      </c>
      <c r="C46" s="4" t="s">
        <v>82</v>
      </c>
    </row>
    <row r="47" customFormat="false" ht="12.8" hidden="false" customHeight="false" outlineLevel="0" collapsed="false">
      <c r="A47" s="3" t="n">
        <f aca="false">DATE(1985,6,19)</f>
        <v>31217</v>
      </c>
      <c r="B47" s="4" t="s">
        <v>83</v>
      </c>
      <c r="C47" s="4" t="s">
        <v>84</v>
      </c>
    </row>
    <row r="48" customFormat="false" ht="12.8" hidden="false" customHeight="false" outlineLevel="0" collapsed="false">
      <c r="A48" s="3" t="n">
        <f aca="false">DATE(1985,6,27)</f>
        <v>31225</v>
      </c>
      <c r="B48" s="4" t="s">
        <v>85</v>
      </c>
      <c r="C48" s="4" t="s">
        <v>86</v>
      </c>
    </row>
    <row r="49" customFormat="false" ht="12.8" hidden="false" customHeight="false" outlineLevel="0" collapsed="false">
      <c r="A49" s="3" t="n">
        <f aca="false">DATE(1985,6,28)</f>
        <v>31226</v>
      </c>
      <c r="B49" s="4" t="s">
        <v>87</v>
      </c>
      <c r="C49" s="4" t="s">
        <v>88</v>
      </c>
    </row>
    <row r="50" customFormat="false" ht="12.8" hidden="false" customHeight="false" outlineLevel="0" collapsed="false">
      <c r="A50" s="3" t="n">
        <f aca="false">DATE(1985,7,1)</f>
        <v>31229</v>
      </c>
      <c r="B50" s="4" t="s">
        <v>89</v>
      </c>
      <c r="C50" s="4" t="s">
        <v>90</v>
      </c>
    </row>
    <row r="51" customFormat="false" ht="12.8" hidden="false" customHeight="false" outlineLevel="0" collapsed="false">
      <c r="A51" s="3" t="n">
        <f aca="false">DATE(1985,7,1)</f>
        <v>31229</v>
      </c>
      <c r="B51" s="4" t="s">
        <v>91</v>
      </c>
      <c r="C51" s="4" t="s">
        <v>92</v>
      </c>
    </row>
    <row r="52" customFormat="false" ht="12.8" hidden="false" customHeight="false" outlineLevel="0" collapsed="false">
      <c r="A52" s="3" t="n">
        <f aca="false">DATE(1985,7,3)</f>
        <v>31231</v>
      </c>
      <c r="B52" s="4" t="s">
        <v>93</v>
      </c>
      <c r="C52" s="4" t="s">
        <v>79</v>
      </c>
    </row>
    <row r="53" customFormat="false" ht="12.8" hidden="false" customHeight="false" outlineLevel="0" collapsed="false">
      <c r="A53" s="3" t="n">
        <f aca="false">DATE(1985,7,8)</f>
        <v>31236</v>
      </c>
      <c r="B53" s="4" t="s">
        <v>94</v>
      </c>
      <c r="C53" s="4" t="s">
        <v>95</v>
      </c>
    </row>
    <row r="54" customFormat="false" ht="12.8" hidden="false" customHeight="false" outlineLevel="0" collapsed="false">
      <c r="A54" s="3" t="n">
        <f aca="false">DATE(1985,7,16)</f>
        <v>31244</v>
      </c>
      <c r="B54" s="4" t="s">
        <v>96</v>
      </c>
      <c r="C54" s="4" t="s">
        <v>29</v>
      </c>
    </row>
    <row r="55" customFormat="false" ht="12.8" hidden="false" customHeight="false" outlineLevel="0" collapsed="false">
      <c r="A55" s="3" t="n">
        <f aca="false">DATE(1985,7,19)</f>
        <v>31247</v>
      </c>
      <c r="B55" s="4" t="s">
        <v>97</v>
      </c>
      <c r="C55" s="4" t="s">
        <v>98</v>
      </c>
    </row>
    <row r="56" customFormat="false" ht="12.8" hidden="false" customHeight="false" outlineLevel="0" collapsed="false">
      <c r="A56" s="3" t="n">
        <f aca="false">DATE(1985,7,24)</f>
        <v>31252</v>
      </c>
      <c r="B56" s="4" t="s">
        <v>99</v>
      </c>
      <c r="C56" s="4" t="s">
        <v>79</v>
      </c>
    </row>
    <row r="57" customFormat="false" ht="12.8" hidden="false" customHeight="false" outlineLevel="0" collapsed="false">
      <c r="A57" s="3" t="n">
        <f aca="false">DATE(1985,7,25)</f>
        <v>31253</v>
      </c>
      <c r="B57" s="4" t="s">
        <v>94</v>
      </c>
      <c r="C57" s="4" t="s">
        <v>100</v>
      </c>
    </row>
    <row r="58" customFormat="false" ht="12.8" hidden="false" customHeight="false" outlineLevel="0" collapsed="false">
      <c r="A58" s="3" t="n">
        <f aca="false">DATE(1985,7,25)</f>
        <v>31253</v>
      </c>
      <c r="B58" s="4" t="s">
        <v>101</v>
      </c>
      <c r="C58" s="4" t="s">
        <v>102</v>
      </c>
    </row>
    <row r="59" customFormat="false" ht="12.8" hidden="false" customHeight="false" outlineLevel="0" collapsed="false">
      <c r="A59" s="3" t="n">
        <f aca="false">DATE(1985,7,25)</f>
        <v>31253</v>
      </c>
      <c r="B59" s="4" t="s">
        <v>103</v>
      </c>
      <c r="C59" s="4" t="s">
        <v>79</v>
      </c>
    </row>
    <row r="60" customFormat="false" ht="12.8" hidden="false" customHeight="false" outlineLevel="0" collapsed="false">
      <c r="A60" s="3" t="n">
        <f aca="false">DATE(1985,7,29)</f>
        <v>31257</v>
      </c>
      <c r="B60" s="4" t="s">
        <v>104</v>
      </c>
      <c r="C60" s="4" t="s">
        <v>105</v>
      </c>
    </row>
    <row r="61" customFormat="false" ht="12.8" hidden="false" customHeight="false" outlineLevel="0" collapsed="false">
      <c r="A61" s="3" t="n">
        <f aca="false">DATE(1985,7,30)</f>
        <v>31258</v>
      </c>
      <c r="B61" s="4" t="s">
        <v>106</v>
      </c>
      <c r="C61" s="4" t="s">
        <v>37</v>
      </c>
    </row>
    <row r="62" customFormat="false" ht="12.8" hidden="false" customHeight="false" outlineLevel="0" collapsed="false">
      <c r="A62" s="3" t="n">
        <f aca="false">DATE(1985,8,1)</f>
        <v>31260</v>
      </c>
      <c r="B62" s="4" t="s">
        <v>107</v>
      </c>
      <c r="C62" s="4" t="s">
        <v>108</v>
      </c>
    </row>
    <row r="63" customFormat="false" ht="12.8" hidden="false" customHeight="false" outlineLevel="0" collapsed="false">
      <c r="A63" s="3" t="n">
        <f aca="false">DATE(1985,8,6)</f>
        <v>31265</v>
      </c>
      <c r="B63" s="4" t="s">
        <v>109</v>
      </c>
      <c r="C63" s="4" t="s">
        <v>50</v>
      </c>
    </row>
    <row r="64" customFormat="false" ht="12.8" hidden="false" customHeight="false" outlineLevel="0" collapsed="false">
      <c r="A64" s="3" t="n">
        <f aca="false">DATE(1985,8,7)</f>
        <v>31266</v>
      </c>
      <c r="B64" s="4" t="s">
        <v>110</v>
      </c>
      <c r="C64" s="4" t="s">
        <v>36</v>
      </c>
    </row>
    <row r="65" customFormat="false" ht="12.8" hidden="false" customHeight="false" outlineLevel="0" collapsed="false">
      <c r="A65" s="3" t="n">
        <f aca="false">DATE(1985,8,8)</f>
        <v>31267</v>
      </c>
      <c r="B65" s="4" t="s">
        <v>111</v>
      </c>
      <c r="C65" s="4" t="s">
        <v>112</v>
      </c>
    </row>
    <row r="66" customFormat="false" ht="12.8" hidden="false" customHeight="false" outlineLevel="0" collapsed="false">
      <c r="A66" s="3" t="n">
        <f aca="false">DATE(1985,8,12)</f>
        <v>31271</v>
      </c>
      <c r="B66" s="4" t="s">
        <v>113</v>
      </c>
      <c r="C66" s="4" t="s">
        <v>108</v>
      </c>
    </row>
    <row r="67" customFormat="false" ht="12.8" hidden="false" customHeight="false" outlineLevel="0" collapsed="false">
      <c r="A67" s="3" t="n">
        <f aca="false">DATE(1985,8,16)</f>
        <v>31275</v>
      </c>
      <c r="B67" s="4" t="s">
        <v>114</v>
      </c>
      <c r="C67" s="4" t="s">
        <v>20</v>
      </c>
    </row>
    <row r="68" customFormat="false" ht="12.8" hidden="false" customHeight="false" outlineLevel="0" collapsed="false">
      <c r="A68" s="3" t="n">
        <f aca="false">DATE(1985,8,20)</f>
        <v>31279</v>
      </c>
      <c r="B68" s="4" t="s">
        <v>115</v>
      </c>
      <c r="C68" s="4" t="s">
        <v>116</v>
      </c>
    </row>
    <row r="69" customFormat="false" ht="12.8" hidden="false" customHeight="false" outlineLevel="0" collapsed="false">
      <c r="A69" s="3" t="n">
        <f aca="false">DATE(1985,8,21)</f>
        <v>31280</v>
      </c>
      <c r="B69" s="4" t="s">
        <v>117</v>
      </c>
      <c r="C69" s="4" t="s">
        <v>118</v>
      </c>
    </row>
    <row r="70" customFormat="false" ht="12.8" hidden="false" customHeight="false" outlineLevel="0" collapsed="false">
      <c r="A70" s="3" t="n">
        <f aca="false">DATE(1985,8,29)</f>
        <v>31288</v>
      </c>
      <c r="B70" s="4" t="s">
        <v>119</v>
      </c>
      <c r="C70" s="4" t="s">
        <v>120</v>
      </c>
    </row>
    <row r="71" customFormat="false" ht="12.8" hidden="false" customHeight="false" outlineLevel="0" collapsed="false">
      <c r="A71" s="3" t="n">
        <f aca="false">DATE(1985,8,30)</f>
        <v>31289</v>
      </c>
      <c r="B71" s="4" t="s">
        <v>121</v>
      </c>
      <c r="C71" s="4" t="s">
        <v>122</v>
      </c>
    </row>
    <row r="72" customFormat="false" ht="12.8" hidden="false" customHeight="false" outlineLevel="0" collapsed="false">
      <c r="A72" s="3" t="n">
        <f aca="false">DATE(1985,9,4)</f>
        <v>31294</v>
      </c>
      <c r="B72" s="4" t="s">
        <v>123</v>
      </c>
      <c r="C72" s="4" t="s">
        <v>124</v>
      </c>
    </row>
    <row r="73" customFormat="false" ht="12.8" hidden="false" customHeight="false" outlineLevel="0" collapsed="false">
      <c r="A73" s="3" t="n">
        <f aca="false">DATE(1985,9,4)</f>
        <v>31294</v>
      </c>
      <c r="B73" s="4" t="s">
        <v>125</v>
      </c>
      <c r="C73" s="4" t="s">
        <v>124</v>
      </c>
    </row>
    <row r="74" customFormat="false" ht="12.8" hidden="false" customHeight="false" outlineLevel="0" collapsed="false">
      <c r="A74" s="3" t="n">
        <f aca="false">DATE(1985,9,16)</f>
        <v>31306</v>
      </c>
      <c r="B74" s="4" t="s">
        <v>126</v>
      </c>
      <c r="C74" s="4" t="s">
        <v>127</v>
      </c>
    </row>
    <row r="75" customFormat="false" ht="12.8" hidden="false" customHeight="false" outlineLevel="0" collapsed="false">
      <c r="A75" s="3" t="n">
        <f aca="false">DATE(1985,9,17)</f>
        <v>31307</v>
      </c>
      <c r="B75" s="4" t="s">
        <v>128</v>
      </c>
      <c r="C75" s="4" t="s">
        <v>52</v>
      </c>
    </row>
    <row r="76" customFormat="false" ht="12.8" hidden="false" customHeight="false" outlineLevel="0" collapsed="false">
      <c r="A76" s="3" t="n">
        <f aca="false">DATE(1985,9,19)</f>
        <v>31309</v>
      </c>
      <c r="B76" s="4" t="s">
        <v>129</v>
      </c>
      <c r="C76" s="4" t="s">
        <v>130</v>
      </c>
    </row>
    <row r="77" customFormat="false" ht="12.8" hidden="false" customHeight="false" outlineLevel="0" collapsed="false">
      <c r="A77" s="3" t="n">
        <f aca="false">DATE(1985,9,19)</f>
        <v>31309</v>
      </c>
      <c r="B77" s="4" t="s">
        <v>131</v>
      </c>
      <c r="C77" s="4" t="s">
        <v>132</v>
      </c>
    </row>
    <row r="78" customFormat="false" ht="12.8" hidden="false" customHeight="false" outlineLevel="0" collapsed="false">
      <c r="A78" s="3" t="n">
        <f aca="false">DATE(1985,9,20)</f>
        <v>31310</v>
      </c>
      <c r="B78" s="4" t="s">
        <v>133</v>
      </c>
      <c r="C78" s="4" t="s">
        <v>58</v>
      </c>
    </row>
    <row r="79" customFormat="false" ht="12.8" hidden="false" customHeight="false" outlineLevel="0" collapsed="false">
      <c r="A79" s="3" t="n">
        <f aca="false">DATE(1985,9,24)</f>
        <v>31314</v>
      </c>
      <c r="B79" s="4" t="s">
        <v>134</v>
      </c>
      <c r="C79" s="4" t="s">
        <v>90</v>
      </c>
    </row>
    <row r="80" customFormat="false" ht="12.8" hidden="false" customHeight="false" outlineLevel="0" collapsed="false">
      <c r="A80" s="3" t="n">
        <f aca="false">DATE(1985,9,27)</f>
        <v>31317</v>
      </c>
      <c r="B80" s="4" t="s">
        <v>135</v>
      </c>
      <c r="C80" s="4" t="s">
        <v>136</v>
      </c>
    </row>
    <row r="81" customFormat="false" ht="12.8" hidden="false" customHeight="false" outlineLevel="0" collapsed="false">
      <c r="A81" s="3" t="n">
        <f aca="false">DATE(1985,10,3)</f>
        <v>31323</v>
      </c>
      <c r="B81" s="4" t="s">
        <v>137</v>
      </c>
      <c r="C81" s="4" t="s">
        <v>138</v>
      </c>
    </row>
    <row r="82" customFormat="false" ht="12.8" hidden="false" customHeight="false" outlineLevel="0" collapsed="false">
      <c r="A82" s="3" t="n">
        <f aca="false">DATE(1985,10,8)</f>
        <v>31328</v>
      </c>
      <c r="B82" s="4" t="s">
        <v>129</v>
      </c>
      <c r="C82" s="4" t="s">
        <v>139</v>
      </c>
    </row>
    <row r="83" customFormat="false" ht="12.8" hidden="false" customHeight="false" outlineLevel="0" collapsed="false">
      <c r="A83" s="3" t="n">
        <f aca="false">DATE(1985,10,8)</f>
        <v>31328</v>
      </c>
      <c r="B83" s="4" t="s">
        <v>140</v>
      </c>
      <c r="C83" s="4" t="s">
        <v>127</v>
      </c>
    </row>
    <row r="84" customFormat="false" ht="12.8" hidden="false" customHeight="false" outlineLevel="0" collapsed="false">
      <c r="A84" s="3" t="n">
        <f aca="false">DATE(1985,10,14)</f>
        <v>31334</v>
      </c>
      <c r="B84" s="4" t="s">
        <v>110</v>
      </c>
      <c r="C84" s="4" t="s">
        <v>141</v>
      </c>
    </row>
    <row r="85" customFormat="false" ht="12.8" hidden="false" customHeight="false" outlineLevel="0" collapsed="false">
      <c r="A85" s="3" t="n">
        <f aca="false">DATE(1985,10,16)</f>
        <v>31336</v>
      </c>
      <c r="B85" s="4" t="s">
        <v>142</v>
      </c>
      <c r="C85" s="4" t="s">
        <v>58</v>
      </c>
    </row>
    <row r="86" customFormat="false" ht="12.8" hidden="false" customHeight="false" outlineLevel="0" collapsed="false">
      <c r="A86" s="3" t="n">
        <f aca="false">DATE(1985,10,21)</f>
        <v>31341</v>
      </c>
      <c r="B86" s="4" t="s">
        <v>143</v>
      </c>
      <c r="C86" s="4" t="s">
        <v>138</v>
      </c>
    </row>
    <row r="87" customFormat="false" ht="12.8" hidden="false" customHeight="false" outlineLevel="0" collapsed="false">
      <c r="A87" s="3" t="n">
        <f aca="false">DATE(1985,11,4)</f>
        <v>31355</v>
      </c>
      <c r="B87" s="4" t="s">
        <v>144</v>
      </c>
      <c r="C87" s="4" t="s">
        <v>145</v>
      </c>
    </row>
    <row r="88" customFormat="false" ht="12.8" hidden="false" customHeight="false" outlineLevel="0" collapsed="false">
      <c r="A88" s="3" t="n">
        <f aca="false">DATE(1985,11,6)</f>
        <v>31357</v>
      </c>
      <c r="B88" s="4" t="s">
        <v>146</v>
      </c>
      <c r="C88" s="4" t="s">
        <v>147</v>
      </c>
    </row>
    <row r="89" customFormat="false" ht="12.8" hidden="false" customHeight="false" outlineLevel="0" collapsed="false">
      <c r="A89" s="3" t="n">
        <f aca="false">DATE(1985,11,7)</f>
        <v>31358</v>
      </c>
      <c r="B89" s="4" t="s">
        <v>148</v>
      </c>
      <c r="C89" s="4" t="s">
        <v>58</v>
      </c>
    </row>
    <row r="90" customFormat="false" ht="12.8" hidden="false" customHeight="false" outlineLevel="0" collapsed="false">
      <c r="A90" s="3" t="n">
        <f aca="false">DATE(1985,11,13)</f>
        <v>31364</v>
      </c>
      <c r="B90" s="4" t="s">
        <v>149</v>
      </c>
      <c r="C90" s="4" t="s">
        <v>150</v>
      </c>
    </row>
    <row r="91" customFormat="false" ht="12.8" hidden="false" customHeight="false" outlineLevel="0" collapsed="false">
      <c r="A91" s="3" t="n">
        <f aca="false">DATE(1985,11,14)</f>
        <v>31365</v>
      </c>
      <c r="B91" s="4" t="s">
        <v>151</v>
      </c>
      <c r="C91" s="4" t="s">
        <v>58</v>
      </c>
    </row>
    <row r="92" customFormat="false" ht="12.8" hidden="false" customHeight="false" outlineLevel="0" collapsed="false">
      <c r="A92" s="3" t="n">
        <f aca="false">DATE(1985,11,28)</f>
        <v>31379</v>
      </c>
      <c r="B92" s="4" t="s">
        <v>152</v>
      </c>
      <c r="C92" s="4" t="s">
        <v>68</v>
      </c>
    </row>
    <row r="93" customFormat="false" ht="12.8" hidden="false" customHeight="false" outlineLevel="0" collapsed="false">
      <c r="A93" s="3" t="n">
        <f aca="false">DATE(1985,12,6)</f>
        <v>31387</v>
      </c>
      <c r="B93" s="4" t="s">
        <v>153</v>
      </c>
      <c r="C93" s="4" t="s">
        <v>154</v>
      </c>
    </row>
    <row r="94" customFormat="false" ht="12.8" hidden="false" customHeight="false" outlineLevel="0" collapsed="false">
      <c r="A94" s="3" t="n">
        <f aca="false">DATE(1985,12,10)</f>
        <v>31391</v>
      </c>
      <c r="B94" s="4" t="s">
        <v>155</v>
      </c>
      <c r="C94" s="4" t="s">
        <v>156</v>
      </c>
    </row>
    <row r="95" customFormat="false" ht="12.8" hidden="false" customHeight="false" outlineLevel="0" collapsed="false">
      <c r="A95" s="3" t="n">
        <f aca="false">DATE(1985,12,11)</f>
        <v>31392</v>
      </c>
      <c r="B95" s="4" t="s">
        <v>157</v>
      </c>
      <c r="C95" s="4" t="s">
        <v>29</v>
      </c>
    </row>
    <row r="96" customFormat="false" ht="12.8" hidden="false" customHeight="false" outlineLevel="0" collapsed="false">
      <c r="A96" s="3" t="n">
        <f aca="false">DATE(1985,12,16)</f>
        <v>31397</v>
      </c>
      <c r="B96" s="4" t="s">
        <v>158</v>
      </c>
      <c r="C96" s="4" t="s">
        <v>74</v>
      </c>
    </row>
    <row r="97" customFormat="false" ht="12.8" hidden="false" customHeight="false" outlineLevel="0" collapsed="false">
      <c r="A97" s="3" t="n">
        <f aca="false">DATE(1985,12,18)</f>
        <v>31399</v>
      </c>
      <c r="B97" s="4" t="s">
        <v>159</v>
      </c>
      <c r="C97" s="4" t="s">
        <v>72</v>
      </c>
    </row>
    <row r="98" customFormat="false" ht="12.8" hidden="false" customHeight="false" outlineLevel="0" collapsed="false">
      <c r="A98" s="3" t="n">
        <f aca="false">DATE(1985,12,23)</f>
        <v>31404</v>
      </c>
      <c r="B98" s="4" t="s">
        <v>109</v>
      </c>
      <c r="C98" s="4" t="s">
        <v>160</v>
      </c>
    </row>
    <row r="99" customFormat="false" ht="12.8" hidden="false" customHeight="false" outlineLevel="0" collapsed="false">
      <c r="A99" s="3" t="n">
        <f aca="false">DATE(1985,12,27)</f>
        <v>31408</v>
      </c>
      <c r="B99" s="4" t="s">
        <v>161</v>
      </c>
      <c r="C99" s="4" t="s">
        <v>162</v>
      </c>
    </row>
    <row r="100" customFormat="false" ht="12.8" hidden="false" customHeight="false" outlineLevel="0" collapsed="false">
      <c r="A100" s="3" t="n">
        <f aca="false">DATE(1985,12,31)</f>
        <v>31412</v>
      </c>
      <c r="B100" s="4" t="s">
        <v>163</v>
      </c>
      <c r="C100" s="4" t="s">
        <v>164</v>
      </c>
    </row>
    <row r="101" customFormat="false" ht="12.8" hidden="false" customHeight="false" outlineLevel="0" collapsed="false">
      <c r="A101" s="3" t="n">
        <f aca="false">DATE(1986,1,7)</f>
        <v>31419</v>
      </c>
      <c r="B101" s="4" t="s">
        <v>165</v>
      </c>
      <c r="C101" s="4" t="s">
        <v>20</v>
      </c>
    </row>
    <row r="102" customFormat="false" ht="12.8" hidden="false" customHeight="false" outlineLevel="0" collapsed="false">
      <c r="A102" s="3" t="n">
        <f aca="false">DATE(1986,1,14)</f>
        <v>31426</v>
      </c>
      <c r="B102" s="4" t="s">
        <v>166</v>
      </c>
      <c r="C102" s="4" t="s">
        <v>167</v>
      </c>
    </row>
    <row r="103" customFormat="false" ht="12.8" hidden="false" customHeight="false" outlineLevel="0" collapsed="false">
      <c r="A103" s="3" t="n">
        <f aca="false">DATE(1986,1,20)</f>
        <v>31432</v>
      </c>
      <c r="B103" s="4" t="s">
        <v>168</v>
      </c>
      <c r="C103" s="4" t="s">
        <v>169</v>
      </c>
    </row>
    <row r="104" customFormat="false" ht="12.8" hidden="false" customHeight="false" outlineLevel="0" collapsed="false">
      <c r="A104" s="3" t="n">
        <f aca="false">DATE(1986,1,23)</f>
        <v>31435</v>
      </c>
      <c r="B104" s="4" t="s">
        <v>170</v>
      </c>
      <c r="C104" s="4" t="s">
        <v>171</v>
      </c>
    </row>
    <row r="105" customFormat="false" ht="12.8" hidden="false" customHeight="false" outlineLevel="0" collapsed="false">
      <c r="A105" s="3" t="n">
        <f aca="false">DATE(1986,1,23)</f>
        <v>31435</v>
      </c>
      <c r="B105" s="4" t="s">
        <v>172</v>
      </c>
      <c r="C105" s="4" t="s">
        <v>127</v>
      </c>
    </row>
    <row r="106" customFormat="false" ht="12.8" hidden="false" customHeight="false" outlineLevel="0" collapsed="false">
      <c r="A106" s="3" t="n">
        <f aca="false">DATE(1986,1,23)</f>
        <v>31435</v>
      </c>
      <c r="B106" s="4" t="s">
        <v>173</v>
      </c>
      <c r="C106" s="4" t="s">
        <v>127</v>
      </c>
    </row>
    <row r="107" customFormat="false" ht="12.8" hidden="false" customHeight="false" outlineLevel="0" collapsed="false">
      <c r="A107" s="3" t="n">
        <f aca="false">DATE(1986,1,27)</f>
        <v>31439</v>
      </c>
      <c r="B107" s="4" t="s">
        <v>174</v>
      </c>
      <c r="C107" s="4" t="s">
        <v>175</v>
      </c>
    </row>
    <row r="108" customFormat="false" ht="12.8" hidden="false" customHeight="false" outlineLevel="0" collapsed="false">
      <c r="A108" s="3" t="n">
        <f aca="false">DATE(1986,2,3)</f>
        <v>31446</v>
      </c>
      <c r="B108" s="4" t="s">
        <v>176</v>
      </c>
      <c r="C108" s="4" t="s">
        <v>177</v>
      </c>
    </row>
    <row r="109" customFormat="false" ht="12.8" hidden="false" customHeight="false" outlineLevel="0" collapsed="false">
      <c r="A109" s="3" t="n">
        <f aca="false">DATE(1986,2,4)</f>
        <v>31447</v>
      </c>
      <c r="B109" s="4" t="s">
        <v>178</v>
      </c>
      <c r="C109" s="4" t="s">
        <v>22</v>
      </c>
    </row>
    <row r="110" customFormat="false" ht="12.8" hidden="false" customHeight="false" outlineLevel="0" collapsed="false">
      <c r="A110" s="3" t="n">
        <f aca="false">DATE(1986,2,7)</f>
        <v>31450</v>
      </c>
      <c r="B110" s="4" t="s">
        <v>179</v>
      </c>
      <c r="C110" s="4" t="s">
        <v>180</v>
      </c>
    </row>
    <row r="111" customFormat="false" ht="12.8" hidden="false" customHeight="false" outlineLevel="0" collapsed="false">
      <c r="A111" s="3" t="n">
        <f aca="false">DATE(1986,2,7)</f>
        <v>31450</v>
      </c>
      <c r="B111" s="4" t="s">
        <v>181</v>
      </c>
      <c r="C111" s="4" t="s">
        <v>182</v>
      </c>
    </row>
    <row r="112" customFormat="false" ht="12.8" hidden="false" customHeight="false" outlineLevel="0" collapsed="false">
      <c r="A112" s="3" t="n">
        <f aca="false">DATE(1986,2,10)</f>
        <v>31453</v>
      </c>
      <c r="B112" s="4" t="s">
        <v>183</v>
      </c>
      <c r="C112" s="4" t="s">
        <v>75</v>
      </c>
    </row>
    <row r="113" customFormat="false" ht="12.8" hidden="false" customHeight="false" outlineLevel="0" collapsed="false">
      <c r="A113" s="3" t="n">
        <f aca="false">DATE(1986,2,26)</f>
        <v>31469</v>
      </c>
      <c r="B113" s="4" t="s">
        <v>184</v>
      </c>
      <c r="C113" s="4" t="s">
        <v>127</v>
      </c>
    </row>
    <row r="114" customFormat="false" ht="12.8" hidden="false" customHeight="false" outlineLevel="0" collapsed="false">
      <c r="A114" s="3" t="n">
        <f aca="false">DATE(1986,2,26)</f>
        <v>31469</v>
      </c>
      <c r="B114" s="4" t="s">
        <v>185</v>
      </c>
      <c r="C114" s="4" t="s">
        <v>127</v>
      </c>
    </row>
    <row r="115" customFormat="false" ht="12.8" hidden="false" customHeight="false" outlineLevel="0" collapsed="false">
      <c r="A115" s="3" t="n">
        <f aca="false">DATE(1986,2,28)</f>
        <v>31471</v>
      </c>
      <c r="B115" s="4" t="s">
        <v>186</v>
      </c>
      <c r="C115" s="4" t="s">
        <v>180</v>
      </c>
    </row>
    <row r="116" customFormat="false" ht="12.8" hidden="false" customHeight="false" outlineLevel="0" collapsed="false">
      <c r="A116" s="3" t="n">
        <f aca="false">DATE(1986,3,5)</f>
        <v>31476</v>
      </c>
      <c r="B116" s="4" t="s">
        <v>66</v>
      </c>
      <c r="C116" s="4" t="s">
        <v>187</v>
      </c>
    </row>
    <row r="117" customFormat="false" ht="12.8" hidden="false" customHeight="false" outlineLevel="0" collapsed="false">
      <c r="A117" s="3" t="n">
        <f aca="false">DATE(1986,3,11)</f>
        <v>31482</v>
      </c>
      <c r="B117" s="4" t="s">
        <v>188</v>
      </c>
      <c r="C117" s="4" t="s">
        <v>141</v>
      </c>
    </row>
    <row r="118" customFormat="false" ht="12.8" hidden="false" customHeight="false" outlineLevel="0" collapsed="false">
      <c r="A118" s="3" t="n">
        <f aca="false">DATE(1986,3,14)</f>
        <v>31485</v>
      </c>
      <c r="B118" s="4" t="s">
        <v>189</v>
      </c>
      <c r="C118" s="4" t="s">
        <v>31</v>
      </c>
    </row>
    <row r="119" customFormat="false" ht="12.8" hidden="false" customHeight="false" outlineLevel="0" collapsed="false">
      <c r="A119" s="3" t="n">
        <f aca="false">DATE(1986,3,26)</f>
        <v>31497</v>
      </c>
      <c r="B119" s="4" t="s">
        <v>190</v>
      </c>
      <c r="C119" s="4" t="s">
        <v>16</v>
      </c>
    </row>
    <row r="120" customFormat="false" ht="12.8" hidden="false" customHeight="false" outlineLevel="0" collapsed="false">
      <c r="A120" s="3" t="n">
        <f aca="false">DATE(1986,3,31)</f>
        <v>31502</v>
      </c>
      <c r="B120" s="4" t="s">
        <v>191</v>
      </c>
      <c r="C120" s="4" t="s">
        <v>68</v>
      </c>
    </row>
    <row r="121" customFormat="false" ht="12.8" hidden="false" customHeight="false" outlineLevel="0" collapsed="false">
      <c r="A121" s="3" t="n">
        <f aca="false">DATE(1986,4,1)</f>
        <v>31503</v>
      </c>
      <c r="B121" s="4" t="s">
        <v>192</v>
      </c>
      <c r="C121" s="4" t="s">
        <v>193</v>
      </c>
    </row>
    <row r="122" customFormat="false" ht="12.8" hidden="false" customHeight="false" outlineLevel="0" collapsed="false">
      <c r="A122" s="3" t="n">
        <f aca="false">DATE(1986,4,3)</f>
        <v>31505</v>
      </c>
      <c r="B122" s="4" t="s">
        <v>194</v>
      </c>
      <c r="C122" s="4" t="s">
        <v>195</v>
      </c>
    </row>
    <row r="123" customFormat="false" ht="12.8" hidden="false" customHeight="false" outlineLevel="0" collapsed="false">
      <c r="A123" s="3" t="n">
        <f aca="false">DATE(1986,4,9)</f>
        <v>31511</v>
      </c>
      <c r="B123" s="4" t="s">
        <v>196</v>
      </c>
      <c r="C123" s="4" t="s">
        <v>58</v>
      </c>
    </row>
    <row r="124" customFormat="false" ht="12.8" hidden="false" customHeight="false" outlineLevel="0" collapsed="false">
      <c r="A124" s="3" t="n">
        <f aca="false">DATE(1986,4,14)</f>
        <v>31516</v>
      </c>
      <c r="B124" s="4" t="s">
        <v>197</v>
      </c>
      <c r="C124" s="4" t="s">
        <v>156</v>
      </c>
    </row>
    <row r="125" customFormat="false" ht="12.8" hidden="false" customHeight="false" outlineLevel="0" collapsed="false">
      <c r="A125" s="3" t="n">
        <f aca="false">DATE(1986,4,17)</f>
        <v>31519</v>
      </c>
      <c r="B125" s="4" t="s">
        <v>198</v>
      </c>
      <c r="C125" s="4" t="s">
        <v>136</v>
      </c>
    </row>
    <row r="126" customFormat="false" ht="12.8" hidden="false" customHeight="false" outlineLevel="0" collapsed="false">
      <c r="A126" s="3" t="n">
        <f aca="false">DATE(1986,4,18)</f>
        <v>31520</v>
      </c>
      <c r="B126" s="4" t="s">
        <v>199</v>
      </c>
      <c r="C126" s="4" t="s">
        <v>200</v>
      </c>
    </row>
    <row r="127" customFormat="false" ht="12.8" hidden="false" customHeight="false" outlineLevel="0" collapsed="false">
      <c r="A127" s="3" t="n">
        <f aca="false">DATE(1986,4,29)</f>
        <v>31531</v>
      </c>
      <c r="B127" s="4" t="s">
        <v>201</v>
      </c>
      <c r="C127" s="4" t="s">
        <v>202</v>
      </c>
    </row>
    <row r="128" customFormat="false" ht="12.8" hidden="false" customHeight="false" outlineLevel="0" collapsed="false">
      <c r="A128" s="3" t="n">
        <f aca="false">DATE(1986,5,1)</f>
        <v>31533</v>
      </c>
      <c r="B128" s="4" t="s">
        <v>203</v>
      </c>
      <c r="C128" s="4" t="s">
        <v>204</v>
      </c>
    </row>
    <row r="129" customFormat="false" ht="12.8" hidden="false" customHeight="false" outlineLevel="0" collapsed="false">
      <c r="A129" s="3" t="n">
        <f aca="false">DATE(1986,5,1)</f>
        <v>31533</v>
      </c>
      <c r="B129" s="4" t="s">
        <v>205</v>
      </c>
      <c r="C129" s="4" t="s">
        <v>204</v>
      </c>
    </row>
    <row r="130" customFormat="false" ht="12.8" hidden="false" customHeight="false" outlineLevel="0" collapsed="false">
      <c r="A130" s="3" t="n">
        <f aca="false">DATE(1986,5,1)</f>
        <v>31533</v>
      </c>
      <c r="B130" s="4" t="s">
        <v>206</v>
      </c>
      <c r="C130" s="4" t="s">
        <v>207</v>
      </c>
    </row>
    <row r="131" customFormat="false" ht="12.8" hidden="false" customHeight="false" outlineLevel="0" collapsed="false">
      <c r="A131" s="3" t="n">
        <f aca="false">DATE(1986,5,2)</f>
        <v>31534</v>
      </c>
      <c r="B131" s="4" t="s">
        <v>208</v>
      </c>
      <c r="C131" s="4" t="s">
        <v>160</v>
      </c>
    </row>
    <row r="132" customFormat="false" ht="12.8" hidden="false" customHeight="false" outlineLevel="0" collapsed="false">
      <c r="A132" s="3" t="n">
        <f aca="false">DATE(1986,5,7)</f>
        <v>31539</v>
      </c>
      <c r="B132" s="4" t="s">
        <v>209</v>
      </c>
      <c r="C132" s="4" t="s">
        <v>127</v>
      </c>
    </row>
    <row r="133" customFormat="false" ht="12.8" hidden="false" customHeight="false" outlineLevel="0" collapsed="false">
      <c r="A133" s="3" t="n">
        <f aca="false">DATE(1986,5,9)</f>
        <v>31541</v>
      </c>
      <c r="B133" s="4" t="s">
        <v>210</v>
      </c>
      <c r="C133" s="4" t="s">
        <v>211</v>
      </c>
    </row>
    <row r="134" customFormat="false" ht="12.8" hidden="false" customHeight="false" outlineLevel="0" collapsed="false">
      <c r="A134" s="3" t="n">
        <f aca="false">DATE(1986,5,9)</f>
        <v>31541</v>
      </c>
      <c r="B134" s="4" t="s">
        <v>212</v>
      </c>
      <c r="C134" s="4" t="s">
        <v>136</v>
      </c>
    </row>
    <row r="135" customFormat="false" ht="12.8" hidden="false" customHeight="false" outlineLevel="0" collapsed="false">
      <c r="A135" s="3" t="n">
        <f aca="false">DATE(1986,5,14)</f>
        <v>31546</v>
      </c>
      <c r="B135" s="4" t="s">
        <v>213</v>
      </c>
      <c r="C135" s="4" t="s">
        <v>214</v>
      </c>
    </row>
    <row r="136" customFormat="false" ht="12.8" hidden="false" customHeight="false" outlineLevel="0" collapsed="false">
      <c r="A136" s="3" t="n">
        <f aca="false">DATE(1986,5,14)</f>
        <v>31546</v>
      </c>
      <c r="B136" s="4" t="s">
        <v>215</v>
      </c>
      <c r="C136" s="4" t="s">
        <v>216</v>
      </c>
    </row>
    <row r="137" customFormat="false" ht="12.8" hidden="false" customHeight="false" outlineLevel="0" collapsed="false">
      <c r="A137" s="3" t="n">
        <f aca="false">DATE(1986,5,15)</f>
        <v>31547</v>
      </c>
      <c r="B137" s="4" t="s">
        <v>217</v>
      </c>
      <c r="C137" s="4" t="s">
        <v>167</v>
      </c>
    </row>
    <row r="138" customFormat="false" ht="12.8" hidden="false" customHeight="false" outlineLevel="0" collapsed="false">
      <c r="A138" s="3" t="n">
        <f aca="false">DATE(1986,5,20)</f>
        <v>31552</v>
      </c>
      <c r="B138" s="4" t="s">
        <v>218</v>
      </c>
      <c r="C138" s="4" t="s">
        <v>219</v>
      </c>
    </row>
    <row r="139" customFormat="false" ht="12.8" hidden="false" customHeight="false" outlineLevel="0" collapsed="false">
      <c r="A139" s="3" t="n">
        <f aca="false">DATE(1986,5,27)</f>
        <v>31559</v>
      </c>
      <c r="B139" s="4" t="s">
        <v>220</v>
      </c>
      <c r="C139" s="4" t="s">
        <v>221</v>
      </c>
    </row>
    <row r="140" customFormat="false" ht="12.8" hidden="false" customHeight="false" outlineLevel="0" collapsed="false">
      <c r="A140" s="3" t="n">
        <f aca="false">DATE(1986,6,5)</f>
        <v>31568</v>
      </c>
      <c r="B140" s="4" t="s">
        <v>222</v>
      </c>
      <c r="C140" s="4" t="s">
        <v>219</v>
      </c>
    </row>
    <row r="141" customFormat="false" ht="12.8" hidden="false" customHeight="false" outlineLevel="0" collapsed="false">
      <c r="A141" s="3" t="n">
        <f aca="false">DATE(1986,6,6)</f>
        <v>31569</v>
      </c>
      <c r="B141" s="4" t="s">
        <v>223</v>
      </c>
      <c r="C141" s="4" t="s">
        <v>130</v>
      </c>
    </row>
    <row r="142" customFormat="false" ht="12.8" hidden="false" customHeight="false" outlineLevel="0" collapsed="false">
      <c r="A142" s="3" t="n">
        <f aca="false">DATE(1986,6,10)</f>
        <v>31573</v>
      </c>
      <c r="B142" s="4" t="s">
        <v>224</v>
      </c>
      <c r="C142" s="4" t="s">
        <v>225</v>
      </c>
    </row>
    <row r="143" customFormat="false" ht="12.8" hidden="false" customHeight="false" outlineLevel="0" collapsed="false">
      <c r="A143" s="3" t="n">
        <f aca="false">DATE(1986,6,10)</f>
        <v>31573</v>
      </c>
      <c r="B143" s="4" t="s">
        <v>226</v>
      </c>
      <c r="C143" s="4" t="s">
        <v>75</v>
      </c>
    </row>
    <row r="144" customFormat="false" ht="12.8" hidden="false" customHeight="false" outlineLevel="0" collapsed="false">
      <c r="A144" s="3" t="n">
        <f aca="false">DATE(1986,6,10)</f>
        <v>31573</v>
      </c>
      <c r="B144" s="4" t="s">
        <v>227</v>
      </c>
      <c r="C144" s="4" t="s">
        <v>64</v>
      </c>
    </row>
    <row r="145" customFormat="false" ht="12.8" hidden="false" customHeight="false" outlineLevel="0" collapsed="false">
      <c r="A145" s="3" t="n">
        <f aca="false">DATE(1986,6,11)</f>
        <v>31574</v>
      </c>
      <c r="B145" s="4" t="s">
        <v>228</v>
      </c>
      <c r="C145" s="4" t="s">
        <v>229</v>
      </c>
    </row>
    <row r="146" customFormat="false" ht="12.8" hidden="false" customHeight="false" outlineLevel="0" collapsed="false">
      <c r="A146" s="3" t="n">
        <f aca="false">DATE(1986,6,11)</f>
        <v>31574</v>
      </c>
      <c r="B146" s="4" t="s">
        <v>88</v>
      </c>
      <c r="C146" s="4" t="s">
        <v>58</v>
      </c>
    </row>
    <row r="147" customFormat="false" ht="12.8" hidden="false" customHeight="false" outlineLevel="0" collapsed="false">
      <c r="A147" s="3" t="n">
        <f aca="false">DATE(1986,6,11)</f>
        <v>31574</v>
      </c>
      <c r="B147" s="4" t="s">
        <v>230</v>
      </c>
      <c r="C147" s="4" t="s">
        <v>231</v>
      </c>
    </row>
    <row r="148" customFormat="false" ht="12.8" hidden="false" customHeight="false" outlineLevel="0" collapsed="false">
      <c r="A148" s="3" t="n">
        <f aca="false">DATE(1986,6,17)</f>
        <v>31580</v>
      </c>
      <c r="B148" s="4" t="s">
        <v>232</v>
      </c>
      <c r="C148" s="4" t="s">
        <v>12</v>
      </c>
    </row>
    <row r="149" customFormat="false" ht="12.8" hidden="false" customHeight="false" outlineLevel="0" collapsed="false">
      <c r="A149" s="3" t="n">
        <f aca="false">DATE(1986,6,19)</f>
        <v>31582</v>
      </c>
      <c r="B149" s="4" t="s">
        <v>233</v>
      </c>
      <c r="C149" s="4" t="s">
        <v>234</v>
      </c>
    </row>
    <row r="150" customFormat="false" ht="12.8" hidden="false" customHeight="false" outlineLevel="0" collapsed="false">
      <c r="A150" s="3" t="n">
        <f aca="false">DATE(1986,6,23)</f>
        <v>31586</v>
      </c>
      <c r="B150" s="4" t="s">
        <v>235</v>
      </c>
      <c r="C150" s="4" t="s">
        <v>12</v>
      </c>
    </row>
    <row r="151" customFormat="false" ht="12.8" hidden="false" customHeight="false" outlineLevel="0" collapsed="false">
      <c r="A151" s="3" t="n">
        <f aca="false">DATE(1986,6,23)</f>
        <v>31586</v>
      </c>
      <c r="B151" s="4" t="s">
        <v>236</v>
      </c>
      <c r="C151" s="4" t="s">
        <v>124</v>
      </c>
    </row>
    <row r="152" customFormat="false" ht="12.8" hidden="false" customHeight="false" outlineLevel="0" collapsed="false">
      <c r="A152" s="3" t="n">
        <f aca="false">DATE(1986,6,26)</f>
        <v>31589</v>
      </c>
      <c r="B152" s="4" t="s">
        <v>237</v>
      </c>
      <c r="C152" s="4" t="s">
        <v>238</v>
      </c>
    </row>
    <row r="153" customFormat="false" ht="12.8" hidden="false" customHeight="false" outlineLevel="0" collapsed="false">
      <c r="A153" s="3" t="n">
        <f aca="false">DATE(1986,6,27)</f>
        <v>31590</v>
      </c>
      <c r="B153" s="4" t="s">
        <v>239</v>
      </c>
      <c r="C153" s="4" t="s">
        <v>219</v>
      </c>
    </row>
    <row r="154" customFormat="false" ht="12.8" hidden="false" customHeight="false" outlineLevel="0" collapsed="false">
      <c r="A154" s="3" t="n">
        <f aca="false">DATE(1986,6,30)</f>
        <v>31593</v>
      </c>
      <c r="B154" s="4" t="s">
        <v>72</v>
      </c>
      <c r="C154" s="4" t="s">
        <v>240</v>
      </c>
    </row>
    <row r="155" customFormat="false" ht="12.8" hidden="false" customHeight="false" outlineLevel="0" collapsed="false">
      <c r="A155" s="3" t="n">
        <f aca="false">DATE(1986,7,1)</f>
        <v>31594</v>
      </c>
      <c r="B155" s="4" t="s">
        <v>241</v>
      </c>
      <c r="C155" s="4" t="s">
        <v>242</v>
      </c>
    </row>
    <row r="156" customFormat="false" ht="12.8" hidden="false" customHeight="false" outlineLevel="0" collapsed="false">
      <c r="A156" s="3" t="n">
        <f aca="false">DATE(1986,7,1)</f>
        <v>31594</v>
      </c>
      <c r="B156" s="4" t="s">
        <v>243</v>
      </c>
      <c r="C156" s="4" t="s">
        <v>242</v>
      </c>
    </row>
    <row r="157" customFormat="false" ht="12.8" hidden="false" customHeight="false" outlineLevel="0" collapsed="false">
      <c r="A157" s="3" t="n">
        <f aca="false">DATE(1986,7,1)</f>
        <v>31594</v>
      </c>
      <c r="B157" s="4" t="s">
        <v>244</v>
      </c>
      <c r="C157" s="4" t="s">
        <v>229</v>
      </c>
    </row>
    <row r="158" customFormat="false" ht="12.8" hidden="false" customHeight="false" outlineLevel="0" collapsed="false">
      <c r="A158" s="3" t="n">
        <f aca="false">DATE(1986,7,11)</f>
        <v>31604</v>
      </c>
      <c r="B158" s="4" t="s">
        <v>245</v>
      </c>
      <c r="C158" s="4" t="s">
        <v>246</v>
      </c>
    </row>
    <row r="159" customFormat="false" ht="12.8" hidden="false" customHeight="false" outlineLevel="0" collapsed="false">
      <c r="A159" s="3" t="n">
        <f aca="false">DATE(1986,7,16)</f>
        <v>31609</v>
      </c>
      <c r="B159" s="4" t="s">
        <v>247</v>
      </c>
      <c r="C159" s="4" t="s">
        <v>248</v>
      </c>
    </row>
    <row r="160" customFormat="false" ht="12.8" hidden="false" customHeight="false" outlineLevel="0" collapsed="false">
      <c r="A160" s="3" t="n">
        <f aca="false">DATE(1986,7,17)</f>
        <v>31610</v>
      </c>
      <c r="B160" s="4" t="s">
        <v>175</v>
      </c>
      <c r="C160" s="4" t="s">
        <v>108</v>
      </c>
    </row>
    <row r="161" customFormat="false" ht="12.8" hidden="false" customHeight="false" outlineLevel="0" collapsed="false">
      <c r="A161" s="3" t="n">
        <f aca="false">DATE(1986,7,17)</f>
        <v>31610</v>
      </c>
      <c r="B161" s="4" t="s">
        <v>249</v>
      </c>
      <c r="C161" s="4" t="s">
        <v>156</v>
      </c>
    </row>
    <row r="162" customFormat="false" ht="12.8" hidden="false" customHeight="false" outlineLevel="0" collapsed="false">
      <c r="A162" s="3" t="n">
        <f aca="false">DATE(1986,7,22)</f>
        <v>31615</v>
      </c>
      <c r="B162" s="4" t="s">
        <v>250</v>
      </c>
      <c r="C162" s="4" t="s">
        <v>251</v>
      </c>
    </row>
    <row r="163" customFormat="false" ht="12.8" hidden="false" customHeight="false" outlineLevel="0" collapsed="false">
      <c r="A163" s="3" t="n">
        <f aca="false">DATE(1986,7,22)</f>
        <v>31615</v>
      </c>
      <c r="B163" s="4" t="s">
        <v>252</v>
      </c>
      <c r="C163" s="4" t="s">
        <v>253</v>
      </c>
    </row>
    <row r="164" customFormat="false" ht="12.8" hidden="false" customHeight="false" outlineLevel="0" collapsed="false">
      <c r="A164" s="3" t="n">
        <f aca="false">DATE(1986,7,22)</f>
        <v>31615</v>
      </c>
      <c r="B164" s="4" t="s">
        <v>254</v>
      </c>
      <c r="C164" s="4" t="s">
        <v>120</v>
      </c>
    </row>
    <row r="165" customFormat="false" ht="12.8" hidden="false" customHeight="false" outlineLevel="0" collapsed="false">
      <c r="A165" s="3" t="n">
        <f aca="false">DATE(1986,8,1)</f>
        <v>31625</v>
      </c>
      <c r="B165" s="4" t="s">
        <v>255</v>
      </c>
      <c r="C165" s="4" t="s">
        <v>256</v>
      </c>
    </row>
    <row r="166" customFormat="false" ht="12.8" hidden="false" customHeight="false" outlineLevel="0" collapsed="false">
      <c r="A166" s="3" t="n">
        <f aca="false">DATE(1986,8,13)</f>
        <v>31637</v>
      </c>
      <c r="B166" s="4" t="s">
        <v>175</v>
      </c>
      <c r="C166" s="4" t="s">
        <v>16</v>
      </c>
    </row>
    <row r="167" customFormat="false" ht="12.8" hidden="false" customHeight="false" outlineLevel="0" collapsed="false">
      <c r="A167" s="3" t="n">
        <f aca="false">DATE(1986,8,20)</f>
        <v>31644</v>
      </c>
      <c r="B167" s="4" t="s">
        <v>257</v>
      </c>
      <c r="C167" s="4" t="s">
        <v>4</v>
      </c>
    </row>
    <row r="168" customFormat="false" ht="12.8" hidden="false" customHeight="false" outlineLevel="0" collapsed="false">
      <c r="A168" s="3" t="n">
        <f aca="false">DATE(1986,8,20)</f>
        <v>31644</v>
      </c>
      <c r="B168" s="4" t="s">
        <v>258</v>
      </c>
      <c r="C168" s="4" t="s">
        <v>122</v>
      </c>
    </row>
    <row r="169" customFormat="false" ht="12.8" hidden="false" customHeight="false" outlineLevel="0" collapsed="false">
      <c r="A169" s="3" t="n">
        <f aca="false">DATE(1986,8,25)</f>
        <v>31649</v>
      </c>
      <c r="B169" s="4" t="s">
        <v>259</v>
      </c>
      <c r="C169" s="4" t="s">
        <v>154</v>
      </c>
    </row>
    <row r="170" customFormat="false" ht="12.8" hidden="false" customHeight="false" outlineLevel="0" collapsed="false">
      <c r="A170" s="3" t="n">
        <f aca="false">DATE(1986,8,25)</f>
        <v>31649</v>
      </c>
      <c r="B170" s="4" t="s">
        <v>260</v>
      </c>
      <c r="C170" s="4" t="s">
        <v>56</v>
      </c>
    </row>
    <row r="171" customFormat="false" ht="12.8" hidden="false" customHeight="false" outlineLevel="0" collapsed="false">
      <c r="A171" s="3" t="n">
        <f aca="false">DATE(1986,8,26)</f>
        <v>31650</v>
      </c>
      <c r="B171" s="4" t="s">
        <v>261</v>
      </c>
      <c r="C171" s="4" t="s">
        <v>262</v>
      </c>
    </row>
    <row r="172" customFormat="false" ht="12.8" hidden="false" customHeight="false" outlineLevel="0" collapsed="false">
      <c r="A172" s="3" t="n">
        <f aca="false">DATE(1986,8,26)</f>
        <v>31650</v>
      </c>
      <c r="B172" s="4" t="s">
        <v>263</v>
      </c>
      <c r="C172" s="4" t="s">
        <v>262</v>
      </c>
    </row>
    <row r="173" customFormat="false" ht="12.8" hidden="false" customHeight="false" outlineLevel="0" collapsed="false">
      <c r="A173" s="3" t="n">
        <f aca="false">DATE(1986,8,26)</f>
        <v>31650</v>
      </c>
      <c r="B173" s="4" t="s">
        <v>264</v>
      </c>
      <c r="C173" s="4" t="s">
        <v>262</v>
      </c>
    </row>
    <row r="174" customFormat="false" ht="12.8" hidden="false" customHeight="false" outlineLevel="0" collapsed="false">
      <c r="A174" s="3" t="n">
        <f aca="false">DATE(1986,8,28)</f>
        <v>31652</v>
      </c>
      <c r="B174" s="4" t="s">
        <v>265</v>
      </c>
      <c r="C174" s="4" t="s">
        <v>82</v>
      </c>
    </row>
    <row r="175" customFormat="false" ht="12.8" hidden="false" customHeight="false" outlineLevel="0" collapsed="false">
      <c r="A175" s="3" t="n">
        <f aca="false">DATE(1986,9,1)</f>
        <v>31656</v>
      </c>
      <c r="B175" s="4" t="s">
        <v>266</v>
      </c>
      <c r="C175" s="4" t="s">
        <v>267</v>
      </c>
    </row>
    <row r="176" customFormat="false" ht="12.8" hidden="false" customHeight="false" outlineLevel="0" collapsed="false">
      <c r="A176" s="3" t="n">
        <f aca="false">DATE(1986,9,2)</f>
        <v>31657</v>
      </c>
      <c r="B176" s="4" t="s">
        <v>268</v>
      </c>
      <c r="C176" s="4" t="s">
        <v>269</v>
      </c>
    </row>
    <row r="177" customFormat="false" ht="12.8" hidden="false" customHeight="false" outlineLevel="0" collapsed="false">
      <c r="A177" s="3" t="n">
        <f aca="false">DATE(1986,9,8)</f>
        <v>31663</v>
      </c>
      <c r="B177" s="4" t="s">
        <v>270</v>
      </c>
      <c r="C177" s="4" t="s">
        <v>147</v>
      </c>
    </row>
    <row r="178" customFormat="false" ht="12.8" hidden="false" customHeight="false" outlineLevel="0" collapsed="false">
      <c r="A178" s="3" t="n">
        <f aca="false">DATE(1986,9,17)</f>
        <v>31672</v>
      </c>
      <c r="B178" s="4" t="s">
        <v>271</v>
      </c>
      <c r="C178" s="4" t="s">
        <v>74</v>
      </c>
    </row>
    <row r="179" customFormat="false" ht="12.8" hidden="false" customHeight="false" outlineLevel="0" collapsed="false">
      <c r="A179" s="3" t="n">
        <f aca="false">DATE(1986,9,22)</f>
        <v>31677</v>
      </c>
      <c r="B179" s="4" t="s">
        <v>272</v>
      </c>
      <c r="C179" s="4" t="s">
        <v>273</v>
      </c>
    </row>
    <row r="180" customFormat="false" ht="12.8" hidden="false" customHeight="false" outlineLevel="0" collapsed="false">
      <c r="A180" s="3" t="n">
        <f aca="false">DATE(1986,9,23)</f>
        <v>31678</v>
      </c>
      <c r="B180" s="4" t="s">
        <v>274</v>
      </c>
      <c r="C180" s="4" t="s">
        <v>275</v>
      </c>
    </row>
    <row r="181" customFormat="false" ht="12.8" hidden="false" customHeight="false" outlineLevel="0" collapsed="false">
      <c r="A181" s="3" t="n">
        <f aca="false">DATE(1986,9,24)</f>
        <v>31679</v>
      </c>
      <c r="B181" s="4" t="s">
        <v>276</v>
      </c>
      <c r="C181" s="4" t="s">
        <v>242</v>
      </c>
    </row>
    <row r="182" customFormat="false" ht="12.8" hidden="false" customHeight="false" outlineLevel="0" collapsed="false">
      <c r="A182" s="3" t="n">
        <f aca="false">DATE(1986,9,30)</f>
        <v>31685</v>
      </c>
      <c r="B182" s="4" t="s">
        <v>277</v>
      </c>
      <c r="C182" s="4" t="s">
        <v>278</v>
      </c>
    </row>
    <row r="183" customFormat="false" ht="12.8" hidden="false" customHeight="false" outlineLevel="0" collapsed="false">
      <c r="A183" s="3" t="n">
        <f aca="false">DATE(1986,9,30)</f>
        <v>31685</v>
      </c>
      <c r="B183" s="4" t="s">
        <v>279</v>
      </c>
      <c r="C183" s="4" t="s">
        <v>4</v>
      </c>
    </row>
    <row r="184" customFormat="false" ht="12.8" hidden="false" customHeight="false" outlineLevel="0" collapsed="false">
      <c r="A184" s="3" t="n">
        <f aca="false">DATE(1986,10,1)</f>
        <v>31686</v>
      </c>
      <c r="B184" s="4" t="s">
        <v>280</v>
      </c>
      <c r="C184" s="4" t="s">
        <v>281</v>
      </c>
    </row>
    <row r="185" customFormat="false" ht="12.8" hidden="false" customHeight="false" outlineLevel="0" collapsed="false">
      <c r="A185" s="3" t="n">
        <f aca="false">DATE(1986,10,13)</f>
        <v>31698</v>
      </c>
      <c r="B185" s="4" t="s">
        <v>282</v>
      </c>
      <c r="C185" s="4" t="s">
        <v>58</v>
      </c>
    </row>
    <row r="186" customFormat="false" ht="12.8" hidden="false" customHeight="false" outlineLevel="0" collapsed="false">
      <c r="A186" s="3" t="n">
        <f aca="false">DATE(1986,10,16)</f>
        <v>31701</v>
      </c>
      <c r="B186" s="4" t="s">
        <v>283</v>
      </c>
      <c r="C186" s="4" t="s">
        <v>284</v>
      </c>
    </row>
    <row r="187" customFormat="false" ht="12.8" hidden="false" customHeight="false" outlineLevel="0" collapsed="false">
      <c r="A187" s="3" t="n">
        <f aca="false">DATE(1986,10,22)</f>
        <v>31707</v>
      </c>
      <c r="B187" s="4" t="s">
        <v>285</v>
      </c>
      <c r="C187" s="4" t="s">
        <v>286</v>
      </c>
    </row>
    <row r="188" customFormat="false" ht="12.8" hidden="false" customHeight="false" outlineLevel="0" collapsed="false">
      <c r="A188" s="3" t="n">
        <f aca="false">DATE(1986,10,23)</f>
        <v>31708</v>
      </c>
      <c r="B188" s="4" t="s">
        <v>287</v>
      </c>
      <c r="C188" s="4" t="s">
        <v>74</v>
      </c>
    </row>
    <row r="189" customFormat="false" ht="12.8" hidden="false" customHeight="false" outlineLevel="0" collapsed="false">
      <c r="A189" s="3" t="n">
        <f aca="false">DATE(1986,10,24)</f>
        <v>31709</v>
      </c>
      <c r="B189" s="4" t="s">
        <v>288</v>
      </c>
      <c r="C189" s="4" t="s">
        <v>289</v>
      </c>
    </row>
    <row r="190" customFormat="false" ht="12.8" hidden="false" customHeight="false" outlineLevel="0" collapsed="false">
      <c r="A190" s="3" t="n">
        <f aca="false">DATE(1986,10,28)</f>
        <v>31713</v>
      </c>
      <c r="B190" s="4" t="s">
        <v>290</v>
      </c>
      <c r="C190" s="4" t="s">
        <v>116</v>
      </c>
    </row>
    <row r="191" customFormat="false" ht="12.8" hidden="false" customHeight="false" outlineLevel="0" collapsed="false">
      <c r="A191" s="3" t="n">
        <f aca="false">DATE(1986,11,4)</f>
        <v>31720</v>
      </c>
      <c r="B191" s="4" t="s">
        <v>291</v>
      </c>
      <c r="C191" s="4" t="s">
        <v>116</v>
      </c>
    </row>
    <row r="192" customFormat="false" ht="12.8" hidden="false" customHeight="false" outlineLevel="0" collapsed="false">
      <c r="A192" s="3" t="n">
        <f aca="false">DATE(1986,11,6)</f>
        <v>31722</v>
      </c>
      <c r="B192" s="4" t="s">
        <v>292</v>
      </c>
      <c r="C192" s="4" t="s">
        <v>12</v>
      </c>
    </row>
    <row r="193" customFormat="false" ht="12.8" hidden="false" customHeight="false" outlineLevel="0" collapsed="false">
      <c r="A193" s="3" t="n">
        <f aca="false">DATE(1986,11,12)</f>
        <v>31728</v>
      </c>
      <c r="B193" s="4" t="s">
        <v>293</v>
      </c>
      <c r="C193" s="4" t="s">
        <v>79</v>
      </c>
    </row>
    <row r="194" customFormat="false" ht="12.8" hidden="false" customHeight="false" outlineLevel="0" collapsed="false">
      <c r="A194" s="3" t="n">
        <f aca="false">DATE(1986,11,17)</f>
        <v>31733</v>
      </c>
      <c r="B194" s="4" t="s">
        <v>294</v>
      </c>
      <c r="C194" s="4" t="s">
        <v>295</v>
      </c>
    </row>
    <row r="195" customFormat="false" ht="12.8" hidden="false" customHeight="false" outlineLevel="0" collapsed="false">
      <c r="A195" s="3" t="n">
        <f aca="false">DATE(1986,11,28)</f>
        <v>31744</v>
      </c>
      <c r="B195" s="4" t="s">
        <v>296</v>
      </c>
      <c r="C195" s="4" t="s">
        <v>297</v>
      </c>
    </row>
    <row r="196" customFormat="false" ht="12.8" hidden="false" customHeight="false" outlineLevel="0" collapsed="false">
      <c r="A196" s="3" t="n">
        <f aca="false">DATE(1986,11,28)</f>
        <v>31744</v>
      </c>
      <c r="B196" s="4" t="s">
        <v>298</v>
      </c>
      <c r="C196" s="4" t="s">
        <v>116</v>
      </c>
    </row>
    <row r="197" customFormat="false" ht="12.8" hidden="false" customHeight="false" outlineLevel="0" collapsed="false">
      <c r="A197" s="3" t="n">
        <f aca="false">DATE(1986,12,2)</f>
        <v>31748</v>
      </c>
      <c r="B197" s="4" t="s">
        <v>299</v>
      </c>
      <c r="C197" s="4" t="s">
        <v>156</v>
      </c>
    </row>
    <row r="198" customFormat="false" ht="12.8" hidden="false" customHeight="false" outlineLevel="0" collapsed="false">
      <c r="A198" s="3" t="n">
        <f aca="false">DATE(1986,12,15)</f>
        <v>31761</v>
      </c>
      <c r="B198" s="4" t="s">
        <v>300</v>
      </c>
      <c r="C198" s="4" t="s">
        <v>301</v>
      </c>
    </row>
    <row r="199" customFormat="false" ht="12.8" hidden="false" customHeight="false" outlineLevel="0" collapsed="false">
      <c r="A199" s="3" t="n">
        <f aca="false">DATE(1986,12,17)</f>
        <v>31763</v>
      </c>
      <c r="B199" s="4" t="s">
        <v>302</v>
      </c>
      <c r="C199" s="4" t="s">
        <v>303</v>
      </c>
    </row>
    <row r="200" customFormat="false" ht="12.8" hidden="false" customHeight="false" outlineLevel="0" collapsed="false">
      <c r="A200" s="3" t="n">
        <f aca="false">DATE(1986,12,29)</f>
        <v>31775</v>
      </c>
      <c r="B200" s="4" t="s">
        <v>304</v>
      </c>
      <c r="C200" s="4" t="s">
        <v>141</v>
      </c>
    </row>
    <row r="201" customFormat="false" ht="12.8" hidden="false" customHeight="false" outlineLevel="0" collapsed="false">
      <c r="A201" s="3" t="n">
        <f aca="false">DATE(1986,12,31)</f>
        <v>31777</v>
      </c>
      <c r="B201" s="4" t="s">
        <v>305</v>
      </c>
      <c r="C201" s="4" t="s">
        <v>306</v>
      </c>
    </row>
    <row r="202" customFormat="false" ht="12.8" hidden="false" customHeight="false" outlineLevel="0" collapsed="false">
      <c r="A202" s="3" t="n">
        <f aca="false">DATE(1987,1,14)</f>
        <v>31791</v>
      </c>
      <c r="B202" s="4" t="s">
        <v>307</v>
      </c>
      <c r="C202" s="4" t="s">
        <v>295</v>
      </c>
    </row>
    <row r="203" customFormat="false" ht="12.8" hidden="false" customHeight="false" outlineLevel="0" collapsed="false">
      <c r="A203" s="3" t="n">
        <f aca="false">DATE(1987,1,16)</f>
        <v>31793</v>
      </c>
      <c r="B203" s="4" t="s">
        <v>308</v>
      </c>
      <c r="C203" s="4" t="s">
        <v>309</v>
      </c>
    </row>
    <row r="204" customFormat="false" ht="12.8" hidden="false" customHeight="false" outlineLevel="0" collapsed="false">
      <c r="A204" s="3" t="n">
        <f aca="false">DATE(1987,1,27)</f>
        <v>31804</v>
      </c>
      <c r="B204" s="4" t="s">
        <v>310</v>
      </c>
      <c r="C204" s="4" t="s">
        <v>306</v>
      </c>
    </row>
    <row r="205" customFormat="false" ht="12.8" hidden="false" customHeight="false" outlineLevel="0" collapsed="false">
      <c r="A205" s="3" t="n">
        <f aca="false">DATE(1987,1,28)</f>
        <v>31805</v>
      </c>
      <c r="B205" s="4" t="s">
        <v>311</v>
      </c>
      <c r="C205" s="4" t="s">
        <v>278</v>
      </c>
    </row>
    <row r="206" customFormat="false" ht="12.8" hidden="false" customHeight="false" outlineLevel="0" collapsed="false">
      <c r="A206" s="3" t="n">
        <f aca="false">DATE(1987,1,28)</f>
        <v>31805</v>
      </c>
      <c r="B206" s="4" t="s">
        <v>312</v>
      </c>
      <c r="C206" s="4" t="s">
        <v>278</v>
      </c>
    </row>
    <row r="207" customFormat="false" ht="12.8" hidden="false" customHeight="false" outlineLevel="0" collapsed="false">
      <c r="A207" s="3" t="n">
        <f aca="false">DATE(1987,1,28)</f>
        <v>31805</v>
      </c>
      <c r="B207" s="4" t="s">
        <v>313</v>
      </c>
      <c r="C207" s="4" t="s">
        <v>278</v>
      </c>
    </row>
    <row r="208" customFormat="false" ht="12.8" hidden="false" customHeight="false" outlineLevel="0" collapsed="false">
      <c r="A208" s="3" t="n">
        <f aca="false">DATE(1987,1,28)</f>
        <v>31805</v>
      </c>
      <c r="B208" s="4" t="s">
        <v>314</v>
      </c>
      <c r="C208" s="4" t="s">
        <v>102</v>
      </c>
    </row>
    <row r="209" customFormat="false" ht="12.8" hidden="false" customHeight="false" outlineLevel="0" collapsed="false">
      <c r="A209" s="3" t="n">
        <f aca="false">DATE(1987,2,4)</f>
        <v>31812</v>
      </c>
      <c r="B209" s="4" t="s">
        <v>315</v>
      </c>
      <c r="C209" s="4" t="s">
        <v>20</v>
      </c>
    </row>
    <row r="210" customFormat="false" ht="12.8" hidden="false" customHeight="false" outlineLevel="0" collapsed="false">
      <c r="A210" s="3" t="n">
        <f aca="false">DATE(1987,2,9)</f>
        <v>31817</v>
      </c>
      <c r="B210" s="4" t="s">
        <v>316</v>
      </c>
      <c r="C210" s="4" t="s">
        <v>156</v>
      </c>
    </row>
    <row r="211" customFormat="false" ht="12.8" hidden="false" customHeight="false" outlineLevel="0" collapsed="false">
      <c r="A211" s="3" t="n">
        <f aca="false">DATE(1987,2,18)</f>
        <v>31826</v>
      </c>
      <c r="B211" s="4" t="s">
        <v>317</v>
      </c>
      <c r="C211" s="4" t="s">
        <v>318</v>
      </c>
    </row>
    <row r="212" customFormat="false" ht="12.8" hidden="false" customHeight="false" outlineLevel="0" collapsed="false">
      <c r="A212" s="3" t="n">
        <f aca="false">DATE(1987,2,20)</f>
        <v>31828</v>
      </c>
      <c r="B212" s="4" t="s">
        <v>319</v>
      </c>
      <c r="C212" s="4" t="s">
        <v>320</v>
      </c>
    </row>
    <row r="213" customFormat="false" ht="12.8" hidden="false" customHeight="false" outlineLevel="0" collapsed="false">
      <c r="A213" s="3" t="n">
        <f aca="false">DATE(1987,2,24)</f>
        <v>31832</v>
      </c>
      <c r="B213" s="4" t="s">
        <v>136</v>
      </c>
      <c r="C213" s="4" t="s">
        <v>116</v>
      </c>
    </row>
    <row r="214" customFormat="false" ht="12.8" hidden="false" customHeight="false" outlineLevel="0" collapsed="false">
      <c r="A214" s="3" t="n">
        <f aca="false">DATE(1987,2,24)</f>
        <v>31832</v>
      </c>
      <c r="B214" s="4" t="s">
        <v>136</v>
      </c>
      <c r="C214" s="4" t="s">
        <v>321</v>
      </c>
    </row>
    <row r="215" customFormat="false" ht="12.8" hidden="false" customHeight="false" outlineLevel="0" collapsed="false">
      <c r="A215" s="3" t="n">
        <f aca="false">DATE(1987,2,27)</f>
        <v>31835</v>
      </c>
      <c r="B215" s="4" t="s">
        <v>322</v>
      </c>
      <c r="C215" s="4" t="s">
        <v>240</v>
      </c>
    </row>
    <row r="216" customFormat="false" ht="12.8" hidden="false" customHeight="false" outlineLevel="0" collapsed="false">
      <c r="A216" s="3" t="n">
        <f aca="false">DATE(1987,3,3)</f>
        <v>31839</v>
      </c>
      <c r="B216" s="4" t="s">
        <v>323</v>
      </c>
      <c r="C216" s="4" t="s">
        <v>116</v>
      </c>
    </row>
    <row r="217" customFormat="false" ht="12.8" hidden="false" customHeight="false" outlineLevel="0" collapsed="false">
      <c r="A217" s="3" t="n">
        <f aca="false">DATE(1987,3,3)</f>
        <v>31839</v>
      </c>
      <c r="B217" s="4" t="s">
        <v>324</v>
      </c>
      <c r="C217" s="4" t="s">
        <v>127</v>
      </c>
    </row>
    <row r="218" customFormat="false" ht="12.8" hidden="false" customHeight="false" outlineLevel="0" collapsed="false">
      <c r="A218" s="3" t="n">
        <f aca="false">DATE(1987,3,10)</f>
        <v>31846</v>
      </c>
      <c r="B218" s="4" t="s">
        <v>325</v>
      </c>
      <c r="C218" s="4" t="s">
        <v>326</v>
      </c>
    </row>
    <row r="219" customFormat="false" ht="12.8" hidden="false" customHeight="false" outlineLevel="0" collapsed="false">
      <c r="A219" s="3" t="n">
        <f aca="false">DATE(1987,3,17)</f>
        <v>31853</v>
      </c>
      <c r="B219" s="4" t="s">
        <v>327</v>
      </c>
      <c r="C219" s="4" t="s">
        <v>22</v>
      </c>
    </row>
    <row r="220" customFormat="false" ht="12.8" hidden="false" customHeight="false" outlineLevel="0" collapsed="false">
      <c r="A220" s="3" t="n">
        <f aca="false">DATE(1987,3,18)</f>
        <v>31854</v>
      </c>
      <c r="B220" s="4" t="s">
        <v>22</v>
      </c>
      <c r="C220" s="4" t="s">
        <v>108</v>
      </c>
    </row>
    <row r="221" customFormat="false" ht="12.8" hidden="false" customHeight="false" outlineLevel="0" collapsed="false">
      <c r="A221" s="3" t="n">
        <f aca="false">DATE(1987,3,26)</f>
        <v>31862</v>
      </c>
      <c r="B221" s="4" t="s">
        <v>328</v>
      </c>
      <c r="C221" s="4" t="s">
        <v>329</v>
      </c>
    </row>
    <row r="222" customFormat="false" ht="12.8" hidden="false" customHeight="false" outlineLevel="0" collapsed="false">
      <c r="A222" s="3" t="n">
        <f aca="false">DATE(1987,3,31)</f>
        <v>31867</v>
      </c>
      <c r="B222" s="4" t="s">
        <v>330</v>
      </c>
      <c r="C222" s="4" t="s">
        <v>141</v>
      </c>
    </row>
    <row r="223" customFormat="false" ht="12.8" hidden="false" customHeight="false" outlineLevel="0" collapsed="false">
      <c r="A223" s="3" t="n">
        <f aca="false">DATE(1987,4,6)</f>
        <v>31873</v>
      </c>
      <c r="B223" s="4" t="s">
        <v>331</v>
      </c>
      <c r="C223" s="4" t="s">
        <v>332</v>
      </c>
    </row>
    <row r="224" customFormat="false" ht="12.8" hidden="false" customHeight="false" outlineLevel="0" collapsed="false">
      <c r="A224" s="3" t="n">
        <f aca="false">DATE(1987,4,13)</f>
        <v>31880</v>
      </c>
      <c r="B224" s="4" t="s">
        <v>333</v>
      </c>
      <c r="C224" s="4" t="s">
        <v>334</v>
      </c>
    </row>
    <row r="225" customFormat="false" ht="12.8" hidden="false" customHeight="false" outlineLevel="0" collapsed="false">
      <c r="A225" s="3" t="n">
        <f aca="false">DATE(1987,4,22)</f>
        <v>31889</v>
      </c>
      <c r="B225" s="4" t="s">
        <v>335</v>
      </c>
      <c r="C225" s="4" t="s">
        <v>167</v>
      </c>
    </row>
    <row r="226" customFormat="false" ht="12.8" hidden="false" customHeight="false" outlineLevel="0" collapsed="false">
      <c r="A226" s="3" t="n">
        <f aca="false">DATE(1987,4,27)</f>
        <v>31894</v>
      </c>
      <c r="B226" s="4" t="s">
        <v>211</v>
      </c>
      <c r="C226" s="4" t="s">
        <v>90</v>
      </c>
    </row>
    <row r="227" customFormat="false" ht="12.8" hidden="false" customHeight="false" outlineLevel="0" collapsed="false">
      <c r="A227" s="3" t="n">
        <f aca="false">DATE(1987,4,27)</f>
        <v>31894</v>
      </c>
      <c r="B227" s="4" t="s">
        <v>336</v>
      </c>
      <c r="C227" s="4" t="s">
        <v>169</v>
      </c>
    </row>
    <row r="228" customFormat="false" ht="12.8" hidden="false" customHeight="false" outlineLevel="0" collapsed="false">
      <c r="A228" s="3" t="n">
        <f aca="false">DATE(1987,4,28)</f>
        <v>31895</v>
      </c>
      <c r="B228" s="4" t="s">
        <v>337</v>
      </c>
      <c r="C228" s="4" t="s">
        <v>338</v>
      </c>
    </row>
    <row r="229" customFormat="false" ht="12.8" hidden="false" customHeight="false" outlineLevel="0" collapsed="false">
      <c r="A229" s="3" t="n">
        <f aca="false">DATE(1987,5,3)</f>
        <v>31900</v>
      </c>
      <c r="B229" s="4" t="s">
        <v>339</v>
      </c>
      <c r="C229" s="4" t="s">
        <v>240</v>
      </c>
    </row>
    <row r="230" customFormat="false" ht="12.8" hidden="false" customHeight="false" outlineLevel="0" collapsed="false">
      <c r="A230" s="3" t="n">
        <f aca="false">DATE(1987,5,6)</f>
        <v>31903</v>
      </c>
      <c r="B230" s="4" t="s">
        <v>340</v>
      </c>
      <c r="C230" s="4" t="s">
        <v>278</v>
      </c>
    </row>
    <row r="231" customFormat="false" ht="12.8" hidden="false" customHeight="false" outlineLevel="0" collapsed="false">
      <c r="A231" s="3" t="n">
        <f aca="false">DATE(1987,5,14)</f>
        <v>31911</v>
      </c>
      <c r="B231" s="4" t="s">
        <v>341</v>
      </c>
      <c r="C231" s="4" t="s">
        <v>342</v>
      </c>
    </row>
    <row r="232" customFormat="false" ht="12.8" hidden="false" customHeight="false" outlineLevel="0" collapsed="false">
      <c r="A232" s="3" t="n">
        <f aca="false">DATE(1987,5,19)</f>
        <v>31916</v>
      </c>
      <c r="B232" s="4" t="s">
        <v>343</v>
      </c>
      <c r="C232" s="4" t="s">
        <v>303</v>
      </c>
    </row>
    <row r="233" customFormat="false" ht="12.8" hidden="false" customHeight="false" outlineLevel="0" collapsed="false">
      <c r="A233" s="3" t="n">
        <f aca="false">DATE(1987,5,21)</f>
        <v>31918</v>
      </c>
      <c r="B233" s="4" t="s">
        <v>339</v>
      </c>
      <c r="C233" s="4" t="s">
        <v>130</v>
      </c>
    </row>
    <row r="234" customFormat="false" ht="12.8" hidden="false" customHeight="false" outlineLevel="0" collapsed="false">
      <c r="A234" s="3" t="n">
        <f aca="false">DATE(1987,6,10)</f>
        <v>31938</v>
      </c>
      <c r="B234" s="4" t="s">
        <v>344</v>
      </c>
      <c r="C234" s="4" t="s">
        <v>231</v>
      </c>
    </row>
    <row r="235" customFormat="false" ht="12.8" hidden="false" customHeight="false" outlineLevel="0" collapsed="false">
      <c r="A235" s="3" t="n">
        <f aca="false">DATE(1987,6,25)</f>
        <v>31953</v>
      </c>
      <c r="B235" s="4" t="s">
        <v>345</v>
      </c>
      <c r="C235" s="4" t="s">
        <v>74</v>
      </c>
    </row>
    <row r="236" customFormat="false" ht="12.8" hidden="false" customHeight="false" outlineLevel="0" collapsed="false">
      <c r="A236" s="3" t="n">
        <f aca="false">DATE(1987,6,29)</f>
        <v>31957</v>
      </c>
      <c r="B236" s="4" t="s">
        <v>31</v>
      </c>
      <c r="C236" s="4" t="s">
        <v>182</v>
      </c>
    </row>
    <row r="237" customFormat="false" ht="12.8" hidden="false" customHeight="false" outlineLevel="0" collapsed="false">
      <c r="A237" s="3" t="n">
        <f aca="false">DATE(1987,6,30)</f>
        <v>31958</v>
      </c>
      <c r="B237" s="4" t="s">
        <v>346</v>
      </c>
      <c r="C237" s="4" t="s">
        <v>193</v>
      </c>
    </row>
    <row r="238" customFormat="false" ht="12.8" hidden="false" customHeight="false" outlineLevel="0" collapsed="false">
      <c r="A238" s="3" t="n">
        <f aca="false">DATE(1987,6,30)</f>
        <v>31958</v>
      </c>
      <c r="B238" s="4" t="s">
        <v>347</v>
      </c>
      <c r="C238" s="4" t="s">
        <v>141</v>
      </c>
    </row>
    <row r="239" customFormat="false" ht="12.8" hidden="false" customHeight="false" outlineLevel="0" collapsed="false">
      <c r="A239" s="3" t="n">
        <f aca="false">DATE(1987,7,1)</f>
        <v>31959</v>
      </c>
      <c r="B239" s="4" t="s">
        <v>348</v>
      </c>
      <c r="C239" s="4" t="s">
        <v>349</v>
      </c>
    </row>
    <row r="240" customFormat="false" ht="12.8" hidden="false" customHeight="false" outlineLevel="0" collapsed="false">
      <c r="A240" s="3" t="n">
        <f aca="false">DATE(1987,7,2)</f>
        <v>31960</v>
      </c>
      <c r="B240" s="4" t="s">
        <v>350</v>
      </c>
      <c r="C240" s="4" t="s">
        <v>58</v>
      </c>
    </row>
    <row r="241" customFormat="false" ht="12.8" hidden="false" customHeight="false" outlineLevel="0" collapsed="false">
      <c r="A241" s="3" t="n">
        <f aca="false">DATE(1987,7,21)</f>
        <v>31979</v>
      </c>
      <c r="B241" s="4" t="s">
        <v>92</v>
      </c>
      <c r="C241" s="4" t="s">
        <v>37</v>
      </c>
    </row>
    <row r="242" customFormat="false" ht="12.8" hidden="false" customHeight="false" outlineLevel="0" collapsed="false">
      <c r="A242" s="3" t="n">
        <f aca="false">DATE(1987,7,21)</f>
        <v>31979</v>
      </c>
      <c r="B242" s="4" t="s">
        <v>351</v>
      </c>
      <c r="C242" s="4" t="s">
        <v>352</v>
      </c>
    </row>
    <row r="243" customFormat="false" ht="12.8" hidden="false" customHeight="false" outlineLevel="0" collapsed="false">
      <c r="A243" s="3" t="n">
        <f aca="false">DATE(1987,7,22)</f>
        <v>31980</v>
      </c>
      <c r="B243" s="4" t="s">
        <v>353</v>
      </c>
      <c r="C243" s="4" t="s">
        <v>167</v>
      </c>
    </row>
    <row r="244" customFormat="false" ht="12.8" hidden="false" customHeight="false" outlineLevel="0" collapsed="false">
      <c r="A244" s="3" t="n">
        <f aca="false">DATE(1987,7,22)</f>
        <v>31980</v>
      </c>
      <c r="B244" s="4" t="s">
        <v>354</v>
      </c>
      <c r="C244" s="4" t="s">
        <v>4</v>
      </c>
    </row>
    <row r="245" customFormat="false" ht="12.8" hidden="false" customHeight="false" outlineLevel="0" collapsed="false">
      <c r="A245" s="3" t="n">
        <f aca="false">DATE(1987,7,24)</f>
        <v>31982</v>
      </c>
      <c r="B245" s="4" t="s">
        <v>355</v>
      </c>
      <c r="C245" s="4" t="s">
        <v>105</v>
      </c>
    </row>
    <row r="246" customFormat="false" ht="12.8" hidden="false" customHeight="false" outlineLevel="0" collapsed="false">
      <c r="A246" s="3" t="n">
        <f aca="false">DATE(1987,7,24)</f>
        <v>31982</v>
      </c>
      <c r="B246" s="4" t="s">
        <v>31</v>
      </c>
      <c r="C246" s="4" t="s">
        <v>127</v>
      </c>
    </row>
    <row r="247" customFormat="false" ht="12.8" hidden="false" customHeight="false" outlineLevel="0" collapsed="false">
      <c r="A247" s="3" t="n">
        <f aca="false">DATE(1987,7,31)</f>
        <v>31989</v>
      </c>
      <c r="B247" s="4" t="s">
        <v>356</v>
      </c>
      <c r="C247" s="4" t="s">
        <v>240</v>
      </c>
    </row>
    <row r="248" customFormat="false" ht="12.8" hidden="false" customHeight="false" outlineLevel="0" collapsed="false">
      <c r="A248" s="3" t="n">
        <f aca="false">DATE(1987,7,31)</f>
        <v>31989</v>
      </c>
      <c r="B248" s="4" t="s">
        <v>120</v>
      </c>
      <c r="C248" s="4" t="s">
        <v>171</v>
      </c>
    </row>
    <row r="249" customFormat="false" ht="12.8" hidden="false" customHeight="false" outlineLevel="0" collapsed="false">
      <c r="A249" s="3" t="n">
        <f aca="false">DATE(1987,7,31)</f>
        <v>31989</v>
      </c>
      <c r="B249" s="4" t="s">
        <v>357</v>
      </c>
      <c r="C249" s="4" t="s">
        <v>278</v>
      </c>
    </row>
    <row r="250" customFormat="false" ht="12.8" hidden="false" customHeight="false" outlineLevel="0" collapsed="false">
      <c r="A250" s="3" t="n">
        <f aca="false">DATE(1987,8,6)</f>
        <v>31995</v>
      </c>
      <c r="B250" s="4" t="s">
        <v>358</v>
      </c>
      <c r="C250" s="4" t="s">
        <v>359</v>
      </c>
    </row>
    <row r="251" customFormat="false" ht="12.8" hidden="false" customHeight="false" outlineLevel="0" collapsed="false">
      <c r="A251" s="3" t="n">
        <f aca="false">DATE(1987,8,7)</f>
        <v>31996</v>
      </c>
      <c r="B251" s="4" t="s">
        <v>360</v>
      </c>
      <c r="C251" s="4" t="s">
        <v>147</v>
      </c>
    </row>
    <row r="252" customFormat="false" ht="12.8" hidden="false" customHeight="false" outlineLevel="0" collapsed="false">
      <c r="A252" s="3" t="n">
        <f aca="false">DATE(1987,8,11)</f>
        <v>32000</v>
      </c>
      <c r="B252" s="4" t="s">
        <v>361</v>
      </c>
      <c r="C252" s="4" t="s">
        <v>349</v>
      </c>
    </row>
    <row r="253" customFormat="false" ht="12.8" hidden="false" customHeight="false" outlineLevel="0" collapsed="false">
      <c r="A253" s="3" t="n">
        <f aca="false">DATE(1987,9,1)</f>
        <v>32021</v>
      </c>
      <c r="B253" s="4" t="s">
        <v>362</v>
      </c>
      <c r="C253" s="4" t="s">
        <v>127</v>
      </c>
    </row>
    <row r="254" customFormat="false" ht="12.8" hidden="false" customHeight="false" outlineLevel="0" collapsed="false">
      <c r="A254" s="3" t="n">
        <f aca="false">DATE(1987,9,1)</f>
        <v>32021</v>
      </c>
      <c r="B254" s="4" t="s">
        <v>185</v>
      </c>
      <c r="C254" s="4" t="s">
        <v>127</v>
      </c>
    </row>
    <row r="255" customFormat="false" ht="12.8" hidden="false" customHeight="false" outlineLevel="0" collapsed="false">
      <c r="A255" s="3" t="n">
        <f aca="false">DATE(1987,9,2)</f>
        <v>32022</v>
      </c>
      <c r="B255" s="4" t="s">
        <v>363</v>
      </c>
      <c r="C255" s="4" t="s">
        <v>364</v>
      </c>
    </row>
    <row r="256" customFormat="false" ht="12.8" hidden="false" customHeight="false" outlineLevel="0" collapsed="false">
      <c r="A256" s="3" t="n">
        <f aca="false">DATE(1987,9,2)</f>
        <v>32022</v>
      </c>
      <c r="B256" s="4" t="s">
        <v>365</v>
      </c>
      <c r="C256" s="4" t="s">
        <v>364</v>
      </c>
    </row>
    <row r="257" customFormat="false" ht="12.8" hidden="false" customHeight="false" outlineLevel="0" collapsed="false">
      <c r="A257" s="3" t="n">
        <f aca="false">DATE(1987,9,7)</f>
        <v>32027</v>
      </c>
      <c r="B257" s="4" t="s">
        <v>366</v>
      </c>
      <c r="C257" s="4" t="s">
        <v>367</v>
      </c>
    </row>
    <row r="258" customFormat="false" ht="12.8" hidden="false" customHeight="false" outlineLevel="0" collapsed="false">
      <c r="A258" s="3" t="n">
        <f aca="false">DATE(1987,9,8)</f>
        <v>32028</v>
      </c>
      <c r="B258" s="4" t="s">
        <v>368</v>
      </c>
      <c r="C258" s="4" t="s">
        <v>124</v>
      </c>
    </row>
    <row r="259" customFormat="false" ht="12.8" hidden="false" customHeight="false" outlineLevel="0" collapsed="false">
      <c r="A259" s="3" t="n">
        <f aca="false">DATE(1987,9,10)</f>
        <v>32030</v>
      </c>
      <c r="B259" s="4" t="s">
        <v>369</v>
      </c>
      <c r="C259" s="4" t="s">
        <v>167</v>
      </c>
    </row>
    <row r="260" customFormat="false" ht="12.8" hidden="false" customHeight="false" outlineLevel="0" collapsed="false">
      <c r="A260" s="3" t="n">
        <f aca="false">DATE(1987,9,14)</f>
        <v>32034</v>
      </c>
      <c r="B260" s="4" t="s">
        <v>370</v>
      </c>
      <c r="C260" s="4" t="s">
        <v>33</v>
      </c>
    </row>
    <row r="261" customFormat="false" ht="12.8" hidden="false" customHeight="false" outlineLevel="0" collapsed="false">
      <c r="A261" s="3" t="n">
        <f aca="false">DATE(1987,9,15)</f>
        <v>32035</v>
      </c>
      <c r="B261" s="4" t="s">
        <v>371</v>
      </c>
      <c r="C261" s="4" t="s">
        <v>372</v>
      </c>
    </row>
    <row r="262" customFormat="false" ht="12.8" hidden="false" customHeight="false" outlineLevel="0" collapsed="false">
      <c r="A262" s="3" t="n">
        <f aca="false">DATE(1987,9,18)</f>
        <v>32038</v>
      </c>
      <c r="B262" s="4" t="s">
        <v>373</v>
      </c>
      <c r="C262" s="4" t="s">
        <v>374</v>
      </c>
    </row>
    <row r="263" customFormat="false" ht="12.8" hidden="false" customHeight="false" outlineLevel="0" collapsed="false">
      <c r="A263" s="3" t="n">
        <f aca="false">DATE(1987,9,25)</f>
        <v>32045</v>
      </c>
      <c r="B263" s="4" t="s">
        <v>375</v>
      </c>
      <c r="C263" s="4" t="s">
        <v>273</v>
      </c>
    </row>
    <row r="264" customFormat="false" ht="12.8" hidden="false" customHeight="false" outlineLevel="0" collapsed="false">
      <c r="A264" s="3" t="n">
        <f aca="false">DATE(1987,9,28)</f>
        <v>32048</v>
      </c>
      <c r="B264" s="4" t="s">
        <v>376</v>
      </c>
      <c r="C264" s="4" t="s">
        <v>377</v>
      </c>
    </row>
    <row r="265" customFormat="false" ht="12.8" hidden="false" customHeight="false" outlineLevel="0" collapsed="false">
      <c r="A265" s="3" t="n">
        <f aca="false">DATE(1987,10,6)</f>
        <v>32056</v>
      </c>
      <c r="B265" s="4" t="s">
        <v>378</v>
      </c>
      <c r="C265" s="4" t="s">
        <v>122</v>
      </c>
    </row>
    <row r="266" customFormat="false" ht="12.8" hidden="false" customHeight="false" outlineLevel="0" collapsed="false">
      <c r="A266" s="3" t="n">
        <f aca="false">DATE(1987,10,9)</f>
        <v>32059</v>
      </c>
      <c r="B266" s="4" t="s">
        <v>379</v>
      </c>
      <c r="C266" s="4" t="s">
        <v>58</v>
      </c>
    </row>
    <row r="267" customFormat="false" ht="12.8" hidden="false" customHeight="false" outlineLevel="0" collapsed="false">
      <c r="A267" s="3" t="n">
        <f aca="false">DATE(1987,10,12)</f>
        <v>32062</v>
      </c>
      <c r="B267" s="4" t="s">
        <v>380</v>
      </c>
      <c r="C267" s="4" t="s">
        <v>381</v>
      </c>
    </row>
    <row r="268" customFormat="false" ht="12.8" hidden="false" customHeight="false" outlineLevel="0" collapsed="false">
      <c r="A268" s="3" t="n">
        <f aca="false">DATE(1987,10,13)</f>
        <v>32063</v>
      </c>
      <c r="B268" s="4" t="s">
        <v>382</v>
      </c>
      <c r="C268" s="4" t="s">
        <v>383</v>
      </c>
    </row>
    <row r="269" customFormat="false" ht="12.8" hidden="false" customHeight="false" outlineLevel="0" collapsed="false">
      <c r="A269" s="3" t="n">
        <f aca="false">DATE(1987,10,21)</f>
        <v>32071</v>
      </c>
      <c r="B269" s="4" t="s">
        <v>384</v>
      </c>
      <c r="C269" s="4" t="s">
        <v>332</v>
      </c>
    </row>
    <row r="270" customFormat="false" ht="12.8" hidden="false" customHeight="false" outlineLevel="0" collapsed="false">
      <c r="A270" s="3" t="n">
        <f aca="false">DATE(1987,10,21)</f>
        <v>32071</v>
      </c>
      <c r="B270" s="4" t="s">
        <v>385</v>
      </c>
      <c r="C270" s="4" t="s">
        <v>167</v>
      </c>
    </row>
    <row r="271" customFormat="false" ht="12.8" hidden="false" customHeight="false" outlineLevel="0" collapsed="false">
      <c r="A271" s="3" t="n">
        <f aca="false">DATE(1987,11,4)</f>
        <v>32085</v>
      </c>
      <c r="B271" s="4" t="s">
        <v>102</v>
      </c>
      <c r="C271" s="4" t="s">
        <v>386</v>
      </c>
    </row>
    <row r="272" customFormat="false" ht="12.8" hidden="false" customHeight="false" outlineLevel="0" collapsed="false">
      <c r="A272" s="3" t="n">
        <f aca="false">DATE(1987,11,6)</f>
        <v>32087</v>
      </c>
      <c r="B272" s="4" t="s">
        <v>387</v>
      </c>
      <c r="C272" s="4" t="s">
        <v>388</v>
      </c>
    </row>
    <row r="273" customFormat="false" ht="12.8" hidden="false" customHeight="false" outlineLevel="0" collapsed="false">
      <c r="A273" s="3" t="n">
        <f aca="false">DATE(1987,11,18)</f>
        <v>32099</v>
      </c>
      <c r="B273" s="4" t="s">
        <v>389</v>
      </c>
      <c r="C273" s="4" t="s">
        <v>377</v>
      </c>
    </row>
    <row r="274" customFormat="false" ht="12.8" hidden="false" customHeight="false" outlineLevel="0" collapsed="false">
      <c r="A274" s="3" t="n">
        <f aca="false">DATE(1987,11,19)</f>
        <v>32100</v>
      </c>
      <c r="B274" s="4" t="s">
        <v>390</v>
      </c>
      <c r="C274" s="4" t="s">
        <v>182</v>
      </c>
    </row>
    <row r="275" customFormat="false" ht="12.8" hidden="false" customHeight="false" outlineLevel="0" collapsed="false">
      <c r="A275" s="3" t="n">
        <f aca="false">DATE(1987,11,24)</f>
        <v>32105</v>
      </c>
      <c r="B275" s="4" t="s">
        <v>391</v>
      </c>
      <c r="C275" s="4" t="s">
        <v>392</v>
      </c>
    </row>
    <row r="276" customFormat="false" ht="12.8" hidden="false" customHeight="false" outlineLevel="0" collapsed="false">
      <c r="A276" s="3" t="n">
        <f aca="false">DATE(1987,11,24)</f>
        <v>32105</v>
      </c>
      <c r="B276" s="4" t="s">
        <v>393</v>
      </c>
      <c r="C276" s="4" t="s">
        <v>306</v>
      </c>
    </row>
    <row r="277" customFormat="false" ht="12.8" hidden="false" customHeight="false" outlineLevel="0" collapsed="false">
      <c r="A277" s="3" t="n">
        <f aca="false">DATE(1987,12,3)</f>
        <v>32114</v>
      </c>
      <c r="B277" s="4" t="s">
        <v>394</v>
      </c>
      <c r="C277" s="4" t="s">
        <v>180</v>
      </c>
    </row>
    <row r="278" customFormat="false" ht="12.8" hidden="false" customHeight="false" outlineLevel="0" collapsed="false">
      <c r="A278" s="3" t="n">
        <f aca="false">DATE(1987,12,11)</f>
        <v>32122</v>
      </c>
      <c r="B278" s="4" t="s">
        <v>395</v>
      </c>
      <c r="C278" s="4" t="s">
        <v>240</v>
      </c>
    </row>
    <row r="279" customFormat="false" ht="12.8" hidden="false" customHeight="false" outlineLevel="0" collapsed="false">
      <c r="A279" s="3" t="n">
        <f aca="false">DATE(1987,12,11)</f>
        <v>32122</v>
      </c>
      <c r="B279" s="4" t="s">
        <v>396</v>
      </c>
      <c r="C279" s="4" t="s">
        <v>332</v>
      </c>
    </row>
    <row r="280" customFormat="false" ht="12.8" hidden="false" customHeight="false" outlineLevel="0" collapsed="false">
      <c r="A280" s="3" t="n">
        <f aca="false">DATE(1987,12,15)</f>
        <v>32126</v>
      </c>
      <c r="B280" s="4" t="s">
        <v>397</v>
      </c>
      <c r="C280" s="4" t="s">
        <v>105</v>
      </c>
    </row>
    <row r="281" customFormat="false" ht="12.8" hidden="false" customHeight="false" outlineLevel="0" collapsed="false">
      <c r="A281" s="3" t="n">
        <f aca="false">DATE(1987,12,16)</f>
        <v>32127</v>
      </c>
      <c r="B281" s="4" t="s">
        <v>398</v>
      </c>
      <c r="C281" s="4" t="s">
        <v>105</v>
      </c>
    </row>
    <row r="282" customFormat="false" ht="12.8" hidden="false" customHeight="false" outlineLevel="0" collapsed="false">
      <c r="A282" s="3" t="n">
        <f aca="false">DATE(1987,12,22)</f>
        <v>32133</v>
      </c>
      <c r="B282" s="4" t="s">
        <v>399</v>
      </c>
      <c r="C282" s="4" t="s">
        <v>400</v>
      </c>
    </row>
    <row r="283" customFormat="false" ht="12.8" hidden="false" customHeight="false" outlineLevel="0" collapsed="false">
      <c r="A283" s="3" t="n">
        <f aca="false">DATE(1987,12,28)</f>
        <v>32139</v>
      </c>
      <c r="B283" s="4" t="s">
        <v>160</v>
      </c>
      <c r="C283" s="4" t="s">
        <v>278</v>
      </c>
    </row>
    <row r="284" customFormat="false" ht="12.8" hidden="false" customHeight="false" outlineLevel="0" collapsed="false">
      <c r="A284" s="3" t="n">
        <f aca="false">DATE(1988,1,4)</f>
        <v>32146</v>
      </c>
      <c r="B284" s="4" t="s">
        <v>401</v>
      </c>
      <c r="C284" s="4" t="s">
        <v>402</v>
      </c>
    </row>
    <row r="285" customFormat="false" ht="12.8" hidden="false" customHeight="false" outlineLevel="0" collapsed="false">
      <c r="A285" s="3" t="n">
        <f aca="false">DATE(1988,1,5)</f>
        <v>32147</v>
      </c>
      <c r="B285" s="4" t="s">
        <v>403</v>
      </c>
      <c r="C285" s="4" t="s">
        <v>404</v>
      </c>
    </row>
    <row r="286" customFormat="false" ht="12.8" hidden="false" customHeight="false" outlineLevel="0" collapsed="false">
      <c r="A286" s="3" t="n">
        <f aca="false">DATE(1988,1,14)</f>
        <v>32156</v>
      </c>
      <c r="B286" s="4" t="s">
        <v>405</v>
      </c>
      <c r="C286" s="4" t="s">
        <v>364</v>
      </c>
    </row>
    <row r="287" customFormat="false" ht="12.8" hidden="false" customHeight="false" outlineLevel="0" collapsed="false">
      <c r="A287" s="3" t="n">
        <f aca="false">DATE(1988,1,14)</f>
        <v>32156</v>
      </c>
      <c r="B287" s="4" t="s">
        <v>406</v>
      </c>
      <c r="C287" s="4" t="s">
        <v>141</v>
      </c>
    </row>
    <row r="288" customFormat="false" ht="12.8" hidden="false" customHeight="false" outlineLevel="0" collapsed="false">
      <c r="A288" s="3" t="n">
        <f aca="false">DATE(1988,1,27)</f>
        <v>32169</v>
      </c>
      <c r="B288" s="4" t="s">
        <v>200</v>
      </c>
      <c r="C288" s="4" t="s">
        <v>407</v>
      </c>
    </row>
    <row r="289" customFormat="false" ht="12.8" hidden="false" customHeight="false" outlineLevel="0" collapsed="false">
      <c r="A289" s="3" t="n">
        <f aca="false">DATE(1988,1,28)</f>
        <v>32170</v>
      </c>
      <c r="B289" s="4" t="s">
        <v>408</v>
      </c>
      <c r="C289" s="4" t="s">
        <v>409</v>
      </c>
    </row>
    <row r="290" customFormat="false" ht="12.8" hidden="false" customHeight="false" outlineLevel="0" collapsed="false">
      <c r="A290" s="3" t="n">
        <f aca="false">DATE(1988,1,29)</f>
        <v>32171</v>
      </c>
      <c r="B290" s="4" t="s">
        <v>410</v>
      </c>
      <c r="C290" s="4" t="s">
        <v>411</v>
      </c>
    </row>
    <row r="291" customFormat="false" ht="12.8" hidden="false" customHeight="false" outlineLevel="0" collapsed="false">
      <c r="A291" s="3" t="n">
        <f aca="false">DATE(1988,2,1)</f>
        <v>32174</v>
      </c>
      <c r="B291" s="4" t="s">
        <v>412</v>
      </c>
      <c r="C291" s="4" t="s">
        <v>413</v>
      </c>
    </row>
    <row r="292" customFormat="false" ht="12.8" hidden="false" customHeight="false" outlineLevel="0" collapsed="false">
      <c r="A292" s="3" t="n">
        <f aca="false">DATE(1988,2,8)</f>
        <v>32181</v>
      </c>
      <c r="B292" s="4" t="s">
        <v>414</v>
      </c>
      <c r="C292" s="4" t="s">
        <v>303</v>
      </c>
    </row>
    <row r="293" customFormat="false" ht="12.8" hidden="false" customHeight="false" outlineLevel="0" collapsed="false">
      <c r="A293" s="3" t="n">
        <f aca="false">DATE(1988,2,16)</f>
        <v>32189</v>
      </c>
      <c r="B293" s="4" t="s">
        <v>415</v>
      </c>
      <c r="C293" s="4" t="s">
        <v>416</v>
      </c>
    </row>
    <row r="294" customFormat="false" ht="12.8" hidden="false" customHeight="false" outlineLevel="0" collapsed="false">
      <c r="A294" s="3" t="n">
        <f aca="false">DATE(1988,2,22)</f>
        <v>32195</v>
      </c>
      <c r="B294" s="4" t="s">
        <v>417</v>
      </c>
      <c r="C294" s="4" t="s">
        <v>418</v>
      </c>
    </row>
    <row r="295" customFormat="false" ht="12.8" hidden="false" customHeight="false" outlineLevel="0" collapsed="false">
      <c r="A295" s="3" t="n">
        <f aca="false">DATE(1988,2,29)</f>
        <v>32202</v>
      </c>
      <c r="B295" s="4" t="s">
        <v>419</v>
      </c>
      <c r="C295" s="4" t="s">
        <v>116</v>
      </c>
    </row>
    <row r="296" customFormat="false" ht="12.8" hidden="false" customHeight="false" outlineLevel="0" collapsed="false">
      <c r="A296" s="3" t="n">
        <f aca="false">DATE(1988,3,1)</f>
        <v>32203</v>
      </c>
      <c r="B296" s="4" t="s">
        <v>420</v>
      </c>
      <c r="C296" s="4" t="s">
        <v>44</v>
      </c>
    </row>
    <row r="297" customFormat="false" ht="12.8" hidden="false" customHeight="false" outlineLevel="0" collapsed="false">
      <c r="A297" s="3" t="n">
        <f aca="false">DATE(1988,3,2)</f>
        <v>32204</v>
      </c>
      <c r="B297" s="4" t="s">
        <v>421</v>
      </c>
      <c r="C297" s="4" t="s">
        <v>116</v>
      </c>
    </row>
    <row r="298" customFormat="false" ht="12.8" hidden="false" customHeight="false" outlineLevel="0" collapsed="false">
      <c r="A298" s="3" t="n">
        <f aca="false">DATE(1988,3,2)</f>
        <v>32204</v>
      </c>
      <c r="B298" s="4" t="s">
        <v>422</v>
      </c>
      <c r="C298" s="4" t="s">
        <v>372</v>
      </c>
    </row>
    <row r="299" customFormat="false" ht="12.8" hidden="false" customHeight="false" outlineLevel="0" collapsed="false">
      <c r="A299" s="3" t="n">
        <f aca="false">DATE(1988,3,15)</f>
        <v>32217</v>
      </c>
      <c r="B299" s="4" t="s">
        <v>423</v>
      </c>
      <c r="C299" s="4" t="s">
        <v>169</v>
      </c>
    </row>
    <row r="300" customFormat="false" ht="12.8" hidden="false" customHeight="false" outlineLevel="0" collapsed="false">
      <c r="A300" s="3" t="n">
        <f aca="false">DATE(1988,3,24)</f>
        <v>32226</v>
      </c>
      <c r="B300" s="4" t="s">
        <v>424</v>
      </c>
      <c r="C300" s="4" t="s">
        <v>74</v>
      </c>
    </row>
    <row r="301" customFormat="false" ht="12.8" hidden="false" customHeight="false" outlineLevel="0" collapsed="false">
      <c r="A301" s="3" t="n">
        <f aca="false">DATE(1988,4,1)</f>
        <v>32234</v>
      </c>
      <c r="B301" s="4" t="s">
        <v>425</v>
      </c>
      <c r="C301" s="4" t="s">
        <v>127</v>
      </c>
    </row>
    <row r="302" customFormat="false" ht="12.8" hidden="false" customHeight="false" outlineLevel="0" collapsed="false">
      <c r="A302" s="3" t="n">
        <f aca="false">DATE(1988,4,8)</f>
        <v>32241</v>
      </c>
      <c r="B302" s="4" t="s">
        <v>426</v>
      </c>
      <c r="C302" s="4" t="s">
        <v>321</v>
      </c>
    </row>
    <row r="303" customFormat="false" ht="12.8" hidden="false" customHeight="false" outlineLevel="0" collapsed="false">
      <c r="A303" s="3" t="n">
        <f aca="false">DATE(1988,4,15)</f>
        <v>32248</v>
      </c>
      <c r="B303" s="4" t="s">
        <v>427</v>
      </c>
      <c r="C303" s="4" t="s">
        <v>20</v>
      </c>
    </row>
    <row r="304" customFormat="false" ht="12.8" hidden="false" customHeight="false" outlineLevel="0" collapsed="false">
      <c r="A304" s="3" t="n">
        <f aca="false">DATE(1988,4,21)</f>
        <v>32254</v>
      </c>
      <c r="B304" s="4" t="s">
        <v>428</v>
      </c>
      <c r="C304" s="4" t="s">
        <v>214</v>
      </c>
    </row>
    <row r="305" customFormat="false" ht="12.8" hidden="false" customHeight="false" outlineLevel="0" collapsed="false">
      <c r="A305" s="3" t="n">
        <f aca="false">DATE(1988,5,16)</f>
        <v>32279</v>
      </c>
      <c r="B305" s="4" t="s">
        <v>429</v>
      </c>
      <c r="C305" s="4" t="s">
        <v>187</v>
      </c>
    </row>
    <row r="306" customFormat="false" ht="12.8" hidden="false" customHeight="false" outlineLevel="0" collapsed="false">
      <c r="A306" s="3" t="n">
        <f aca="false">DATE(1988,6,7)</f>
        <v>32301</v>
      </c>
      <c r="B306" s="4" t="s">
        <v>366</v>
      </c>
      <c r="C306" s="4" t="s">
        <v>367</v>
      </c>
    </row>
    <row r="307" customFormat="false" ht="12.8" hidden="false" customHeight="false" outlineLevel="0" collapsed="false">
      <c r="A307" s="3" t="n">
        <f aca="false">DATE(1988,6,7)</f>
        <v>32301</v>
      </c>
      <c r="B307" s="4" t="s">
        <v>430</v>
      </c>
      <c r="C307" s="4" t="s">
        <v>367</v>
      </c>
    </row>
    <row r="308" customFormat="false" ht="12.8" hidden="false" customHeight="false" outlineLevel="0" collapsed="false">
      <c r="A308" s="3" t="n">
        <f aca="false">DATE(1988,6,7)</f>
        <v>32301</v>
      </c>
      <c r="B308" s="4" t="s">
        <v>431</v>
      </c>
      <c r="C308" s="4" t="s">
        <v>367</v>
      </c>
    </row>
    <row r="309" customFormat="false" ht="12.8" hidden="false" customHeight="false" outlineLevel="0" collapsed="false">
      <c r="A309" s="3" t="n">
        <f aca="false">DATE(1988,6,15)</f>
        <v>32309</v>
      </c>
      <c r="B309" s="4" t="s">
        <v>432</v>
      </c>
      <c r="C309" s="4" t="s">
        <v>156</v>
      </c>
    </row>
    <row r="310" customFormat="false" ht="12.8" hidden="false" customHeight="false" outlineLevel="0" collapsed="false">
      <c r="A310" s="3" t="n">
        <f aca="false">DATE(1988,6,16)</f>
        <v>32310</v>
      </c>
      <c r="B310" s="4" t="s">
        <v>433</v>
      </c>
      <c r="C310" s="4" t="s">
        <v>141</v>
      </c>
    </row>
    <row r="311" customFormat="false" ht="12.8" hidden="false" customHeight="false" outlineLevel="0" collapsed="false">
      <c r="A311" s="3" t="n">
        <f aca="false">DATE(1988,6,27)</f>
        <v>32321</v>
      </c>
      <c r="B311" s="4" t="s">
        <v>434</v>
      </c>
      <c r="C311" s="4" t="s">
        <v>309</v>
      </c>
    </row>
    <row r="312" customFormat="false" ht="12.8" hidden="false" customHeight="false" outlineLevel="0" collapsed="false">
      <c r="A312" s="3" t="n">
        <f aca="false">DATE(1988,6,28)</f>
        <v>32322</v>
      </c>
      <c r="B312" s="4" t="s">
        <v>435</v>
      </c>
      <c r="C312" s="4" t="s">
        <v>383</v>
      </c>
    </row>
    <row r="313" customFormat="false" ht="12.8" hidden="false" customHeight="false" outlineLevel="0" collapsed="false">
      <c r="A313" s="3" t="n">
        <f aca="false">DATE(1988,7,6)</f>
        <v>32330</v>
      </c>
      <c r="B313" s="4" t="s">
        <v>436</v>
      </c>
      <c r="C313" s="4" t="s">
        <v>437</v>
      </c>
    </row>
    <row r="314" customFormat="false" ht="12.8" hidden="false" customHeight="false" outlineLevel="0" collapsed="false">
      <c r="A314" s="3" t="n">
        <f aca="false">DATE(1988,7,15)</f>
        <v>32339</v>
      </c>
      <c r="B314" s="4" t="s">
        <v>438</v>
      </c>
      <c r="C314" s="4" t="s">
        <v>75</v>
      </c>
    </row>
    <row r="315" customFormat="false" ht="12.8" hidden="false" customHeight="false" outlineLevel="0" collapsed="false">
      <c r="A315" s="3" t="n">
        <f aca="false">DATE(1988,7,22)</f>
        <v>32346</v>
      </c>
      <c r="B315" s="4" t="s">
        <v>439</v>
      </c>
      <c r="C315" s="4" t="s">
        <v>440</v>
      </c>
    </row>
    <row r="316" customFormat="false" ht="12.8" hidden="false" customHeight="false" outlineLevel="0" collapsed="false">
      <c r="A316" s="3" t="n">
        <f aca="false">DATE(1988,7,25)</f>
        <v>32349</v>
      </c>
      <c r="B316" s="4" t="s">
        <v>441</v>
      </c>
      <c r="C316" s="4" t="s">
        <v>44</v>
      </c>
    </row>
    <row r="317" customFormat="false" ht="12.8" hidden="false" customHeight="false" outlineLevel="0" collapsed="false">
      <c r="A317" s="3" t="n">
        <f aca="false">DATE(1988,7,25)</f>
        <v>32349</v>
      </c>
      <c r="B317" s="4" t="s">
        <v>442</v>
      </c>
      <c r="C317" s="4" t="s">
        <v>443</v>
      </c>
    </row>
    <row r="318" customFormat="false" ht="12.8" hidden="false" customHeight="false" outlineLevel="0" collapsed="false">
      <c r="A318" s="3" t="n">
        <f aca="false">DATE(1988,7,25)</f>
        <v>32349</v>
      </c>
      <c r="B318" s="4" t="s">
        <v>162</v>
      </c>
      <c r="C318" s="4" t="s">
        <v>444</v>
      </c>
    </row>
    <row r="319" customFormat="false" ht="12.8" hidden="false" customHeight="false" outlineLevel="0" collapsed="false">
      <c r="A319" s="3" t="n">
        <f aca="false">DATE(1988,7,29)</f>
        <v>32353</v>
      </c>
      <c r="B319" s="4" t="s">
        <v>445</v>
      </c>
      <c r="C319" s="4" t="s">
        <v>41</v>
      </c>
    </row>
    <row r="320" customFormat="false" ht="12.8" hidden="false" customHeight="false" outlineLevel="0" collapsed="false">
      <c r="A320" s="3" t="n">
        <f aca="false">DATE(1988,7,29)</f>
        <v>32353</v>
      </c>
      <c r="B320" s="4" t="s">
        <v>446</v>
      </c>
      <c r="C320" s="4" t="s">
        <v>447</v>
      </c>
    </row>
    <row r="321" customFormat="false" ht="12.8" hidden="false" customHeight="false" outlineLevel="0" collapsed="false">
      <c r="A321" s="3" t="n">
        <f aca="false">DATE(1988,8,15)</f>
        <v>32370</v>
      </c>
      <c r="B321" s="4" t="s">
        <v>448</v>
      </c>
      <c r="C321" s="4" t="s">
        <v>90</v>
      </c>
    </row>
    <row r="322" customFormat="false" ht="12.8" hidden="false" customHeight="false" outlineLevel="0" collapsed="false">
      <c r="A322" s="3" t="n">
        <f aca="false">DATE(1988,8,18)</f>
        <v>32373</v>
      </c>
      <c r="B322" s="4" t="s">
        <v>449</v>
      </c>
      <c r="C322" s="4" t="s">
        <v>450</v>
      </c>
    </row>
    <row r="323" customFormat="false" ht="12.8" hidden="false" customHeight="false" outlineLevel="0" collapsed="false">
      <c r="A323" s="3" t="n">
        <f aca="false">DATE(1988,8,29)</f>
        <v>32384</v>
      </c>
      <c r="B323" s="4" t="s">
        <v>451</v>
      </c>
      <c r="C323" s="4" t="s">
        <v>388</v>
      </c>
    </row>
    <row r="324" customFormat="false" ht="12.8" hidden="false" customHeight="false" outlineLevel="0" collapsed="false">
      <c r="A324" s="3" t="n">
        <f aca="false">DATE(1988,9,1)</f>
        <v>32387</v>
      </c>
      <c r="B324" s="4" t="s">
        <v>452</v>
      </c>
      <c r="C324" s="4" t="s">
        <v>453</v>
      </c>
    </row>
    <row r="325" customFormat="false" ht="12.8" hidden="false" customHeight="false" outlineLevel="0" collapsed="false">
      <c r="A325" s="3" t="n">
        <f aca="false">DATE(1988,9,13)</f>
        <v>32399</v>
      </c>
      <c r="B325" s="4" t="s">
        <v>454</v>
      </c>
      <c r="C325" s="4" t="s">
        <v>455</v>
      </c>
    </row>
    <row r="326" customFormat="false" ht="12.8" hidden="false" customHeight="false" outlineLevel="0" collapsed="false">
      <c r="A326" s="3" t="n">
        <f aca="false">DATE(1988,9,22)</f>
        <v>32408</v>
      </c>
      <c r="B326" s="4" t="s">
        <v>456</v>
      </c>
      <c r="C326" s="4" t="s">
        <v>240</v>
      </c>
    </row>
    <row r="327" customFormat="false" ht="12.8" hidden="false" customHeight="false" outlineLevel="0" collapsed="false">
      <c r="A327" s="3" t="n">
        <f aca="false">DATE(1988,10,12)</f>
        <v>32428</v>
      </c>
      <c r="B327" s="4" t="s">
        <v>457</v>
      </c>
      <c r="C327" s="4" t="s">
        <v>105</v>
      </c>
    </row>
    <row r="328" customFormat="false" ht="12.8" hidden="false" customHeight="false" outlineLevel="0" collapsed="false">
      <c r="A328" s="3" t="n">
        <f aca="false">DATE(1988,10,17)</f>
        <v>32433</v>
      </c>
      <c r="B328" s="4" t="s">
        <v>458</v>
      </c>
      <c r="C328" s="4" t="s">
        <v>459</v>
      </c>
    </row>
    <row r="329" customFormat="false" ht="12.8" hidden="false" customHeight="false" outlineLevel="0" collapsed="false">
      <c r="A329" s="3" t="n">
        <f aca="false">DATE(1988,10,20)</f>
        <v>32436</v>
      </c>
      <c r="B329" s="4" t="s">
        <v>460</v>
      </c>
      <c r="C329" s="4" t="s">
        <v>461</v>
      </c>
    </row>
    <row r="330" customFormat="false" ht="12.8" hidden="false" customHeight="false" outlineLevel="0" collapsed="false">
      <c r="A330" s="3" t="n">
        <f aca="false">DATE(1988,10,27)</f>
        <v>32443</v>
      </c>
      <c r="B330" s="4" t="s">
        <v>462</v>
      </c>
      <c r="C330" s="4" t="s">
        <v>463</v>
      </c>
    </row>
    <row r="331" customFormat="false" ht="12.8" hidden="false" customHeight="false" outlineLevel="0" collapsed="false">
      <c r="A331" s="3" t="n">
        <f aca="false">DATE(1988,11,17)</f>
        <v>32464</v>
      </c>
      <c r="B331" s="4" t="s">
        <v>464</v>
      </c>
      <c r="C331" s="4" t="s">
        <v>465</v>
      </c>
    </row>
    <row r="332" customFormat="false" ht="12.8" hidden="false" customHeight="false" outlineLevel="0" collapsed="false">
      <c r="A332" s="3" t="n">
        <f aca="false">DATE(1988,11,29)</f>
        <v>32476</v>
      </c>
      <c r="B332" s="4" t="s">
        <v>466</v>
      </c>
      <c r="C332" s="4" t="s">
        <v>467</v>
      </c>
    </row>
    <row r="333" customFormat="false" ht="12.8" hidden="false" customHeight="false" outlineLevel="0" collapsed="false">
      <c r="A333" s="3" t="n">
        <f aca="false">DATE(1988,11,29)</f>
        <v>32476</v>
      </c>
      <c r="B333" s="4" t="s">
        <v>468</v>
      </c>
      <c r="C333" s="4" t="s">
        <v>132</v>
      </c>
    </row>
    <row r="334" customFormat="false" ht="12.8" hidden="false" customHeight="false" outlineLevel="0" collapsed="false">
      <c r="A334" s="3" t="n">
        <f aca="false">DATE(1988,12,1)</f>
        <v>32478</v>
      </c>
      <c r="B334" s="4" t="s">
        <v>469</v>
      </c>
      <c r="C334" s="4" t="s">
        <v>116</v>
      </c>
    </row>
    <row r="335" customFormat="false" ht="12.8" hidden="false" customHeight="false" outlineLevel="0" collapsed="false">
      <c r="A335" s="3" t="n">
        <f aca="false">DATE(1988,12,2)</f>
        <v>32479</v>
      </c>
      <c r="B335" s="4" t="s">
        <v>470</v>
      </c>
      <c r="C335" s="4" t="s">
        <v>471</v>
      </c>
    </row>
    <row r="336" customFormat="false" ht="12.8" hidden="false" customHeight="false" outlineLevel="0" collapsed="false">
      <c r="A336" s="3" t="n">
        <f aca="false">DATE(1988,12,15)</f>
        <v>32492</v>
      </c>
      <c r="B336" s="4" t="s">
        <v>472</v>
      </c>
      <c r="C336" s="4" t="s">
        <v>473</v>
      </c>
    </row>
    <row r="337" customFormat="false" ht="12.8" hidden="false" customHeight="false" outlineLevel="0" collapsed="false">
      <c r="A337" s="3" t="n">
        <f aca="false">DATE(1988,12,16)</f>
        <v>32493</v>
      </c>
      <c r="B337" s="4" t="s">
        <v>474</v>
      </c>
      <c r="C337" s="4" t="s">
        <v>475</v>
      </c>
    </row>
    <row r="338" customFormat="false" ht="12.8" hidden="false" customHeight="false" outlineLevel="0" collapsed="false">
      <c r="A338" s="3" t="n">
        <f aca="false">DATE(1988,12,21)</f>
        <v>32498</v>
      </c>
      <c r="B338" s="4" t="s">
        <v>476</v>
      </c>
      <c r="C338" s="4" t="s">
        <v>367</v>
      </c>
    </row>
    <row r="339" customFormat="false" ht="12.8" hidden="false" customHeight="false" outlineLevel="0" collapsed="false">
      <c r="A339" s="3" t="n">
        <f aca="false">DATE(1988,12,22)</f>
        <v>32499</v>
      </c>
      <c r="B339" s="4" t="s">
        <v>477</v>
      </c>
      <c r="C339" s="4" t="s">
        <v>116</v>
      </c>
    </row>
    <row r="340" customFormat="false" ht="12.8" hidden="false" customHeight="false" outlineLevel="0" collapsed="false">
      <c r="A340" s="3" t="n">
        <f aca="false">DATE(1988,12,30)</f>
        <v>32507</v>
      </c>
      <c r="B340" s="4" t="s">
        <v>478</v>
      </c>
      <c r="C340" s="4" t="s">
        <v>479</v>
      </c>
    </row>
    <row r="341" customFormat="false" ht="12.8" hidden="false" customHeight="false" outlineLevel="0" collapsed="false">
      <c r="A341" s="3" t="n">
        <f aca="false">DATE(1989,1,3)</f>
        <v>32511</v>
      </c>
      <c r="B341" s="4" t="s">
        <v>480</v>
      </c>
      <c r="C341" s="4" t="s">
        <v>182</v>
      </c>
    </row>
    <row r="342" customFormat="false" ht="12.8" hidden="false" customHeight="false" outlineLevel="0" collapsed="false">
      <c r="A342" s="3" t="n">
        <f aca="false">DATE(1989,1,3)</f>
        <v>32511</v>
      </c>
      <c r="B342" s="4" t="s">
        <v>481</v>
      </c>
      <c r="C342" s="4" t="s">
        <v>303</v>
      </c>
    </row>
    <row r="343" customFormat="false" ht="12.8" hidden="false" customHeight="false" outlineLevel="0" collapsed="false">
      <c r="A343" s="3" t="n">
        <f aca="false">DATE(1989,1,20)</f>
        <v>32528</v>
      </c>
      <c r="B343" s="4" t="s">
        <v>482</v>
      </c>
      <c r="C343" s="4" t="s">
        <v>483</v>
      </c>
    </row>
    <row r="344" customFormat="false" ht="12.8" hidden="false" customHeight="false" outlineLevel="0" collapsed="false">
      <c r="A344" s="3" t="n">
        <f aca="false">DATE(1989,1,23)</f>
        <v>32531</v>
      </c>
      <c r="B344" s="4" t="s">
        <v>455</v>
      </c>
      <c r="C344" s="4" t="s">
        <v>156</v>
      </c>
    </row>
    <row r="345" customFormat="false" ht="12.8" hidden="false" customHeight="false" outlineLevel="0" collapsed="false">
      <c r="A345" s="3" t="n">
        <f aca="false">DATE(1989,2,15)</f>
        <v>32554</v>
      </c>
      <c r="B345" s="4" t="s">
        <v>484</v>
      </c>
      <c r="C345" s="4" t="s">
        <v>105</v>
      </c>
    </row>
    <row r="346" customFormat="false" ht="12.8" hidden="false" customHeight="false" outlineLevel="0" collapsed="false">
      <c r="A346" s="3" t="n">
        <f aca="false">DATE(1989,2,21)</f>
        <v>32560</v>
      </c>
      <c r="B346" s="4" t="s">
        <v>485</v>
      </c>
      <c r="C346" s="4" t="s">
        <v>127</v>
      </c>
    </row>
    <row r="347" customFormat="false" ht="12.8" hidden="false" customHeight="false" outlineLevel="0" collapsed="false">
      <c r="A347" s="3" t="n">
        <f aca="false">DATE(1989,2,22)</f>
        <v>32561</v>
      </c>
      <c r="B347" s="4" t="s">
        <v>486</v>
      </c>
      <c r="C347" s="4" t="s">
        <v>487</v>
      </c>
    </row>
    <row r="348" customFormat="false" ht="12.8" hidden="false" customHeight="false" outlineLevel="0" collapsed="false">
      <c r="A348" s="3" t="n">
        <f aca="false">DATE(1989,2,28)</f>
        <v>32567</v>
      </c>
      <c r="B348" s="4" t="s">
        <v>284</v>
      </c>
      <c r="C348" s="4" t="s">
        <v>118</v>
      </c>
    </row>
    <row r="349" customFormat="false" ht="12.8" hidden="false" customHeight="false" outlineLevel="0" collapsed="false">
      <c r="A349" s="3" t="n">
        <f aca="false">DATE(1989,3,1)</f>
        <v>32568</v>
      </c>
      <c r="B349" s="4" t="s">
        <v>488</v>
      </c>
      <c r="C349" s="4" t="s">
        <v>334</v>
      </c>
    </row>
    <row r="350" customFormat="false" ht="12.8" hidden="false" customHeight="false" outlineLevel="0" collapsed="false">
      <c r="A350" s="3" t="n">
        <f aca="false">DATE(1989,3,1)</f>
        <v>32568</v>
      </c>
      <c r="B350" s="4" t="s">
        <v>489</v>
      </c>
      <c r="C350" s="4" t="s">
        <v>490</v>
      </c>
    </row>
    <row r="351" customFormat="false" ht="12.8" hidden="false" customHeight="false" outlineLevel="0" collapsed="false">
      <c r="A351" s="3" t="n">
        <f aca="false">DATE(1989,3,7)</f>
        <v>32574</v>
      </c>
      <c r="B351" s="4" t="s">
        <v>491</v>
      </c>
      <c r="C351" s="4" t="s">
        <v>58</v>
      </c>
    </row>
    <row r="352" customFormat="false" ht="12.8" hidden="false" customHeight="false" outlineLevel="0" collapsed="false">
      <c r="A352" s="3" t="n">
        <f aca="false">DATE(1989,3,29)</f>
        <v>32596</v>
      </c>
      <c r="B352" s="4" t="s">
        <v>492</v>
      </c>
      <c r="C352" s="4" t="s">
        <v>440</v>
      </c>
    </row>
    <row r="353" customFormat="false" ht="12.8" hidden="false" customHeight="false" outlineLevel="0" collapsed="false">
      <c r="A353" s="3" t="n">
        <f aca="false">DATE(1989,3,30)</f>
        <v>32597</v>
      </c>
      <c r="B353" s="4" t="s">
        <v>219</v>
      </c>
      <c r="C353" s="4" t="s">
        <v>79</v>
      </c>
    </row>
    <row r="354" customFormat="false" ht="12.8" hidden="false" customHeight="false" outlineLevel="0" collapsed="false">
      <c r="A354" s="3" t="n">
        <f aca="false">DATE(1989,3,31)</f>
        <v>32598</v>
      </c>
      <c r="B354" s="4" t="s">
        <v>493</v>
      </c>
      <c r="C354" s="4" t="s">
        <v>364</v>
      </c>
    </row>
    <row r="355" customFormat="false" ht="12.8" hidden="false" customHeight="false" outlineLevel="0" collapsed="false">
      <c r="A355" s="3" t="n">
        <f aca="false">DATE(1989,4,13)</f>
        <v>32611</v>
      </c>
      <c r="B355" s="4" t="s">
        <v>494</v>
      </c>
      <c r="C355" s="4" t="s">
        <v>443</v>
      </c>
    </row>
    <row r="356" customFormat="false" ht="12.8" hidden="false" customHeight="false" outlineLevel="0" collapsed="false">
      <c r="A356" s="3" t="n">
        <f aca="false">DATE(1989,4,14)</f>
        <v>32612</v>
      </c>
      <c r="B356" s="4" t="s">
        <v>495</v>
      </c>
      <c r="C356" s="4" t="s">
        <v>326</v>
      </c>
    </row>
    <row r="357" customFormat="false" ht="12.8" hidden="false" customHeight="false" outlineLevel="0" collapsed="false">
      <c r="A357" s="3" t="n">
        <f aca="false">DATE(1989,4,14)</f>
        <v>32612</v>
      </c>
      <c r="B357" s="4" t="s">
        <v>496</v>
      </c>
      <c r="C357" s="4" t="s">
        <v>43</v>
      </c>
    </row>
    <row r="358" customFormat="false" ht="12.8" hidden="false" customHeight="false" outlineLevel="0" collapsed="false">
      <c r="A358" s="3" t="n">
        <f aca="false">DATE(1989,4,17)</f>
        <v>32615</v>
      </c>
      <c r="B358" s="4" t="s">
        <v>497</v>
      </c>
      <c r="C358" s="4" t="s">
        <v>66</v>
      </c>
    </row>
    <row r="359" customFormat="false" ht="12.8" hidden="false" customHeight="false" outlineLevel="0" collapsed="false">
      <c r="A359" s="3" t="n">
        <f aca="false">DATE(1989,4,19)</f>
        <v>32617</v>
      </c>
      <c r="B359" s="4" t="s">
        <v>498</v>
      </c>
      <c r="C359" s="4" t="s">
        <v>499</v>
      </c>
    </row>
    <row r="360" customFormat="false" ht="12.8" hidden="false" customHeight="false" outlineLevel="0" collapsed="false">
      <c r="A360" s="3" t="n">
        <f aca="false">DATE(1989,4,19)</f>
        <v>32617</v>
      </c>
      <c r="B360" s="4" t="s">
        <v>500</v>
      </c>
      <c r="C360" s="4" t="s">
        <v>84</v>
      </c>
    </row>
    <row r="361" customFormat="false" ht="12.8" hidden="false" customHeight="false" outlineLevel="0" collapsed="false">
      <c r="A361" s="3" t="n">
        <f aca="false">DATE(1989,4,25)</f>
        <v>32623</v>
      </c>
      <c r="B361" s="4" t="s">
        <v>501</v>
      </c>
      <c r="C361" s="4" t="s">
        <v>306</v>
      </c>
    </row>
    <row r="362" customFormat="false" ht="12.8" hidden="false" customHeight="false" outlineLevel="0" collapsed="false">
      <c r="A362" s="3" t="n">
        <f aca="false">DATE(1989,4,27)</f>
        <v>32625</v>
      </c>
      <c r="B362" s="4" t="s">
        <v>502</v>
      </c>
      <c r="C362" s="4" t="s">
        <v>440</v>
      </c>
    </row>
    <row r="363" customFormat="false" ht="12.8" hidden="false" customHeight="false" outlineLevel="0" collapsed="false">
      <c r="A363" s="3" t="n">
        <f aca="false">DATE(1989,4,28)</f>
        <v>32626</v>
      </c>
      <c r="B363" s="4" t="s">
        <v>503</v>
      </c>
      <c r="C363" s="4" t="s">
        <v>463</v>
      </c>
    </row>
    <row r="364" customFormat="false" ht="12.8" hidden="false" customHeight="false" outlineLevel="0" collapsed="false">
      <c r="A364" s="3" t="n">
        <f aca="false">DATE(1989,5,1)</f>
        <v>32629</v>
      </c>
      <c r="B364" s="4" t="s">
        <v>504</v>
      </c>
      <c r="C364" s="4" t="s">
        <v>364</v>
      </c>
    </row>
    <row r="365" customFormat="false" ht="12.8" hidden="false" customHeight="false" outlineLevel="0" collapsed="false">
      <c r="A365" s="3" t="n">
        <f aca="false">DATE(1989,5,15)</f>
        <v>32643</v>
      </c>
      <c r="B365" s="4" t="s">
        <v>505</v>
      </c>
      <c r="C365" s="4" t="s">
        <v>506</v>
      </c>
    </row>
    <row r="366" customFormat="false" ht="12.8" hidden="false" customHeight="false" outlineLevel="0" collapsed="false">
      <c r="A366" s="3" t="n">
        <f aca="false">DATE(1989,5,16)</f>
        <v>32644</v>
      </c>
      <c r="B366" s="4" t="s">
        <v>507</v>
      </c>
      <c r="C366" s="4" t="s">
        <v>234</v>
      </c>
    </row>
    <row r="367" customFormat="false" ht="12.8" hidden="false" customHeight="false" outlineLevel="0" collapsed="false">
      <c r="A367" s="3" t="n">
        <f aca="false">DATE(1989,5,18)</f>
        <v>32646</v>
      </c>
      <c r="B367" s="4" t="s">
        <v>508</v>
      </c>
      <c r="C367" s="4" t="s">
        <v>321</v>
      </c>
    </row>
    <row r="368" customFormat="false" ht="12.8" hidden="false" customHeight="false" outlineLevel="0" collapsed="false">
      <c r="A368" s="3" t="n">
        <f aca="false">DATE(1989,5,19)</f>
        <v>32647</v>
      </c>
      <c r="B368" s="4" t="s">
        <v>509</v>
      </c>
      <c r="C368" s="4" t="s">
        <v>193</v>
      </c>
    </row>
    <row r="369" customFormat="false" ht="12.8" hidden="false" customHeight="false" outlineLevel="0" collapsed="false">
      <c r="A369" s="3" t="n">
        <f aca="false">DATE(1989,5,19)</f>
        <v>32647</v>
      </c>
      <c r="B369" s="4" t="s">
        <v>510</v>
      </c>
      <c r="C369" s="4" t="s">
        <v>511</v>
      </c>
    </row>
    <row r="370" customFormat="false" ht="12.8" hidden="false" customHeight="false" outlineLevel="0" collapsed="false">
      <c r="A370" s="3" t="n">
        <f aca="false">DATE(1989,5,24)</f>
        <v>32652</v>
      </c>
      <c r="B370" s="4" t="s">
        <v>512</v>
      </c>
      <c r="C370" s="4" t="s">
        <v>440</v>
      </c>
    </row>
    <row r="371" customFormat="false" ht="12.8" hidden="false" customHeight="false" outlineLevel="0" collapsed="false">
      <c r="A371" s="3" t="n">
        <f aca="false">DATE(1989,5,24)</f>
        <v>32652</v>
      </c>
      <c r="B371" s="4" t="s">
        <v>513</v>
      </c>
      <c r="C371" s="4" t="s">
        <v>306</v>
      </c>
    </row>
    <row r="372" customFormat="false" ht="12.8" hidden="false" customHeight="false" outlineLevel="0" collapsed="false">
      <c r="A372" s="3" t="n">
        <f aca="false">DATE(1989,5,26)</f>
        <v>32654</v>
      </c>
      <c r="B372" s="4" t="s">
        <v>514</v>
      </c>
      <c r="C372" s="4" t="s">
        <v>105</v>
      </c>
    </row>
    <row r="373" customFormat="false" ht="12.8" hidden="false" customHeight="false" outlineLevel="0" collapsed="false">
      <c r="A373" s="3" t="n">
        <f aca="false">DATE(1989,6,12)</f>
        <v>32671</v>
      </c>
      <c r="B373" s="4" t="s">
        <v>515</v>
      </c>
      <c r="C373" s="4" t="s">
        <v>440</v>
      </c>
    </row>
    <row r="374" customFormat="false" ht="12.8" hidden="false" customHeight="false" outlineLevel="0" collapsed="false">
      <c r="A374" s="3" t="n">
        <f aca="false">DATE(1989,6,15)</f>
        <v>32674</v>
      </c>
      <c r="B374" s="4" t="s">
        <v>516</v>
      </c>
      <c r="C374" s="4" t="s">
        <v>84</v>
      </c>
    </row>
    <row r="375" customFormat="false" ht="12.8" hidden="false" customHeight="false" outlineLevel="0" collapsed="false">
      <c r="A375" s="3" t="n">
        <f aca="false">DATE(1989,6,19)</f>
        <v>32678</v>
      </c>
      <c r="B375" s="4" t="s">
        <v>278</v>
      </c>
      <c r="C375" s="4" t="s">
        <v>517</v>
      </c>
    </row>
    <row r="376" customFormat="false" ht="12.8" hidden="false" customHeight="false" outlineLevel="0" collapsed="false">
      <c r="A376" s="3" t="n">
        <f aca="false">DATE(1989,6,21)</f>
        <v>32680</v>
      </c>
      <c r="B376" s="4" t="s">
        <v>518</v>
      </c>
      <c r="C376" s="4" t="s">
        <v>440</v>
      </c>
    </row>
    <row r="377" customFormat="false" ht="12.8" hidden="false" customHeight="false" outlineLevel="0" collapsed="false">
      <c r="A377" s="3" t="n">
        <f aca="false">DATE(1989,6,26)</f>
        <v>32685</v>
      </c>
      <c r="B377" s="4" t="s">
        <v>519</v>
      </c>
      <c r="C377" s="4" t="s">
        <v>520</v>
      </c>
    </row>
    <row r="378" customFormat="false" ht="12.8" hidden="false" customHeight="false" outlineLevel="0" collapsed="false">
      <c r="A378" s="3" t="n">
        <f aca="false">DATE(1989,6,27)</f>
        <v>32686</v>
      </c>
      <c r="B378" s="4" t="s">
        <v>521</v>
      </c>
      <c r="C378" s="4" t="s">
        <v>392</v>
      </c>
    </row>
    <row r="379" customFormat="false" ht="12.8" hidden="false" customHeight="false" outlineLevel="0" collapsed="false">
      <c r="A379" s="3" t="n">
        <f aca="false">DATE(1989,6,29)</f>
        <v>32688</v>
      </c>
      <c r="B379" s="4" t="s">
        <v>522</v>
      </c>
      <c r="C379" s="4" t="s">
        <v>75</v>
      </c>
    </row>
    <row r="380" customFormat="false" ht="12.8" hidden="false" customHeight="false" outlineLevel="0" collapsed="false">
      <c r="A380" s="3" t="n">
        <f aca="false">DATE(1989,6,30)</f>
        <v>32689</v>
      </c>
      <c r="B380" s="4" t="s">
        <v>523</v>
      </c>
      <c r="C380" s="4" t="s">
        <v>524</v>
      </c>
    </row>
    <row r="381" customFormat="false" ht="12.8" hidden="false" customHeight="false" outlineLevel="0" collapsed="false">
      <c r="A381" s="3" t="n">
        <f aca="false">DATE(1989,7,3)</f>
        <v>32692</v>
      </c>
      <c r="B381" s="4" t="s">
        <v>525</v>
      </c>
      <c r="C381" s="4" t="s">
        <v>526</v>
      </c>
    </row>
    <row r="382" customFormat="false" ht="12.8" hidden="false" customHeight="false" outlineLevel="0" collapsed="false">
      <c r="A382" s="3" t="n">
        <f aca="false">DATE(1989,7,12)</f>
        <v>32701</v>
      </c>
      <c r="B382" s="4" t="s">
        <v>527</v>
      </c>
      <c r="C382" s="4" t="s">
        <v>528</v>
      </c>
    </row>
    <row r="383" customFormat="false" ht="12.8" hidden="false" customHeight="false" outlineLevel="0" collapsed="false">
      <c r="A383" s="3" t="n">
        <f aca="false">DATE(1989,7,14)</f>
        <v>32703</v>
      </c>
      <c r="B383" s="4" t="s">
        <v>529</v>
      </c>
      <c r="C383" s="4" t="s">
        <v>105</v>
      </c>
    </row>
    <row r="384" customFormat="false" ht="12.8" hidden="false" customHeight="false" outlineLevel="0" collapsed="false">
      <c r="A384" s="3" t="n">
        <f aca="false">DATE(1989,7,14)</f>
        <v>32703</v>
      </c>
      <c r="B384" s="4" t="s">
        <v>530</v>
      </c>
      <c r="C384" s="4" t="s">
        <v>90</v>
      </c>
    </row>
    <row r="385" customFormat="false" ht="12.8" hidden="false" customHeight="false" outlineLevel="0" collapsed="false">
      <c r="A385" s="3" t="n">
        <f aca="false">DATE(1989,7,25)</f>
        <v>32714</v>
      </c>
      <c r="B385" s="4" t="s">
        <v>531</v>
      </c>
      <c r="C385" s="4" t="s">
        <v>532</v>
      </c>
    </row>
    <row r="386" customFormat="false" ht="12.8" hidden="false" customHeight="false" outlineLevel="0" collapsed="false">
      <c r="A386" s="3" t="n">
        <f aca="false">DATE(1989,8,1)</f>
        <v>32721</v>
      </c>
      <c r="B386" s="4" t="s">
        <v>533</v>
      </c>
      <c r="C386" s="4" t="s">
        <v>473</v>
      </c>
    </row>
    <row r="387" customFormat="false" ht="12.8" hidden="false" customHeight="false" outlineLevel="0" collapsed="false">
      <c r="A387" s="3" t="n">
        <f aca="false">DATE(1989,8,1)</f>
        <v>32721</v>
      </c>
      <c r="B387" s="4" t="s">
        <v>534</v>
      </c>
      <c r="C387" s="4" t="s">
        <v>388</v>
      </c>
    </row>
    <row r="388" customFormat="false" ht="12.8" hidden="false" customHeight="false" outlineLevel="0" collapsed="false">
      <c r="A388" s="3" t="n">
        <f aca="false">DATE(1989,8,2)</f>
        <v>32722</v>
      </c>
      <c r="B388" s="4" t="s">
        <v>535</v>
      </c>
      <c r="C388" s="4" t="s">
        <v>536</v>
      </c>
    </row>
    <row r="389" customFormat="false" ht="12.8" hidden="false" customHeight="false" outlineLevel="0" collapsed="false">
      <c r="A389" s="3" t="n">
        <f aca="false">DATE(1989,8,7)</f>
        <v>32727</v>
      </c>
      <c r="B389" s="4" t="s">
        <v>537</v>
      </c>
      <c r="C389" s="4" t="s">
        <v>124</v>
      </c>
    </row>
    <row r="390" customFormat="false" ht="12.8" hidden="false" customHeight="false" outlineLevel="0" collapsed="false">
      <c r="A390" s="3" t="n">
        <f aca="false">DATE(1989,8,7)</f>
        <v>32727</v>
      </c>
      <c r="B390" s="4" t="s">
        <v>538</v>
      </c>
      <c r="C390" s="4" t="s">
        <v>105</v>
      </c>
    </row>
    <row r="391" customFormat="false" ht="12.8" hidden="false" customHeight="false" outlineLevel="0" collapsed="false">
      <c r="A391" s="3" t="n">
        <f aca="false">DATE(1989,8,7)</f>
        <v>32727</v>
      </c>
      <c r="B391" s="4" t="s">
        <v>539</v>
      </c>
      <c r="C391" s="4" t="s">
        <v>66</v>
      </c>
    </row>
    <row r="392" customFormat="false" ht="12.8" hidden="false" customHeight="false" outlineLevel="0" collapsed="false">
      <c r="A392" s="3" t="n">
        <f aca="false">DATE(1989,8,10)</f>
        <v>32730</v>
      </c>
      <c r="B392" s="4" t="s">
        <v>540</v>
      </c>
      <c r="C392" s="4" t="s">
        <v>372</v>
      </c>
    </row>
    <row r="393" customFormat="false" ht="12.8" hidden="false" customHeight="false" outlineLevel="0" collapsed="false">
      <c r="A393" s="3" t="n">
        <f aca="false">DATE(1989,8,14)</f>
        <v>32734</v>
      </c>
      <c r="B393" s="4" t="s">
        <v>537</v>
      </c>
      <c r="C393" s="4" t="s">
        <v>541</v>
      </c>
    </row>
    <row r="394" customFormat="false" ht="12.8" hidden="false" customHeight="false" outlineLevel="0" collapsed="false">
      <c r="A394" s="3" t="n">
        <f aca="false">DATE(1989,8,17)</f>
        <v>32737</v>
      </c>
      <c r="B394" s="4" t="s">
        <v>542</v>
      </c>
      <c r="C394" s="4" t="s">
        <v>543</v>
      </c>
    </row>
    <row r="395" customFormat="false" ht="12.8" hidden="false" customHeight="false" outlineLevel="0" collapsed="false">
      <c r="A395" s="3" t="n">
        <f aca="false">DATE(1989,8,17)</f>
        <v>32737</v>
      </c>
      <c r="B395" s="4" t="s">
        <v>328</v>
      </c>
      <c r="C395" s="4" t="s">
        <v>544</v>
      </c>
    </row>
    <row r="396" customFormat="false" ht="12.8" hidden="false" customHeight="false" outlineLevel="0" collapsed="false">
      <c r="A396" s="3" t="n">
        <f aca="false">DATE(1989,8,21)</f>
        <v>32741</v>
      </c>
      <c r="B396" s="4" t="s">
        <v>545</v>
      </c>
      <c r="C396" s="4" t="s">
        <v>546</v>
      </c>
    </row>
    <row r="397" customFormat="false" ht="12.8" hidden="false" customHeight="false" outlineLevel="0" collapsed="false">
      <c r="A397" s="3" t="n">
        <f aca="false">DATE(1989,8,21)</f>
        <v>32741</v>
      </c>
      <c r="B397" s="4" t="s">
        <v>547</v>
      </c>
      <c r="C397" s="4" t="s">
        <v>548</v>
      </c>
    </row>
    <row r="398" customFormat="false" ht="12.8" hidden="false" customHeight="false" outlineLevel="0" collapsed="false">
      <c r="A398" s="3" t="n">
        <f aca="false">DATE(1989,8,21)</f>
        <v>32741</v>
      </c>
      <c r="B398" s="4" t="s">
        <v>549</v>
      </c>
      <c r="C398" s="4" t="s">
        <v>550</v>
      </c>
    </row>
    <row r="399" customFormat="false" ht="12.8" hidden="false" customHeight="false" outlineLevel="0" collapsed="false">
      <c r="A399" s="3" t="n">
        <f aca="false">DATE(1989,8,23)</f>
        <v>32743</v>
      </c>
      <c r="B399" s="4" t="s">
        <v>551</v>
      </c>
      <c r="C399" s="4" t="s">
        <v>309</v>
      </c>
    </row>
    <row r="400" customFormat="false" ht="12.8" hidden="false" customHeight="false" outlineLevel="0" collapsed="false">
      <c r="A400" s="3" t="n">
        <f aca="false">DATE(1989,8,24)</f>
        <v>32744</v>
      </c>
      <c r="B400" s="4" t="s">
        <v>552</v>
      </c>
      <c r="C400" s="4" t="s">
        <v>553</v>
      </c>
    </row>
    <row r="401" customFormat="false" ht="12.8" hidden="false" customHeight="false" outlineLevel="0" collapsed="false">
      <c r="A401" s="3" t="n">
        <f aca="false">DATE(1989,8,24)</f>
        <v>32744</v>
      </c>
      <c r="B401" s="4" t="s">
        <v>554</v>
      </c>
      <c r="C401" s="4" t="s">
        <v>154</v>
      </c>
    </row>
    <row r="402" customFormat="false" ht="12.8" hidden="false" customHeight="false" outlineLevel="0" collapsed="false">
      <c r="A402" s="3" t="n">
        <f aca="false">DATE(1989,8,25)</f>
        <v>32745</v>
      </c>
      <c r="B402" s="4" t="s">
        <v>555</v>
      </c>
      <c r="C402" s="4" t="s">
        <v>556</v>
      </c>
    </row>
    <row r="403" customFormat="false" ht="12.8" hidden="false" customHeight="false" outlineLevel="0" collapsed="false">
      <c r="A403" s="3" t="n">
        <f aca="false">DATE(1989,8,25)</f>
        <v>32745</v>
      </c>
      <c r="B403" s="4" t="s">
        <v>274</v>
      </c>
      <c r="C403" s="4" t="s">
        <v>130</v>
      </c>
    </row>
    <row r="404" customFormat="false" ht="12.8" hidden="false" customHeight="false" outlineLevel="0" collapsed="false">
      <c r="A404" s="3" t="n">
        <f aca="false">DATE(1989,8,28)</f>
        <v>32748</v>
      </c>
      <c r="B404" s="4" t="s">
        <v>557</v>
      </c>
      <c r="C404" s="4" t="s">
        <v>558</v>
      </c>
    </row>
    <row r="405" customFormat="false" ht="12.8" hidden="false" customHeight="false" outlineLevel="0" collapsed="false">
      <c r="A405" s="3" t="n">
        <f aca="false">DATE(1989,8,31)</f>
        <v>32751</v>
      </c>
      <c r="B405" s="4" t="s">
        <v>559</v>
      </c>
      <c r="C405" s="4" t="s">
        <v>560</v>
      </c>
    </row>
    <row r="406" customFormat="false" ht="12.8" hidden="false" customHeight="false" outlineLevel="0" collapsed="false">
      <c r="A406" s="3" t="n">
        <f aca="false">DATE(1989,9,5)</f>
        <v>32756</v>
      </c>
      <c r="B406" s="4" t="s">
        <v>561</v>
      </c>
      <c r="C406" s="4" t="s">
        <v>499</v>
      </c>
    </row>
    <row r="407" customFormat="false" ht="12.8" hidden="false" customHeight="false" outlineLevel="0" collapsed="false">
      <c r="A407" s="3" t="n">
        <f aca="false">DATE(1989,9,6)</f>
        <v>32757</v>
      </c>
      <c r="B407" s="4" t="s">
        <v>562</v>
      </c>
      <c r="C407" s="4" t="s">
        <v>171</v>
      </c>
    </row>
    <row r="408" customFormat="false" ht="12.8" hidden="false" customHeight="false" outlineLevel="0" collapsed="false">
      <c r="A408" s="3" t="n">
        <f aca="false">DATE(1989,9,6)</f>
        <v>32757</v>
      </c>
      <c r="B408" s="4" t="s">
        <v>563</v>
      </c>
      <c r="C408" s="4" t="s">
        <v>564</v>
      </c>
    </row>
    <row r="409" customFormat="false" ht="12.8" hidden="false" customHeight="false" outlineLevel="0" collapsed="false">
      <c r="A409" s="3" t="n">
        <f aca="false">DATE(1989,9,7)</f>
        <v>32758</v>
      </c>
      <c r="B409" s="4" t="s">
        <v>565</v>
      </c>
      <c r="C409" s="4" t="s">
        <v>566</v>
      </c>
    </row>
    <row r="410" customFormat="false" ht="12.8" hidden="false" customHeight="false" outlineLevel="0" collapsed="false">
      <c r="A410" s="3" t="n">
        <f aca="false">DATE(1989,9,13)</f>
        <v>32764</v>
      </c>
      <c r="B410" s="4" t="s">
        <v>567</v>
      </c>
      <c r="C410" s="4" t="s">
        <v>124</v>
      </c>
    </row>
    <row r="411" customFormat="false" ht="12.8" hidden="false" customHeight="false" outlineLevel="0" collapsed="false">
      <c r="A411" s="3" t="n">
        <f aca="false">DATE(1989,9,15)</f>
        <v>32766</v>
      </c>
      <c r="B411" s="4" t="s">
        <v>274</v>
      </c>
      <c r="C411" s="4" t="s">
        <v>221</v>
      </c>
    </row>
    <row r="412" customFormat="false" ht="12.8" hidden="false" customHeight="false" outlineLevel="0" collapsed="false">
      <c r="A412" s="3" t="n">
        <f aca="false">DATE(1989,9,15)</f>
        <v>32766</v>
      </c>
      <c r="B412" s="4" t="s">
        <v>568</v>
      </c>
      <c r="C412" s="4" t="s">
        <v>569</v>
      </c>
    </row>
    <row r="413" customFormat="false" ht="12.8" hidden="false" customHeight="false" outlineLevel="0" collapsed="false">
      <c r="A413" s="3" t="n">
        <f aca="false">DATE(1989,9,18)</f>
        <v>32769</v>
      </c>
      <c r="B413" s="4" t="s">
        <v>75</v>
      </c>
      <c r="C413" s="4" t="s">
        <v>570</v>
      </c>
    </row>
    <row r="414" customFormat="false" ht="12.8" hidden="false" customHeight="false" outlineLevel="0" collapsed="false">
      <c r="A414" s="3" t="n">
        <f aca="false">DATE(1989,9,20)</f>
        <v>32771</v>
      </c>
      <c r="B414" s="4" t="s">
        <v>571</v>
      </c>
      <c r="C414" s="4" t="s">
        <v>44</v>
      </c>
    </row>
    <row r="415" customFormat="false" ht="12.8" hidden="false" customHeight="false" outlineLevel="0" collapsed="false">
      <c r="A415" s="3" t="n">
        <f aca="false">DATE(1989,9,26)</f>
        <v>32777</v>
      </c>
      <c r="B415" s="4" t="s">
        <v>219</v>
      </c>
      <c r="C415" s="4" t="s">
        <v>90</v>
      </c>
    </row>
    <row r="416" customFormat="false" ht="12.8" hidden="false" customHeight="false" outlineLevel="0" collapsed="false">
      <c r="A416" s="3" t="n">
        <f aca="false">DATE(1989,10,2)</f>
        <v>32783</v>
      </c>
      <c r="B416" s="4" t="s">
        <v>572</v>
      </c>
      <c r="C416" s="4" t="s">
        <v>381</v>
      </c>
    </row>
    <row r="417" customFormat="false" ht="12.8" hidden="false" customHeight="false" outlineLevel="0" collapsed="false">
      <c r="A417" s="3" t="n">
        <f aca="false">DATE(1989,10,4)</f>
        <v>32785</v>
      </c>
      <c r="B417" s="4" t="s">
        <v>285</v>
      </c>
      <c r="C417" s="4" t="s">
        <v>573</v>
      </c>
    </row>
    <row r="418" customFormat="false" ht="12.8" hidden="false" customHeight="false" outlineLevel="0" collapsed="false">
      <c r="A418" s="3" t="n">
        <f aca="false">DATE(1989,10,5)</f>
        <v>32786</v>
      </c>
      <c r="B418" s="4" t="s">
        <v>574</v>
      </c>
      <c r="C418" s="4" t="s">
        <v>79</v>
      </c>
    </row>
    <row r="419" customFormat="false" ht="12.8" hidden="false" customHeight="false" outlineLevel="0" collapsed="false">
      <c r="A419" s="3" t="n">
        <f aca="false">DATE(1989,10,5)</f>
        <v>32786</v>
      </c>
      <c r="B419" s="4" t="s">
        <v>575</v>
      </c>
      <c r="C419" s="4" t="s">
        <v>182</v>
      </c>
    </row>
    <row r="420" customFormat="false" ht="12.8" hidden="false" customHeight="false" outlineLevel="0" collapsed="false">
      <c r="A420" s="3" t="n">
        <f aca="false">DATE(1989,10,10)</f>
        <v>32791</v>
      </c>
      <c r="B420" s="4" t="s">
        <v>576</v>
      </c>
      <c r="C420" s="4" t="s">
        <v>20</v>
      </c>
    </row>
    <row r="421" customFormat="false" ht="12.8" hidden="false" customHeight="false" outlineLevel="0" collapsed="false">
      <c r="A421" s="3" t="n">
        <f aca="false">DATE(1989,10,10)</f>
        <v>32791</v>
      </c>
      <c r="B421" s="4" t="s">
        <v>577</v>
      </c>
      <c r="C421" s="4" t="s">
        <v>578</v>
      </c>
    </row>
    <row r="422" customFormat="false" ht="12.8" hidden="false" customHeight="false" outlineLevel="0" collapsed="false">
      <c r="A422" s="3" t="n">
        <f aca="false">DATE(1989,10,16)</f>
        <v>32797</v>
      </c>
      <c r="B422" s="4" t="s">
        <v>579</v>
      </c>
      <c r="C422" s="4" t="s">
        <v>580</v>
      </c>
    </row>
    <row r="423" customFormat="false" ht="12.8" hidden="false" customHeight="false" outlineLevel="0" collapsed="false">
      <c r="A423" s="3" t="n">
        <f aca="false">DATE(1989,10,25)</f>
        <v>32806</v>
      </c>
      <c r="B423" s="4" t="s">
        <v>581</v>
      </c>
      <c r="C423" s="4" t="s">
        <v>204</v>
      </c>
    </row>
    <row r="424" customFormat="false" ht="12.8" hidden="false" customHeight="false" outlineLevel="0" collapsed="false">
      <c r="A424" s="3" t="n">
        <f aca="false">DATE(1989,10,26)</f>
        <v>32807</v>
      </c>
      <c r="B424" s="4" t="s">
        <v>582</v>
      </c>
      <c r="C424" s="4" t="s">
        <v>116</v>
      </c>
    </row>
    <row r="425" customFormat="false" ht="12.8" hidden="false" customHeight="false" outlineLevel="0" collapsed="false">
      <c r="A425" s="3" t="n">
        <f aca="false">DATE(1989,10,27)</f>
        <v>32808</v>
      </c>
      <c r="B425" s="4" t="s">
        <v>583</v>
      </c>
      <c r="C425" s="4" t="s">
        <v>381</v>
      </c>
    </row>
    <row r="426" customFormat="false" ht="12.8" hidden="false" customHeight="false" outlineLevel="0" collapsed="false">
      <c r="A426" s="3" t="n">
        <f aca="false">DATE(1989,11,3)</f>
        <v>32815</v>
      </c>
      <c r="B426" s="4" t="s">
        <v>584</v>
      </c>
      <c r="C426" s="4" t="s">
        <v>585</v>
      </c>
    </row>
    <row r="427" customFormat="false" ht="12.8" hidden="false" customHeight="false" outlineLevel="0" collapsed="false">
      <c r="A427" s="3" t="n">
        <f aca="false">DATE(1989,11,13)</f>
        <v>32825</v>
      </c>
      <c r="B427" s="4" t="s">
        <v>586</v>
      </c>
      <c r="C427" s="4" t="s">
        <v>295</v>
      </c>
    </row>
    <row r="428" customFormat="false" ht="12.8" hidden="false" customHeight="false" outlineLevel="0" collapsed="false">
      <c r="A428" s="3" t="n">
        <f aca="false">DATE(1989,11,17)</f>
        <v>32829</v>
      </c>
      <c r="B428" s="4" t="s">
        <v>587</v>
      </c>
      <c r="C428" s="4" t="s">
        <v>588</v>
      </c>
    </row>
    <row r="429" customFormat="false" ht="12.8" hidden="false" customHeight="false" outlineLevel="0" collapsed="false">
      <c r="A429" s="3" t="n">
        <f aca="false">DATE(1989,12,8)</f>
        <v>32850</v>
      </c>
      <c r="B429" s="4" t="s">
        <v>589</v>
      </c>
      <c r="C429" s="4" t="s">
        <v>367</v>
      </c>
    </row>
    <row r="430" customFormat="false" ht="12.8" hidden="false" customHeight="false" outlineLevel="0" collapsed="false">
      <c r="A430" s="3" t="n">
        <f aca="false">DATE(1989,12,18)</f>
        <v>32860</v>
      </c>
      <c r="B430" s="4" t="s">
        <v>590</v>
      </c>
      <c r="C430" s="4" t="s">
        <v>127</v>
      </c>
    </row>
    <row r="431" customFormat="false" ht="12.8" hidden="false" customHeight="false" outlineLevel="0" collapsed="false">
      <c r="A431" s="3" t="n">
        <f aca="false">DATE(1989,12,18)</f>
        <v>32860</v>
      </c>
      <c r="B431" s="4" t="s">
        <v>591</v>
      </c>
      <c r="C431" s="4" t="s">
        <v>225</v>
      </c>
    </row>
    <row r="432" customFormat="false" ht="12.8" hidden="false" customHeight="false" outlineLevel="0" collapsed="false">
      <c r="A432" s="3" t="n">
        <f aca="false">DATE(1990,1,4)</f>
        <v>32877</v>
      </c>
      <c r="B432" s="4" t="s">
        <v>454</v>
      </c>
      <c r="C432" s="4" t="s">
        <v>499</v>
      </c>
    </row>
    <row r="433" customFormat="false" ht="12.8" hidden="false" customHeight="false" outlineLevel="0" collapsed="false">
      <c r="A433" s="3" t="n">
        <f aca="false">DATE(1990,1,8)</f>
        <v>32881</v>
      </c>
      <c r="B433" s="4" t="s">
        <v>171</v>
      </c>
      <c r="C433" s="4" t="s">
        <v>240</v>
      </c>
    </row>
    <row r="434" customFormat="false" ht="12.8" hidden="false" customHeight="false" outlineLevel="0" collapsed="false">
      <c r="A434" s="3" t="n">
        <f aca="false">DATE(1990,1,17)</f>
        <v>32890</v>
      </c>
      <c r="B434" s="4" t="s">
        <v>592</v>
      </c>
      <c r="C434" s="4" t="s">
        <v>593</v>
      </c>
    </row>
    <row r="435" customFormat="false" ht="12.8" hidden="false" customHeight="false" outlineLevel="0" collapsed="false">
      <c r="A435" s="3" t="n">
        <f aca="false">DATE(1990,2,6)</f>
        <v>32910</v>
      </c>
      <c r="B435" s="4" t="s">
        <v>594</v>
      </c>
      <c r="C435" s="4" t="s">
        <v>595</v>
      </c>
    </row>
    <row r="436" customFormat="false" ht="12.8" hidden="false" customHeight="false" outlineLevel="0" collapsed="false">
      <c r="A436" s="3" t="n">
        <f aca="false">DATE(1990,2,12)</f>
        <v>32916</v>
      </c>
      <c r="B436" s="4" t="s">
        <v>596</v>
      </c>
      <c r="C436" s="4" t="s">
        <v>597</v>
      </c>
    </row>
    <row r="437" customFormat="false" ht="12.8" hidden="false" customHeight="false" outlineLevel="0" collapsed="false">
      <c r="A437" s="3" t="n">
        <f aca="false">DATE(1990,2,26)</f>
        <v>32930</v>
      </c>
      <c r="B437" s="4" t="s">
        <v>555</v>
      </c>
      <c r="C437" s="4" t="s">
        <v>332</v>
      </c>
    </row>
    <row r="438" customFormat="false" ht="12.8" hidden="false" customHeight="false" outlineLevel="0" collapsed="false">
      <c r="A438" s="3" t="n">
        <f aca="false">DATE(1990,2,28)</f>
        <v>32932</v>
      </c>
      <c r="B438" s="4" t="s">
        <v>598</v>
      </c>
      <c r="C438" s="4" t="s">
        <v>599</v>
      </c>
    </row>
    <row r="439" customFormat="false" ht="12.8" hidden="false" customHeight="false" outlineLevel="0" collapsed="false">
      <c r="A439" s="3" t="n">
        <f aca="false">DATE(1990,3,8)</f>
        <v>32940</v>
      </c>
      <c r="B439" s="4" t="s">
        <v>600</v>
      </c>
      <c r="C439" s="4" t="s">
        <v>465</v>
      </c>
    </row>
    <row r="440" customFormat="false" ht="12.8" hidden="false" customHeight="false" outlineLevel="0" collapsed="false">
      <c r="A440" s="3" t="n">
        <f aca="false">DATE(1990,3,13)</f>
        <v>32945</v>
      </c>
      <c r="B440" s="4" t="s">
        <v>601</v>
      </c>
      <c r="C440" s="4" t="s">
        <v>602</v>
      </c>
    </row>
    <row r="441" customFormat="false" ht="12.8" hidden="false" customHeight="false" outlineLevel="0" collapsed="false">
      <c r="A441" s="3" t="n">
        <f aca="false">DATE(1990,3,14)</f>
        <v>32946</v>
      </c>
      <c r="B441" s="4" t="s">
        <v>603</v>
      </c>
      <c r="C441" s="4" t="s">
        <v>225</v>
      </c>
    </row>
    <row r="442" customFormat="false" ht="12.8" hidden="false" customHeight="false" outlineLevel="0" collapsed="false">
      <c r="A442" s="3" t="n">
        <f aca="false">DATE(1990,3,15)</f>
        <v>32947</v>
      </c>
      <c r="B442" s="4" t="s">
        <v>604</v>
      </c>
      <c r="C442" s="4" t="s">
        <v>605</v>
      </c>
    </row>
    <row r="443" customFormat="false" ht="12.8" hidden="false" customHeight="false" outlineLevel="0" collapsed="false">
      <c r="A443" s="3" t="n">
        <f aca="false">DATE(1990,3,16)</f>
        <v>32948</v>
      </c>
      <c r="B443" s="4" t="s">
        <v>606</v>
      </c>
      <c r="C443" s="4" t="s">
        <v>570</v>
      </c>
    </row>
    <row r="444" customFormat="false" ht="12.8" hidden="false" customHeight="false" outlineLevel="0" collapsed="false">
      <c r="A444" s="3" t="n">
        <f aca="false">DATE(1990,3,20)</f>
        <v>32952</v>
      </c>
      <c r="B444" s="4" t="s">
        <v>607</v>
      </c>
      <c r="C444" s="4" t="s">
        <v>116</v>
      </c>
    </row>
    <row r="445" customFormat="false" ht="12.8" hidden="false" customHeight="false" outlineLevel="0" collapsed="false">
      <c r="A445" s="3" t="n">
        <f aca="false">DATE(1990,3,23)</f>
        <v>32955</v>
      </c>
      <c r="B445" s="4" t="s">
        <v>608</v>
      </c>
      <c r="C445" s="4" t="s">
        <v>400</v>
      </c>
    </row>
    <row r="446" customFormat="false" ht="12.8" hidden="false" customHeight="false" outlineLevel="0" collapsed="false">
      <c r="A446" s="3" t="n">
        <f aca="false">DATE(1990,4,2)</f>
        <v>32965</v>
      </c>
      <c r="B446" s="4" t="s">
        <v>609</v>
      </c>
      <c r="C446" s="4" t="s">
        <v>44</v>
      </c>
    </row>
    <row r="447" customFormat="false" ht="12.8" hidden="false" customHeight="false" outlineLevel="0" collapsed="false">
      <c r="A447" s="3" t="n">
        <f aca="false">DATE(1990,4,9)</f>
        <v>32972</v>
      </c>
      <c r="B447" s="4" t="s">
        <v>610</v>
      </c>
      <c r="C447" s="4" t="s">
        <v>611</v>
      </c>
    </row>
    <row r="448" customFormat="false" ht="12.8" hidden="false" customHeight="false" outlineLevel="0" collapsed="false">
      <c r="A448" s="3" t="n">
        <f aca="false">DATE(1990,4,11)</f>
        <v>32974</v>
      </c>
      <c r="B448" s="4" t="s">
        <v>612</v>
      </c>
      <c r="C448" s="4" t="s">
        <v>318</v>
      </c>
    </row>
    <row r="449" customFormat="false" ht="12.8" hidden="false" customHeight="false" outlineLevel="0" collapsed="false">
      <c r="A449" s="3" t="n">
        <f aca="false">DATE(1990,4,13)</f>
        <v>32976</v>
      </c>
      <c r="B449" s="4" t="s">
        <v>613</v>
      </c>
      <c r="C449" s="4" t="s">
        <v>614</v>
      </c>
    </row>
    <row r="450" customFormat="false" ht="12.8" hidden="false" customHeight="false" outlineLevel="0" collapsed="false">
      <c r="A450" s="3" t="n">
        <f aca="false">DATE(1990,4,17)</f>
        <v>32980</v>
      </c>
      <c r="B450" s="4" t="s">
        <v>404</v>
      </c>
      <c r="C450" s="4" t="s">
        <v>332</v>
      </c>
    </row>
    <row r="451" customFormat="false" ht="12.8" hidden="false" customHeight="false" outlineLevel="0" collapsed="false">
      <c r="A451" s="3" t="n">
        <f aca="false">DATE(1990,4,24)</f>
        <v>32987</v>
      </c>
      <c r="B451" s="4" t="s">
        <v>615</v>
      </c>
      <c r="C451" s="4" t="s">
        <v>332</v>
      </c>
    </row>
    <row r="452" customFormat="false" ht="12.8" hidden="false" customHeight="false" outlineLevel="0" collapsed="false">
      <c r="A452" s="3" t="n">
        <f aca="false">DATE(1990,4,30)</f>
        <v>32993</v>
      </c>
      <c r="B452" s="4" t="s">
        <v>616</v>
      </c>
      <c r="C452" s="4" t="s">
        <v>409</v>
      </c>
    </row>
    <row r="453" customFormat="false" ht="12.8" hidden="false" customHeight="false" outlineLevel="0" collapsed="false">
      <c r="A453" s="3" t="n">
        <f aca="false">DATE(1990,5,23)</f>
        <v>33016</v>
      </c>
      <c r="B453" s="4" t="s">
        <v>617</v>
      </c>
      <c r="C453" s="4" t="s">
        <v>309</v>
      </c>
    </row>
    <row r="454" customFormat="false" ht="12.8" hidden="false" customHeight="false" outlineLevel="0" collapsed="false">
      <c r="A454" s="3" t="n">
        <f aca="false">DATE(1990,6,15)</f>
        <v>33039</v>
      </c>
      <c r="B454" s="4" t="s">
        <v>618</v>
      </c>
      <c r="C454" s="4" t="s">
        <v>409</v>
      </c>
    </row>
    <row r="455" customFormat="false" ht="12.8" hidden="false" customHeight="false" outlineLevel="0" collapsed="false">
      <c r="A455" s="3" t="n">
        <f aca="false">DATE(1990,6,15)</f>
        <v>33039</v>
      </c>
      <c r="B455" s="4" t="s">
        <v>619</v>
      </c>
      <c r="C455" s="4" t="s">
        <v>43</v>
      </c>
    </row>
    <row r="456" customFormat="false" ht="12.8" hidden="false" customHeight="false" outlineLevel="0" collapsed="false">
      <c r="A456" s="3" t="n">
        <f aca="false">DATE(1990,7,5)</f>
        <v>33059</v>
      </c>
      <c r="B456" s="4" t="s">
        <v>620</v>
      </c>
      <c r="C456" s="4" t="s">
        <v>621</v>
      </c>
    </row>
    <row r="457" customFormat="false" ht="12.8" hidden="false" customHeight="false" outlineLevel="0" collapsed="false">
      <c r="A457" s="3" t="n">
        <f aca="false">DATE(1990,7,10)</f>
        <v>33064</v>
      </c>
      <c r="B457" s="4" t="s">
        <v>622</v>
      </c>
      <c r="C457" s="4" t="s">
        <v>570</v>
      </c>
    </row>
    <row r="458" customFormat="false" ht="12.8" hidden="false" customHeight="false" outlineLevel="0" collapsed="false">
      <c r="A458" s="3" t="n">
        <f aca="false">DATE(1990,7,27)</f>
        <v>33081</v>
      </c>
      <c r="B458" s="4" t="s">
        <v>623</v>
      </c>
      <c r="C458" s="4" t="s">
        <v>326</v>
      </c>
    </row>
    <row r="459" customFormat="false" ht="12.8" hidden="false" customHeight="false" outlineLevel="0" collapsed="false">
      <c r="A459" s="3" t="n">
        <f aca="false">DATE(1990,8,6)</f>
        <v>33091</v>
      </c>
      <c r="B459" s="4" t="s">
        <v>624</v>
      </c>
      <c r="C459" s="4" t="s">
        <v>548</v>
      </c>
    </row>
    <row r="460" customFormat="false" ht="12.8" hidden="false" customHeight="false" outlineLevel="0" collapsed="false">
      <c r="A460" s="3" t="n">
        <f aca="false">DATE(1990,8,22)</f>
        <v>33107</v>
      </c>
      <c r="B460" s="4" t="s">
        <v>625</v>
      </c>
      <c r="C460" s="4" t="s">
        <v>626</v>
      </c>
    </row>
    <row r="461" customFormat="false" ht="12.8" hidden="false" customHeight="false" outlineLevel="0" collapsed="false">
      <c r="A461" s="3" t="n">
        <f aca="false">DATE(1990,8,24)</f>
        <v>33109</v>
      </c>
      <c r="B461" s="4" t="s">
        <v>627</v>
      </c>
      <c r="C461" s="4" t="s">
        <v>499</v>
      </c>
    </row>
    <row r="462" customFormat="false" ht="12.8" hidden="false" customHeight="false" outlineLevel="0" collapsed="false">
      <c r="A462" s="3" t="n">
        <f aca="false">DATE(1990,9,4)</f>
        <v>33120</v>
      </c>
      <c r="B462" s="4" t="s">
        <v>628</v>
      </c>
      <c r="C462" s="4" t="s">
        <v>471</v>
      </c>
    </row>
    <row r="463" customFormat="false" ht="12.8" hidden="false" customHeight="false" outlineLevel="0" collapsed="false">
      <c r="A463" s="3" t="n">
        <f aca="false">DATE(1990,9,20)</f>
        <v>33136</v>
      </c>
      <c r="B463" s="4" t="s">
        <v>629</v>
      </c>
      <c r="C463" s="4" t="s">
        <v>193</v>
      </c>
    </row>
    <row r="464" customFormat="false" ht="12.8" hidden="false" customHeight="false" outlineLevel="0" collapsed="false">
      <c r="A464" s="3" t="n">
        <f aca="false">DATE(1990,10,23)</f>
        <v>33169</v>
      </c>
      <c r="B464" s="4" t="s">
        <v>413</v>
      </c>
      <c r="C464" s="4" t="s">
        <v>364</v>
      </c>
    </row>
    <row r="465" customFormat="false" ht="12.8" hidden="false" customHeight="false" outlineLevel="0" collapsed="false">
      <c r="A465" s="3" t="n">
        <f aca="false">DATE(1990,10,30)</f>
        <v>33176</v>
      </c>
      <c r="B465" s="4" t="s">
        <v>630</v>
      </c>
      <c r="C465" s="4" t="s">
        <v>526</v>
      </c>
    </row>
    <row r="466" customFormat="false" ht="12.8" hidden="false" customHeight="false" outlineLevel="0" collapsed="false">
      <c r="A466" s="3" t="n">
        <f aca="false">DATE(1990,11,1)</f>
        <v>33178</v>
      </c>
      <c r="B466" s="4" t="s">
        <v>631</v>
      </c>
      <c r="C466" s="4" t="s">
        <v>182</v>
      </c>
    </row>
    <row r="467" customFormat="false" ht="12.8" hidden="false" customHeight="false" outlineLevel="0" collapsed="false">
      <c r="A467" s="3" t="n">
        <f aca="false">DATE(1990,11,15)</f>
        <v>33192</v>
      </c>
      <c r="B467" s="4" t="s">
        <v>632</v>
      </c>
      <c r="C467" s="4" t="s">
        <v>214</v>
      </c>
    </row>
    <row r="468" customFormat="false" ht="12.8" hidden="false" customHeight="false" outlineLevel="0" collapsed="false">
      <c r="A468" s="3" t="n">
        <f aca="false">DATE(1990,11,16)</f>
        <v>33193</v>
      </c>
      <c r="B468" s="4" t="s">
        <v>633</v>
      </c>
      <c r="C468" s="4" t="s">
        <v>634</v>
      </c>
    </row>
    <row r="469" customFormat="false" ht="12.8" hidden="false" customHeight="false" outlineLevel="0" collapsed="false">
      <c r="A469" s="3" t="n">
        <f aca="false">DATE(1990,11,20)</f>
        <v>33197</v>
      </c>
      <c r="B469" s="4" t="s">
        <v>635</v>
      </c>
      <c r="C469" s="4" t="s">
        <v>526</v>
      </c>
    </row>
    <row r="470" customFormat="false" ht="12.8" hidden="false" customHeight="false" outlineLevel="0" collapsed="false">
      <c r="A470" s="3" t="n">
        <f aca="false">DATE(1990,11,29)</f>
        <v>33206</v>
      </c>
      <c r="B470" s="4" t="s">
        <v>636</v>
      </c>
      <c r="C470" s="4" t="s">
        <v>637</v>
      </c>
    </row>
    <row r="471" customFormat="false" ht="12.8" hidden="false" customHeight="false" outlineLevel="0" collapsed="false">
      <c r="A471" s="3" t="n">
        <f aca="false">DATE(1990,12,1)</f>
        <v>33208</v>
      </c>
      <c r="B471" s="4" t="s">
        <v>638</v>
      </c>
      <c r="C471" s="4" t="s">
        <v>182</v>
      </c>
    </row>
    <row r="472" customFormat="false" ht="12.8" hidden="false" customHeight="false" outlineLevel="0" collapsed="false">
      <c r="A472" s="3" t="n">
        <f aca="false">DATE(1990,12,7)</f>
        <v>33214</v>
      </c>
      <c r="B472" s="4" t="s">
        <v>639</v>
      </c>
      <c r="C472" s="4" t="s">
        <v>105</v>
      </c>
    </row>
    <row r="473" customFormat="false" ht="12.8" hidden="false" customHeight="false" outlineLevel="0" collapsed="false">
      <c r="A473" s="3" t="n">
        <f aca="false">DATE(1990,12,10)</f>
        <v>33217</v>
      </c>
      <c r="B473" s="4" t="s">
        <v>640</v>
      </c>
      <c r="C473" s="4" t="s">
        <v>641</v>
      </c>
    </row>
    <row r="474" customFormat="false" ht="12.8" hidden="false" customHeight="false" outlineLevel="0" collapsed="false">
      <c r="A474" s="3" t="n">
        <f aca="false">DATE(1990,12,24)</f>
        <v>33231</v>
      </c>
      <c r="B474" s="4" t="s">
        <v>642</v>
      </c>
      <c r="C474" s="4" t="s">
        <v>643</v>
      </c>
    </row>
    <row r="475" customFormat="false" ht="12.8" hidden="false" customHeight="false" outlineLevel="0" collapsed="false">
      <c r="A475" s="3" t="n">
        <f aca="false">DATE(1990,12,26)</f>
        <v>33233</v>
      </c>
      <c r="B475" s="4" t="s">
        <v>644</v>
      </c>
      <c r="C475" s="4" t="s">
        <v>127</v>
      </c>
    </row>
    <row r="476" customFormat="false" ht="12.8" hidden="false" customHeight="false" outlineLevel="0" collapsed="false">
      <c r="A476" s="3" t="n">
        <f aca="false">DATE(1991,1,16)</f>
        <v>33254</v>
      </c>
      <c r="B476" s="4" t="s">
        <v>645</v>
      </c>
      <c r="C476" s="4" t="s">
        <v>127</v>
      </c>
    </row>
    <row r="477" customFormat="false" ht="12.8" hidden="false" customHeight="false" outlineLevel="0" collapsed="false">
      <c r="A477" s="3" t="n">
        <f aca="false">DATE(1991,1,31)</f>
        <v>33269</v>
      </c>
      <c r="B477" s="4" t="s">
        <v>646</v>
      </c>
      <c r="C477" s="4" t="s">
        <v>647</v>
      </c>
    </row>
    <row r="478" customFormat="false" ht="12.8" hidden="false" customHeight="false" outlineLevel="0" collapsed="false">
      <c r="A478" s="3" t="n">
        <f aca="false">DATE(1991,2,5)</f>
        <v>33274</v>
      </c>
      <c r="B478" s="4" t="s">
        <v>648</v>
      </c>
      <c r="C478" s="4" t="s">
        <v>647</v>
      </c>
    </row>
    <row r="479" customFormat="false" ht="12.8" hidden="false" customHeight="false" outlineLevel="0" collapsed="false">
      <c r="A479" s="3" t="n">
        <f aca="false">DATE(1991,2,18)</f>
        <v>33287</v>
      </c>
      <c r="B479" s="4" t="s">
        <v>649</v>
      </c>
      <c r="C479" s="4" t="s">
        <v>573</v>
      </c>
    </row>
    <row r="480" customFormat="false" ht="12.8" hidden="false" customHeight="false" outlineLevel="0" collapsed="false">
      <c r="A480" s="3" t="n">
        <f aca="false">DATE(1991,2,18)</f>
        <v>33287</v>
      </c>
      <c r="B480" s="4" t="s">
        <v>650</v>
      </c>
      <c r="C480" s="4" t="s">
        <v>127</v>
      </c>
    </row>
    <row r="481" customFormat="false" ht="12.8" hidden="false" customHeight="false" outlineLevel="0" collapsed="false">
      <c r="A481" s="3" t="n">
        <f aca="false">DATE(1991,2,19)</f>
        <v>33288</v>
      </c>
      <c r="B481" s="4" t="s">
        <v>651</v>
      </c>
      <c r="C481" s="4" t="s">
        <v>652</v>
      </c>
    </row>
    <row r="482" customFormat="false" ht="12.8" hidden="false" customHeight="false" outlineLevel="0" collapsed="false">
      <c r="A482" s="3" t="n">
        <f aca="false">DATE(1991,3,1)</f>
        <v>33298</v>
      </c>
      <c r="B482" s="4" t="s">
        <v>653</v>
      </c>
      <c r="C482" s="4" t="s">
        <v>50</v>
      </c>
    </row>
    <row r="483" customFormat="false" ht="12.8" hidden="false" customHeight="false" outlineLevel="0" collapsed="false">
      <c r="A483" s="3" t="n">
        <f aca="false">DATE(1991,3,4)</f>
        <v>33301</v>
      </c>
      <c r="B483" s="4" t="s">
        <v>654</v>
      </c>
      <c r="C483" s="4" t="s">
        <v>647</v>
      </c>
    </row>
    <row r="484" customFormat="false" ht="12.8" hidden="false" customHeight="false" outlineLevel="0" collapsed="false">
      <c r="A484" s="3" t="n">
        <f aca="false">DATE(1991,3,7)</f>
        <v>33304</v>
      </c>
      <c r="B484" s="4" t="s">
        <v>447</v>
      </c>
      <c r="C484" s="4" t="s">
        <v>298</v>
      </c>
    </row>
    <row r="485" customFormat="false" ht="12.8" hidden="false" customHeight="false" outlineLevel="0" collapsed="false">
      <c r="A485" s="3" t="n">
        <f aca="false">DATE(1991,3,11)</f>
        <v>33308</v>
      </c>
      <c r="B485" s="4" t="s">
        <v>655</v>
      </c>
      <c r="C485" s="4" t="s">
        <v>647</v>
      </c>
    </row>
    <row r="486" customFormat="false" ht="12.8" hidden="false" customHeight="false" outlineLevel="0" collapsed="false">
      <c r="A486" s="3" t="n">
        <f aca="false">DATE(1991,3,18)</f>
        <v>33315</v>
      </c>
      <c r="B486" s="4" t="s">
        <v>656</v>
      </c>
      <c r="C486" s="4" t="s">
        <v>626</v>
      </c>
    </row>
    <row r="487" customFormat="false" ht="12.8" hidden="false" customHeight="false" outlineLevel="0" collapsed="false">
      <c r="A487" s="3" t="n">
        <f aca="false">DATE(1991,3,25)</f>
        <v>33322</v>
      </c>
      <c r="B487" s="4" t="s">
        <v>450</v>
      </c>
      <c r="C487" s="4" t="s">
        <v>74</v>
      </c>
    </row>
    <row r="488" customFormat="false" ht="12.8" hidden="false" customHeight="false" outlineLevel="0" collapsed="false">
      <c r="A488" s="3" t="n">
        <f aca="false">DATE(1991,3,25)</f>
        <v>33322</v>
      </c>
      <c r="B488" s="4" t="s">
        <v>392</v>
      </c>
      <c r="C488" s="4" t="s">
        <v>127</v>
      </c>
    </row>
    <row r="489" customFormat="false" ht="12.8" hidden="false" customHeight="false" outlineLevel="0" collapsed="false">
      <c r="A489" s="3" t="n">
        <f aca="false">DATE(1991,3,26)</f>
        <v>33323</v>
      </c>
      <c r="B489" s="4" t="s">
        <v>657</v>
      </c>
      <c r="C489" s="4" t="s">
        <v>105</v>
      </c>
    </row>
    <row r="490" customFormat="false" ht="12.8" hidden="false" customHeight="false" outlineLevel="0" collapsed="false">
      <c r="A490" s="3" t="n">
        <f aca="false">DATE(1991,3,27)</f>
        <v>33324</v>
      </c>
      <c r="B490" s="4" t="s">
        <v>658</v>
      </c>
      <c r="C490" s="4" t="s">
        <v>156</v>
      </c>
    </row>
    <row r="491" customFormat="false" ht="12.8" hidden="false" customHeight="false" outlineLevel="0" collapsed="false">
      <c r="A491" s="3" t="n">
        <f aca="false">DATE(1991,4,12)</f>
        <v>33340</v>
      </c>
      <c r="B491" s="4" t="s">
        <v>659</v>
      </c>
      <c r="C491" s="4" t="s">
        <v>660</v>
      </c>
    </row>
    <row r="492" customFormat="false" ht="12.8" hidden="false" customHeight="false" outlineLevel="0" collapsed="false">
      <c r="A492" s="3" t="n">
        <f aca="false">DATE(1991,4,19)</f>
        <v>33347</v>
      </c>
      <c r="B492" s="4" t="s">
        <v>661</v>
      </c>
      <c r="C492" s="4" t="s">
        <v>84</v>
      </c>
    </row>
    <row r="493" customFormat="false" ht="12.8" hidden="false" customHeight="false" outlineLevel="0" collapsed="false">
      <c r="A493" s="3" t="n">
        <f aca="false">DATE(1991,4,29)</f>
        <v>33357</v>
      </c>
      <c r="B493" s="4" t="s">
        <v>662</v>
      </c>
      <c r="C493" s="4" t="s">
        <v>663</v>
      </c>
    </row>
    <row r="494" customFormat="false" ht="12.8" hidden="false" customHeight="false" outlineLevel="0" collapsed="false">
      <c r="A494" s="3" t="n">
        <f aca="false">DATE(1991,5,15)</f>
        <v>33373</v>
      </c>
      <c r="B494" s="4" t="s">
        <v>147</v>
      </c>
      <c r="C494" s="4" t="s">
        <v>517</v>
      </c>
    </row>
    <row r="495" customFormat="false" ht="12.8" hidden="false" customHeight="false" outlineLevel="0" collapsed="false">
      <c r="A495" s="3" t="n">
        <f aca="false">DATE(1991,5,20)</f>
        <v>33378</v>
      </c>
      <c r="B495" s="4" t="s">
        <v>147</v>
      </c>
      <c r="C495" s="4" t="s">
        <v>664</v>
      </c>
    </row>
    <row r="496" customFormat="false" ht="12.8" hidden="false" customHeight="false" outlineLevel="0" collapsed="false">
      <c r="A496" s="3" t="n">
        <f aca="false">DATE(1991,5,23)</f>
        <v>33381</v>
      </c>
      <c r="B496" s="4" t="s">
        <v>665</v>
      </c>
      <c r="C496" s="4" t="s">
        <v>614</v>
      </c>
    </row>
    <row r="497" customFormat="false" ht="12.8" hidden="false" customHeight="false" outlineLevel="0" collapsed="false">
      <c r="A497" s="3" t="n">
        <f aca="false">DATE(1991,6,3)</f>
        <v>33392</v>
      </c>
      <c r="B497" s="4" t="s">
        <v>585</v>
      </c>
      <c r="C497" s="4" t="s">
        <v>127</v>
      </c>
    </row>
    <row r="498" customFormat="false" ht="12.8" hidden="false" customHeight="false" outlineLevel="0" collapsed="false">
      <c r="A498" s="3" t="n">
        <f aca="false">DATE(1991,6,17)</f>
        <v>33406</v>
      </c>
      <c r="B498" s="4" t="s">
        <v>4</v>
      </c>
      <c r="C498" s="4" t="s">
        <v>58</v>
      </c>
    </row>
    <row r="499" customFormat="false" ht="12.8" hidden="false" customHeight="false" outlineLevel="0" collapsed="false">
      <c r="A499" s="3" t="n">
        <f aca="false">DATE(1991,6,20)</f>
        <v>33409</v>
      </c>
      <c r="B499" s="4" t="s">
        <v>666</v>
      </c>
      <c r="C499" s="4" t="s">
        <v>80</v>
      </c>
    </row>
    <row r="500" customFormat="false" ht="12.8" hidden="false" customHeight="false" outlineLevel="0" collapsed="false">
      <c r="A500" s="3" t="n">
        <f aca="false">DATE(1991,6,25)</f>
        <v>33414</v>
      </c>
      <c r="B500" s="4" t="s">
        <v>667</v>
      </c>
      <c r="C500" s="4" t="s">
        <v>79</v>
      </c>
    </row>
    <row r="501" customFormat="false" ht="12.8" hidden="false" customHeight="false" outlineLevel="0" collapsed="false">
      <c r="A501" s="3" t="n">
        <f aca="false">DATE(1991,6,27)</f>
        <v>33416</v>
      </c>
      <c r="B501" s="4" t="s">
        <v>668</v>
      </c>
      <c r="C501" s="4" t="s">
        <v>74</v>
      </c>
    </row>
    <row r="502" customFormat="false" ht="12.8" hidden="false" customHeight="false" outlineLevel="0" collapsed="false">
      <c r="A502" s="3" t="n">
        <f aca="false">DATE(1991,7,15)</f>
        <v>33434</v>
      </c>
      <c r="B502" s="4" t="s">
        <v>669</v>
      </c>
      <c r="C502" s="4" t="s">
        <v>207</v>
      </c>
    </row>
    <row r="503" customFormat="false" ht="12.8" hidden="false" customHeight="false" outlineLevel="0" collapsed="false">
      <c r="A503" s="3" t="n">
        <f aca="false">DATE(1991,7,22)</f>
        <v>33441</v>
      </c>
      <c r="B503" s="4" t="s">
        <v>670</v>
      </c>
      <c r="C503" s="4" t="s">
        <v>570</v>
      </c>
    </row>
    <row r="504" customFormat="false" ht="12.8" hidden="false" customHeight="false" outlineLevel="0" collapsed="false">
      <c r="A504" s="3" t="n">
        <f aca="false">DATE(1991,7,22)</f>
        <v>33441</v>
      </c>
      <c r="B504" s="4" t="s">
        <v>671</v>
      </c>
      <c r="C504" s="4" t="s">
        <v>626</v>
      </c>
    </row>
    <row r="505" customFormat="false" ht="12.8" hidden="false" customHeight="false" outlineLevel="0" collapsed="false">
      <c r="A505" s="3" t="n">
        <f aca="false">DATE(1991,7,23)</f>
        <v>33442</v>
      </c>
      <c r="B505" s="4" t="s">
        <v>672</v>
      </c>
      <c r="C505" s="4" t="s">
        <v>673</v>
      </c>
    </row>
    <row r="506" customFormat="false" ht="12.8" hidden="false" customHeight="false" outlineLevel="0" collapsed="false">
      <c r="A506" s="3" t="n">
        <f aca="false">DATE(1991,7,25)</f>
        <v>33444</v>
      </c>
      <c r="B506" s="4" t="s">
        <v>674</v>
      </c>
      <c r="C506" s="4" t="s">
        <v>673</v>
      </c>
    </row>
    <row r="507" customFormat="false" ht="12.8" hidden="false" customHeight="false" outlineLevel="0" collapsed="false">
      <c r="A507" s="3" t="n">
        <f aca="false">DATE(1991,7,26)</f>
        <v>33445</v>
      </c>
      <c r="B507" s="4" t="s">
        <v>675</v>
      </c>
      <c r="C507" s="4" t="s">
        <v>673</v>
      </c>
    </row>
    <row r="508" customFormat="false" ht="12.8" hidden="false" customHeight="false" outlineLevel="0" collapsed="false">
      <c r="A508" s="3" t="n">
        <f aca="false">DATE(1991,7,26)</f>
        <v>33445</v>
      </c>
      <c r="B508" s="4" t="s">
        <v>676</v>
      </c>
      <c r="C508" s="4" t="s">
        <v>169</v>
      </c>
    </row>
    <row r="509" customFormat="false" ht="12.8" hidden="false" customHeight="false" outlineLevel="0" collapsed="false">
      <c r="A509" s="3" t="n">
        <f aca="false">DATE(1991,7,31)</f>
        <v>33450</v>
      </c>
      <c r="B509" s="4" t="s">
        <v>352</v>
      </c>
      <c r="C509" s="4" t="s">
        <v>66</v>
      </c>
    </row>
    <row r="510" customFormat="false" ht="12.8" hidden="false" customHeight="false" outlineLevel="0" collapsed="false">
      <c r="A510" s="3" t="n">
        <f aca="false">DATE(1991,8,2)</f>
        <v>33452</v>
      </c>
      <c r="B510" s="4" t="s">
        <v>677</v>
      </c>
      <c r="C510" s="4" t="s">
        <v>621</v>
      </c>
    </row>
    <row r="511" customFormat="false" ht="12.8" hidden="false" customHeight="false" outlineLevel="0" collapsed="false">
      <c r="A511" s="3" t="n">
        <f aca="false">DATE(1991,8,5)</f>
        <v>33455</v>
      </c>
      <c r="B511" s="4" t="s">
        <v>678</v>
      </c>
      <c r="C511" s="4" t="s">
        <v>679</v>
      </c>
    </row>
    <row r="512" customFormat="false" ht="12.8" hidden="false" customHeight="false" outlineLevel="0" collapsed="false">
      <c r="A512" s="3" t="n">
        <f aca="false">DATE(1991,8,12)</f>
        <v>33462</v>
      </c>
      <c r="B512" s="4" t="s">
        <v>116</v>
      </c>
      <c r="C512" s="4" t="s">
        <v>66</v>
      </c>
    </row>
    <row r="513" customFormat="false" ht="12.8" hidden="false" customHeight="false" outlineLevel="0" collapsed="false">
      <c r="A513" s="3" t="n">
        <f aca="false">DATE(1991,8,13)</f>
        <v>33463</v>
      </c>
      <c r="B513" s="4" t="s">
        <v>680</v>
      </c>
      <c r="C513" s="4" t="s">
        <v>681</v>
      </c>
    </row>
    <row r="514" customFormat="false" ht="12.8" hidden="false" customHeight="false" outlineLevel="0" collapsed="false">
      <c r="A514" s="3" t="n">
        <f aca="false">DATE(1991,8,19)</f>
        <v>33469</v>
      </c>
      <c r="B514" s="4" t="s">
        <v>463</v>
      </c>
      <c r="C514" s="4" t="s">
        <v>682</v>
      </c>
    </row>
    <row r="515" customFormat="false" ht="12.8" hidden="false" customHeight="false" outlineLevel="0" collapsed="false">
      <c r="A515" s="3" t="n">
        <f aca="false">DATE(1991,8,22)</f>
        <v>33472</v>
      </c>
      <c r="B515" s="4" t="s">
        <v>683</v>
      </c>
      <c r="C515" s="4" t="s">
        <v>684</v>
      </c>
    </row>
    <row r="516" customFormat="false" ht="12.8" hidden="false" customHeight="false" outlineLevel="0" collapsed="false">
      <c r="A516" s="3" t="n">
        <f aca="false">DATE(1991,8,26)</f>
        <v>33476</v>
      </c>
      <c r="B516" s="4" t="s">
        <v>685</v>
      </c>
      <c r="C516" s="4" t="s">
        <v>204</v>
      </c>
    </row>
    <row r="517" customFormat="false" ht="12.8" hidden="false" customHeight="false" outlineLevel="0" collapsed="false">
      <c r="A517" s="3" t="n">
        <f aca="false">DATE(1991,8,29)</f>
        <v>33479</v>
      </c>
      <c r="B517" s="4" t="s">
        <v>686</v>
      </c>
      <c r="C517" s="4" t="s">
        <v>687</v>
      </c>
    </row>
    <row r="518" customFormat="false" ht="12.8" hidden="false" customHeight="false" outlineLevel="0" collapsed="false">
      <c r="A518" s="3" t="n">
        <f aca="false">DATE(1991,9,12)</f>
        <v>33493</v>
      </c>
      <c r="B518" s="4" t="s">
        <v>688</v>
      </c>
      <c r="C518" s="4" t="s">
        <v>298</v>
      </c>
    </row>
    <row r="519" customFormat="false" ht="12.8" hidden="false" customHeight="false" outlineLevel="0" collapsed="false">
      <c r="A519" s="3" t="n">
        <f aca="false">DATE(1991,9,12)</f>
        <v>33493</v>
      </c>
      <c r="B519" s="4" t="s">
        <v>56</v>
      </c>
      <c r="C519" s="4" t="s">
        <v>156</v>
      </c>
    </row>
    <row r="520" customFormat="false" ht="12.8" hidden="false" customHeight="false" outlineLevel="0" collapsed="false">
      <c r="A520" s="3" t="n">
        <f aca="false">DATE(1991,9,16)</f>
        <v>33497</v>
      </c>
      <c r="B520" s="4" t="s">
        <v>689</v>
      </c>
      <c r="C520" s="4" t="s">
        <v>240</v>
      </c>
    </row>
    <row r="521" customFormat="false" ht="12.8" hidden="false" customHeight="false" outlineLevel="0" collapsed="false">
      <c r="A521" s="3" t="n">
        <f aca="false">DATE(1991,9,19)</f>
        <v>33500</v>
      </c>
      <c r="B521" s="4" t="s">
        <v>690</v>
      </c>
      <c r="C521" s="4" t="s">
        <v>691</v>
      </c>
    </row>
    <row r="522" customFormat="false" ht="12.8" hidden="false" customHeight="false" outlineLevel="0" collapsed="false">
      <c r="A522" s="3" t="n">
        <f aca="false">DATE(1991,9,25)</f>
        <v>33506</v>
      </c>
      <c r="B522" s="4" t="s">
        <v>692</v>
      </c>
      <c r="C522" s="4" t="s">
        <v>269</v>
      </c>
    </row>
    <row r="523" customFormat="false" ht="12.8" hidden="false" customHeight="false" outlineLevel="0" collapsed="false">
      <c r="A523" s="3" t="n">
        <f aca="false">DATE(1991,10,10)</f>
        <v>33521</v>
      </c>
      <c r="B523" s="4" t="s">
        <v>693</v>
      </c>
      <c r="C523" s="4" t="s">
        <v>367</v>
      </c>
    </row>
    <row r="524" customFormat="false" ht="12.8" hidden="false" customHeight="false" outlineLevel="0" collapsed="false">
      <c r="A524" s="3" t="n">
        <f aca="false">DATE(1991,10,11)</f>
        <v>33522</v>
      </c>
      <c r="B524" s="4" t="s">
        <v>694</v>
      </c>
      <c r="C524" s="4" t="s">
        <v>50</v>
      </c>
    </row>
    <row r="525" customFormat="false" ht="12.8" hidden="false" customHeight="false" outlineLevel="0" collapsed="false">
      <c r="A525" s="3" t="n">
        <f aca="false">DATE(1991,10,15)</f>
        <v>33526</v>
      </c>
      <c r="B525" s="4" t="s">
        <v>695</v>
      </c>
      <c r="C525" s="4" t="s">
        <v>696</v>
      </c>
    </row>
    <row r="526" customFormat="false" ht="12.8" hidden="false" customHeight="false" outlineLevel="0" collapsed="false">
      <c r="A526" s="3" t="n">
        <f aca="false">DATE(1991,10,21)</f>
        <v>33532</v>
      </c>
      <c r="B526" s="4" t="s">
        <v>697</v>
      </c>
      <c r="C526" s="4" t="s">
        <v>367</v>
      </c>
    </row>
    <row r="527" customFormat="false" ht="12.8" hidden="false" customHeight="false" outlineLevel="0" collapsed="false">
      <c r="A527" s="3" t="n">
        <f aca="false">DATE(1991,10,25)</f>
        <v>33536</v>
      </c>
      <c r="B527" s="4" t="s">
        <v>698</v>
      </c>
      <c r="C527" s="4" t="s">
        <v>699</v>
      </c>
    </row>
    <row r="528" customFormat="false" ht="12.8" hidden="false" customHeight="false" outlineLevel="0" collapsed="false">
      <c r="A528" s="3" t="n">
        <f aca="false">DATE(1991,10,25)</f>
        <v>33536</v>
      </c>
      <c r="B528" s="4" t="s">
        <v>700</v>
      </c>
      <c r="C528" s="4" t="s">
        <v>141</v>
      </c>
    </row>
    <row r="529" customFormat="false" ht="12.8" hidden="false" customHeight="false" outlineLevel="0" collapsed="false">
      <c r="A529" s="3" t="n">
        <f aca="false">DATE(1991,10,28)</f>
        <v>33539</v>
      </c>
      <c r="B529" s="4" t="s">
        <v>338</v>
      </c>
      <c r="C529" s="4" t="s">
        <v>44</v>
      </c>
    </row>
    <row r="530" customFormat="false" ht="12.8" hidden="false" customHeight="false" outlineLevel="0" collapsed="false">
      <c r="A530" s="3" t="n">
        <f aca="false">DATE(1991,10,29)</f>
        <v>33540</v>
      </c>
      <c r="B530" s="4" t="s">
        <v>701</v>
      </c>
      <c r="C530" s="4" t="s">
        <v>702</v>
      </c>
    </row>
    <row r="531" customFormat="false" ht="12.8" hidden="false" customHeight="false" outlineLevel="0" collapsed="false">
      <c r="A531" s="3" t="n">
        <f aca="false">DATE(1991,10,29)</f>
        <v>33540</v>
      </c>
      <c r="B531" s="4" t="s">
        <v>703</v>
      </c>
      <c r="C531" s="4" t="s">
        <v>682</v>
      </c>
    </row>
    <row r="532" customFormat="false" ht="12.8" hidden="false" customHeight="false" outlineLevel="0" collapsed="false">
      <c r="A532" s="3" t="n">
        <f aca="false">DATE(1991,10,30)</f>
        <v>33541</v>
      </c>
      <c r="B532" s="4" t="s">
        <v>326</v>
      </c>
      <c r="C532" s="4" t="s">
        <v>664</v>
      </c>
    </row>
    <row r="533" customFormat="false" ht="12.8" hidden="false" customHeight="false" outlineLevel="0" collapsed="false">
      <c r="A533" s="3" t="n">
        <f aca="false">DATE(1991,10,31)</f>
        <v>33542</v>
      </c>
      <c r="B533" s="4" t="s">
        <v>704</v>
      </c>
      <c r="C533" s="4" t="s">
        <v>641</v>
      </c>
    </row>
    <row r="534" customFormat="false" ht="12.8" hidden="false" customHeight="false" outlineLevel="0" collapsed="false">
      <c r="A534" s="3" t="n">
        <f aca="false">DATE(1991,11,1)</f>
        <v>33543</v>
      </c>
      <c r="B534" s="4" t="s">
        <v>705</v>
      </c>
      <c r="C534" s="4" t="s">
        <v>548</v>
      </c>
    </row>
    <row r="535" customFormat="false" ht="12.8" hidden="false" customHeight="false" outlineLevel="0" collapsed="false">
      <c r="A535" s="3" t="n">
        <f aca="false">DATE(1991,11,12)</f>
        <v>33554</v>
      </c>
      <c r="B535" s="4" t="s">
        <v>706</v>
      </c>
      <c r="C535" s="4" t="s">
        <v>681</v>
      </c>
    </row>
    <row r="536" customFormat="false" ht="12.8" hidden="false" customHeight="false" outlineLevel="0" collapsed="false">
      <c r="A536" s="3" t="n">
        <f aca="false">DATE(1991,11,21)</f>
        <v>33563</v>
      </c>
      <c r="B536" s="4" t="s">
        <v>707</v>
      </c>
      <c r="C536" s="4" t="s">
        <v>708</v>
      </c>
    </row>
    <row r="537" customFormat="false" ht="12.8" hidden="false" customHeight="false" outlineLevel="0" collapsed="false">
      <c r="A537" s="3" t="n">
        <f aca="false">DATE(1991,11,21)</f>
        <v>33563</v>
      </c>
      <c r="B537" s="4" t="s">
        <v>709</v>
      </c>
      <c r="C537" s="4" t="s">
        <v>202</v>
      </c>
    </row>
    <row r="538" customFormat="false" ht="12.8" hidden="false" customHeight="false" outlineLevel="0" collapsed="false">
      <c r="A538" s="3" t="n">
        <f aca="false">DATE(1991,11,25)</f>
        <v>33567</v>
      </c>
      <c r="B538" s="4" t="s">
        <v>710</v>
      </c>
      <c r="C538" s="4" t="s">
        <v>660</v>
      </c>
    </row>
    <row r="539" customFormat="false" ht="12.8" hidden="false" customHeight="false" outlineLevel="0" collapsed="false">
      <c r="A539" s="3" t="n">
        <f aca="false">DATE(1991,11,25)</f>
        <v>33567</v>
      </c>
      <c r="B539" s="4" t="s">
        <v>711</v>
      </c>
      <c r="C539" s="4" t="s">
        <v>156</v>
      </c>
    </row>
    <row r="540" customFormat="false" ht="12.8" hidden="false" customHeight="false" outlineLevel="0" collapsed="false">
      <c r="A540" s="3" t="n">
        <f aca="false">DATE(1991,11,26)</f>
        <v>33568</v>
      </c>
      <c r="B540" s="4" t="s">
        <v>712</v>
      </c>
      <c r="C540" s="4" t="s">
        <v>713</v>
      </c>
    </row>
    <row r="541" customFormat="false" ht="12.8" hidden="false" customHeight="false" outlineLevel="0" collapsed="false">
      <c r="A541" s="3" t="n">
        <f aca="false">DATE(1991,11,27)</f>
        <v>33569</v>
      </c>
      <c r="B541" s="4" t="s">
        <v>714</v>
      </c>
      <c r="C541" s="4" t="s">
        <v>127</v>
      </c>
    </row>
    <row r="542" customFormat="false" ht="12.8" hidden="false" customHeight="false" outlineLevel="0" collapsed="false">
      <c r="A542" s="3" t="n">
        <f aca="false">DATE(1991,12,2)</f>
        <v>33574</v>
      </c>
      <c r="B542" s="4" t="s">
        <v>715</v>
      </c>
      <c r="C542" s="4" t="s">
        <v>663</v>
      </c>
    </row>
    <row r="543" customFormat="false" ht="12.8" hidden="false" customHeight="false" outlineLevel="0" collapsed="false">
      <c r="A543" s="3" t="n">
        <f aca="false">DATE(1991,12,3)</f>
        <v>33575</v>
      </c>
      <c r="B543" s="4" t="s">
        <v>716</v>
      </c>
      <c r="C543" s="4" t="s">
        <v>303</v>
      </c>
    </row>
    <row r="544" customFormat="false" ht="12.8" hidden="false" customHeight="false" outlineLevel="0" collapsed="false">
      <c r="A544" s="3" t="n">
        <f aca="false">DATE(1991,12,6)</f>
        <v>33578</v>
      </c>
      <c r="B544" s="4" t="s">
        <v>717</v>
      </c>
      <c r="C544" s="4" t="s">
        <v>511</v>
      </c>
    </row>
    <row r="545" customFormat="false" ht="12.8" hidden="false" customHeight="false" outlineLevel="0" collapsed="false">
      <c r="A545" s="3" t="n">
        <f aca="false">DATE(1991,12,11)</f>
        <v>33583</v>
      </c>
      <c r="B545" s="4" t="s">
        <v>718</v>
      </c>
      <c r="C545" s="4" t="s">
        <v>240</v>
      </c>
    </row>
    <row r="546" customFormat="false" ht="12.8" hidden="false" customHeight="false" outlineLevel="0" collapsed="false">
      <c r="A546" s="3" t="n">
        <f aca="false">DATE(1991,12,11)</f>
        <v>33583</v>
      </c>
      <c r="B546" s="4" t="s">
        <v>719</v>
      </c>
      <c r="C546" s="4" t="s">
        <v>526</v>
      </c>
    </row>
    <row r="547" customFormat="false" ht="12.8" hidden="false" customHeight="false" outlineLevel="0" collapsed="false">
      <c r="A547" s="3" t="n">
        <f aca="false">DATE(1991,12,12)</f>
        <v>33584</v>
      </c>
      <c r="B547" s="4" t="s">
        <v>720</v>
      </c>
      <c r="C547" s="4" t="s">
        <v>440</v>
      </c>
    </row>
    <row r="548" customFormat="false" ht="12.8" hidden="false" customHeight="false" outlineLevel="0" collapsed="false">
      <c r="A548" s="3" t="n">
        <f aca="false">DATE(1991,12,16)</f>
        <v>33588</v>
      </c>
      <c r="B548" s="4" t="s">
        <v>721</v>
      </c>
      <c r="C548" s="4" t="s">
        <v>332</v>
      </c>
    </row>
    <row r="549" customFormat="false" ht="12.8" hidden="false" customHeight="false" outlineLevel="0" collapsed="false">
      <c r="A549" s="3" t="n">
        <f aca="false">DATE(1991,12,17)</f>
        <v>33589</v>
      </c>
      <c r="B549" s="4" t="s">
        <v>722</v>
      </c>
      <c r="C549" s="4" t="s">
        <v>580</v>
      </c>
    </row>
    <row r="550" customFormat="false" ht="12.8" hidden="false" customHeight="false" outlineLevel="0" collapsed="false">
      <c r="A550" s="3" t="n">
        <f aca="false">DATE(1991,12,17)</f>
        <v>33589</v>
      </c>
      <c r="B550" s="4" t="s">
        <v>723</v>
      </c>
      <c r="C550" s="4" t="s">
        <v>130</v>
      </c>
    </row>
    <row r="551" customFormat="false" ht="12.8" hidden="false" customHeight="false" outlineLevel="0" collapsed="false">
      <c r="A551" s="3" t="n">
        <f aca="false">DATE(1991,12,17)</f>
        <v>33589</v>
      </c>
      <c r="B551" s="4" t="s">
        <v>724</v>
      </c>
      <c r="C551" s="4" t="s">
        <v>532</v>
      </c>
    </row>
    <row r="552" customFormat="false" ht="12.8" hidden="false" customHeight="false" outlineLevel="0" collapsed="false">
      <c r="A552" s="3" t="n">
        <f aca="false">DATE(1991,12,18)</f>
        <v>33590</v>
      </c>
      <c r="B552" s="4" t="s">
        <v>725</v>
      </c>
      <c r="C552" s="4" t="s">
        <v>726</v>
      </c>
    </row>
    <row r="553" customFormat="false" ht="12.8" hidden="false" customHeight="false" outlineLevel="0" collapsed="false">
      <c r="A553" s="3" t="n">
        <f aca="false">DATE(1991,12,19)</f>
        <v>33591</v>
      </c>
      <c r="B553" s="4" t="s">
        <v>727</v>
      </c>
      <c r="C553" s="4" t="s">
        <v>127</v>
      </c>
    </row>
    <row r="554" customFormat="false" ht="12.8" hidden="false" customHeight="false" outlineLevel="0" collapsed="false">
      <c r="A554" s="3" t="n">
        <f aca="false">DATE(1991,12,20)</f>
        <v>33592</v>
      </c>
      <c r="B554" s="4" t="s">
        <v>160</v>
      </c>
      <c r="C554" s="4" t="s">
        <v>74</v>
      </c>
    </row>
    <row r="555" customFormat="false" ht="12.8" hidden="false" customHeight="false" outlineLevel="0" collapsed="false">
      <c r="A555" s="3" t="n">
        <f aca="false">DATE(1991,12,30)</f>
        <v>33602</v>
      </c>
      <c r="B555" s="4" t="s">
        <v>18</v>
      </c>
      <c r="C555" s="4" t="s">
        <v>127</v>
      </c>
    </row>
    <row r="556" customFormat="false" ht="12.8" hidden="false" customHeight="false" outlineLevel="0" collapsed="false">
      <c r="A556" s="3" t="n">
        <f aca="false">DATE(1992,1,7)</f>
        <v>33610</v>
      </c>
      <c r="B556" s="4" t="s">
        <v>728</v>
      </c>
      <c r="C556" s="4" t="s">
        <v>647</v>
      </c>
    </row>
    <row r="557" customFormat="false" ht="12.8" hidden="false" customHeight="false" outlineLevel="0" collapsed="false">
      <c r="A557" s="3" t="n">
        <f aca="false">DATE(1992,1,16)</f>
        <v>33619</v>
      </c>
      <c r="B557" s="4" t="s">
        <v>729</v>
      </c>
      <c r="C557" s="4" t="s">
        <v>321</v>
      </c>
    </row>
    <row r="558" customFormat="false" ht="12.8" hidden="false" customHeight="false" outlineLevel="0" collapsed="false">
      <c r="A558" s="3" t="n">
        <f aca="false">DATE(1992,1,17)</f>
        <v>33620</v>
      </c>
      <c r="B558" s="4" t="s">
        <v>730</v>
      </c>
      <c r="C558" s="4" t="s">
        <v>240</v>
      </c>
    </row>
    <row r="559" customFormat="false" ht="12.8" hidden="false" customHeight="false" outlineLevel="0" collapsed="false">
      <c r="A559" s="3" t="n">
        <f aca="false">DATE(1992,1,20)</f>
        <v>33623</v>
      </c>
      <c r="B559" s="4" t="s">
        <v>731</v>
      </c>
      <c r="C559" s="4" t="s">
        <v>60</v>
      </c>
    </row>
    <row r="560" customFormat="false" ht="12.8" hidden="false" customHeight="false" outlineLevel="0" collapsed="false">
      <c r="A560" s="3" t="n">
        <f aca="false">DATE(1992,1,23)</f>
        <v>33626</v>
      </c>
      <c r="B560" s="4" t="s">
        <v>732</v>
      </c>
      <c r="C560" s="4" t="s">
        <v>526</v>
      </c>
    </row>
    <row r="561" customFormat="false" ht="12.8" hidden="false" customHeight="false" outlineLevel="0" collapsed="false">
      <c r="A561" s="3" t="n">
        <f aca="false">DATE(1992,1,27)</f>
        <v>33630</v>
      </c>
      <c r="B561" s="4" t="s">
        <v>733</v>
      </c>
      <c r="C561" s="4" t="s">
        <v>734</v>
      </c>
    </row>
    <row r="562" customFormat="false" ht="12.8" hidden="false" customHeight="false" outlineLevel="0" collapsed="false">
      <c r="A562" s="3" t="n">
        <f aca="false">DATE(1992,1,27)</f>
        <v>33630</v>
      </c>
      <c r="B562" s="4" t="s">
        <v>735</v>
      </c>
      <c r="C562" s="4" t="s">
        <v>564</v>
      </c>
    </row>
    <row r="563" customFormat="false" ht="12.8" hidden="false" customHeight="false" outlineLevel="0" collapsed="false">
      <c r="A563" s="3" t="n">
        <f aca="false">DATE(1992,1,29)</f>
        <v>33632</v>
      </c>
      <c r="B563" s="4" t="s">
        <v>736</v>
      </c>
      <c r="C563" s="4" t="s">
        <v>204</v>
      </c>
    </row>
    <row r="564" customFormat="false" ht="12.8" hidden="false" customHeight="false" outlineLevel="0" collapsed="false">
      <c r="A564" s="3" t="n">
        <f aca="false">DATE(1992,2,4)</f>
        <v>33638</v>
      </c>
      <c r="B564" s="4" t="s">
        <v>623</v>
      </c>
      <c r="C564" s="4" t="s">
        <v>225</v>
      </c>
    </row>
    <row r="565" customFormat="false" ht="12.8" hidden="false" customHeight="false" outlineLevel="0" collapsed="false">
      <c r="A565" s="3" t="n">
        <f aca="false">DATE(1992,2,6)</f>
        <v>33640</v>
      </c>
      <c r="B565" s="4" t="s">
        <v>737</v>
      </c>
      <c r="C565" s="4" t="s">
        <v>127</v>
      </c>
    </row>
    <row r="566" customFormat="false" ht="12.8" hidden="false" customHeight="false" outlineLevel="0" collapsed="false">
      <c r="A566" s="3" t="n">
        <f aca="false">DATE(1992,2,14)</f>
        <v>33648</v>
      </c>
      <c r="B566" s="4" t="s">
        <v>738</v>
      </c>
      <c r="C566" s="4" t="s">
        <v>221</v>
      </c>
    </row>
    <row r="567" customFormat="false" ht="12.8" hidden="false" customHeight="false" outlineLevel="0" collapsed="false">
      <c r="A567" s="3" t="n">
        <f aca="false">DATE(1992,2,17)</f>
        <v>33651</v>
      </c>
      <c r="B567" s="4" t="s">
        <v>739</v>
      </c>
      <c r="C567" s="4" t="s">
        <v>740</v>
      </c>
    </row>
    <row r="568" customFormat="false" ht="12.8" hidden="false" customHeight="false" outlineLevel="0" collapsed="false">
      <c r="A568" s="3" t="n">
        <f aca="false">DATE(1992,2,18)</f>
        <v>33652</v>
      </c>
      <c r="B568" s="4" t="s">
        <v>741</v>
      </c>
      <c r="C568" s="4" t="s">
        <v>127</v>
      </c>
    </row>
    <row r="569" customFormat="false" ht="12.8" hidden="false" customHeight="false" outlineLevel="0" collapsed="false">
      <c r="A569" s="3" t="n">
        <f aca="false">DATE(1992,2,20)</f>
        <v>33654</v>
      </c>
      <c r="B569" s="4" t="s">
        <v>742</v>
      </c>
      <c r="C569" s="4" t="s">
        <v>626</v>
      </c>
    </row>
    <row r="570" customFormat="false" ht="12.8" hidden="false" customHeight="false" outlineLevel="0" collapsed="false">
      <c r="A570" s="3" t="n">
        <f aca="false">DATE(1992,2,24)</f>
        <v>33658</v>
      </c>
      <c r="B570" s="4" t="s">
        <v>743</v>
      </c>
      <c r="C570" s="4" t="s">
        <v>744</v>
      </c>
    </row>
    <row r="571" customFormat="false" ht="12.8" hidden="false" customHeight="false" outlineLevel="0" collapsed="false">
      <c r="A571" s="3" t="n">
        <f aca="false">DATE(1992,2,25)</f>
        <v>33659</v>
      </c>
      <c r="B571" s="4" t="s">
        <v>745</v>
      </c>
      <c r="C571" s="4" t="s">
        <v>524</v>
      </c>
    </row>
    <row r="572" customFormat="false" ht="12.8" hidden="false" customHeight="false" outlineLevel="0" collapsed="false">
      <c r="A572" s="3" t="n">
        <f aca="false">DATE(1992,2,26)</f>
        <v>33660</v>
      </c>
      <c r="B572" s="4" t="s">
        <v>746</v>
      </c>
      <c r="C572" s="4" t="s">
        <v>647</v>
      </c>
    </row>
    <row r="573" customFormat="false" ht="12.8" hidden="false" customHeight="false" outlineLevel="0" collapsed="false">
      <c r="A573" s="3" t="n">
        <f aca="false">DATE(1992,2,27)</f>
        <v>33661</v>
      </c>
      <c r="B573" s="4" t="s">
        <v>747</v>
      </c>
      <c r="C573" s="4" t="s">
        <v>748</v>
      </c>
    </row>
    <row r="574" customFormat="false" ht="12.8" hidden="false" customHeight="false" outlineLevel="0" collapsed="false">
      <c r="A574" s="3" t="n">
        <f aca="false">DATE(1992,2,28)</f>
        <v>33662</v>
      </c>
      <c r="B574" s="4" t="s">
        <v>749</v>
      </c>
      <c r="C574" s="4" t="s">
        <v>750</v>
      </c>
    </row>
    <row r="575" customFormat="false" ht="12.8" hidden="false" customHeight="false" outlineLevel="0" collapsed="false">
      <c r="A575" s="3" t="n">
        <f aca="false">DATE(1992,3,4)</f>
        <v>33667</v>
      </c>
      <c r="B575" s="4" t="s">
        <v>204</v>
      </c>
      <c r="C575" s="4" t="s">
        <v>141</v>
      </c>
    </row>
    <row r="576" customFormat="false" ht="12.8" hidden="false" customHeight="false" outlineLevel="0" collapsed="false">
      <c r="A576" s="3" t="n">
        <f aca="false">DATE(1992,3,5)</f>
        <v>33668</v>
      </c>
      <c r="B576" s="4" t="s">
        <v>359</v>
      </c>
      <c r="C576" s="4" t="s">
        <v>50</v>
      </c>
    </row>
    <row r="577" customFormat="false" ht="12.8" hidden="false" customHeight="false" outlineLevel="0" collapsed="false">
      <c r="A577" s="3" t="n">
        <f aca="false">DATE(1992,3,18)</f>
        <v>33681</v>
      </c>
      <c r="B577" s="4" t="s">
        <v>499</v>
      </c>
      <c r="C577" s="4" t="s">
        <v>74</v>
      </c>
    </row>
    <row r="578" customFormat="false" ht="12.8" hidden="false" customHeight="false" outlineLevel="0" collapsed="false">
      <c r="A578" s="3" t="n">
        <f aca="false">DATE(1992,3,20)</f>
        <v>33683</v>
      </c>
      <c r="B578" s="4" t="s">
        <v>751</v>
      </c>
      <c r="C578" s="4" t="s">
        <v>752</v>
      </c>
    </row>
    <row r="579" customFormat="false" ht="12.8" hidden="false" customHeight="false" outlineLevel="0" collapsed="false">
      <c r="A579" s="3" t="n">
        <f aca="false">DATE(1992,3,23)</f>
        <v>33686</v>
      </c>
      <c r="B579" s="4" t="s">
        <v>753</v>
      </c>
      <c r="C579" s="4" t="s">
        <v>127</v>
      </c>
    </row>
    <row r="580" customFormat="false" ht="12.8" hidden="false" customHeight="false" outlineLevel="0" collapsed="false">
      <c r="A580" s="3" t="n">
        <f aca="false">DATE(1992,3,25)</f>
        <v>33688</v>
      </c>
      <c r="B580" s="4" t="s">
        <v>754</v>
      </c>
      <c r="C580" s="4" t="s">
        <v>130</v>
      </c>
    </row>
    <row r="581" customFormat="false" ht="12.8" hidden="false" customHeight="false" outlineLevel="0" collapsed="false">
      <c r="A581" s="3" t="n">
        <f aca="false">DATE(1992,3,26)</f>
        <v>33689</v>
      </c>
      <c r="B581" s="4" t="s">
        <v>755</v>
      </c>
      <c r="C581" s="4" t="s">
        <v>756</v>
      </c>
    </row>
    <row r="582" customFormat="false" ht="12.8" hidden="false" customHeight="false" outlineLevel="0" collapsed="false">
      <c r="A582" s="3" t="n">
        <f aca="false">DATE(1992,3,27)</f>
        <v>33690</v>
      </c>
      <c r="B582" s="4" t="s">
        <v>757</v>
      </c>
      <c r="C582" s="4" t="s">
        <v>758</v>
      </c>
    </row>
    <row r="583" customFormat="false" ht="12.8" hidden="false" customHeight="false" outlineLevel="0" collapsed="false">
      <c r="A583" s="3" t="n">
        <f aca="false">DATE(1992,4,2)</f>
        <v>33696</v>
      </c>
      <c r="B583" s="4" t="s">
        <v>699</v>
      </c>
      <c r="C583" s="4" t="s">
        <v>267</v>
      </c>
    </row>
    <row r="584" customFormat="false" ht="12.8" hidden="false" customHeight="false" outlineLevel="0" collapsed="false">
      <c r="A584" s="3" t="n">
        <f aca="false">DATE(1992,4,7)</f>
        <v>33701</v>
      </c>
      <c r="B584" s="4" t="s">
        <v>759</v>
      </c>
      <c r="C584" s="4" t="s">
        <v>560</v>
      </c>
    </row>
    <row r="585" customFormat="false" ht="12.8" hidden="false" customHeight="false" outlineLevel="0" collapsed="false">
      <c r="A585" s="3" t="n">
        <f aca="false">DATE(1992,4,14)</f>
        <v>33708</v>
      </c>
      <c r="B585" s="4" t="s">
        <v>289</v>
      </c>
      <c r="C585" s="4" t="s">
        <v>127</v>
      </c>
    </row>
    <row r="586" customFormat="false" ht="12.8" hidden="false" customHeight="false" outlineLevel="0" collapsed="false">
      <c r="A586" s="3" t="n">
        <f aca="false">DATE(1992,4,20)</f>
        <v>33714</v>
      </c>
      <c r="B586" s="4" t="s">
        <v>760</v>
      </c>
      <c r="C586" s="4" t="s">
        <v>761</v>
      </c>
    </row>
    <row r="587" customFormat="false" ht="12.8" hidden="false" customHeight="false" outlineLevel="0" collapsed="false">
      <c r="A587" s="3" t="n">
        <f aca="false">DATE(1992,4,23)</f>
        <v>33717</v>
      </c>
      <c r="B587" s="4" t="s">
        <v>762</v>
      </c>
      <c r="C587" s="4" t="s">
        <v>459</v>
      </c>
    </row>
    <row r="588" customFormat="false" ht="12.8" hidden="false" customHeight="false" outlineLevel="0" collapsed="false">
      <c r="A588" s="3" t="n">
        <f aca="false">DATE(1992,4,27)</f>
        <v>33721</v>
      </c>
      <c r="B588" s="4" t="s">
        <v>763</v>
      </c>
      <c r="C588" s="4" t="s">
        <v>532</v>
      </c>
    </row>
    <row r="589" customFormat="false" ht="12.8" hidden="false" customHeight="false" outlineLevel="0" collapsed="false">
      <c r="A589" s="3" t="n">
        <f aca="false">DATE(1992,5,1)</f>
        <v>33725</v>
      </c>
      <c r="B589" s="4" t="s">
        <v>447</v>
      </c>
      <c r="C589" s="4" t="s">
        <v>298</v>
      </c>
    </row>
    <row r="590" customFormat="false" ht="12.8" hidden="false" customHeight="false" outlineLevel="0" collapsed="false">
      <c r="A590" s="3" t="n">
        <f aca="false">DATE(1992,5,5)</f>
        <v>33729</v>
      </c>
      <c r="B590" s="4" t="s">
        <v>764</v>
      </c>
      <c r="C590" s="4" t="s">
        <v>647</v>
      </c>
    </row>
    <row r="591" customFormat="false" ht="12.8" hidden="false" customHeight="false" outlineLevel="0" collapsed="false">
      <c r="A591" s="3" t="n">
        <f aca="false">DATE(1992,5,8)</f>
        <v>33732</v>
      </c>
      <c r="B591" s="4" t="s">
        <v>765</v>
      </c>
      <c r="C591" s="4" t="s">
        <v>647</v>
      </c>
    </row>
    <row r="592" customFormat="false" ht="12.8" hidden="false" customHeight="false" outlineLevel="0" collapsed="false">
      <c r="A592" s="3" t="n">
        <f aca="false">DATE(1992,5,13)</f>
        <v>33737</v>
      </c>
      <c r="B592" s="4" t="s">
        <v>766</v>
      </c>
      <c r="C592" s="4" t="s">
        <v>767</v>
      </c>
    </row>
    <row r="593" customFormat="false" ht="12.8" hidden="false" customHeight="false" outlineLevel="0" collapsed="false">
      <c r="A593" s="3" t="n">
        <f aca="false">DATE(1992,5,18)</f>
        <v>33742</v>
      </c>
      <c r="B593" s="4" t="s">
        <v>8</v>
      </c>
      <c r="C593" s="4" t="s">
        <v>269</v>
      </c>
    </row>
    <row r="594" customFormat="false" ht="12.8" hidden="false" customHeight="false" outlineLevel="0" collapsed="false">
      <c r="A594" s="3" t="n">
        <f aca="false">DATE(1992,5,18)</f>
        <v>33742</v>
      </c>
      <c r="B594" s="4" t="s">
        <v>8</v>
      </c>
      <c r="C594" s="4" t="s">
        <v>388</v>
      </c>
    </row>
    <row r="595" customFormat="false" ht="12.8" hidden="false" customHeight="false" outlineLevel="0" collapsed="false">
      <c r="A595" s="3" t="n">
        <f aca="false">DATE(1992,5,18)</f>
        <v>33742</v>
      </c>
      <c r="B595" s="4" t="s">
        <v>8</v>
      </c>
      <c r="C595" s="4" t="s">
        <v>58</v>
      </c>
    </row>
    <row r="596" customFormat="false" ht="12.8" hidden="false" customHeight="false" outlineLevel="0" collapsed="false">
      <c r="A596" s="3" t="n">
        <f aca="false">DATE(1992,5,22)</f>
        <v>33746</v>
      </c>
      <c r="B596" s="4" t="s">
        <v>768</v>
      </c>
      <c r="C596" s="4" t="s">
        <v>84</v>
      </c>
    </row>
    <row r="597" customFormat="false" ht="12.8" hidden="false" customHeight="false" outlineLevel="0" collapsed="false">
      <c r="A597" s="3" t="n">
        <f aca="false">DATE(1992,6,1)</f>
        <v>33756</v>
      </c>
      <c r="B597" s="4" t="s">
        <v>769</v>
      </c>
      <c r="C597" s="4" t="s">
        <v>770</v>
      </c>
    </row>
    <row r="598" customFormat="false" ht="12.8" hidden="false" customHeight="false" outlineLevel="0" collapsed="false">
      <c r="A598" s="3" t="n">
        <f aca="false">DATE(1992,6,2)</f>
        <v>33757</v>
      </c>
      <c r="B598" s="4" t="s">
        <v>771</v>
      </c>
      <c r="C598" s="4" t="s">
        <v>377</v>
      </c>
    </row>
    <row r="599" customFormat="false" ht="12.8" hidden="false" customHeight="false" outlineLevel="0" collapsed="false">
      <c r="A599" s="3" t="n">
        <f aca="false">DATE(1992,6,5)</f>
        <v>33760</v>
      </c>
      <c r="B599" s="4" t="s">
        <v>332</v>
      </c>
      <c r="C599" s="4" t="s">
        <v>127</v>
      </c>
    </row>
    <row r="600" customFormat="false" ht="12.8" hidden="false" customHeight="false" outlineLevel="0" collapsed="false">
      <c r="A600" s="3" t="n">
        <f aca="false">DATE(1992,6,5)</f>
        <v>33760</v>
      </c>
      <c r="B600" s="4" t="s">
        <v>332</v>
      </c>
      <c r="C600" s="4" t="s">
        <v>139</v>
      </c>
    </row>
    <row r="601" customFormat="false" ht="12.8" hidden="false" customHeight="false" outlineLevel="0" collapsed="false">
      <c r="A601" s="3" t="n">
        <f aca="false">DATE(1992,6,8)</f>
        <v>33763</v>
      </c>
      <c r="B601" s="4" t="s">
        <v>772</v>
      </c>
      <c r="C601" s="4" t="s">
        <v>773</v>
      </c>
    </row>
    <row r="602" customFormat="false" ht="12.8" hidden="false" customHeight="false" outlineLevel="0" collapsed="false">
      <c r="A602" s="3" t="n">
        <f aca="false">DATE(1992,6,16)</f>
        <v>33771</v>
      </c>
      <c r="B602" s="4" t="s">
        <v>774</v>
      </c>
      <c r="C602" s="4" t="s">
        <v>440</v>
      </c>
    </row>
    <row r="603" customFormat="false" ht="12.8" hidden="false" customHeight="false" outlineLevel="0" collapsed="false">
      <c r="A603" s="3" t="n">
        <f aca="false">DATE(1992,6,25)</f>
        <v>33780</v>
      </c>
      <c r="B603" s="4" t="s">
        <v>775</v>
      </c>
      <c r="C603" s="4" t="s">
        <v>50</v>
      </c>
    </row>
    <row r="604" customFormat="false" ht="12.8" hidden="false" customHeight="false" outlineLevel="0" collapsed="false">
      <c r="A604" s="3" t="n">
        <f aca="false">DATE(1992,7,1)</f>
        <v>33786</v>
      </c>
      <c r="B604" s="4" t="s">
        <v>776</v>
      </c>
      <c r="C604" s="4" t="s">
        <v>681</v>
      </c>
    </row>
    <row r="605" customFormat="false" ht="12.8" hidden="false" customHeight="false" outlineLevel="0" collapsed="false">
      <c r="A605" s="3" t="n">
        <f aca="false">DATE(1992,7,1)</f>
        <v>33786</v>
      </c>
      <c r="B605" s="4" t="s">
        <v>679</v>
      </c>
      <c r="C605" s="4" t="s">
        <v>681</v>
      </c>
    </row>
    <row r="606" customFormat="false" ht="12.8" hidden="false" customHeight="false" outlineLevel="0" collapsed="false">
      <c r="A606" s="3" t="n">
        <f aca="false">DATE(1992,7,5)</f>
        <v>33790</v>
      </c>
      <c r="B606" s="4" t="s">
        <v>777</v>
      </c>
      <c r="C606" s="4" t="s">
        <v>193</v>
      </c>
    </row>
    <row r="607" customFormat="false" ht="12.8" hidden="false" customHeight="false" outlineLevel="0" collapsed="false">
      <c r="A607" s="3" t="n">
        <f aca="false">DATE(1992,7,6)</f>
        <v>33791</v>
      </c>
      <c r="B607" s="4" t="s">
        <v>778</v>
      </c>
      <c r="C607" s="4" t="s">
        <v>779</v>
      </c>
    </row>
    <row r="608" customFormat="false" ht="12.8" hidden="false" customHeight="false" outlineLevel="0" collapsed="false">
      <c r="A608" s="3" t="n">
        <f aca="false">DATE(1992,7,9)</f>
        <v>33794</v>
      </c>
      <c r="B608" s="4" t="s">
        <v>780</v>
      </c>
      <c r="C608" s="4" t="s">
        <v>130</v>
      </c>
    </row>
    <row r="609" customFormat="false" ht="12.8" hidden="false" customHeight="false" outlineLevel="0" collapsed="false">
      <c r="A609" s="3" t="n">
        <f aca="false">DATE(1992,7,17)</f>
        <v>33802</v>
      </c>
      <c r="B609" s="4" t="s">
        <v>781</v>
      </c>
      <c r="C609" s="4" t="s">
        <v>44</v>
      </c>
    </row>
    <row r="610" customFormat="false" ht="12.8" hidden="false" customHeight="false" outlineLevel="0" collapsed="false">
      <c r="A610" s="3" t="n">
        <f aca="false">DATE(1992,7,17)</f>
        <v>33802</v>
      </c>
      <c r="B610" s="4" t="s">
        <v>528</v>
      </c>
      <c r="C610" s="4" t="s">
        <v>782</v>
      </c>
    </row>
    <row r="611" customFormat="false" ht="12.8" hidden="false" customHeight="false" outlineLevel="0" collapsed="false">
      <c r="A611" s="3" t="n">
        <f aca="false">DATE(1992,7,21)</f>
        <v>33806</v>
      </c>
      <c r="B611" s="4" t="s">
        <v>783</v>
      </c>
      <c r="C611" s="4" t="s">
        <v>381</v>
      </c>
    </row>
    <row r="612" customFormat="false" ht="12.8" hidden="false" customHeight="false" outlineLevel="0" collapsed="false">
      <c r="A612" s="3" t="n">
        <f aca="false">DATE(1992,7,22)</f>
        <v>33807</v>
      </c>
      <c r="B612" s="4" t="s">
        <v>784</v>
      </c>
      <c r="C612" s="4" t="s">
        <v>127</v>
      </c>
    </row>
    <row r="613" customFormat="false" ht="12.8" hidden="false" customHeight="false" outlineLevel="0" collapsed="false">
      <c r="A613" s="3" t="n">
        <f aca="false">DATE(1992,7,27)</f>
        <v>33812</v>
      </c>
      <c r="B613" s="4" t="s">
        <v>785</v>
      </c>
      <c r="C613" s="4" t="s">
        <v>786</v>
      </c>
    </row>
    <row r="614" customFormat="false" ht="12.8" hidden="false" customHeight="false" outlineLevel="0" collapsed="false">
      <c r="A614" s="3" t="n">
        <f aca="false">DATE(1992,7,30)</f>
        <v>33815</v>
      </c>
      <c r="B614" s="4" t="s">
        <v>64</v>
      </c>
      <c r="C614" s="4" t="s">
        <v>541</v>
      </c>
    </row>
    <row r="615" customFormat="false" ht="12.8" hidden="false" customHeight="false" outlineLevel="0" collapsed="false">
      <c r="A615" s="3" t="n">
        <f aca="false">DATE(1992,7,30)</f>
        <v>33815</v>
      </c>
      <c r="B615" s="4" t="s">
        <v>637</v>
      </c>
      <c r="C615" s="4" t="s">
        <v>60</v>
      </c>
    </row>
    <row r="616" customFormat="false" ht="12.8" hidden="false" customHeight="false" outlineLevel="0" collapsed="false">
      <c r="A616" s="3" t="n">
        <f aca="false">DATE(1992,7,31)</f>
        <v>33816</v>
      </c>
      <c r="B616" s="4" t="s">
        <v>787</v>
      </c>
      <c r="C616" s="4" t="s">
        <v>84</v>
      </c>
    </row>
    <row r="617" customFormat="false" ht="12.8" hidden="false" customHeight="false" outlineLevel="0" collapsed="false">
      <c r="A617" s="3" t="n">
        <f aca="false">DATE(1992,8,4)</f>
        <v>33820</v>
      </c>
      <c r="B617" s="4" t="s">
        <v>788</v>
      </c>
      <c r="C617" s="4" t="s">
        <v>789</v>
      </c>
    </row>
    <row r="618" customFormat="false" ht="12.8" hidden="false" customHeight="false" outlineLevel="0" collapsed="false">
      <c r="A618" s="3" t="n">
        <f aca="false">DATE(1992,8,5)</f>
        <v>33821</v>
      </c>
      <c r="B618" s="4" t="s">
        <v>790</v>
      </c>
      <c r="C618" s="4" t="s">
        <v>548</v>
      </c>
    </row>
    <row r="619" customFormat="false" ht="12.8" hidden="false" customHeight="false" outlineLevel="0" collapsed="false">
      <c r="A619" s="3" t="n">
        <f aca="false">DATE(1992,8,12)</f>
        <v>33828</v>
      </c>
      <c r="B619" s="4" t="s">
        <v>791</v>
      </c>
      <c r="C619" s="4" t="s">
        <v>641</v>
      </c>
    </row>
    <row r="620" customFormat="false" ht="12.8" hidden="false" customHeight="false" outlineLevel="0" collapsed="false">
      <c r="A620" s="3" t="n">
        <f aca="false">DATE(1992,8,13)</f>
        <v>33829</v>
      </c>
      <c r="B620" s="4" t="s">
        <v>792</v>
      </c>
      <c r="C620" s="4" t="s">
        <v>84</v>
      </c>
    </row>
    <row r="621" customFormat="false" ht="12.8" hidden="false" customHeight="false" outlineLevel="0" collapsed="false">
      <c r="A621" s="3" t="n">
        <f aca="false">DATE(1992,8,20)</f>
        <v>33836</v>
      </c>
      <c r="B621" s="4" t="s">
        <v>154</v>
      </c>
      <c r="C621" s="4" t="s">
        <v>570</v>
      </c>
    </row>
    <row r="622" customFormat="false" ht="12.8" hidden="false" customHeight="false" outlineLevel="0" collapsed="false">
      <c r="A622" s="3" t="n">
        <f aca="false">DATE(1992,8,26)</f>
        <v>33842</v>
      </c>
      <c r="B622" s="4" t="s">
        <v>793</v>
      </c>
      <c r="C622" s="4" t="s">
        <v>443</v>
      </c>
    </row>
    <row r="623" customFormat="false" ht="12.8" hidden="false" customHeight="false" outlineLevel="0" collapsed="false">
      <c r="A623" s="3" t="n">
        <f aca="false">DATE(1992,8,27)</f>
        <v>33843</v>
      </c>
      <c r="B623" s="4" t="s">
        <v>794</v>
      </c>
      <c r="C623" s="4" t="s">
        <v>795</v>
      </c>
    </row>
    <row r="624" customFormat="false" ht="12.8" hidden="false" customHeight="false" outlineLevel="0" collapsed="false">
      <c r="A624" s="3" t="n">
        <f aca="false">DATE(1992,8,31)</f>
        <v>33847</v>
      </c>
      <c r="B624" s="4" t="s">
        <v>796</v>
      </c>
      <c r="C624" s="4" t="s">
        <v>797</v>
      </c>
    </row>
    <row r="625" customFormat="false" ht="12.8" hidden="false" customHeight="false" outlineLevel="0" collapsed="false">
      <c r="A625" s="3" t="n">
        <f aca="false">DATE(1992,9,2)</f>
        <v>33849</v>
      </c>
      <c r="B625" s="4" t="s">
        <v>798</v>
      </c>
      <c r="C625" s="4" t="s">
        <v>225</v>
      </c>
    </row>
    <row r="626" customFormat="false" ht="12.8" hidden="false" customHeight="false" outlineLevel="0" collapsed="false">
      <c r="A626" s="3" t="n">
        <f aca="false">DATE(1992,9,8)</f>
        <v>33855</v>
      </c>
      <c r="B626" s="4" t="s">
        <v>799</v>
      </c>
      <c r="C626" s="4" t="s">
        <v>440</v>
      </c>
    </row>
    <row r="627" customFormat="false" ht="12.8" hidden="false" customHeight="false" outlineLevel="0" collapsed="false">
      <c r="A627" s="3" t="n">
        <f aca="false">DATE(1992,9,9)</f>
        <v>33856</v>
      </c>
      <c r="B627" s="4" t="s">
        <v>800</v>
      </c>
      <c r="C627" s="4" t="s">
        <v>526</v>
      </c>
    </row>
    <row r="628" customFormat="false" ht="12.8" hidden="false" customHeight="false" outlineLevel="0" collapsed="false">
      <c r="A628" s="3" t="n">
        <f aca="false">DATE(1992,9,9)</f>
        <v>33856</v>
      </c>
      <c r="B628" s="4" t="s">
        <v>801</v>
      </c>
      <c r="C628" s="4" t="s">
        <v>691</v>
      </c>
    </row>
    <row r="629" customFormat="false" ht="12.8" hidden="false" customHeight="false" outlineLevel="0" collapsed="false">
      <c r="A629" s="3" t="n">
        <f aca="false">DATE(1992,9,14)</f>
        <v>33861</v>
      </c>
      <c r="B629" s="4" t="s">
        <v>802</v>
      </c>
      <c r="C629" s="4" t="s">
        <v>803</v>
      </c>
    </row>
    <row r="630" customFormat="false" ht="12.8" hidden="false" customHeight="false" outlineLevel="0" collapsed="false">
      <c r="A630" s="3" t="n">
        <f aca="false">DATE(1992,9,14)</f>
        <v>33861</v>
      </c>
      <c r="B630" s="4" t="s">
        <v>804</v>
      </c>
      <c r="C630" s="4" t="s">
        <v>681</v>
      </c>
    </row>
    <row r="631" customFormat="false" ht="12.8" hidden="false" customHeight="false" outlineLevel="0" collapsed="false">
      <c r="A631" s="3" t="n">
        <f aca="false">DATE(1992,9,15)</f>
        <v>33862</v>
      </c>
      <c r="B631" s="4" t="s">
        <v>805</v>
      </c>
      <c r="C631" s="4" t="s">
        <v>708</v>
      </c>
    </row>
    <row r="632" customFormat="false" ht="12.8" hidden="false" customHeight="false" outlineLevel="0" collapsed="false">
      <c r="A632" s="3" t="n">
        <f aca="false">DATE(1992,9,18)</f>
        <v>33865</v>
      </c>
      <c r="B632" s="4" t="s">
        <v>806</v>
      </c>
      <c r="C632" s="4" t="s">
        <v>58</v>
      </c>
    </row>
    <row r="633" customFormat="false" ht="12.8" hidden="false" customHeight="false" outlineLevel="0" collapsed="false">
      <c r="A633" s="3" t="n">
        <f aca="false">DATE(1992,9,21)</f>
        <v>33868</v>
      </c>
      <c r="B633" s="4" t="s">
        <v>167</v>
      </c>
      <c r="C633" s="4" t="s">
        <v>58</v>
      </c>
    </row>
    <row r="634" customFormat="false" ht="12.8" hidden="false" customHeight="false" outlineLevel="0" collapsed="false">
      <c r="A634" s="3" t="n">
        <f aca="false">DATE(1992,9,21)</f>
        <v>33868</v>
      </c>
      <c r="B634" s="4" t="s">
        <v>807</v>
      </c>
      <c r="C634" s="4" t="s">
        <v>66</v>
      </c>
    </row>
    <row r="635" customFormat="false" ht="12.8" hidden="false" customHeight="false" outlineLevel="0" collapsed="false">
      <c r="A635" s="3" t="n">
        <f aca="false">DATE(1992,9,23)</f>
        <v>33870</v>
      </c>
      <c r="B635" s="4" t="s">
        <v>423</v>
      </c>
      <c r="C635" s="4" t="s">
        <v>808</v>
      </c>
    </row>
    <row r="636" customFormat="false" ht="12.8" hidden="false" customHeight="false" outlineLevel="0" collapsed="false">
      <c r="A636" s="3" t="n">
        <f aca="false">DATE(1992,9,24)</f>
        <v>33871</v>
      </c>
      <c r="B636" s="4" t="s">
        <v>809</v>
      </c>
      <c r="C636" s="4" t="s">
        <v>44</v>
      </c>
    </row>
    <row r="637" customFormat="false" ht="12.8" hidden="false" customHeight="false" outlineLevel="0" collapsed="false">
      <c r="A637" s="3" t="n">
        <f aca="false">DATE(1992,10,1)</f>
        <v>33878</v>
      </c>
      <c r="B637" s="4" t="s">
        <v>810</v>
      </c>
      <c r="C637" s="4" t="s">
        <v>269</v>
      </c>
    </row>
    <row r="638" customFormat="false" ht="12.8" hidden="false" customHeight="false" outlineLevel="0" collapsed="false">
      <c r="A638" s="3" t="n">
        <f aca="false">DATE(1992,10,1)</f>
        <v>33878</v>
      </c>
      <c r="B638" s="4" t="s">
        <v>811</v>
      </c>
      <c r="C638" s="4" t="s">
        <v>295</v>
      </c>
    </row>
    <row r="639" customFormat="false" ht="12.8" hidden="false" customHeight="false" outlineLevel="0" collapsed="false">
      <c r="A639" s="3" t="n">
        <f aca="false">DATE(1992,10,2)</f>
        <v>33879</v>
      </c>
      <c r="B639" s="4" t="s">
        <v>812</v>
      </c>
      <c r="C639" s="4" t="s">
        <v>813</v>
      </c>
    </row>
    <row r="640" customFormat="false" ht="12.8" hidden="false" customHeight="false" outlineLevel="0" collapsed="false">
      <c r="A640" s="3" t="n">
        <f aca="false">DATE(1992,10,2)</f>
        <v>33879</v>
      </c>
      <c r="B640" s="4" t="s">
        <v>814</v>
      </c>
      <c r="C640" s="4" t="s">
        <v>647</v>
      </c>
    </row>
    <row r="641" customFormat="false" ht="12.8" hidden="false" customHeight="false" outlineLevel="0" collapsed="false">
      <c r="A641" s="3" t="n">
        <f aca="false">DATE(1992,10,7)</f>
        <v>33884</v>
      </c>
      <c r="B641" s="4" t="s">
        <v>815</v>
      </c>
      <c r="C641" s="4" t="s">
        <v>816</v>
      </c>
    </row>
    <row r="642" customFormat="false" ht="12.8" hidden="false" customHeight="false" outlineLevel="0" collapsed="false">
      <c r="A642" s="3" t="n">
        <f aca="false">DATE(1992,10,8)</f>
        <v>33885</v>
      </c>
      <c r="B642" s="4" t="s">
        <v>817</v>
      </c>
      <c r="C642" s="4" t="s">
        <v>818</v>
      </c>
    </row>
    <row r="643" customFormat="false" ht="12.8" hidden="false" customHeight="false" outlineLevel="0" collapsed="false">
      <c r="A643" s="3" t="n">
        <f aca="false">DATE(1992,10,13)</f>
        <v>33890</v>
      </c>
      <c r="B643" s="4" t="s">
        <v>819</v>
      </c>
      <c r="C643" s="4" t="s">
        <v>820</v>
      </c>
    </row>
    <row r="644" customFormat="false" ht="12.8" hidden="false" customHeight="false" outlineLevel="0" collapsed="false">
      <c r="A644" s="3" t="n">
        <f aca="false">DATE(1992,10,14)</f>
        <v>33891</v>
      </c>
      <c r="B644" s="4" t="s">
        <v>821</v>
      </c>
      <c r="C644" s="4" t="s">
        <v>124</v>
      </c>
    </row>
    <row r="645" customFormat="false" ht="12.8" hidden="false" customHeight="false" outlineLevel="0" collapsed="false">
      <c r="A645" s="3" t="n">
        <f aca="false">DATE(1992,10,21)</f>
        <v>33898</v>
      </c>
      <c r="B645" s="4" t="s">
        <v>10</v>
      </c>
      <c r="C645" s="4" t="s">
        <v>300</v>
      </c>
    </row>
    <row r="646" customFormat="false" ht="12.8" hidden="false" customHeight="false" outlineLevel="0" collapsed="false">
      <c r="A646" s="3" t="n">
        <f aca="false">DATE(1992,10,23)</f>
        <v>33900</v>
      </c>
      <c r="B646" s="4" t="s">
        <v>822</v>
      </c>
      <c r="C646" s="4" t="s">
        <v>269</v>
      </c>
    </row>
    <row r="647" customFormat="false" ht="12.8" hidden="false" customHeight="false" outlineLevel="0" collapsed="false">
      <c r="A647" s="3" t="n">
        <f aca="false">DATE(1992,10,26)</f>
        <v>33903</v>
      </c>
      <c r="B647" s="4" t="s">
        <v>823</v>
      </c>
      <c r="C647" s="4" t="s">
        <v>570</v>
      </c>
    </row>
    <row r="648" customFormat="false" ht="12.8" hidden="false" customHeight="false" outlineLevel="0" collapsed="false">
      <c r="A648" s="3" t="n">
        <f aca="false">DATE(1992,10,28)</f>
        <v>33905</v>
      </c>
      <c r="B648" s="4" t="s">
        <v>824</v>
      </c>
      <c r="C648" s="4" t="s">
        <v>740</v>
      </c>
    </row>
    <row r="649" customFormat="false" ht="12.8" hidden="false" customHeight="false" outlineLevel="0" collapsed="false">
      <c r="A649" s="3" t="n">
        <f aca="false">DATE(1992,10,29)</f>
        <v>33906</v>
      </c>
      <c r="B649" s="4" t="s">
        <v>825</v>
      </c>
      <c r="C649" s="4" t="s">
        <v>367</v>
      </c>
    </row>
    <row r="650" customFormat="false" ht="12.8" hidden="false" customHeight="false" outlineLevel="0" collapsed="false">
      <c r="A650" s="3" t="n">
        <f aca="false">DATE(1992,10,29)</f>
        <v>33906</v>
      </c>
      <c r="B650" s="4" t="s">
        <v>826</v>
      </c>
      <c r="C650" s="4" t="s">
        <v>251</v>
      </c>
    </row>
    <row r="651" customFormat="false" ht="12.8" hidden="false" customHeight="false" outlineLevel="0" collapsed="false">
      <c r="A651" s="3" t="n">
        <f aca="false">DATE(1992,10,30)</f>
        <v>33907</v>
      </c>
      <c r="B651" s="4" t="s">
        <v>827</v>
      </c>
      <c r="C651" s="4" t="s">
        <v>381</v>
      </c>
    </row>
    <row r="652" customFormat="false" ht="12.8" hidden="false" customHeight="false" outlineLevel="0" collapsed="false">
      <c r="A652" s="3" t="n">
        <f aca="false">DATE(1992,11,5)</f>
        <v>33913</v>
      </c>
      <c r="B652" s="4" t="s">
        <v>828</v>
      </c>
      <c r="C652" s="4" t="s">
        <v>44</v>
      </c>
    </row>
    <row r="653" customFormat="false" ht="12.8" hidden="false" customHeight="false" outlineLevel="0" collapsed="false">
      <c r="A653" s="3" t="n">
        <f aca="false">DATE(1992,11,9)</f>
        <v>33917</v>
      </c>
      <c r="B653" s="4" t="s">
        <v>829</v>
      </c>
      <c r="C653" s="4" t="s">
        <v>321</v>
      </c>
    </row>
    <row r="654" customFormat="false" ht="12.8" hidden="false" customHeight="false" outlineLevel="0" collapsed="false">
      <c r="A654" s="3" t="n">
        <f aca="false">DATE(1992,11,9)</f>
        <v>33917</v>
      </c>
      <c r="B654" s="4" t="s">
        <v>830</v>
      </c>
      <c r="C654" s="4" t="s">
        <v>553</v>
      </c>
    </row>
    <row r="655" customFormat="false" ht="12.8" hidden="false" customHeight="false" outlineLevel="0" collapsed="false">
      <c r="A655" s="3" t="n">
        <f aca="false">DATE(1992,11,10)</f>
        <v>33918</v>
      </c>
      <c r="B655" s="4" t="s">
        <v>831</v>
      </c>
      <c r="C655" s="4" t="s">
        <v>832</v>
      </c>
    </row>
    <row r="656" customFormat="false" ht="12.8" hidden="false" customHeight="false" outlineLevel="0" collapsed="false">
      <c r="A656" s="3" t="n">
        <f aca="false">DATE(1992,11,12)</f>
        <v>33920</v>
      </c>
      <c r="B656" s="4" t="s">
        <v>621</v>
      </c>
      <c r="C656" s="4" t="s">
        <v>124</v>
      </c>
    </row>
    <row r="657" customFormat="false" ht="12.8" hidden="false" customHeight="false" outlineLevel="0" collapsed="false">
      <c r="A657" s="3" t="n">
        <f aca="false">DATE(1992,11,12)</f>
        <v>33920</v>
      </c>
      <c r="B657" s="4" t="s">
        <v>833</v>
      </c>
      <c r="C657" s="4" t="s">
        <v>548</v>
      </c>
    </row>
    <row r="658" customFormat="false" ht="12.8" hidden="false" customHeight="false" outlineLevel="0" collapsed="false">
      <c r="A658" s="3" t="n">
        <f aca="false">DATE(1992,11,18)</f>
        <v>33926</v>
      </c>
      <c r="B658" s="4" t="s">
        <v>834</v>
      </c>
      <c r="C658" s="4" t="s">
        <v>835</v>
      </c>
    </row>
    <row r="659" customFormat="false" ht="12.8" hidden="false" customHeight="false" outlineLevel="0" collapsed="false">
      <c r="A659" s="3" t="n">
        <f aca="false">DATE(1992,11,23)</f>
        <v>33931</v>
      </c>
      <c r="B659" s="4" t="s">
        <v>836</v>
      </c>
      <c r="C659" s="4" t="s">
        <v>837</v>
      </c>
    </row>
    <row r="660" customFormat="false" ht="12.8" hidden="false" customHeight="false" outlineLevel="0" collapsed="false">
      <c r="A660" s="3" t="n">
        <f aca="false">DATE(1992,11,24)</f>
        <v>33932</v>
      </c>
      <c r="B660" s="4" t="s">
        <v>838</v>
      </c>
      <c r="C660" s="4" t="s">
        <v>647</v>
      </c>
    </row>
    <row r="661" customFormat="false" ht="12.8" hidden="false" customHeight="false" outlineLevel="0" collapsed="false">
      <c r="A661" s="3" t="n">
        <f aca="false">DATE(1992,11,30)</f>
        <v>33938</v>
      </c>
      <c r="B661" s="4" t="s">
        <v>839</v>
      </c>
      <c r="C661" s="4" t="s">
        <v>840</v>
      </c>
    </row>
    <row r="662" customFormat="false" ht="12.8" hidden="false" customHeight="false" outlineLevel="0" collapsed="false">
      <c r="A662" s="3" t="n">
        <f aca="false">DATE(1992,12,2)</f>
        <v>33940</v>
      </c>
      <c r="B662" s="4" t="s">
        <v>841</v>
      </c>
      <c r="C662" s="4" t="s">
        <v>171</v>
      </c>
    </row>
    <row r="663" customFormat="false" ht="12.8" hidden="false" customHeight="false" outlineLevel="0" collapsed="false">
      <c r="A663" s="3" t="n">
        <f aca="false">DATE(1992,12,4)</f>
        <v>33942</v>
      </c>
      <c r="B663" s="4" t="s">
        <v>842</v>
      </c>
      <c r="C663" s="4" t="s">
        <v>240</v>
      </c>
    </row>
    <row r="664" customFormat="false" ht="12.8" hidden="false" customHeight="false" outlineLevel="0" collapsed="false">
      <c r="A664" s="3" t="n">
        <f aca="false">DATE(1992,12,7)</f>
        <v>33945</v>
      </c>
      <c r="B664" s="4" t="s">
        <v>843</v>
      </c>
      <c r="C664" s="4" t="s">
        <v>844</v>
      </c>
    </row>
    <row r="665" customFormat="false" ht="12.8" hidden="false" customHeight="false" outlineLevel="0" collapsed="false">
      <c r="A665" s="3" t="n">
        <f aca="false">DATE(1992,12,11)</f>
        <v>33949</v>
      </c>
      <c r="B665" s="4" t="s">
        <v>845</v>
      </c>
      <c r="C665" s="4" t="s">
        <v>58</v>
      </c>
    </row>
    <row r="666" customFormat="false" ht="12.8" hidden="false" customHeight="false" outlineLevel="0" collapsed="false">
      <c r="A666" s="3" t="n">
        <f aca="false">DATE(1992,12,21)</f>
        <v>33959</v>
      </c>
      <c r="B666" s="4" t="s">
        <v>846</v>
      </c>
      <c r="C666" s="4" t="s">
        <v>847</v>
      </c>
    </row>
    <row r="667" customFormat="false" ht="12.8" hidden="false" customHeight="false" outlineLevel="0" collapsed="false">
      <c r="A667" s="3" t="n">
        <f aca="false">DATE(1992,12,22)</f>
        <v>33960</v>
      </c>
      <c r="B667" s="4" t="s">
        <v>848</v>
      </c>
      <c r="C667" s="4" t="s">
        <v>849</v>
      </c>
    </row>
    <row r="668" customFormat="false" ht="12.8" hidden="false" customHeight="false" outlineLevel="0" collapsed="false">
      <c r="A668" s="3" t="n">
        <f aca="false">DATE(1992,12,22)</f>
        <v>33960</v>
      </c>
      <c r="B668" s="4" t="s">
        <v>850</v>
      </c>
      <c r="C668" s="4" t="s">
        <v>849</v>
      </c>
    </row>
    <row r="669" customFormat="false" ht="12.8" hidden="false" customHeight="false" outlineLevel="0" collapsed="false">
      <c r="A669" s="3" t="n">
        <f aca="false">DATE(1992,12,23)</f>
        <v>33961</v>
      </c>
      <c r="B669" s="4" t="s">
        <v>851</v>
      </c>
      <c r="C669" s="4" t="s">
        <v>127</v>
      </c>
    </row>
    <row r="670" customFormat="false" ht="12.8" hidden="false" customHeight="false" outlineLevel="0" collapsed="false">
      <c r="A670" s="3" t="n">
        <f aca="false">DATE(1992,12,28)</f>
        <v>33966</v>
      </c>
      <c r="B670" s="4" t="s">
        <v>852</v>
      </c>
      <c r="C670" s="4" t="s">
        <v>171</v>
      </c>
    </row>
    <row r="671" customFormat="false" ht="12.8" hidden="false" customHeight="false" outlineLevel="0" collapsed="false">
      <c r="A671" s="3" t="n">
        <f aca="false">DATE(1993,1,11)</f>
        <v>33980</v>
      </c>
      <c r="B671" s="4" t="s">
        <v>853</v>
      </c>
      <c r="C671" s="4" t="s">
        <v>854</v>
      </c>
    </row>
    <row r="672" customFormat="false" ht="12.8" hidden="false" customHeight="false" outlineLevel="0" collapsed="false">
      <c r="A672" s="3" t="n">
        <f aca="false">DATE(1993,1,12)</f>
        <v>33981</v>
      </c>
      <c r="B672" s="4" t="s">
        <v>530</v>
      </c>
      <c r="C672" s="4" t="s">
        <v>216</v>
      </c>
    </row>
    <row r="673" customFormat="false" ht="12.8" hidden="false" customHeight="false" outlineLevel="0" collapsed="false">
      <c r="A673" s="3" t="n">
        <f aca="false">DATE(1993,1,12)</f>
        <v>33981</v>
      </c>
      <c r="B673" s="4" t="s">
        <v>855</v>
      </c>
      <c r="C673" s="4" t="s">
        <v>490</v>
      </c>
    </row>
    <row r="674" customFormat="false" ht="12.8" hidden="false" customHeight="false" outlineLevel="0" collapsed="false">
      <c r="A674" s="3" t="n">
        <f aca="false">DATE(1993,1,20)</f>
        <v>33989</v>
      </c>
      <c r="B674" s="4" t="s">
        <v>856</v>
      </c>
      <c r="C674" s="4" t="s">
        <v>767</v>
      </c>
    </row>
    <row r="675" customFormat="false" ht="12.8" hidden="false" customHeight="false" outlineLevel="0" collapsed="false">
      <c r="A675" s="3" t="n">
        <f aca="false">DATE(1993,1,20)</f>
        <v>33989</v>
      </c>
      <c r="B675" s="4" t="s">
        <v>857</v>
      </c>
      <c r="C675" s="4" t="s">
        <v>578</v>
      </c>
    </row>
    <row r="676" customFormat="false" ht="12.8" hidden="false" customHeight="false" outlineLevel="0" collapsed="false">
      <c r="A676" s="3" t="n">
        <f aca="false">DATE(1993,1,20)</f>
        <v>33989</v>
      </c>
      <c r="B676" s="4" t="s">
        <v>858</v>
      </c>
      <c r="C676" s="4" t="s">
        <v>84</v>
      </c>
    </row>
    <row r="677" customFormat="false" ht="12.8" hidden="false" customHeight="false" outlineLevel="0" collapsed="false">
      <c r="A677" s="3" t="n">
        <f aca="false">DATE(1993,1,21)</f>
        <v>33990</v>
      </c>
      <c r="B677" s="4" t="s">
        <v>859</v>
      </c>
      <c r="C677" s="4" t="s">
        <v>122</v>
      </c>
    </row>
    <row r="678" customFormat="false" ht="12.8" hidden="false" customHeight="false" outlineLevel="0" collapsed="false">
      <c r="A678" s="3" t="n">
        <f aca="false">DATE(1993,1,21)</f>
        <v>33990</v>
      </c>
      <c r="B678" s="4" t="s">
        <v>860</v>
      </c>
      <c r="C678" s="4" t="s">
        <v>122</v>
      </c>
    </row>
    <row r="679" customFormat="false" ht="12.8" hidden="false" customHeight="false" outlineLevel="0" collapsed="false">
      <c r="A679" s="3" t="n">
        <f aca="false">DATE(1993,1,22)</f>
        <v>33991</v>
      </c>
      <c r="B679" s="4" t="s">
        <v>861</v>
      </c>
      <c r="C679" s="4" t="s">
        <v>673</v>
      </c>
    </row>
    <row r="680" customFormat="false" ht="12.8" hidden="false" customHeight="false" outlineLevel="0" collapsed="false">
      <c r="A680" s="3" t="n">
        <f aca="false">DATE(1993,1,25)</f>
        <v>33994</v>
      </c>
      <c r="B680" s="4" t="s">
        <v>495</v>
      </c>
      <c r="C680" s="4" t="s">
        <v>611</v>
      </c>
    </row>
    <row r="681" customFormat="false" ht="12.8" hidden="false" customHeight="false" outlineLevel="0" collapsed="false">
      <c r="A681" s="3" t="n">
        <f aca="false">DATE(1993,1,27)</f>
        <v>33996</v>
      </c>
      <c r="B681" s="4" t="s">
        <v>862</v>
      </c>
      <c r="C681" s="4" t="s">
        <v>443</v>
      </c>
    </row>
    <row r="682" customFormat="false" ht="12.8" hidden="false" customHeight="false" outlineLevel="0" collapsed="false">
      <c r="A682" s="3" t="n">
        <f aca="false">DATE(1993,1,27)</f>
        <v>33996</v>
      </c>
      <c r="B682" s="4" t="s">
        <v>863</v>
      </c>
      <c r="C682" s="4" t="s">
        <v>864</v>
      </c>
    </row>
    <row r="683" customFormat="false" ht="12.8" hidden="false" customHeight="false" outlineLevel="0" collapsed="false">
      <c r="A683" s="3" t="n">
        <f aca="false">DATE(1993,1,28)</f>
        <v>33997</v>
      </c>
      <c r="B683" s="4" t="s">
        <v>865</v>
      </c>
      <c r="C683" s="4" t="s">
        <v>818</v>
      </c>
    </row>
    <row r="684" customFormat="false" ht="12.8" hidden="false" customHeight="false" outlineLevel="0" collapsed="false">
      <c r="A684" s="3" t="n">
        <f aca="false">DATE(1993,1,29)</f>
        <v>33998</v>
      </c>
      <c r="B684" s="4" t="s">
        <v>866</v>
      </c>
      <c r="C684" s="4" t="s">
        <v>273</v>
      </c>
    </row>
    <row r="685" customFormat="false" ht="12.8" hidden="false" customHeight="false" outlineLevel="0" collapsed="false">
      <c r="A685" s="3" t="n">
        <f aca="false">DATE(1993,2,1)</f>
        <v>34001</v>
      </c>
      <c r="B685" s="4" t="s">
        <v>867</v>
      </c>
      <c r="C685" s="4" t="s">
        <v>570</v>
      </c>
    </row>
    <row r="686" customFormat="false" ht="12.8" hidden="false" customHeight="false" outlineLevel="0" collapsed="false">
      <c r="A686" s="3" t="n">
        <f aca="false">DATE(1993,2,2)</f>
        <v>34002</v>
      </c>
      <c r="B686" s="4" t="s">
        <v>868</v>
      </c>
      <c r="C686" s="4" t="s">
        <v>869</v>
      </c>
    </row>
    <row r="687" customFormat="false" ht="12.8" hidden="false" customHeight="false" outlineLevel="0" collapsed="false">
      <c r="A687" s="3" t="n">
        <f aca="false">DATE(1993,2,8)</f>
        <v>34008</v>
      </c>
      <c r="B687" s="4" t="s">
        <v>870</v>
      </c>
      <c r="C687" s="4" t="s">
        <v>511</v>
      </c>
    </row>
    <row r="688" customFormat="false" ht="12.8" hidden="false" customHeight="false" outlineLevel="0" collapsed="false">
      <c r="A688" s="3" t="n">
        <f aca="false">DATE(1993,2,11)</f>
        <v>34011</v>
      </c>
      <c r="B688" s="4" t="s">
        <v>871</v>
      </c>
      <c r="C688" s="4" t="s">
        <v>130</v>
      </c>
    </row>
    <row r="689" customFormat="false" ht="12.8" hidden="false" customHeight="false" outlineLevel="0" collapsed="false">
      <c r="A689" s="3" t="n">
        <f aca="false">DATE(1993,2,16)</f>
        <v>34016</v>
      </c>
      <c r="B689" s="4" t="s">
        <v>872</v>
      </c>
      <c r="C689" s="4" t="s">
        <v>873</v>
      </c>
    </row>
    <row r="690" customFormat="false" ht="12.8" hidden="false" customHeight="false" outlineLevel="0" collapsed="false">
      <c r="A690" s="3" t="n">
        <f aca="false">DATE(1993,2,17)</f>
        <v>34017</v>
      </c>
      <c r="B690" s="4" t="s">
        <v>874</v>
      </c>
      <c r="C690" s="4" t="s">
        <v>84</v>
      </c>
    </row>
    <row r="691" customFormat="false" ht="12.8" hidden="false" customHeight="false" outlineLevel="0" collapsed="false">
      <c r="A691" s="3" t="n">
        <f aca="false">DATE(1993,2,19)</f>
        <v>34019</v>
      </c>
      <c r="B691" s="4" t="s">
        <v>875</v>
      </c>
      <c r="C691" s="4" t="s">
        <v>122</v>
      </c>
    </row>
    <row r="692" customFormat="false" ht="12.8" hidden="false" customHeight="false" outlineLevel="0" collapsed="false">
      <c r="A692" s="3" t="n">
        <f aca="false">DATE(1993,2,23)</f>
        <v>34023</v>
      </c>
      <c r="B692" s="4" t="s">
        <v>876</v>
      </c>
      <c r="C692" s="4" t="s">
        <v>877</v>
      </c>
    </row>
    <row r="693" customFormat="false" ht="12.8" hidden="false" customHeight="false" outlineLevel="0" collapsed="false">
      <c r="A693" s="3" t="n">
        <f aca="false">DATE(1993,2,26)</f>
        <v>34026</v>
      </c>
      <c r="B693" s="4" t="s">
        <v>878</v>
      </c>
      <c r="C693" s="4" t="s">
        <v>58</v>
      </c>
    </row>
    <row r="694" customFormat="false" ht="12.8" hidden="false" customHeight="false" outlineLevel="0" collapsed="false">
      <c r="A694" s="3" t="n">
        <f aca="false">DATE(1993,3,5)</f>
        <v>34033</v>
      </c>
      <c r="B694" s="4" t="s">
        <v>879</v>
      </c>
      <c r="C694" s="4" t="s">
        <v>20</v>
      </c>
    </row>
    <row r="695" customFormat="false" ht="12.8" hidden="false" customHeight="false" outlineLevel="0" collapsed="false">
      <c r="A695" s="3" t="n">
        <f aca="false">DATE(1993,3,8)</f>
        <v>34036</v>
      </c>
      <c r="B695" s="4" t="s">
        <v>880</v>
      </c>
      <c r="C695" s="4" t="s">
        <v>60</v>
      </c>
    </row>
    <row r="696" customFormat="false" ht="12.8" hidden="false" customHeight="false" outlineLevel="0" collapsed="false">
      <c r="A696" s="3" t="n">
        <f aca="false">DATE(1993,3,10)</f>
        <v>34038</v>
      </c>
      <c r="B696" s="4" t="s">
        <v>881</v>
      </c>
      <c r="C696" s="4" t="s">
        <v>681</v>
      </c>
    </row>
    <row r="697" customFormat="false" ht="12.8" hidden="false" customHeight="false" outlineLevel="0" collapsed="false">
      <c r="A697" s="3" t="n">
        <f aca="false">DATE(1993,3,11)</f>
        <v>34039</v>
      </c>
      <c r="B697" s="4" t="s">
        <v>882</v>
      </c>
      <c r="C697" s="4" t="s">
        <v>883</v>
      </c>
    </row>
    <row r="698" customFormat="false" ht="12.8" hidden="false" customHeight="false" outlineLevel="0" collapsed="false">
      <c r="A698" s="3" t="n">
        <f aca="false">DATE(1993,3,15)</f>
        <v>34043</v>
      </c>
      <c r="B698" s="4" t="s">
        <v>884</v>
      </c>
      <c r="C698" s="4" t="s">
        <v>122</v>
      </c>
    </row>
    <row r="699" customFormat="false" ht="12.8" hidden="false" customHeight="false" outlineLevel="0" collapsed="false">
      <c r="A699" s="3" t="n">
        <f aca="false">DATE(1993,3,15)</f>
        <v>34043</v>
      </c>
      <c r="B699" s="4" t="s">
        <v>885</v>
      </c>
      <c r="C699" s="4" t="s">
        <v>611</v>
      </c>
    </row>
    <row r="700" customFormat="false" ht="12.8" hidden="false" customHeight="false" outlineLevel="0" collapsed="false">
      <c r="A700" s="3" t="n">
        <f aca="false">DATE(1993,3,16)</f>
        <v>34044</v>
      </c>
      <c r="B700" s="4" t="s">
        <v>886</v>
      </c>
      <c r="C700" s="4" t="s">
        <v>105</v>
      </c>
    </row>
    <row r="701" customFormat="false" ht="12.8" hidden="false" customHeight="false" outlineLevel="0" collapsed="false">
      <c r="A701" s="3" t="n">
        <f aca="false">DATE(1993,3,18)</f>
        <v>34046</v>
      </c>
      <c r="B701" s="4" t="s">
        <v>887</v>
      </c>
      <c r="C701" s="4" t="s">
        <v>888</v>
      </c>
    </row>
    <row r="702" customFormat="false" ht="12.8" hidden="false" customHeight="false" outlineLevel="0" collapsed="false">
      <c r="A702" s="3" t="n">
        <f aca="false">DATE(1993,3,19)</f>
        <v>34047</v>
      </c>
      <c r="B702" s="4" t="s">
        <v>889</v>
      </c>
      <c r="C702" s="4" t="s">
        <v>890</v>
      </c>
    </row>
    <row r="703" customFormat="false" ht="12.8" hidden="false" customHeight="false" outlineLevel="0" collapsed="false">
      <c r="A703" s="3" t="n">
        <f aca="false">DATE(1993,3,19)</f>
        <v>34047</v>
      </c>
      <c r="B703" s="4" t="s">
        <v>891</v>
      </c>
      <c r="C703" s="4" t="s">
        <v>112</v>
      </c>
    </row>
    <row r="704" customFormat="false" ht="12.8" hidden="false" customHeight="false" outlineLevel="0" collapsed="false">
      <c r="A704" s="3" t="n">
        <f aca="false">DATE(1993,3,24)</f>
        <v>34052</v>
      </c>
      <c r="B704" s="4" t="s">
        <v>892</v>
      </c>
      <c r="C704" s="4" t="s">
        <v>690</v>
      </c>
    </row>
    <row r="705" customFormat="false" ht="12.8" hidden="false" customHeight="false" outlineLevel="0" collapsed="false">
      <c r="A705" s="3" t="n">
        <f aca="false">DATE(1993,3,25)</f>
        <v>34053</v>
      </c>
      <c r="B705" s="4" t="s">
        <v>893</v>
      </c>
      <c r="C705" s="4" t="s">
        <v>803</v>
      </c>
    </row>
    <row r="706" customFormat="false" ht="12.8" hidden="false" customHeight="false" outlineLevel="0" collapsed="false">
      <c r="A706" s="3" t="n">
        <f aca="false">DATE(1993,3,26)</f>
        <v>34054</v>
      </c>
      <c r="B706" s="4" t="s">
        <v>894</v>
      </c>
      <c r="C706" s="4" t="s">
        <v>216</v>
      </c>
    </row>
    <row r="707" customFormat="false" ht="12.8" hidden="false" customHeight="false" outlineLevel="0" collapsed="false">
      <c r="A707" s="3" t="n">
        <f aca="false">DATE(1993,3,29)</f>
        <v>34057</v>
      </c>
      <c r="B707" s="4" t="s">
        <v>895</v>
      </c>
      <c r="C707" s="4" t="s">
        <v>122</v>
      </c>
    </row>
    <row r="708" customFormat="false" ht="12.8" hidden="false" customHeight="false" outlineLevel="0" collapsed="false">
      <c r="A708" s="3" t="n">
        <f aca="false">DATE(1993,3,30)</f>
        <v>34058</v>
      </c>
      <c r="B708" s="4" t="s">
        <v>295</v>
      </c>
      <c r="C708" s="4" t="s">
        <v>130</v>
      </c>
    </row>
    <row r="709" customFormat="false" ht="12.8" hidden="false" customHeight="false" outlineLevel="0" collapsed="false">
      <c r="A709" s="3" t="n">
        <f aca="false">DATE(1993,3,31)</f>
        <v>34059</v>
      </c>
      <c r="B709" s="4" t="s">
        <v>896</v>
      </c>
      <c r="C709" s="4" t="s">
        <v>490</v>
      </c>
    </row>
    <row r="710" customFormat="false" ht="12.8" hidden="false" customHeight="false" outlineLevel="0" collapsed="false">
      <c r="A710" s="3" t="n">
        <f aca="false">DATE(1993,4,2)</f>
        <v>34061</v>
      </c>
      <c r="B710" s="4" t="s">
        <v>842</v>
      </c>
      <c r="C710" s="4" t="s">
        <v>664</v>
      </c>
    </row>
    <row r="711" customFormat="false" ht="12.8" hidden="false" customHeight="false" outlineLevel="0" collapsed="false">
      <c r="A711" s="3" t="n">
        <f aca="false">DATE(1993,4,2)</f>
        <v>34061</v>
      </c>
      <c r="B711" s="4" t="s">
        <v>897</v>
      </c>
      <c r="C711" s="4" t="s">
        <v>898</v>
      </c>
    </row>
    <row r="712" customFormat="false" ht="12.8" hidden="false" customHeight="false" outlineLevel="0" collapsed="false">
      <c r="A712" s="3" t="n">
        <f aca="false">DATE(1993,4,6)</f>
        <v>34065</v>
      </c>
      <c r="B712" s="4" t="s">
        <v>899</v>
      </c>
      <c r="C712" s="4" t="s">
        <v>900</v>
      </c>
    </row>
    <row r="713" customFormat="false" ht="12.8" hidden="false" customHeight="false" outlineLevel="0" collapsed="false">
      <c r="A713" s="3" t="n">
        <f aca="false">DATE(1993,4,6)</f>
        <v>34065</v>
      </c>
      <c r="B713" s="4" t="s">
        <v>901</v>
      </c>
      <c r="C713" s="4" t="s">
        <v>50</v>
      </c>
    </row>
    <row r="714" customFormat="false" ht="12.8" hidden="false" customHeight="false" outlineLevel="0" collapsed="false">
      <c r="A714" s="3" t="n">
        <f aca="false">DATE(1993,4,8)</f>
        <v>34067</v>
      </c>
      <c r="B714" s="4" t="s">
        <v>902</v>
      </c>
      <c r="C714" s="4" t="s">
        <v>903</v>
      </c>
    </row>
    <row r="715" customFormat="false" ht="12.8" hidden="false" customHeight="false" outlineLevel="0" collapsed="false">
      <c r="A715" s="3" t="n">
        <f aca="false">DATE(1993,4,8)</f>
        <v>34067</v>
      </c>
      <c r="B715" s="4" t="s">
        <v>904</v>
      </c>
      <c r="C715" s="4" t="s">
        <v>524</v>
      </c>
    </row>
    <row r="716" customFormat="false" ht="12.8" hidden="false" customHeight="false" outlineLevel="0" collapsed="false">
      <c r="A716" s="3" t="n">
        <f aca="false">DATE(1993,4,15)</f>
        <v>34074</v>
      </c>
      <c r="B716" s="4" t="s">
        <v>905</v>
      </c>
      <c r="C716" s="4" t="s">
        <v>214</v>
      </c>
    </row>
    <row r="717" customFormat="false" ht="12.8" hidden="false" customHeight="false" outlineLevel="0" collapsed="false">
      <c r="A717" s="3" t="n">
        <f aca="false">DATE(1993,4,15)</f>
        <v>34074</v>
      </c>
      <c r="B717" s="4" t="s">
        <v>906</v>
      </c>
      <c r="C717" s="4" t="s">
        <v>907</v>
      </c>
    </row>
    <row r="718" customFormat="false" ht="12.8" hidden="false" customHeight="false" outlineLevel="0" collapsed="false">
      <c r="A718" s="3" t="n">
        <f aca="false">DATE(1993,4,19)</f>
        <v>34078</v>
      </c>
      <c r="B718" s="4" t="s">
        <v>564</v>
      </c>
      <c r="C718" s="4" t="s">
        <v>127</v>
      </c>
    </row>
    <row r="719" customFormat="false" ht="12.8" hidden="false" customHeight="false" outlineLevel="0" collapsed="false">
      <c r="A719" s="3" t="n">
        <f aca="false">DATE(1993,4,21)</f>
        <v>34080</v>
      </c>
      <c r="B719" s="4" t="s">
        <v>908</v>
      </c>
      <c r="C719" s="4" t="s">
        <v>124</v>
      </c>
    </row>
    <row r="720" customFormat="false" ht="12.8" hidden="false" customHeight="false" outlineLevel="0" collapsed="false">
      <c r="A720" s="3" t="n">
        <f aca="false">DATE(1993,4,23)</f>
        <v>34082</v>
      </c>
      <c r="B720" s="4" t="s">
        <v>909</v>
      </c>
      <c r="C720" s="4" t="s">
        <v>626</v>
      </c>
    </row>
    <row r="721" customFormat="false" ht="12.8" hidden="false" customHeight="false" outlineLevel="0" collapsed="false">
      <c r="A721" s="3" t="n">
        <f aca="false">DATE(1993,4,26)</f>
        <v>34085</v>
      </c>
      <c r="B721" s="4" t="s">
        <v>910</v>
      </c>
      <c r="C721" s="4" t="s">
        <v>295</v>
      </c>
    </row>
    <row r="722" customFormat="false" ht="12.8" hidden="false" customHeight="false" outlineLevel="0" collapsed="false">
      <c r="A722" s="3" t="n">
        <f aca="false">DATE(1993,4,28)</f>
        <v>34087</v>
      </c>
      <c r="B722" s="4" t="s">
        <v>558</v>
      </c>
      <c r="C722" s="4" t="s">
        <v>60</v>
      </c>
    </row>
    <row r="723" customFormat="false" ht="12.8" hidden="false" customHeight="false" outlineLevel="0" collapsed="false">
      <c r="A723" s="3" t="n">
        <f aca="false">DATE(1993,4,28)</f>
        <v>34087</v>
      </c>
      <c r="B723" s="4" t="s">
        <v>911</v>
      </c>
      <c r="C723" s="4" t="s">
        <v>912</v>
      </c>
    </row>
    <row r="724" customFormat="false" ht="12.8" hidden="false" customHeight="false" outlineLevel="0" collapsed="false">
      <c r="A724" s="3" t="n">
        <f aca="false">DATE(1993,5,3)</f>
        <v>34092</v>
      </c>
      <c r="B724" s="4" t="s">
        <v>913</v>
      </c>
      <c r="C724" s="4" t="s">
        <v>673</v>
      </c>
    </row>
    <row r="725" customFormat="false" ht="12.8" hidden="false" customHeight="false" outlineLevel="0" collapsed="false">
      <c r="A725" s="3" t="n">
        <f aca="false">DATE(1993,5,4)</f>
        <v>34093</v>
      </c>
      <c r="B725" s="4" t="s">
        <v>914</v>
      </c>
      <c r="C725" s="4" t="s">
        <v>647</v>
      </c>
    </row>
    <row r="726" customFormat="false" ht="12.8" hidden="false" customHeight="false" outlineLevel="0" collapsed="false">
      <c r="A726" s="3" t="n">
        <f aca="false">DATE(1993,5,13)</f>
        <v>34102</v>
      </c>
      <c r="B726" s="4" t="s">
        <v>915</v>
      </c>
      <c r="C726" s="4" t="s">
        <v>475</v>
      </c>
    </row>
    <row r="727" customFormat="false" ht="12.8" hidden="false" customHeight="false" outlineLevel="0" collapsed="false">
      <c r="A727" s="3" t="n">
        <f aca="false">DATE(1993,5,19)</f>
        <v>34108</v>
      </c>
      <c r="B727" s="4" t="s">
        <v>916</v>
      </c>
      <c r="C727" s="4" t="s">
        <v>673</v>
      </c>
    </row>
    <row r="728" customFormat="false" ht="12.8" hidden="false" customHeight="false" outlineLevel="0" collapsed="false">
      <c r="A728" s="3" t="n">
        <f aca="false">DATE(1993,5,20)</f>
        <v>34109</v>
      </c>
      <c r="B728" s="4" t="s">
        <v>917</v>
      </c>
      <c r="C728" s="4" t="s">
        <v>127</v>
      </c>
    </row>
    <row r="729" customFormat="false" ht="12.8" hidden="false" customHeight="false" outlineLevel="0" collapsed="false">
      <c r="A729" s="3" t="n">
        <f aca="false">DATE(1993,5,20)</f>
        <v>34109</v>
      </c>
      <c r="B729" s="4" t="s">
        <v>918</v>
      </c>
      <c r="C729" s="4" t="s">
        <v>329</v>
      </c>
    </row>
    <row r="730" customFormat="false" ht="12.8" hidden="false" customHeight="false" outlineLevel="0" collapsed="false">
      <c r="A730" s="3" t="n">
        <f aca="false">DATE(1993,5,24)</f>
        <v>34113</v>
      </c>
      <c r="B730" s="4" t="s">
        <v>919</v>
      </c>
      <c r="C730" s="4" t="s">
        <v>920</v>
      </c>
    </row>
    <row r="731" customFormat="false" ht="12.8" hidden="false" customHeight="false" outlineLevel="0" collapsed="false">
      <c r="A731" s="3" t="n">
        <f aca="false">DATE(1993,5,24)</f>
        <v>34113</v>
      </c>
      <c r="B731" s="4" t="s">
        <v>921</v>
      </c>
      <c r="C731" s="4" t="s">
        <v>922</v>
      </c>
    </row>
    <row r="732" customFormat="false" ht="12.8" hidden="false" customHeight="false" outlineLevel="0" collapsed="false">
      <c r="A732" s="3" t="n">
        <f aca="false">DATE(1993,5,25)</f>
        <v>34114</v>
      </c>
      <c r="B732" s="4" t="s">
        <v>923</v>
      </c>
      <c r="C732" s="4" t="s">
        <v>187</v>
      </c>
    </row>
    <row r="733" customFormat="false" ht="12.8" hidden="false" customHeight="false" outlineLevel="0" collapsed="false">
      <c r="A733" s="3" t="n">
        <f aca="false">DATE(1993,5,26)</f>
        <v>34115</v>
      </c>
      <c r="B733" s="4" t="s">
        <v>924</v>
      </c>
      <c r="C733" s="4" t="s">
        <v>127</v>
      </c>
    </row>
    <row r="734" customFormat="false" ht="12.8" hidden="false" customHeight="false" outlineLevel="0" collapsed="false">
      <c r="A734" s="3" t="n">
        <f aca="false">DATE(1993,5,27)</f>
        <v>34116</v>
      </c>
      <c r="B734" s="4" t="s">
        <v>925</v>
      </c>
      <c r="C734" s="4" t="s">
        <v>926</v>
      </c>
    </row>
    <row r="735" customFormat="false" ht="12.8" hidden="false" customHeight="false" outlineLevel="0" collapsed="false">
      <c r="A735" s="3" t="n">
        <f aca="false">DATE(1993,5,27)</f>
        <v>34116</v>
      </c>
      <c r="B735" s="4" t="s">
        <v>916</v>
      </c>
      <c r="C735" s="4" t="s">
        <v>927</v>
      </c>
    </row>
    <row r="736" customFormat="false" ht="12.8" hidden="false" customHeight="false" outlineLevel="0" collapsed="false">
      <c r="A736" s="3" t="n">
        <f aca="false">DATE(1993,6,2)</f>
        <v>34122</v>
      </c>
      <c r="B736" s="4" t="s">
        <v>928</v>
      </c>
      <c r="C736" s="4" t="s">
        <v>929</v>
      </c>
    </row>
    <row r="737" customFormat="false" ht="12.8" hidden="false" customHeight="false" outlineLevel="0" collapsed="false">
      <c r="A737" s="3" t="n">
        <f aca="false">DATE(1993,6,3)</f>
        <v>34123</v>
      </c>
      <c r="B737" s="4" t="s">
        <v>930</v>
      </c>
      <c r="C737" s="4" t="s">
        <v>931</v>
      </c>
    </row>
    <row r="738" customFormat="false" ht="12.8" hidden="false" customHeight="false" outlineLevel="0" collapsed="false">
      <c r="A738" s="3" t="n">
        <f aca="false">DATE(1993,6,4)</f>
        <v>34124</v>
      </c>
      <c r="B738" s="4" t="s">
        <v>932</v>
      </c>
      <c r="C738" s="4" t="s">
        <v>84</v>
      </c>
    </row>
    <row r="739" customFormat="false" ht="12.8" hidden="false" customHeight="false" outlineLevel="0" collapsed="false">
      <c r="A739" s="3" t="n">
        <f aca="false">DATE(1993,6,8)</f>
        <v>34128</v>
      </c>
      <c r="B739" s="4" t="s">
        <v>933</v>
      </c>
      <c r="C739" s="4" t="s">
        <v>443</v>
      </c>
    </row>
    <row r="740" customFormat="false" ht="12.8" hidden="false" customHeight="false" outlineLevel="0" collapsed="false">
      <c r="A740" s="3" t="n">
        <f aca="false">DATE(1993,6,10)</f>
        <v>34130</v>
      </c>
      <c r="B740" s="4" t="s">
        <v>934</v>
      </c>
      <c r="C740" s="4" t="s">
        <v>935</v>
      </c>
    </row>
    <row r="741" customFormat="false" ht="12.8" hidden="false" customHeight="false" outlineLevel="0" collapsed="false">
      <c r="A741" s="3" t="n">
        <f aca="false">DATE(1993,6,16)</f>
        <v>34136</v>
      </c>
      <c r="B741" s="4" t="s">
        <v>936</v>
      </c>
      <c r="C741" s="4" t="s">
        <v>734</v>
      </c>
    </row>
    <row r="742" customFormat="false" ht="12.8" hidden="false" customHeight="false" outlineLevel="0" collapsed="false">
      <c r="A742" s="3" t="n">
        <f aca="false">DATE(1993,6,17)</f>
        <v>34137</v>
      </c>
      <c r="B742" s="4" t="s">
        <v>937</v>
      </c>
      <c r="C742" s="4" t="s">
        <v>641</v>
      </c>
    </row>
    <row r="743" customFormat="false" ht="12.8" hidden="false" customHeight="false" outlineLevel="0" collapsed="false">
      <c r="A743" s="3" t="n">
        <f aca="false">DATE(1993,6,23)</f>
        <v>34143</v>
      </c>
      <c r="B743" s="4" t="s">
        <v>938</v>
      </c>
      <c r="C743" s="4" t="s">
        <v>221</v>
      </c>
    </row>
    <row r="744" customFormat="false" ht="12.8" hidden="false" customHeight="false" outlineLevel="0" collapsed="false">
      <c r="A744" s="3" t="n">
        <f aca="false">DATE(1993,6,24)</f>
        <v>34144</v>
      </c>
      <c r="B744" s="4" t="s">
        <v>939</v>
      </c>
      <c r="C744" s="4" t="s">
        <v>20</v>
      </c>
    </row>
    <row r="745" customFormat="false" ht="12.8" hidden="false" customHeight="false" outlineLevel="0" collapsed="false">
      <c r="A745" s="3" t="n">
        <f aca="false">DATE(1993,6,30)</f>
        <v>34150</v>
      </c>
      <c r="B745" s="4" t="s">
        <v>940</v>
      </c>
      <c r="C745" s="4" t="s">
        <v>33</v>
      </c>
    </row>
    <row r="746" customFormat="false" ht="12.8" hidden="false" customHeight="false" outlineLevel="0" collapsed="false">
      <c r="A746" s="3" t="n">
        <f aca="false">DATE(1993,7,2)</f>
        <v>34152</v>
      </c>
      <c r="B746" s="4" t="s">
        <v>941</v>
      </c>
      <c r="C746" s="4" t="s">
        <v>105</v>
      </c>
    </row>
    <row r="747" customFormat="false" ht="12.8" hidden="false" customHeight="false" outlineLevel="0" collapsed="false">
      <c r="A747" s="3" t="n">
        <f aca="false">DATE(1993,7,9)</f>
        <v>34159</v>
      </c>
      <c r="B747" s="4" t="s">
        <v>942</v>
      </c>
      <c r="C747" s="4" t="s">
        <v>364</v>
      </c>
    </row>
    <row r="748" customFormat="false" ht="12.8" hidden="false" customHeight="false" outlineLevel="0" collapsed="false">
      <c r="A748" s="3" t="n">
        <f aca="false">DATE(1993,7,15)</f>
        <v>34165</v>
      </c>
      <c r="B748" s="4" t="s">
        <v>512</v>
      </c>
      <c r="C748" s="4" t="s">
        <v>440</v>
      </c>
    </row>
    <row r="749" customFormat="false" ht="12.8" hidden="false" customHeight="false" outlineLevel="0" collapsed="false">
      <c r="A749" s="3" t="n">
        <f aca="false">DATE(1993,7,16)</f>
        <v>34166</v>
      </c>
      <c r="B749" s="4" t="s">
        <v>943</v>
      </c>
      <c r="C749" s="4" t="s">
        <v>84</v>
      </c>
    </row>
    <row r="750" customFormat="false" ht="12.8" hidden="false" customHeight="false" outlineLevel="0" collapsed="false">
      <c r="A750" s="3" t="n">
        <f aca="false">DATE(1993,7,23)</f>
        <v>34173</v>
      </c>
      <c r="B750" s="4" t="s">
        <v>944</v>
      </c>
      <c r="C750" s="4" t="s">
        <v>50</v>
      </c>
    </row>
    <row r="751" customFormat="false" ht="12.8" hidden="false" customHeight="false" outlineLevel="0" collapsed="false">
      <c r="A751" s="3" t="n">
        <f aca="false">DATE(1993,7,26)</f>
        <v>34176</v>
      </c>
      <c r="B751" s="4" t="s">
        <v>945</v>
      </c>
      <c r="C751" s="4" t="s">
        <v>946</v>
      </c>
    </row>
    <row r="752" customFormat="false" ht="12.8" hidden="false" customHeight="false" outlineLevel="0" collapsed="false">
      <c r="A752" s="3" t="n">
        <f aca="false">DATE(1993,7,27)</f>
        <v>34177</v>
      </c>
      <c r="B752" s="4" t="s">
        <v>372</v>
      </c>
      <c r="C752" s="4" t="s">
        <v>877</v>
      </c>
    </row>
    <row r="753" customFormat="false" ht="12.8" hidden="false" customHeight="false" outlineLevel="0" collapsed="false">
      <c r="A753" s="3" t="n">
        <f aca="false">DATE(1993,7,27)</f>
        <v>34177</v>
      </c>
      <c r="B753" s="4" t="s">
        <v>947</v>
      </c>
      <c r="C753" s="4" t="s">
        <v>948</v>
      </c>
    </row>
    <row r="754" customFormat="false" ht="12.8" hidden="false" customHeight="false" outlineLevel="0" collapsed="false">
      <c r="A754" s="3" t="n">
        <f aca="false">DATE(1993,7,27)</f>
        <v>34177</v>
      </c>
      <c r="B754" s="4" t="s">
        <v>949</v>
      </c>
      <c r="C754" s="4" t="s">
        <v>570</v>
      </c>
    </row>
    <row r="755" customFormat="false" ht="12.8" hidden="false" customHeight="false" outlineLevel="0" collapsed="false">
      <c r="A755" s="3" t="n">
        <f aca="false">DATE(1993,7,28)</f>
        <v>34178</v>
      </c>
      <c r="B755" s="4" t="s">
        <v>939</v>
      </c>
      <c r="C755" s="4" t="s">
        <v>349</v>
      </c>
    </row>
    <row r="756" customFormat="false" ht="12.8" hidden="false" customHeight="false" outlineLevel="0" collapsed="false">
      <c r="A756" s="3" t="n">
        <f aca="false">DATE(1993,7,28)</f>
        <v>34178</v>
      </c>
      <c r="B756" s="4" t="s">
        <v>950</v>
      </c>
      <c r="C756" s="4" t="s">
        <v>626</v>
      </c>
    </row>
    <row r="757" customFormat="false" ht="12.8" hidden="false" customHeight="false" outlineLevel="0" collapsed="false">
      <c r="A757" s="3" t="n">
        <f aca="false">DATE(1993,7,29)</f>
        <v>34179</v>
      </c>
      <c r="B757" s="4" t="s">
        <v>833</v>
      </c>
      <c r="C757" s="4" t="s">
        <v>681</v>
      </c>
    </row>
    <row r="758" customFormat="false" ht="12.8" hidden="false" customHeight="false" outlineLevel="0" collapsed="false">
      <c r="A758" s="3" t="n">
        <f aca="false">DATE(1993,7,29)</f>
        <v>34179</v>
      </c>
      <c r="B758" s="4" t="s">
        <v>951</v>
      </c>
      <c r="C758" s="4" t="s">
        <v>122</v>
      </c>
    </row>
    <row r="759" customFormat="false" ht="12.8" hidden="false" customHeight="false" outlineLevel="0" collapsed="false">
      <c r="A759" s="3" t="n">
        <f aca="false">DATE(1993,7,30)</f>
        <v>34180</v>
      </c>
      <c r="B759" s="4" t="s">
        <v>952</v>
      </c>
      <c r="C759" s="4" t="s">
        <v>953</v>
      </c>
    </row>
    <row r="760" customFormat="false" ht="12.8" hidden="false" customHeight="false" outlineLevel="0" collapsed="false">
      <c r="A760" s="3" t="n">
        <f aca="false">DATE(1993,7,30)</f>
        <v>34180</v>
      </c>
      <c r="B760" s="4" t="s">
        <v>954</v>
      </c>
      <c r="C760" s="4" t="s">
        <v>955</v>
      </c>
    </row>
    <row r="761" customFormat="false" ht="12.8" hidden="false" customHeight="false" outlineLevel="0" collapsed="false">
      <c r="A761" s="3" t="n">
        <f aca="false">DATE(1993,8,2)</f>
        <v>34183</v>
      </c>
      <c r="B761" s="4" t="s">
        <v>956</v>
      </c>
      <c r="C761" s="4" t="s">
        <v>221</v>
      </c>
    </row>
    <row r="762" customFormat="false" ht="12.8" hidden="false" customHeight="false" outlineLevel="0" collapsed="false">
      <c r="A762" s="3" t="n">
        <f aca="false">DATE(1993,8,3)</f>
        <v>34184</v>
      </c>
      <c r="B762" s="4" t="s">
        <v>957</v>
      </c>
      <c r="C762" s="4" t="s">
        <v>122</v>
      </c>
    </row>
    <row r="763" customFormat="false" ht="12.8" hidden="false" customHeight="false" outlineLevel="0" collapsed="false">
      <c r="A763" s="3" t="n">
        <f aca="false">DATE(1993,8,5)</f>
        <v>34186</v>
      </c>
      <c r="B763" s="4" t="s">
        <v>797</v>
      </c>
      <c r="C763" s="4" t="s">
        <v>556</v>
      </c>
    </row>
    <row r="764" customFormat="false" ht="12.8" hidden="false" customHeight="false" outlineLevel="0" collapsed="false">
      <c r="A764" s="3" t="n">
        <f aca="false">DATE(1993,8,9)</f>
        <v>34190</v>
      </c>
      <c r="B764" s="4" t="s">
        <v>958</v>
      </c>
      <c r="C764" s="4" t="s">
        <v>187</v>
      </c>
    </row>
    <row r="765" customFormat="false" ht="12.8" hidden="false" customHeight="false" outlineLevel="0" collapsed="false">
      <c r="A765" s="3" t="n">
        <f aca="false">DATE(1993,8,10)</f>
        <v>34191</v>
      </c>
      <c r="B765" s="4" t="s">
        <v>959</v>
      </c>
      <c r="C765" s="4" t="s">
        <v>122</v>
      </c>
    </row>
    <row r="766" customFormat="false" ht="12.8" hidden="false" customHeight="false" outlineLevel="0" collapsed="false">
      <c r="A766" s="3" t="n">
        <f aca="false">DATE(1993,8,18)</f>
        <v>34199</v>
      </c>
      <c r="B766" s="4" t="s">
        <v>960</v>
      </c>
      <c r="C766" s="4" t="s">
        <v>490</v>
      </c>
    </row>
    <row r="767" customFormat="false" ht="12.8" hidden="false" customHeight="false" outlineLevel="0" collapsed="false">
      <c r="A767" s="3" t="n">
        <f aca="false">DATE(1993,8,18)</f>
        <v>34199</v>
      </c>
      <c r="B767" s="4" t="s">
        <v>961</v>
      </c>
      <c r="C767" s="4" t="s">
        <v>202</v>
      </c>
    </row>
    <row r="768" customFormat="false" ht="12.8" hidden="false" customHeight="false" outlineLevel="0" collapsed="false">
      <c r="A768" s="3" t="n">
        <f aca="false">DATE(1993,8,20)</f>
        <v>34201</v>
      </c>
      <c r="B768" s="4" t="s">
        <v>770</v>
      </c>
      <c r="C768" s="4" t="s">
        <v>440</v>
      </c>
    </row>
    <row r="769" customFormat="false" ht="12.8" hidden="false" customHeight="false" outlineLevel="0" collapsed="false">
      <c r="A769" s="3" t="n">
        <f aca="false">DATE(1993,8,20)</f>
        <v>34201</v>
      </c>
      <c r="B769" s="4" t="s">
        <v>962</v>
      </c>
      <c r="C769" s="4" t="s">
        <v>808</v>
      </c>
    </row>
    <row r="770" customFormat="false" ht="12.8" hidden="false" customHeight="false" outlineLevel="0" collapsed="false">
      <c r="A770" s="3" t="n">
        <f aca="false">DATE(1993,8,23)</f>
        <v>34204</v>
      </c>
      <c r="B770" s="4" t="s">
        <v>963</v>
      </c>
      <c r="C770" s="4" t="s">
        <v>964</v>
      </c>
    </row>
    <row r="771" customFormat="false" ht="12.8" hidden="false" customHeight="false" outlineLevel="0" collapsed="false">
      <c r="A771" s="3" t="n">
        <f aca="false">DATE(1993,8,26)</f>
        <v>34207</v>
      </c>
      <c r="B771" s="4" t="s">
        <v>965</v>
      </c>
      <c r="C771" s="4" t="s">
        <v>660</v>
      </c>
    </row>
    <row r="772" customFormat="false" ht="12.8" hidden="false" customHeight="false" outlineLevel="0" collapsed="false">
      <c r="A772" s="3" t="n">
        <f aca="false">DATE(1993,8,26)</f>
        <v>34207</v>
      </c>
      <c r="B772" s="4" t="s">
        <v>966</v>
      </c>
      <c r="C772" s="4" t="s">
        <v>690</v>
      </c>
    </row>
    <row r="773" customFormat="false" ht="12.8" hidden="false" customHeight="false" outlineLevel="0" collapsed="false">
      <c r="A773" s="3" t="n">
        <f aca="false">DATE(1993,8,27)</f>
        <v>34208</v>
      </c>
      <c r="B773" s="4" t="s">
        <v>967</v>
      </c>
      <c r="C773" s="4" t="s">
        <v>171</v>
      </c>
    </row>
    <row r="774" customFormat="false" ht="12.8" hidden="false" customHeight="false" outlineLevel="0" collapsed="false">
      <c r="A774" s="3" t="n">
        <f aca="false">DATE(1993,8,27)</f>
        <v>34208</v>
      </c>
      <c r="B774" s="4" t="s">
        <v>968</v>
      </c>
      <c r="C774" s="4" t="s">
        <v>171</v>
      </c>
    </row>
    <row r="775" customFormat="false" ht="12.8" hidden="false" customHeight="false" outlineLevel="0" collapsed="false">
      <c r="A775" s="3" t="n">
        <f aca="false">DATE(1993,8,30)</f>
        <v>34211</v>
      </c>
      <c r="B775" s="4" t="s">
        <v>969</v>
      </c>
      <c r="C775" s="4" t="s">
        <v>225</v>
      </c>
    </row>
    <row r="776" customFormat="false" ht="12.8" hidden="false" customHeight="false" outlineLevel="0" collapsed="false">
      <c r="A776" s="3" t="n">
        <f aca="false">DATE(1993,8,31)</f>
        <v>34212</v>
      </c>
      <c r="B776" s="4" t="s">
        <v>970</v>
      </c>
      <c r="C776" s="4" t="s">
        <v>953</v>
      </c>
    </row>
    <row r="777" customFormat="false" ht="12.8" hidden="false" customHeight="false" outlineLevel="0" collapsed="false">
      <c r="A777" s="3" t="n">
        <f aca="false">DATE(1993,9,1)</f>
        <v>34213</v>
      </c>
      <c r="B777" s="4" t="s">
        <v>971</v>
      </c>
      <c r="C777" s="4" t="s">
        <v>972</v>
      </c>
    </row>
    <row r="778" customFormat="false" ht="12.8" hidden="false" customHeight="false" outlineLevel="0" collapsed="false">
      <c r="A778" s="3" t="n">
        <f aca="false">DATE(1993,9,3)</f>
        <v>34215</v>
      </c>
      <c r="B778" s="4" t="s">
        <v>973</v>
      </c>
      <c r="C778" s="4" t="s">
        <v>418</v>
      </c>
    </row>
    <row r="779" customFormat="false" ht="12.8" hidden="false" customHeight="false" outlineLevel="0" collapsed="false">
      <c r="A779" s="3" t="n">
        <f aca="false">DATE(1993,9,3)</f>
        <v>34215</v>
      </c>
      <c r="B779" s="4" t="s">
        <v>974</v>
      </c>
      <c r="C779" s="4" t="s">
        <v>900</v>
      </c>
    </row>
    <row r="780" customFormat="false" ht="12.8" hidden="false" customHeight="false" outlineLevel="0" collapsed="false">
      <c r="A780" s="3" t="n">
        <f aca="false">DATE(1993,9,7)</f>
        <v>34219</v>
      </c>
      <c r="B780" s="4" t="s">
        <v>975</v>
      </c>
      <c r="C780" s="4" t="s">
        <v>976</v>
      </c>
    </row>
    <row r="781" customFormat="false" ht="12.8" hidden="false" customHeight="false" outlineLevel="0" collapsed="false">
      <c r="A781" s="3" t="n">
        <f aca="false">DATE(1993,9,7)</f>
        <v>34219</v>
      </c>
      <c r="B781" s="4" t="s">
        <v>977</v>
      </c>
      <c r="C781" s="4" t="s">
        <v>978</v>
      </c>
    </row>
    <row r="782" customFormat="false" ht="12.8" hidden="false" customHeight="false" outlineLevel="0" collapsed="false">
      <c r="A782" s="3" t="n">
        <f aca="false">DATE(1993,9,7)</f>
        <v>34219</v>
      </c>
      <c r="B782" s="4" t="s">
        <v>979</v>
      </c>
      <c r="C782" s="4" t="s">
        <v>927</v>
      </c>
    </row>
    <row r="783" customFormat="false" ht="12.8" hidden="false" customHeight="false" outlineLevel="0" collapsed="false">
      <c r="A783" s="3" t="n">
        <f aca="false">DATE(1993,9,9)</f>
        <v>34221</v>
      </c>
      <c r="B783" s="4" t="s">
        <v>980</v>
      </c>
      <c r="C783" s="4" t="s">
        <v>214</v>
      </c>
    </row>
    <row r="784" customFormat="false" ht="12.8" hidden="false" customHeight="false" outlineLevel="0" collapsed="false">
      <c r="A784" s="3" t="n">
        <f aca="false">DATE(1993,9,9)</f>
        <v>34221</v>
      </c>
      <c r="B784" s="4" t="s">
        <v>981</v>
      </c>
      <c r="C784" s="4" t="s">
        <v>854</v>
      </c>
    </row>
    <row r="785" customFormat="false" ht="12.8" hidden="false" customHeight="false" outlineLevel="0" collapsed="false">
      <c r="A785" s="3" t="n">
        <f aca="false">DATE(1993,9,9)</f>
        <v>34221</v>
      </c>
      <c r="B785" s="4" t="s">
        <v>982</v>
      </c>
      <c r="C785" s="4" t="s">
        <v>214</v>
      </c>
    </row>
    <row r="786" customFormat="false" ht="12.8" hidden="false" customHeight="false" outlineLevel="0" collapsed="false">
      <c r="A786" s="3" t="n">
        <f aca="false">DATE(1993,9,9)</f>
        <v>34221</v>
      </c>
      <c r="B786" s="4" t="s">
        <v>82</v>
      </c>
      <c r="C786" s="4" t="s">
        <v>44</v>
      </c>
    </row>
    <row r="787" customFormat="false" ht="12.8" hidden="false" customHeight="false" outlineLevel="0" collapsed="false">
      <c r="A787" s="3" t="n">
        <f aca="false">DATE(1993,9,13)</f>
        <v>34225</v>
      </c>
      <c r="B787" s="4" t="s">
        <v>983</v>
      </c>
      <c r="C787" s="4" t="s">
        <v>141</v>
      </c>
    </row>
    <row r="788" customFormat="false" ht="12.8" hidden="false" customHeight="false" outlineLevel="0" collapsed="false">
      <c r="A788" s="3" t="n">
        <f aca="false">DATE(1993,9,13)</f>
        <v>34225</v>
      </c>
      <c r="B788" s="4" t="s">
        <v>984</v>
      </c>
      <c r="C788" s="4" t="s">
        <v>816</v>
      </c>
    </row>
    <row r="789" customFormat="false" ht="12.8" hidden="false" customHeight="false" outlineLevel="0" collapsed="false">
      <c r="A789" s="3" t="n">
        <f aca="false">DATE(1993,9,20)</f>
        <v>34232</v>
      </c>
      <c r="B789" s="4" t="s">
        <v>985</v>
      </c>
      <c r="C789" s="4" t="s">
        <v>782</v>
      </c>
    </row>
    <row r="790" customFormat="false" ht="12.8" hidden="false" customHeight="false" outlineLevel="0" collapsed="false">
      <c r="A790" s="3" t="n">
        <f aca="false">DATE(1993,9,20)</f>
        <v>34232</v>
      </c>
      <c r="B790" s="4" t="s">
        <v>986</v>
      </c>
      <c r="C790" s="4" t="s">
        <v>987</v>
      </c>
    </row>
    <row r="791" customFormat="false" ht="12.8" hidden="false" customHeight="false" outlineLevel="0" collapsed="false">
      <c r="A791" s="3" t="n">
        <f aca="false">DATE(1993,9,20)</f>
        <v>34232</v>
      </c>
      <c r="B791" s="4" t="s">
        <v>318</v>
      </c>
      <c r="C791" s="4" t="s">
        <v>182</v>
      </c>
    </row>
    <row r="792" customFormat="false" ht="12.8" hidden="false" customHeight="false" outlineLevel="0" collapsed="false">
      <c r="A792" s="3" t="n">
        <f aca="false">DATE(1993,9,21)</f>
        <v>34233</v>
      </c>
      <c r="B792" s="4" t="s">
        <v>988</v>
      </c>
      <c r="C792" s="4" t="s">
        <v>691</v>
      </c>
    </row>
    <row r="793" customFormat="false" ht="12.8" hidden="false" customHeight="false" outlineLevel="0" collapsed="false">
      <c r="A793" s="3" t="n">
        <f aca="false">DATE(1993,9,29)</f>
        <v>34241</v>
      </c>
      <c r="B793" s="4" t="s">
        <v>402</v>
      </c>
      <c r="C793" s="4" t="s">
        <v>321</v>
      </c>
    </row>
    <row r="794" customFormat="false" ht="12.8" hidden="false" customHeight="false" outlineLevel="0" collapsed="false">
      <c r="A794" s="3" t="n">
        <f aca="false">DATE(1993,10,1)</f>
        <v>34243</v>
      </c>
      <c r="B794" s="4" t="s">
        <v>989</v>
      </c>
      <c r="C794" s="4" t="s">
        <v>440</v>
      </c>
    </row>
    <row r="795" customFormat="false" ht="12.8" hidden="false" customHeight="false" outlineLevel="0" collapsed="false">
      <c r="A795" s="3" t="n">
        <f aca="false">DATE(1993,10,1)</f>
        <v>34243</v>
      </c>
      <c r="B795" s="4" t="s">
        <v>141</v>
      </c>
      <c r="C795" s="4" t="s">
        <v>517</v>
      </c>
    </row>
    <row r="796" customFormat="false" ht="12.8" hidden="false" customHeight="false" outlineLevel="0" collapsed="false">
      <c r="A796" s="3" t="n">
        <f aca="false">DATE(1993,10,5)</f>
        <v>34247</v>
      </c>
      <c r="B796" s="4" t="s">
        <v>990</v>
      </c>
      <c r="C796" s="4" t="s">
        <v>225</v>
      </c>
    </row>
    <row r="797" customFormat="false" ht="12.8" hidden="false" customHeight="false" outlineLevel="0" collapsed="false">
      <c r="A797" s="3" t="n">
        <f aca="false">DATE(1993,10,8)</f>
        <v>34250</v>
      </c>
      <c r="B797" s="4" t="s">
        <v>991</v>
      </c>
      <c r="C797" s="4" t="s">
        <v>66</v>
      </c>
    </row>
    <row r="798" customFormat="false" ht="12.8" hidden="false" customHeight="false" outlineLevel="0" collapsed="false">
      <c r="A798" s="3" t="n">
        <f aca="false">DATE(1993,10,14)</f>
        <v>34256</v>
      </c>
      <c r="B798" s="4" t="s">
        <v>992</v>
      </c>
      <c r="C798" s="4" t="s">
        <v>993</v>
      </c>
    </row>
    <row r="799" customFormat="false" ht="12.8" hidden="false" customHeight="false" outlineLevel="0" collapsed="false">
      <c r="A799" s="3" t="n">
        <f aca="false">DATE(1993,10,18)</f>
        <v>34260</v>
      </c>
      <c r="B799" s="4" t="s">
        <v>994</v>
      </c>
      <c r="C799" s="4" t="s">
        <v>995</v>
      </c>
    </row>
    <row r="800" customFormat="false" ht="12.8" hidden="false" customHeight="false" outlineLevel="0" collapsed="false">
      <c r="A800" s="3" t="n">
        <f aca="false">DATE(1993,10,20)</f>
        <v>34262</v>
      </c>
      <c r="B800" s="4" t="s">
        <v>996</v>
      </c>
      <c r="C800" s="4" t="s">
        <v>813</v>
      </c>
    </row>
    <row r="801" customFormat="false" ht="12.8" hidden="false" customHeight="false" outlineLevel="0" collapsed="false">
      <c r="A801" s="3" t="n">
        <f aca="false">DATE(1993,10,21)</f>
        <v>34263</v>
      </c>
      <c r="B801" s="4" t="s">
        <v>997</v>
      </c>
      <c r="C801" s="4" t="s">
        <v>418</v>
      </c>
    </row>
    <row r="802" customFormat="false" ht="12.8" hidden="false" customHeight="false" outlineLevel="0" collapsed="false">
      <c r="A802" s="3" t="n">
        <f aca="false">DATE(1993,10,22)</f>
        <v>34264</v>
      </c>
      <c r="B802" s="4" t="s">
        <v>998</v>
      </c>
      <c r="C802" s="4" t="s">
        <v>560</v>
      </c>
    </row>
    <row r="803" customFormat="false" ht="12.8" hidden="false" customHeight="false" outlineLevel="0" collapsed="false">
      <c r="A803" s="3" t="n">
        <f aca="false">DATE(1993,10,26)</f>
        <v>34268</v>
      </c>
      <c r="B803" s="4" t="s">
        <v>999</v>
      </c>
      <c r="C803" s="4" t="s">
        <v>647</v>
      </c>
    </row>
    <row r="804" customFormat="false" ht="12.8" hidden="false" customHeight="false" outlineLevel="0" collapsed="false">
      <c r="A804" s="3" t="n">
        <f aca="false">DATE(1993,10,26)</f>
        <v>34268</v>
      </c>
      <c r="B804" s="4" t="s">
        <v>1000</v>
      </c>
      <c r="C804" s="4" t="s">
        <v>922</v>
      </c>
    </row>
    <row r="805" customFormat="false" ht="12.8" hidden="false" customHeight="false" outlineLevel="0" collapsed="false">
      <c r="A805" s="3" t="n">
        <f aca="false">DATE(1993,10,27)</f>
        <v>34269</v>
      </c>
      <c r="B805" s="4" t="s">
        <v>1001</v>
      </c>
      <c r="C805" s="4" t="s">
        <v>364</v>
      </c>
    </row>
    <row r="806" customFormat="false" ht="12.8" hidden="false" customHeight="false" outlineLevel="0" collapsed="false">
      <c r="A806" s="3" t="n">
        <f aca="false">DATE(1993,11,2)</f>
        <v>34275</v>
      </c>
      <c r="B806" s="4" t="s">
        <v>1002</v>
      </c>
      <c r="C806" s="4" t="s">
        <v>169</v>
      </c>
    </row>
    <row r="807" customFormat="false" ht="12.8" hidden="false" customHeight="false" outlineLevel="0" collapsed="false">
      <c r="A807" s="3" t="n">
        <f aca="false">DATE(1993,11,2)</f>
        <v>34275</v>
      </c>
      <c r="B807" s="4" t="s">
        <v>1003</v>
      </c>
      <c r="C807" s="4" t="s">
        <v>225</v>
      </c>
    </row>
    <row r="808" customFormat="false" ht="12.8" hidden="false" customHeight="false" outlineLevel="0" collapsed="false">
      <c r="A808" s="3" t="n">
        <f aca="false">DATE(1993,11,3)</f>
        <v>34276</v>
      </c>
      <c r="B808" s="4" t="s">
        <v>652</v>
      </c>
      <c r="C808" s="4" t="s">
        <v>127</v>
      </c>
    </row>
    <row r="809" customFormat="false" ht="12.8" hidden="false" customHeight="false" outlineLevel="0" collapsed="false">
      <c r="A809" s="3" t="n">
        <f aca="false">DATE(1993,11,4)</f>
        <v>34277</v>
      </c>
      <c r="B809" s="4" t="s">
        <v>1004</v>
      </c>
      <c r="C809" s="4" t="s">
        <v>86</v>
      </c>
    </row>
    <row r="810" customFormat="false" ht="12.8" hidden="false" customHeight="false" outlineLevel="0" collapsed="false">
      <c r="A810" s="3" t="n">
        <f aca="false">DATE(1993,11,4)</f>
        <v>34277</v>
      </c>
      <c r="B810" s="4" t="s">
        <v>1005</v>
      </c>
      <c r="C810" s="4" t="s">
        <v>86</v>
      </c>
    </row>
    <row r="811" customFormat="false" ht="12.8" hidden="false" customHeight="false" outlineLevel="0" collapsed="false">
      <c r="A811" s="3" t="n">
        <f aca="false">DATE(1993,11,5)</f>
        <v>34278</v>
      </c>
      <c r="B811" s="4" t="s">
        <v>1006</v>
      </c>
      <c r="C811" s="4" t="s">
        <v>50</v>
      </c>
    </row>
    <row r="812" customFormat="false" ht="12.8" hidden="false" customHeight="false" outlineLevel="0" collapsed="false">
      <c r="A812" s="3" t="n">
        <f aca="false">DATE(1993,11,9)</f>
        <v>34282</v>
      </c>
      <c r="B812" s="4" t="s">
        <v>1007</v>
      </c>
      <c r="C812" s="4" t="s">
        <v>803</v>
      </c>
    </row>
    <row r="813" customFormat="false" ht="12.8" hidden="false" customHeight="false" outlineLevel="0" collapsed="false">
      <c r="A813" s="3" t="n">
        <f aca="false">DATE(1993,11,9)</f>
        <v>34282</v>
      </c>
      <c r="B813" s="4" t="s">
        <v>1008</v>
      </c>
      <c r="C813" s="4" t="s">
        <v>443</v>
      </c>
    </row>
    <row r="814" customFormat="false" ht="12.8" hidden="false" customHeight="false" outlineLevel="0" collapsed="false">
      <c r="A814" s="3" t="n">
        <f aca="false">DATE(1993,11,12)</f>
        <v>34285</v>
      </c>
      <c r="B814" s="4" t="s">
        <v>819</v>
      </c>
      <c r="C814" s="4" t="s">
        <v>641</v>
      </c>
    </row>
    <row r="815" customFormat="false" ht="12.8" hidden="false" customHeight="false" outlineLevel="0" collapsed="false">
      <c r="A815" s="3" t="n">
        <f aca="false">DATE(1993,11,15)</f>
        <v>34288</v>
      </c>
      <c r="B815" s="4" t="s">
        <v>1009</v>
      </c>
      <c r="C815" s="4" t="s">
        <v>1010</v>
      </c>
    </row>
    <row r="816" customFormat="false" ht="12.8" hidden="false" customHeight="false" outlineLevel="0" collapsed="false">
      <c r="A816" s="3" t="n">
        <f aca="false">DATE(1993,11,16)</f>
        <v>34289</v>
      </c>
      <c r="B816" s="4" t="s">
        <v>1011</v>
      </c>
      <c r="C816" s="4" t="s">
        <v>1012</v>
      </c>
    </row>
    <row r="817" customFormat="false" ht="12.8" hidden="false" customHeight="false" outlineLevel="0" collapsed="false">
      <c r="A817" s="3" t="n">
        <f aca="false">DATE(1993,11,17)</f>
        <v>34290</v>
      </c>
      <c r="B817" s="4" t="s">
        <v>1013</v>
      </c>
      <c r="C817" s="4" t="s">
        <v>58</v>
      </c>
    </row>
    <row r="818" customFormat="false" ht="12.8" hidden="false" customHeight="false" outlineLevel="0" collapsed="false">
      <c r="A818" s="3" t="n">
        <f aca="false">DATE(1993,11,17)</f>
        <v>34290</v>
      </c>
      <c r="B818" s="4" t="s">
        <v>1014</v>
      </c>
      <c r="C818" s="4" t="s">
        <v>566</v>
      </c>
    </row>
    <row r="819" customFormat="false" ht="12.8" hidden="false" customHeight="false" outlineLevel="0" collapsed="false">
      <c r="A819" s="3" t="n">
        <f aca="false">DATE(1993,11,17)</f>
        <v>34290</v>
      </c>
      <c r="B819" s="4" t="s">
        <v>1015</v>
      </c>
      <c r="C819" s="4" t="s">
        <v>684</v>
      </c>
    </row>
    <row r="820" customFormat="false" ht="12.8" hidden="false" customHeight="false" outlineLevel="0" collapsed="false">
      <c r="A820" s="3" t="n">
        <f aca="false">DATE(1993,11,18)</f>
        <v>34291</v>
      </c>
      <c r="B820" s="4" t="s">
        <v>1016</v>
      </c>
      <c r="C820" s="4" t="s">
        <v>987</v>
      </c>
    </row>
    <row r="821" customFormat="false" ht="12.8" hidden="false" customHeight="false" outlineLevel="0" collapsed="false">
      <c r="A821" s="3" t="n">
        <f aca="false">DATE(1993,11,19)</f>
        <v>34292</v>
      </c>
      <c r="B821" s="4" t="s">
        <v>238</v>
      </c>
      <c r="C821" s="4" t="s">
        <v>221</v>
      </c>
    </row>
    <row r="822" customFormat="false" ht="12.8" hidden="false" customHeight="false" outlineLevel="0" collapsed="false">
      <c r="A822" s="3" t="n">
        <f aca="false">DATE(1993,11,22)</f>
        <v>34295</v>
      </c>
      <c r="B822" s="4" t="s">
        <v>1017</v>
      </c>
      <c r="C822" s="4" t="s">
        <v>306</v>
      </c>
    </row>
    <row r="823" customFormat="false" ht="12.8" hidden="false" customHeight="false" outlineLevel="0" collapsed="false">
      <c r="A823" s="3" t="n">
        <f aca="false">DATE(1993,11,24)</f>
        <v>34297</v>
      </c>
      <c r="B823" s="4" t="s">
        <v>1018</v>
      </c>
      <c r="C823" s="4" t="s">
        <v>1019</v>
      </c>
    </row>
    <row r="824" customFormat="false" ht="12.8" hidden="false" customHeight="false" outlineLevel="0" collapsed="false">
      <c r="A824" s="3" t="n">
        <f aca="false">DATE(1993,11,29)</f>
        <v>34302</v>
      </c>
      <c r="B824" s="4" t="s">
        <v>1020</v>
      </c>
      <c r="C824" s="4" t="s">
        <v>1021</v>
      </c>
    </row>
    <row r="825" customFormat="false" ht="12.8" hidden="false" customHeight="false" outlineLevel="0" collapsed="false">
      <c r="A825" s="3" t="n">
        <f aca="false">DATE(1993,12,2)</f>
        <v>34305</v>
      </c>
      <c r="B825" s="4" t="s">
        <v>1022</v>
      </c>
      <c r="C825" s="4" t="s">
        <v>1023</v>
      </c>
    </row>
    <row r="826" customFormat="false" ht="12.8" hidden="false" customHeight="false" outlineLevel="0" collapsed="false">
      <c r="A826" s="3" t="n">
        <f aca="false">DATE(1993,12,6)</f>
        <v>34309</v>
      </c>
      <c r="B826" s="4" t="s">
        <v>1024</v>
      </c>
      <c r="C826" s="4" t="s">
        <v>139</v>
      </c>
    </row>
    <row r="827" customFormat="false" ht="12.8" hidden="false" customHeight="false" outlineLevel="0" collapsed="false">
      <c r="A827" s="3" t="n">
        <f aca="false">DATE(1993,12,6)</f>
        <v>34309</v>
      </c>
      <c r="B827" s="4" t="s">
        <v>1025</v>
      </c>
      <c r="C827" s="4" t="s">
        <v>86</v>
      </c>
    </row>
    <row r="828" customFormat="false" ht="12.8" hidden="false" customHeight="false" outlineLevel="0" collapsed="false">
      <c r="A828" s="3" t="n">
        <f aca="false">DATE(1993,12,6)</f>
        <v>34309</v>
      </c>
      <c r="B828" s="4" t="s">
        <v>1026</v>
      </c>
      <c r="C828" s="4" t="s">
        <v>105</v>
      </c>
    </row>
    <row r="829" customFormat="false" ht="12.8" hidden="false" customHeight="false" outlineLevel="0" collapsed="false">
      <c r="A829" s="3" t="n">
        <f aca="false">DATE(1993,12,8)</f>
        <v>34311</v>
      </c>
      <c r="B829" s="4" t="s">
        <v>832</v>
      </c>
      <c r="C829" s="4" t="s">
        <v>767</v>
      </c>
    </row>
    <row r="830" customFormat="false" ht="12.8" hidden="false" customHeight="false" outlineLevel="0" collapsed="false">
      <c r="A830" s="3" t="n">
        <f aca="false">DATE(1993,12,13)</f>
        <v>34316</v>
      </c>
      <c r="B830" s="4" t="s">
        <v>1027</v>
      </c>
      <c r="C830" s="4" t="s">
        <v>234</v>
      </c>
    </row>
    <row r="831" customFormat="false" ht="12.8" hidden="false" customHeight="false" outlineLevel="0" collapsed="false">
      <c r="A831" s="3" t="n">
        <f aca="false">DATE(1993,12,14)</f>
        <v>34317</v>
      </c>
      <c r="B831" s="4" t="s">
        <v>1028</v>
      </c>
      <c r="C831" s="4" t="s">
        <v>946</v>
      </c>
    </row>
    <row r="832" customFormat="false" ht="12.8" hidden="false" customHeight="false" outlineLevel="0" collapsed="false">
      <c r="A832" s="3" t="n">
        <f aca="false">DATE(1993,12,15)</f>
        <v>34318</v>
      </c>
      <c r="B832" s="4" t="s">
        <v>1029</v>
      </c>
      <c r="C832" s="4" t="s">
        <v>1030</v>
      </c>
    </row>
    <row r="833" customFormat="false" ht="12.8" hidden="false" customHeight="false" outlineLevel="0" collapsed="false">
      <c r="A833" s="3" t="n">
        <f aca="false">DATE(1993,12,16)</f>
        <v>34319</v>
      </c>
      <c r="B833" s="4" t="s">
        <v>1031</v>
      </c>
      <c r="C833" s="4" t="s">
        <v>187</v>
      </c>
    </row>
    <row r="834" customFormat="false" ht="12.8" hidden="false" customHeight="false" outlineLevel="0" collapsed="false">
      <c r="A834" s="3" t="n">
        <f aca="false">DATE(1993,12,16)</f>
        <v>34319</v>
      </c>
      <c r="B834" s="4" t="s">
        <v>1032</v>
      </c>
      <c r="C834" s="4" t="s">
        <v>473</v>
      </c>
    </row>
    <row r="835" customFormat="false" ht="12.8" hidden="false" customHeight="false" outlineLevel="0" collapsed="false">
      <c r="A835" s="3" t="n">
        <f aca="false">DATE(1993,12,17)</f>
        <v>34320</v>
      </c>
      <c r="B835" s="4" t="s">
        <v>1033</v>
      </c>
      <c r="C835" s="4" t="s">
        <v>1034</v>
      </c>
    </row>
    <row r="836" customFormat="false" ht="12.8" hidden="false" customHeight="false" outlineLevel="0" collapsed="false">
      <c r="A836" s="3" t="n">
        <f aca="false">DATE(1993,12,17)</f>
        <v>34320</v>
      </c>
      <c r="B836" s="4" t="s">
        <v>1035</v>
      </c>
      <c r="C836" s="4" t="s">
        <v>611</v>
      </c>
    </row>
    <row r="837" customFormat="false" ht="12.8" hidden="false" customHeight="false" outlineLevel="0" collapsed="false">
      <c r="A837" s="3" t="n">
        <f aca="false">DATE(1993,12,17)</f>
        <v>34320</v>
      </c>
      <c r="B837" s="4" t="s">
        <v>1036</v>
      </c>
      <c r="C837" s="4" t="s">
        <v>1037</v>
      </c>
    </row>
    <row r="838" customFormat="false" ht="12.8" hidden="false" customHeight="false" outlineLevel="0" collapsed="false">
      <c r="A838" s="3" t="n">
        <f aca="false">DATE(1993,12,21)</f>
        <v>34324</v>
      </c>
      <c r="B838" s="4" t="s">
        <v>1038</v>
      </c>
      <c r="C838" s="4" t="s">
        <v>381</v>
      </c>
    </row>
    <row r="839" customFormat="false" ht="12.8" hidden="false" customHeight="false" outlineLevel="0" collapsed="false">
      <c r="A839" s="3" t="n">
        <f aca="false">DATE(1993,12,22)</f>
        <v>34325</v>
      </c>
      <c r="B839" s="4" t="s">
        <v>1039</v>
      </c>
      <c r="C839" s="4" t="s">
        <v>849</v>
      </c>
    </row>
    <row r="840" customFormat="false" ht="12.8" hidden="false" customHeight="false" outlineLevel="0" collapsed="false">
      <c r="A840" s="3" t="n">
        <f aca="false">DATE(1993,12,27)</f>
        <v>34330</v>
      </c>
      <c r="B840" s="4" t="s">
        <v>1040</v>
      </c>
      <c r="C840" s="4" t="s">
        <v>803</v>
      </c>
    </row>
    <row r="841" customFormat="false" ht="12.8" hidden="false" customHeight="false" outlineLevel="0" collapsed="false">
      <c r="A841" s="3" t="n">
        <f aca="false">DATE(1993,12,28)</f>
        <v>34331</v>
      </c>
      <c r="B841" s="4" t="s">
        <v>1041</v>
      </c>
      <c r="C841" s="4" t="s">
        <v>1042</v>
      </c>
    </row>
    <row r="842" customFormat="false" ht="12.8" hidden="false" customHeight="false" outlineLevel="0" collapsed="false">
      <c r="A842" s="3" t="n">
        <f aca="false">DATE(1993,12,29)</f>
        <v>34332</v>
      </c>
      <c r="B842" s="4" t="s">
        <v>1043</v>
      </c>
      <c r="C842" s="4" t="s">
        <v>1044</v>
      </c>
    </row>
    <row r="843" customFormat="false" ht="12.8" hidden="false" customHeight="false" outlineLevel="0" collapsed="false">
      <c r="A843" s="3" t="n">
        <f aca="false">DATE(1993,12,30)</f>
        <v>34333</v>
      </c>
      <c r="B843" s="4" t="s">
        <v>1045</v>
      </c>
      <c r="C843" s="4" t="s">
        <v>509</v>
      </c>
    </row>
    <row r="844" customFormat="false" ht="12.8" hidden="false" customHeight="false" outlineLevel="0" collapsed="false">
      <c r="A844" s="3" t="n">
        <f aca="false">DATE(1994,1,6)</f>
        <v>34340</v>
      </c>
      <c r="B844" s="4" t="s">
        <v>1046</v>
      </c>
      <c r="C844" s="4" t="s">
        <v>611</v>
      </c>
    </row>
    <row r="845" customFormat="false" ht="12.8" hidden="false" customHeight="false" outlineLevel="0" collapsed="false">
      <c r="A845" s="3" t="n">
        <f aca="false">DATE(1994,1,7)</f>
        <v>34341</v>
      </c>
      <c r="B845" s="4" t="s">
        <v>1047</v>
      </c>
      <c r="C845" s="4" t="s">
        <v>1048</v>
      </c>
    </row>
    <row r="846" customFormat="false" ht="12.8" hidden="false" customHeight="false" outlineLevel="0" collapsed="false">
      <c r="A846" s="3" t="n">
        <f aca="false">DATE(1994,1,11)</f>
        <v>34345</v>
      </c>
      <c r="B846" s="4" t="s">
        <v>1049</v>
      </c>
      <c r="C846" s="4" t="s">
        <v>1050</v>
      </c>
    </row>
    <row r="847" customFormat="false" ht="12.8" hidden="false" customHeight="false" outlineLevel="0" collapsed="false">
      <c r="A847" s="3" t="n">
        <f aca="false">DATE(1994,1,11)</f>
        <v>34345</v>
      </c>
      <c r="B847" s="4" t="s">
        <v>1051</v>
      </c>
      <c r="C847" s="4" t="s">
        <v>532</v>
      </c>
    </row>
    <row r="848" customFormat="false" ht="12.8" hidden="false" customHeight="false" outlineLevel="0" collapsed="false">
      <c r="A848" s="3" t="n">
        <f aca="false">DATE(1994,1,12)</f>
        <v>34346</v>
      </c>
      <c r="B848" s="4" t="s">
        <v>1052</v>
      </c>
      <c r="C848" s="4" t="s">
        <v>105</v>
      </c>
    </row>
    <row r="849" customFormat="false" ht="12.8" hidden="false" customHeight="false" outlineLevel="0" collapsed="false">
      <c r="A849" s="3" t="n">
        <f aca="false">DATE(1994,1,13)</f>
        <v>34347</v>
      </c>
      <c r="B849" s="4" t="s">
        <v>1053</v>
      </c>
      <c r="C849" s="4" t="s">
        <v>1054</v>
      </c>
    </row>
    <row r="850" customFormat="false" ht="12.8" hidden="false" customHeight="false" outlineLevel="0" collapsed="false">
      <c r="A850" s="3" t="n">
        <f aca="false">DATE(1994,1,13)</f>
        <v>34347</v>
      </c>
      <c r="B850" s="4" t="s">
        <v>1055</v>
      </c>
      <c r="C850" s="4" t="s">
        <v>225</v>
      </c>
    </row>
    <row r="851" customFormat="false" ht="12.8" hidden="false" customHeight="false" outlineLevel="0" collapsed="false">
      <c r="A851" s="3" t="n">
        <f aca="false">DATE(1994,1,14)</f>
        <v>34348</v>
      </c>
      <c r="B851" s="4" t="s">
        <v>1056</v>
      </c>
      <c r="C851" s="4" t="s">
        <v>281</v>
      </c>
    </row>
    <row r="852" customFormat="false" ht="12.8" hidden="false" customHeight="false" outlineLevel="0" collapsed="false">
      <c r="A852" s="3" t="n">
        <f aca="false">DATE(1994,1,18)</f>
        <v>34352</v>
      </c>
      <c r="B852" s="4" t="s">
        <v>1057</v>
      </c>
      <c r="C852" s="4" t="s">
        <v>202</v>
      </c>
    </row>
    <row r="853" customFormat="false" ht="12.8" hidden="false" customHeight="false" outlineLevel="0" collapsed="false">
      <c r="A853" s="3" t="n">
        <f aca="false">DATE(1994,1,19)</f>
        <v>34353</v>
      </c>
      <c r="B853" s="4" t="s">
        <v>1058</v>
      </c>
      <c r="C853" s="4" t="s">
        <v>614</v>
      </c>
    </row>
    <row r="854" customFormat="false" ht="12.8" hidden="false" customHeight="false" outlineLevel="0" collapsed="false">
      <c r="A854" s="3" t="n">
        <f aca="false">DATE(1994,1,19)</f>
        <v>34353</v>
      </c>
      <c r="B854" s="4" t="s">
        <v>1059</v>
      </c>
      <c r="C854" s="4" t="s">
        <v>490</v>
      </c>
    </row>
    <row r="855" customFormat="false" ht="12.8" hidden="false" customHeight="false" outlineLevel="0" collapsed="false">
      <c r="A855" s="3" t="n">
        <f aca="false">DATE(1994,1,28)</f>
        <v>34362</v>
      </c>
      <c r="B855" s="4" t="s">
        <v>1060</v>
      </c>
      <c r="C855" s="4" t="s">
        <v>440</v>
      </c>
    </row>
    <row r="856" customFormat="false" ht="12.8" hidden="false" customHeight="false" outlineLevel="0" collapsed="false">
      <c r="A856" s="3" t="n">
        <f aca="false">DATE(1994,1,28)</f>
        <v>34362</v>
      </c>
      <c r="B856" s="4" t="s">
        <v>1061</v>
      </c>
      <c r="C856" s="4" t="s">
        <v>66</v>
      </c>
    </row>
    <row r="857" customFormat="false" ht="12.8" hidden="false" customHeight="false" outlineLevel="0" collapsed="false">
      <c r="A857" s="3" t="n">
        <f aca="false">DATE(1994,1,28)</f>
        <v>34362</v>
      </c>
      <c r="B857" s="4" t="s">
        <v>1062</v>
      </c>
      <c r="C857" s="4" t="s">
        <v>803</v>
      </c>
    </row>
    <row r="858" customFormat="false" ht="12.8" hidden="false" customHeight="false" outlineLevel="0" collapsed="false">
      <c r="A858" s="3" t="n">
        <f aca="false">DATE(1994,2,1)</f>
        <v>34366</v>
      </c>
      <c r="B858" s="4" t="s">
        <v>1063</v>
      </c>
      <c r="C858" s="4" t="s">
        <v>214</v>
      </c>
    </row>
    <row r="859" customFormat="false" ht="12.8" hidden="false" customHeight="false" outlineLevel="0" collapsed="false">
      <c r="A859" s="3" t="n">
        <f aca="false">DATE(1994,2,3)</f>
        <v>34368</v>
      </c>
      <c r="B859" s="4" t="s">
        <v>1064</v>
      </c>
      <c r="C859" s="4" t="s">
        <v>854</v>
      </c>
    </row>
    <row r="860" customFormat="false" ht="12.8" hidden="false" customHeight="false" outlineLevel="0" collapsed="false">
      <c r="A860" s="3" t="n">
        <f aca="false">DATE(1994,2,7)</f>
        <v>34372</v>
      </c>
      <c r="B860" s="4" t="s">
        <v>1065</v>
      </c>
      <c r="C860" s="4" t="s">
        <v>1066</v>
      </c>
    </row>
    <row r="861" customFormat="false" ht="12.8" hidden="false" customHeight="false" outlineLevel="0" collapsed="false">
      <c r="A861" s="3" t="n">
        <f aca="false">DATE(1994,2,10)</f>
        <v>34375</v>
      </c>
      <c r="B861" s="4" t="s">
        <v>737</v>
      </c>
      <c r="C861" s="4" t="s">
        <v>548</v>
      </c>
    </row>
    <row r="862" customFormat="false" ht="12.8" hidden="false" customHeight="false" outlineLevel="0" collapsed="false">
      <c r="A862" s="3" t="n">
        <f aca="false">DATE(1994,2,15)</f>
        <v>34380</v>
      </c>
      <c r="B862" s="4" t="s">
        <v>1067</v>
      </c>
      <c r="C862" s="4" t="s">
        <v>580</v>
      </c>
    </row>
    <row r="863" customFormat="false" ht="12.8" hidden="false" customHeight="false" outlineLevel="0" collapsed="false">
      <c r="A863" s="3" t="n">
        <f aca="false">DATE(1994,2,15)</f>
        <v>34380</v>
      </c>
      <c r="B863" s="4" t="s">
        <v>1068</v>
      </c>
      <c r="C863" s="4" t="s">
        <v>122</v>
      </c>
    </row>
    <row r="864" customFormat="false" ht="12.8" hidden="false" customHeight="false" outlineLevel="0" collapsed="false">
      <c r="A864" s="3" t="n">
        <f aca="false">DATE(1994,2,16)</f>
        <v>34381</v>
      </c>
      <c r="B864" s="4" t="s">
        <v>1069</v>
      </c>
      <c r="C864" s="4" t="s">
        <v>1070</v>
      </c>
    </row>
    <row r="865" customFormat="false" ht="12.8" hidden="false" customHeight="false" outlineLevel="0" collapsed="false">
      <c r="A865" s="3" t="n">
        <f aca="false">DATE(1994,2,17)</f>
        <v>34382</v>
      </c>
      <c r="B865" s="4" t="s">
        <v>1071</v>
      </c>
      <c r="C865" s="4" t="s">
        <v>1072</v>
      </c>
    </row>
    <row r="866" customFormat="false" ht="12.8" hidden="false" customHeight="false" outlineLevel="0" collapsed="false">
      <c r="A866" s="3" t="n">
        <f aca="false">DATE(1994,2,17)</f>
        <v>34382</v>
      </c>
      <c r="B866" s="4" t="s">
        <v>1073</v>
      </c>
      <c r="C866" s="4" t="s">
        <v>605</v>
      </c>
    </row>
    <row r="867" customFormat="false" ht="12.8" hidden="false" customHeight="false" outlineLevel="0" collapsed="false">
      <c r="A867" s="3" t="n">
        <f aca="false">DATE(1994,2,18)</f>
        <v>34383</v>
      </c>
      <c r="B867" s="4" t="s">
        <v>1074</v>
      </c>
      <c r="C867" s="4" t="s">
        <v>1075</v>
      </c>
    </row>
    <row r="868" customFormat="false" ht="12.8" hidden="false" customHeight="false" outlineLevel="0" collapsed="false">
      <c r="A868" s="3" t="n">
        <f aca="false">DATE(1994,2,23)</f>
        <v>34388</v>
      </c>
      <c r="B868" s="4" t="s">
        <v>1076</v>
      </c>
      <c r="C868" s="4" t="s">
        <v>946</v>
      </c>
    </row>
    <row r="869" customFormat="false" ht="12.8" hidden="false" customHeight="false" outlineLevel="0" collapsed="false">
      <c r="A869" s="3" t="n">
        <f aca="false">DATE(1994,2,25)</f>
        <v>34390</v>
      </c>
      <c r="B869" s="4" t="s">
        <v>1077</v>
      </c>
      <c r="C869" s="4" t="s">
        <v>995</v>
      </c>
    </row>
    <row r="870" customFormat="false" ht="12.8" hidden="false" customHeight="false" outlineLevel="0" collapsed="false">
      <c r="A870" s="3" t="n">
        <f aca="false">DATE(1994,3,2)</f>
        <v>34395</v>
      </c>
      <c r="B870" s="4" t="s">
        <v>1078</v>
      </c>
      <c r="C870" s="4" t="s">
        <v>691</v>
      </c>
    </row>
    <row r="871" customFormat="false" ht="12.8" hidden="false" customHeight="false" outlineLevel="0" collapsed="false">
      <c r="A871" s="3" t="n">
        <f aca="false">DATE(1994,3,4)</f>
        <v>34397</v>
      </c>
      <c r="B871" s="4" t="s">
        <v>81</v>
      </c>
      <c r="C871" s="4" t="s">
        <v>1079</v>
      </c>
    </row>
    <row r="872" customFormat="false" ht="12.8" hidden="false" customHeight="false" outlineLevel="0" collapsed="false">
      <c r="A872" s="3" t="n">
        <f aca="false">DATE(1994,3,4)</f>
        <v>34397</v>
      </c>
      <c r="B872" s="4" t="s">
        <v>1080</v>
      </c>
      <c r="C872" s="4" t="s">
        <v>1081</v>
      </c>
    </row>
    <row r="873" customFormat="false" ht="12.8" hidden="false" customHeight="false" outlineLevel="0" collapsed="false">
      <c r="A873" s="3" t="n">
        <f aca="false">DATE(1994,3,8)</f>
        <v>34401</v>
      </c>
      <c r="B873" s="4" t="s">
        <v>1082</v>
      </c>
      <c r="C873" s="4" t="s">
        <v>1083</v>
      </c>
    </row>
    <row r="874" customFormat="false" ht="12.8" hidden="false" customHeight="false" outlineLevel="0" collapsed="false">
      <c r="A874" s="3" t="n">
        <f aca="false">DATE(1994,3,9)</f>
        <v>34402</v>
      </c>
      <c r="B874" s="4" t="s">
        <v>1084</v>
      </c>
      <c r="C874" s="4" t="s">
        <v>509</v>
      </c>
    </row>
    <row r="875" customFormat="false" ht="12.8" hidden="false" customHeight="false" outlineLevel="0" collapsed="false">
      <c r="A875" s="3" t="n">
        <f aca="false">DATE(1994,3,11)</f>
        <v>34404</v>
      </c>
      <c r="B875" s="4" t="s">
        <v>1085</v>
      </c>
      <c r="C875" s="4" t="s">
        <v>453</v>
      </c>
    </row>
    <row r="876" customFormat="false" ht="12.8" hidden="false" customHeight="false" outlineLevel="0" collapsed="false">
      <c r="A876" s="3" t="n">
        <f aca="false">DATE(1994,3,11)</f>
        <v>34404</v>
      </c>
      <c r="B876" s="4" t="s">
        <v>1086</v>
      </c>
      <c r="C876" s="4" t="s">
        <v>663</v>
      </c>
    </row>
    <row r="877" customFormat="false" ht="12.8" hidden="false" customHeight="false" outlineLevel="0" collapsed="false">
      <c r="A877" s="3" t="n">
        <f aca="false">DATE(1994,3,14)</f>
        <v>34407</v>
      </c>
      <c r="B877" s="4" t="s">
        <v>1087</v>
      </c>
      <c r="C877" s="4" t="s">
        <v>564</v>
      </c>
    </row>
    <row r="878" customFormat="false" ht="12.8" hidden="false" customHeight="false" outlineLevel="0" collapsed="false">
      <c r="A878" s="3" t="n">
        <f aca="false">DATE(1994,3,17)</f>
        <v>34410</v>
      </c>
      <c r="B878" s="4" t="s">
        <v>1088</v>
      </c>
      <c r="C878" s="4" t="s">
        <v>1044</v>
      </c>
    </row>
    <row r="879" customFormat="false" ht="12.8" hidden="false" customHeight="false" outlineLevel="0" collapsed="false">
      <c r="A879" s="3" t="n">
        <f aca="false">DATE(1994,3,17)</f>
        <v>34410</v>
      </c>
      <c r="B879" s="4" t="s">
        <v>1089</v>
      </c>
      <c r="C879" s="4" t="s">
        <v>1044</v>
      </c>
    </row>
    <row r="880" customFormat="false" ht="12.8" hidden="false" customHeight="false" outlineLevel="0" collapsed="false">
      <c r="A880" s="3" t="n">
        <f aca="false">DATE(1994,3,21)</f>
        <v>34414</v>
      </c>
      <c r="B880" s="4" t="s">
        <v>1090</v>
      </c>
      <c r="C880" s="4" t="s">
        <v>171</v>
      </c>
    </row>
    <row r="881" customFormat="false" ht="12.8" hidden="false" customHeight="false" outlineLevel="0" collapsed="false">
      <c r="A881" s="3" t="n">
        <f aca="false">DATE(1994,3,21)</f>
        <v>34414</v>
      </c>
      <c r="B881" s="4" t="s">
        <v>1091</v>
      </c>
      <c r="C881" s="4" t="s">
        <v>214</v>
      </c>
    </row>
    <row r="882" customFormat="false" ht="12.8" hidden="false" customHeight="false" outlineLevel="0" collapsed="false">
      <c r="A882" s="3" t="n">
        <f aca="false">DATE(1994,3,25)</f>
        <v>34418</v>
      </c>
      <c r="B882" s="4" t="s">
        <v>1092</v>
      </c>
      <c r="C882" s="4" t="s">
        <v>816</v>
      </c>
    </row>
    <row r="883" customFormat="false" ht="12.8" hidden="false" customHeight="false" outlineLevel="0" collapsed="false">
      <c r="A883" s="3" t="n">
        <f aca="false">DATE(1994,3,28)</f>
        <v>34421</v>
      </c>
      <c r="B883" s="4" t="s">
        <v>1093</v>
      </c>
      <c r="C883" s="4" t="s">
        <v>1094</v>
      </c>
    </row>
    <row r="884" customFormat="false" ht="12.8" hidden="false" customHeight="false" outlineLevel="0" collapsed="false">
      <c r="A884" s="3" t="n">
        <f aca="false">DATE(1994,3,28)</f>
        <v>34421</v>
      </c>
      <c r="B884" s="4" t="s">
        <v>1095</v>
      </c>
      <c r="C884" s="4" t="s">
        <v>1096</v>
      </c>
    </row>
    <row r="885" customFormat="false" ht="12.8" hidden="false" customHeight="false" outlineLevel="0" collapsed="false">
      <c r="A885" s="3" t="n">
        <f aca="false">DATE(1994,3,29)</f>
        <v>34422</v>
      </c>
      <c r="B885" s="4" t="s">
        <v>1097</v>
      </c>
      <c r="C885" s="4" t="s">
        <v>309</v>
      </c>
    </row>
    <row r="886" customFormat="false" ht="12.8" hidden="false" customHeight="false" outlineLevel="0" collapsed="false">
      <c r="A886" s="3" t="n">
        <f aca="false">DATE(1994,3,29)</f>
        <v>34422</v>
      </c>
      <c r="B886" s="4" t="s">
        <v>1098</v>
      </c>
      <c r="C886" s="4" t="s">
        <v>349</v>
      </c>
    </row>
    <row r="887" customFormat="false" ht="12.8" hidden="false" customHeight="false" outlineLevel="0" collapsed="false">
      <c r="A887" s="3" t="n">
        <f aca="false">DATE(1994,4,1)</f>
        <v>34425</v>
      </c>
      <c r="B887" s="4" t="s">
        <v>1099</v>
      </c>
      <c r="C887" s="4" t="s">
        <v>122</v>
      </c>
    </row>
    <row r="888" customFormat="false" ht="12.8" hidden="false" customHeight="false" outlineLevel="0" collapsed="false">
      <c r="A888" s="3" t="n">
        <f aca="false">DATE(1994,4,1)</f>
        <v>34425</v>
      </c>
      <c r="B888" s="4" t="s">
        <v>1100</v>
      </c>
      <c r="C888" s="4" t="s">
        <v>1101</v>
      </c>
    </row>
    <row r="889" customFormat="false" ht="12.8" hidden="false" customHeight="false" outlineLevel="0" collapsed="false">
      <c r="A889" s="3" t="n">
        <f aca="false">DATE(1994,4,5)</f>
        <v>34429</v>
      </c>
      <c r="B889" s="4" t="s">
        <v>619</v>
      </c>
      <c r="C889" s="4" t="s">
        <v>44</v>
      </c>
    </row>
    <row r="890" customFormat="false" ht="12.8" hidden="false" customHeight="false" outlineLevel="0" collapsed="false">
      <c r="A890" s="3" t="n">
        <f aca="false">DATE(1994,4,8)</f>
        <v>34432</v>
      </c>
      <c r="B890" s="4" t="s">
        <v>1102</v>
      </c>
      <c r="C890" s="4" t="s">
        <v>927</v>
      </c>
    </row>
    <row r="891" customFormat="false" ht="12.8" hidden="false" customHeight="false" outlineLevel="0" collapsed="false">
      <c r="A891" s="3" t="n">
        <f aca="false">DATE(1994,4,8)</f>
        <v>34432</v>
      </c>
      <c r="B891" s="4" t="s">
        <v>1103</v>
      </c>
      <c r="C891" s="4" t="s">
        <v>443</v>
      </c>
    </row>
    <row r="892" customFormat="false" ht="12.8" hidden="false" customHeight="false" outlineLevel="0" collapsed="false">
      <c r="A892" s="3" t="n">
        <f aca="false">DATE(1994,4,8)</f>
        <v>34432</v>
      </c>
      <c r="B892" s="4" t="s">
        <v>1104</v>
      </c>
      <c r="C892" s="4" t="s">
        <v>929</v>
      </c>
    </row>
    <row r="893" customFormat="false" ht="12.8" hidden="false" customHeight="false" outlineLevel="0" collapsed="false">
      <c r="A893" s="3" t="n">
        <f aca="false">DATE(1994,4,11)</f>
        <v>34435</v>
      </c>
      <c r="B893" s="4" t="s">
        <v>1105</v>
      </c>
      <c r="C893" s="4" t="s">
        <v>459</v>
      </c>
    </row>
    <row r="894" customFormat="false" ht="12.8" hidden="false" customHeight="false" outlineLevel="0" collapsed="false">
      <c r="A894" s="3" t="n">
        <f aca="false">DATE(1994,4,15)</f>
        <v>34439</v>
      </c>
      <c r="B894" s="4" t="s">
        <v>1106</v>
      </c>
      <c r="C894" s="4" t="s">
        <v>156</v>
      </c>
    </row>
    <row r="895" customFormat="false" ht="12.8" hidden="false" customHeight="false" outlineLevel="0" collapsed="false">
      <c r="A895" s="3" t="n">
        <f aca="false">DATE(1994,4,20)</f>
        <v>34444</v>
      </c>
      <c r="B895" s="4" t="s">
        <v>1107</v>
      </c>
      <c r="C895" s="4" t="s">
        <v>84</v>
      </c>
    </row>
    <row r="896" customFormat="false" ht="12.8" hidden="false" customHeight="false" outlineLevel="0" collapsed="false">
      <c r="A896" s="3" t="n">
        <f aca="false">DATE(1994,4,21)</f>
        <v>34445</v>
      </c>
      <c r="B896" s="4" t="s">
        <v>1108</v>
      </c>
      <c r="C896" s="4" t="s">
        <v>955</v>
      </c>
    </row>
    <row r="897" customFormat="false" ht="12.8" hidden="false" customHeight="false" outlineLevel="0" collapsed="false">
      <c r="A897" s="3" t="n">
        <f aca="false">DATE(1994,4,25)</f>
        <v>34449</v>
      </c>
      <c r="B897" s="4" t="s">
        <v>1109</v>
      </c>
      <c r="C897" s="4" t="s">
        <v>388</v>
      </c>
    </row>
    <row r="898" customFormat="false" ht="12.8" hidden="false" customHeight="false" outlineLevel="0" collapsed="false">
      <c r="A898" s="3" t="n">
        <f aca="false">DATE(1994,4,29)</f>
        <v>34453</v>
      </c>
      <c r="B898" s="4" t="s">
        <v>1110</v>
      </c>
      <c r="C898" s="4" t="s">
        <v>187</v>
      </c>
    </row>
    <row r="899" customFormat="false" ht="12.8" hidden="false" customHeight="false" outlineLevel="0" collapsed="false">
      <c r="A899" s="3" t="n">
        <f aca="false">DATE(1994,4,29)</f>
        <v>34453</v>
      </c>
      <c r="B899" s="4" t="s">
        <v>1111</v>
      </c>
      <c r="C899" s="4" t="s">
        <v>1112</v>
      </c>
    </row>
    <row r="900" customFormat="false" ht="12.8" hidden="false" customHeight="false" outlineLevel="0" collapsed="false">
      <c r="A900" s="3" t="n">
        <f aca="false">DATE(1994,4,29)</f>
        <v>34453</v>
      </c>
      <c r="B900" s="4" t="s">
        <v>1113</v>
      </c>
      <c r="C900" s="4" t="s">
        <v>1114</v>
      </c>
    </row>
    <row r="901" customFormat="false" ht="12.8" hidden="false" customHeight="false" outlineLevel="0" collapsed="false">
      <c r="A901" s="3" t="n">
        <f aca="false">DATE(1994,5,4)</f>
        <v>34458</v>
      </c>
      <c r="B901" s="4" t="s">
        <v>1115</v>
      </c>
      <c r="C901" s="4" t="s">
        <v>364</v>
      </c>
    </row>
    <row r="902" customFormat="false" ht="12.8" hidden="false" customHeight="false" outlineLevel="0" collapsed="false">
      <c r="A902" s="3" t="n">
        <f aca="false">DATE(1994,5,5)</f>
        <v>34459</v>
      </c>
      <c r="B902" s="4" t="s">
        <v>1116</v>
      </c>
      <c r="C902" s="4" t="s">
        <v>1117</v>
      </c>
    </row>
    <row r="903" customFormat="false" ht="12.8" hidden="false" customHeight="false" outlineLevel="0" collapsed="false">
      <c r="A903" s="3" t="n">
        <f aca="false">DATE(1994,5,6)</f>
        <v>34460</v>
      </c>
      <c r="B903" s="4" t="s">
        <v>1118</v>
      </c>
      <c r="C903" s="4" t="s">
        <v>139</v>
      </c>
    </row>
    <row r="904" customFormat="false" ht="12.8" hidden="false" customHeight="false" outlineLevel="0" collapsed="false">
      <c r="A904" s="3" t="n">
        <f aca="false">DATE(1994,5,9)</f>
        <v>34463</v>
      </c>
      <c r="B904" s="4" t="s">
        <v>1119</v>
      </c>
      <c r="C904" s="4" t="s">
        <v>1120</v>
      </c>
    </row>
    <row r="905" customFormat="false" ht="12.8" hidden="false" customHeight="false" outlineLevel="0" collapsed="false">
      <c r="A905" s="3" t="n">
        <f aca="false">DATE(1994,5,9)</f>
        <v>34463</v>
      </c>
      <c r="B905" s="4" t="s">
        <v>1121</v>
      </c>
      <c r="C905" s="4" t="s">
        <v>118</v>
      </c>
    </row>
    <row r="906" customFormat="false" ht="12.8" hidden="false" customHeight="false" outlineLevel="0" collapsed="false">
      <c r="A906" s="3" t="n">
        <f aca="false">DATE(1994,5,11)</f>
        <v>34465</v>
      </c>
      <c r="B906" s="4" t="s">
        <v>1122</v>
      </c>
      <c r="C906" s="4" t="s">
        <v>682</v>
      </c>
    </row>
    <row r="907" customFormat="false" ht="12.8" hidden="false" customHeight="false" outlineLevel="0" collapsed="false">
      <c r="A907" s="3" t="n">
        <f aca="false">DATE(1994,5,12)</f>
        <v>34466</v>
      </c>
      <c r="B907" s="4" t="s">
        <v>1123</v>
      </c>
      <c r="C907" s="4" t="s">
        <v>849</v>
      </c>
    </row>
    <row r="908" customFormat="false" ht="12.8" hidden="false" customHeight="false" outlineLevel="0" collapsed="false">
      <c r="A908" s="3" t="n">
        <f aca="false">DATE(1994,5,17)</f>
        <v>34471</v>
      </c>
      <c r="B908" s="4" t="s">
        <v>1124</v>
      </c>
      <c r="C908" s="4" t="s">
        <v>33</v>
      </c>
    </row>
    <row r="909" customFormat="false" ht="12.8" hidden="false" customHeight="false" outlineLevel="0" collapsed="false">
      <c r="A909" s="3" t="n">
        <f aca="false">DATE(1994,5,18)</f>
        <v>34472</v>
      </c>
      <c r="B909" s="4" t="s">
        <v>1125</v>
      </c>
      <c r="C909" s="4" t="s">
        <v>854</v>
      </c>
    </row>
    <row r="910" customFormat="false" ht="12.8" hidden="false" customHeight="false" outlineLevel="0" collapsed="false">
      <c r="A910" s="3" t="n">
        <f aca="false">DATE(1994,5,19)</f>
        <v>34473</v>
      </c>
      <c r="B910" s="4" t="s">
        <v>761</v>
      </c>
      <c r="C910" s="4" t="s">
        <v>1042</v>
      </c>
    </row>
    <row r="911" customFormat="false" ht="12.8" hidden="false" customHeight="false" outlineLevel="0" collapsed="false">
      <c r="A911" s="3" t="n">
        <f aca="false">DATE(1994,5,19)</f>
        <v>34473</v>
      </c>
      <c r="B911" s="4" t="s">
        <v>1126</v>
      </c>
      <c r="C911" s="4" t="s">
        <v>50</v>
      </c>
    </row>
    <row r="912" customFormat="false" ht="12.8" hidden="false" customHeight="false" outlineLevel="0" collapsed="false">
      <c r="A912" s="3" t="n">
        <f aca="false">DATE(1994,5,25)</f>
        <v>34479</v>
      </c>
      <c r="B912" s="4" t="s">
        <v>1127</v>
      </c>
      <c r="C912" s="4" t="s">
        <v>1128</v>
      </c>
    </row>
    <row r="913" customFormat="false" ht="12.8" hidden="false" customHeight="false" outlineLevel="0" collapsed="false">
      <c r="A913" s="3" t="n">
        <f aca="false">DATE(1994,5,25)</f>
        <v>34479</v>
      </c>
      <c r="B913" s="4" t="s">
        <v>1129</v>
      </c>
      <c r="C913" s="4" t="s">
        <v>641</v>
      </c>
    </row>
    <row r="914" customFormat="false" ht="12.8" hidden="false" customHeight="false" outlineLevel="0" collapsed="false">
      <c r="A914" s="3" t="n">
        <f aca="false">DATE(1994,5,26)</f>
        <v>34480</v>
      </c>
      <c r="B914" s="4" t="s">
        <v>1130</v>
      </c>
      <c r="C914" s="4" t="s">
        <v>443</v>
      </c>
    </row>
    <row r="915" customFormat="false" ht="12.8" hidden="false" customHeight="false" outlineLevel="0" collapsed="false">
      <c r="A915" s="3" t="n">
        <f aca="false">DATE(1994,5,27)</f>
        <v>34481</v>
      </c>
      <c r="B915" s="4" t="s">
        <v>1131</v>
      </c>
      <c r="C915" s="4" t="s">
        <v>33</v>
      </c>
    </row>
    <row r="916" customFormat="false" ht="12.8" hidden="false" customHeight="false" outlineLevel="0" collapsed="false">
      <c r="A916" s="3" t="n">
        <f aca="false">DATE(1994,5,31)</f>
        <v>34485</v>
      </c>
      <c r="B916" s="4" t="s">
        <v>1132</v>
      </c>
      <c r="C916" s="4" t="s">
        <v>1133</v>
      </c>
    </row>
    <row r="917" customFormat="false" ht="12.8" hidden="false" customHeight="false" outlineLevel="0" collapsed="false">
      <c r="A917" s="3" t="n">
        <f aca="false">DATE(1994,6,1)</f>
        <v>34486</v>
      </c>
      <c r="B917" s="4" t="s">
        <v>1134</v>
      </c>
      <c r="C917" s="4" t="s">
        <v>86</v>
      </c>
    </row>
    <row r="918" customFormat="false" ht="12.8" hidden="false" customHeight="false" outlineLevel="0" collapsed="false">
      <c r="A918" s="3" t="n">
        <f aca="false">DATE(1994,6,2)</f>
        <v>34487</v>
      </c>
      <c r="B918" s="4" t="s">
        <v>1135</v>
      </c>
      <c r="C918" s="4" t="s">
        <v>1044</v>
      </c>
    </row>
    <row r="919" customFormat="false" ht="12.8" hidden="false" customHeight="false" outlineLevel="0" collapsed="false">
      <c r="A919" s="3" t="n">
        <f aca="false">DATE(1994,6,2)</f>
        <v>34487</v>
      </c>
      <c r="B919" s="4" t="s">
        <v>1136</v>
      </c>
      <c r="C919" s="4" t="s">
        <v>234</v>
      </c>
    </row>
    <row r="920" customFormat="false" ht="12.8" hidden="false" customHeight="false" outlineLevel="0" collapsed="false">
      <c r="A920" s="3" t="n">
        <f aca="false">DATE(1994,6,3)</f>
        <v>34488</v>
      </c>
      <c r="B920" s="4" t="s">
        <v>1137</v>
      </c>
      <c r="C920" s="4" t="s">
        <v>33</v>
      </c>
    </row>
    <row r="921" customFormat="false" ht="12.8" hidden="false" customHeight="false" outlineLevel="0" collapsed="false">
      <c r="A921" s="3" t="n">
        <f aca="false">DATE(1994,6,7)</f>
        <v>34492</v>
      </c>
      <c r="B921" s="4" t="s">
        <v>1138</v>
      </c>
      <c r="C921" s="4" t="s">
        <v>708</v>
      </c>
    </row>
    <row r="922" customFormat="false" ht="12.8" hidden="false" customHeight="false" outlineLevel="0" collapsed="false">
      <c r="A922" s="3" t="n">
        <f aca="false">DATE(1994,6,9)</f>
        <v>34494</v>
      </c>
      <c r="B922" s="4" t="s">
        <v>1139</v>
      </c>
      <c r="C922" s="4" t="s">
        <v>1140</v>
      </c>
    </row>
    <row r="923" customFormat="false" ht="12.8" hidden="false" customHeight="false" outlineLevel="0" collapsed="false">
      <c r="A923" s="3" t="n">
        <f aca="false">DATE(1994,6,10)</f>
        <v>34495</v>
      </c>
      <c r="B923" s="4" t="s">
        <v>1141</v>
      </c>
      <c r="C923" s="4" t="s">
        <v>171</v>
      </c>
    </row>
    <row r="924" customFormat="false" ht="12.8" hidden="false" customHeight="false" outlineLevel="0" collapsed="false">
      <c r="A924" s="3" t="n">
        <f aca="false">DATE(1994,6,14)</f>
        <v>34499</v>
      </c>
      <c r="B924" s="4" t="s">
        <v>1142</v>
      </c>
      <c r="C924" s="4" t="s">
        <v>156</v>
      </c>
    </row>
    <row r="925" customFormat="false" ht="12.8" hidden="false" customHeight="false" outlineLevel="0" collapsed="false">
      <c r="A925" s="3" t="n">
        <f aca="false">DATE(1994,6,20)</f>
        <v>34505</v>
      </c>
      <c r="B925" s="4" t="s">
        <v>1143</v>
      </c>
      <c r="C925" s="4" t="s">
        <v>1144</v>
      </c>
    </row>
    <row r="926" customFormat="false" ht="12.8" hidden="false" customHeight="false" outlineLevel="0" collapsed="false">
      <c r="A926" s="3" t="n">
        <f aca="false">DATE(1994,6,20)</f>
        <v>34505</v>
      </c>
      <c r="B926" s="4" t="s">
        <v>1145</v>
      </c>
      <c r="C926" s="4" t="s">
        <v>511</v>
      </c>
    </row>
    <row r="927" customFormat="false" ht="12.8" hidden="false" customHeight="false" outlineLevel="0" collapsed="false">
      <c r="A927" s="3" t="n">
        <f aca="false">DATE(1994,6,20)</f>
        <v>34505</v>
      </c>
      <c r="B927" s="4" t="s">
        <v>1146</v>
      </c>
      <c r="C927" s="4" t="s">
        <v>935</v>
      </c>
    </row>
    <row r="928" customFormat="false" ht="12.8" hidden="false" customHeight="false" outlineLevel="0" collapsed="false">
      <c r="A928" s="3" t="n">
        <f aca="false">DATE(1994,6,22)</f>
        <v>34507</v>
      </c>
      <c r="B928" s="4" t="s">
        <v>1147</v>
      </c>
      <c r="C928" s="4" t="s">
        <v>1117</v>
      </c>
    </row>
    <row r="929" customFormat="false" ht="12.8" hidden="false" customHeight="false" outlineLevel="0" collapsed="false">
      <c r="A929" s="3" t="n">
        <f aca="false">DATE(1994,6,22)</f>
        <v>34507</v>
      </c>
      <c r="B929" s="4" t="s">
        <v>293</v>
      </c>
      <c r="C929" s="4" t="s">
        <v>782</v>
      </c>
    </row>
    <row r="930" customFormat="false" ht="12.8" hidden="false" customHeight="false" outlineLevel="0" collapsed="false">
      <c r="A930" s="3" t="n">
        <f aca="false">DATE(1994,6,22)</f>
        <v>34507</v>
      </c>
      <c r="B930" s="4" t="s">
        <v>1148</v>
      </c>
      <c r="C930" s="4" t="s">
        <v>1149</v>
      </c>
    </row>
    <row r="931" customFormat="false" ht="12.8" hidden="false" customHeight="false" outlineLevel="0" collapsed="false">
      <c r="A931" s="3" t="n">
        <f aca="false">DATE(1994,6,23)</f>
        <v>34508</v>
      </c>
      <c r="B931" s="4" t="s">
        <v>1150</v>
      </c>
      <c r="C931" s="4" t="s">
        <v>1034</v>
      </c>
    </row>
    <row r="932" customFormat="false" ht="12.8" hidden="false" customHeight="false" outlineLevel="0" collapsed="false">
      <c r="A932" s="3" t="n">
        <f aca="false">DATE(1994,6,24)</f>
        <v>34509</v>
      </c>
      <c r="B932" s="4" t="s">
        <v>1151</v>
      </c>
      <c r="C932" s="4" t="s">
        <v>1152</v>
      </c>
    </row>
    <row r="933" customFormat="false" ht="12.8" hidden="false" customHeight="false" outlineLevel="0" collapsed="false">
      <c r="A933" s="3" t="n">
        <f aca="false">DATE(1994,6,24)</f>
        <v>34509</v>
      </c>
      <c r="B933" s="4" t="s">
        <v>1153</v>
      </c>
      <c r="C933" s="4" t="s">
        <v>767</v>
      </c>
    </row>
    <row r="934" customFormat="false" ht="12.8" hidden="false" customHeight="false" outlineLevel="0" collapsed="false">
      <c r="A934" s="3" t="n">
        <f aca="false">DATE(1994,6,24)</f>
        <v>34509</v>
      </c>
      <c r="B934" s="4" t="s">
        <v>1154</v>
      </c>
      <c r="C934" s="4" t="s">
        <v>511</v>
      </c>
    </row>
    <row r="935" customFormat="false" ht="12.8" hidden="false" customHeight="false" outlineLevel="0" collapsed="false">
      <c r="A935" s="3" t="n">
        <f aca="false">DATE(1994,6,27)</f>
        <v>34512</v>
      </c>
      <c r="B935" s="4" t="s">
        <v>1155</v>
      </c>
      <c r="C935" s="4" t="s">
        <v>400</v>
      </c>
    </row>
    <row r="936" customFormat="false" ht="12.8" hidden="false" customHeight="false" outlineLevel="0" collapsed="false">
      <c r="A936" s="3" t="n">
        <f aca="false">DATE(1994,6,28)</f>
        <v>34513</v>
      </c>
      <c r="B936" s="4" t="s">
        <v>1156</v>
      </c>
      <c r="C936" s="4" t="s">
        <v>225</v>
      </c>
    </row>
    <row r="937" customFormat="false" ht="12.8" hidden="false" customHeight="false" outlineLevel="0" collapsed="false">
      <c r="A937" s="3" t="n">
        <f aca="false">DATE(1994,6,29)</f>
        <v>34514</v>
      </c>
      <c r="B937" s="4" t="s">
        <v>1157</v>
      </c>
      <c r="C937" s="4" t="s">
        <v>156</v>
      </c>
    </row>
    <row r="938" customFormat="false" ht="12.8" hidden="false" customHeight="false" outlineLevel="0" collapsed="false">
      <c r="A938" s="3" t="n">
        <f aca="false">DATE(1994,6,30)</f>
        <v>34515</v>
      </c>
      <c r="B938" s="4" t="s">
        <v>1158</v>
      </c>
      <c r="C938" s="4" t="s">
        <v>1152</v>
      </c>
    </row>
    <row r="939" customFormat="false" ht="12.8" hidden="false" customHeight="false" outlineLevel="0" collapsed="false">
      <c r="A939" s="3" t="n">
        <f aca="false">DATE(1994,7,1)</f>
        <v>34516</v>
      </c>
      <c r="B939" s="4" t="s">
        <v>1159</v>
      </c>
      <c r="C939" s="4" t="s">
        <v>20</v>
      </c>
    </row>
    <row r="940" customFormat="false" ht="12.8" hidden="false" customHeight="false" outlineLevel="0" collapsed="false">
      <c r="A940" s="3" t="n">
        <f aca="false">DATE(1994,7,1)</f>
        <v>34516</v>
      </c>
      <c r="B940" s="4" t="s">
        <v>1160</v>
      </c>
      <c r="C940" s="4" t="s">
        <v>440</v>
      </c>
    </row>
    <row r="941" customFormat="false" ht="12.8" hidden="false" customHeight="false" outlineLevel="0" collapsed="false">
      <c r="A941" s="3" t="n">
        <f aca="false">DATE(1994,7,1)</f>
        <v>34516</v>
      </c>
      <c r="B941" s="4" t="s">
        <v>740</v>
      </c>
      <c r="C941" s="4" t="s">
        <v>321</v>
      </c>
    </row>
    <row r="942" customFormat="false" ht="12.8" hidden="false" customHeight="false" outlineLevel="0" collapsed="false">
      <c r="A942" s="3" t="n">
        <f aca="false">DATE(1994,7,6)</f>
        <v>34521</v>
      </c>
      <c r="B942" s="4" t="s">
        <v>1161</v>
      </c>
      <c r="C942" s="4" t="s">
        <v>681</v>
      </c>
    </row>
    <row r="943" customFormat="false" ht="12.8" hidden="false" customHeight="false" outlineLevel="0" collapsed="false">
      <c r="A943" s="3" t="n">
        <f aca="false">DATE(1994,7,7)</f>
        <v>34522</v>
      </c>
      <c r="B943" s="4" t="s">
        <v>1162</v>
      </c>
      <c r="C943" s="4" t="s">
        <v>696</v>
      </c>
    </row>
    <row r="944" customFormat="false" ht="12.8" hidden="false" customHeight="false" outlineLevel="0" collapsed="false">
      <c r="A944" s="3" t="n">
        <f aca="false">DATE(1994,7,7)</f>
        <v>34522</v>
      </c>
      <c r="B944" s="4" t="s">
        <v>1163</v>
      </c>
      <c r="C944" s="4" t="s">
        <v>1164</v>
      </c>
    </row>
    <row r="945" customFormat="false" ht="12.8" hidden="false" customHeight="false" outlineLevel="0" collapsed="false">
      <c r="A945" s="3" t="n">
        <f aca="false">DATE(1994,7,8)</f>
        <v>34523</v>
      </c>
      <c r="B945" s="4" t="s">
        <v>1165</v>
      </c>
      <c r="C945" s="4" t="s">
        <v>1044</v>
      </c>
    </row>
    <row r="946" customFormat="false" ht="12.8" hidden="false" customHeight="false" outlineLevel="0" collapsed="false">
      <c r="A946" s="3" t="n">
        <f aca="false">DATE(1994,7,11)</f>
        <v>34526</v>
      </c>
      <c r="B946" s="4" t="s">
        <v>1166</v>
      </c>
      <c r="C946" s="4" t="s">
        <v>1054</v>
      </c>
    </row>
    <row r="947" customFormat="false" ht="12.8" hidden="false" customHeight="false" outlineLevel="0" collapsed="false">
      <c r="A947" s="3" t="n">
        <f aca="false">DATE(1994,7,13)</f>
        <v>34528</v>
      </c>
      <c r="B947" s="4" t="s">
        <v>1167</v>
      </c>
      <c r="C947" s="4" t="s">
        <v>580</v>
      </c>
    </row>
    <row r="948" customFormat="false" ht="12.8" hidden="false" customHeight="false" outlineLevel="0" collapsed="false">
      <c r="A948" s="3" t="n">
        <f aca="false">DATE(1994,7,22)</f>
        <v>34537</v>
      </c>
      <c r="B948" s="4" t="s">
        <v>1168</v>
      </c>
      <c r="C948" s="4" t="s">
        <v>171</v>
      </c>
    </row>
    <row r="949" customFormat="false" ht="12.8" hidden="false" customHeight="false" outlineLevel="0" collapsed="false">
      <c r="A949" s="3" t="n">
        <f aca="false">DATE(1994,7,25)</f>
        <v>34540</v>
      </c>
      <c r="B949" s="4" t="s">
        <v>1169</v>
      </c>
      <c r="C949" s="4" t="s">
        <v>664</v>
      </c>
    </row>
    <row r="950" customFormat="false" ht="12.8" hidden="false" customHeight="false" outlineLevel="0" collapsed="false">
      <c r="A950" s="3" t="n">
        <f aca="false">DATE(1994,7,25)</f>
        <v>34540</v>
      </c>
      <c r="B950" s="4" t="s">
        <v>1170</v>
      </c>
      <c r="C950" s="4" t="s">
        <v>1054</v>
      </c>
    </row>
    <row r="951" customFormat="false" ht="12.8" hidden="false" customHeight="false" outlineLevel="0" collapsed="false">
      <c r="A951" s="3" t="n">
        <f aca="false">DATE(1994,7,25)</f>
        <v>34540</v>
      </c>
      <c r="B951" s="4" t="s">
        <v>1171</v>
      </c>
      <c r="C951" s="4" t="s">
        <v>1172</v>
      </c>
    </row>
    <row r="952" customFormat="false" ht="12.8" hidden="false" customHeight="false" outlineLevel="0" collapsed="false">
      <c r="A952" s="3" t="n">
        <f aca="false">DATE(1994,7,26)</f>
        <v>34541</v>
      </c>
      <c r="B952" s="4" t="s">
        <v>1173</v>
      </c>
      <c r="C952" s="4" t="s">
        <v>1174</v>
      </c>
    </row>
    <row r="953" customFormat="false" ht="12.8" hidden="false" customHeight="false" outlineLevel="0" collapsed="false">
      <c r="A953" s="3" t="n">
        <f aca="false">DATE(1994,7,28)</f>
        <v>34543</v>
      </c>
      <c r="B953" s="4" t="s">
        <v>1175</v>
      </c>
      <c r="C953" s="4" t="s">
        <v>418</v>
      </c>
    </row>
    <row r="954" customFormat="false" ht="12.8" hidden="false" customHeight="false" outlineLevel="0" collapsed="false">
      <c r="A954" s="3" t="n">
        <f aca="false">DATE(1994,7,29)</f>
        <v>34544</v>
      </c>
      <c r="B954" s="4" t="s">
        <v>1176</v>
      </c>
      <c r="C954" s="4" t="s">
        <v>614</v>
      </c>
    </row>
    <row r="955" customFormat="false" ht="12.8" hidden="false" customHeight="false" outlineLevel="0" collapsed="false">
      <c r="A955" s="3" t="n">
        <f aca="false">DATE(1994,7,29)</f>
        <v>34544</v>
      </c>
      <c r="B955" s="4" t="s">
        <v>251</v>
      </c>
      <c r="C955" s="4" t="s">
        <v>548</v>
      </c>
    </row>
    <row r="956" customFormat="false" ht="12.8" hidden="false" customHeight="false" outlineLevel="0" collapsed="false">
      <c r="A956" s="3" t="n">
        <f aca="false">DATE(1994,7,29)</f>
        <v>34544</v>
      </c>
      <c r="B956" s="4" t="s">
        <v>1177</v>
      </c>
      <c r="C956" s="4" t="s">
        <v>187</v>
      </c>
    </row>
    <row r="957" customFormat="false" ht="12.8" hidden="false" customHeight="false" outlineLevel="0" collapsed="false">
      <c r="A957" s="3" t="n">
        <f aca="false">DATE(1994,8,1)</f>
        <v>34547</v>
      </c>
      <c r="B957" s="4" t="s">
        <v>193</v>
      </c>
      <c r="C957" s="4" t="s">
        <v>767</v>
      </c>
    </row>
    <row r="958" customFormat="false" ht="12.8" hidden="false" customHeight="false" outlineLevel="0" collapsed="false">
      <c r="A958" s="3" t="n">
        <f aca="false">DATE(1994,8,1)</f>
        <v>34547</v>
      </c>
      <c r="B958" s="4" t="s">
        <v>1178</v>
      </c>
      <c r="C958" s="4" t="s">
        <v>1179</v>
      </c>
    </row>
    <row r="959" customFormat="false" ht="12.8" hidden="false" customHeight="false" outlineLevel="0" collapsed="false">
      <c r="A959" s="3" t="n">
        <f aca="false">DATE(1994,8,2)</f>
        <v>34548</v>
      </c>
      <c r="B959" s="4" t="s">
        <v>1180</v>
      </c>
      <c r="C959" s="4" t="s">
        <v>187</v>
      </c>
    </row>
    <row r="960" customFormat="false" ht="12.8" hidden="false" customHeight="false" outlineLevel="0" collapsed="false">
      <c r="A960" s="3" t="n">
        <f aca="false">DATE(1994,8,4)</f>
        <v>34550</v>
      </c>
      <c r="B960" s="4" t="s">
        <v>1181</v>
      </c>
      <c r="C960" s="4" t="s">
        <v>1182</v>
      </c>
    </row>
    <row r="961" customFormat="false" ht="12.8" hidden="false" customHeight="false" outlineLevel="0" collapsed="false">
      <c r="A961" s="3" t="n">
        <f aca="false">DATE(1994,8,8)</f>
        <v>34554</v>
      </c>
      <c r="B961" s="4" t="s">
        <v>1183</v>
      </c>
      <c r="C961" s="4" t="s">
        <v>580</v>
      </c>
    </row>
    <row r="962" customFormat="false" ht="12.8" hidden="false" customHeight="false" outlineLevel="0" collapsed="false">
      <c r="A962" s="3" t="n">
        <f aca="false">DATE(1994,8,12)</f>
        <v>34558</v>
      </c>
      <c r="B962" s="4" t="s">
        <v>1184</v>
      </c>
      <c r="C962" s="4" t="s">
        <v>750</v>
      </c>
    </row>
    <row r="963" customFormat="false" ht="12.8" hidden="false" customHeight="false" outlineLevel="0" collapsed="false">
      <c r="A963" s="3" t="n">
        <f aca="false">DATE(1994,8,15)</f>
        <v>34561</v>
      </c>
      <c r="B963" s="4" t="s">
        <v>1185</v>
      </c>
      <c r="C963" s="4" t="s">
        <v>560</v>
      </c>
    </row>
    <row r="964" customFormat="false" ht="12.8" hidden="false" customHeight="false" outlineLevel="0" collapsed="false">
      <c r="A964" s="3" t="n">
        <f aca="false">DATE(1994,8,16)</f>
        <v>34562</v>
      </c>
      <c r="B964" s="4" t="s">
        <v>1186</v>
      </c>
      <c r="C964" s="4" t="s">
        <v>86</v>
      </c>
    </row>
    <row r="965" customFormat="false" ht="12.8" hidden="false" customHeight="false" outlineLevel="0" collapsed="false">
      <c r="A965" s="3" t="n">
        <f aca="false">DATE(1994,8,17)</f>
        <v>34563</v>
      </c>
      <c r="B965" s="4" t="s">
        <v>1187</v>
      </c>
      <c r="C965" s="4" t="s">
        <v>473</v>
      </c>
    </row>
    <row r="966" customFormat="false" ht="12.8" hidden="false" customHeight="false" outlineLevel="0" collapsed="false">
      <c r="A966" s="3" t="n">
        <f aca="false">DATE(1994,8,17)</f>
        <v>34563</v>
      </c>
      <c r="B966" s="4" t="s">
        <v>1188</v>
      </c>
      <c r="C966" s="4" t="s">
        <v>835</v>
      </c>
    </row>
    <row r="967" customFormat="false" ht="12.8" hidden="false" customHeight="false" outlineLevel="0" collapsed="false">
      <c r="A967" s="3" t="n">
        <f aca="false">DATE(1994,8,18)</f>
        <v>34564</v>
      </c>
      <c r="B967" s="4" t="s">
        <v>1189</v>
      </c>
      <c r="C967" s="4" t="s">
        <v>506</v>
      </c>
    </row>
    <row r="968" customFormat="false" ht="12.8" hidden="false" customHeight="false" outlineLevel="0" collapsed="false">
      <c r="A968" s="3" t="n">
        <f aca="false">DATE(1994,8,18)</f>
        <v>34564</v>
      </c>
      <c r="B968" s="4" t="s">
        <v>626</v>
      </c>
      <c r="C968" s="4" t="s">
        <v>50</v>
      </c>
    </row>
    <row r="969" customFormat="false" ht="12.8" hidden="false" customHeight="false" outlineLevel="0" collapsed="false">
      <c r="A969" s="3" t="n">
        <f aca="false">DATE(1994,8,19)</f>
        <v>34565</v>
      </c>
      <c r="B969" s="4" t="s">
        <v>1190</v>
      </c>
      <c r="C969" s="4" t="s">
        <v>820</v>
      </c>
    </row>
    <row r="970" customFormat="false" ht="12.8" hidden="false" customHeight="false" outlineLevel="0" collapsed="false">
      <c r="A970" s="3" t="n">
        <f aca="false">DATE(1994,8,22)</f>
        <v>34568</v>
      </c>
      <c r="B970" s="4" t="s">
        <v>1191</v>
      </c>
      <c r="C970" s="4" t="s">
        <v>1164</v>
      </c>
    </row>
    <row r="971" customFormat="false" ht="12.8" hidden="false" customHeight="false" outlineLevel="0" collapsed="false">
      <c r="A971" s="3" t="n">
        <f aca="false">DATE(1994,8,22)</f>
        <v>34568</v>
      </c>
      <c r="B971" s="4" t="s">
        <v>1192</v>
      </c>
      <c r="C971" s="4" t="s">
        <v>169</v>
      </c>
    </row>
    <row r="972" customFormat="false" ht="12.8" hidden="false" customHeight="false" outlineLevel="0" collapsed="false">
      <c r="A972" s="3" t="n">
        <f aca="false">DATE(1994,8,22)</f>
        <v>34568</v>
      </c>
      <c r="B972" s="4" t="s">
        <v>1193</v>
      </c>
      <c r="C972" s="4" t="s">
        <v>570</v>
      </c>
    </row>
    <row r="973" customFormat="false" ht="12.8" hidden="false" customHeight="false" outlineLevel="0" collapsed="false">
      <c r="A973" s="3" t="n">
        <f aca="false">DATE(1994,8,26)</f>
        <v>34572</v>
      </c>
      <c r="B973" s="4" t="s">
        <v>1194</v>
      </c>
      <c r="C973" s="4" t="s">
        <v>548</v>
      </c>
    </row>
    <row r="974" customFormat="false" ht="12.8" hidden="false" customHeight="false" outlineLevel="0" collapsed="false">
      <c r="A974" s="3" t="n">
        <f aca="false">DATE(1994,8,26)</f>
        <v>34572</v>
      </c>
      <c r="B974" s="4" t="s">
        <v>1195</v>
      </c>
      <c r="C974" s="4" t="s">
        <v>471</v>
      </c>
    </row>
    <row r="975" customFormat="false" ht="12.8" hidden="false" customHeight="false" outlineLevel="0" collapsed="false">
      <c r="A975" s="3" t="n">
        <f aca="false">DATE(1994,8,29)</f>
        <v>34575</v>
      </c>
      <c r="B975" s="4" t="s">
        <v>1196</v>
      </c>
      <c r="C975" s="4" t="s">
        <v>566</v>
      </c>
    </row>
    <row r="976" customFormat="false" ht="12.8" hidden="false" customHeight="false" outlineLevel="0" collapsed="false">
      <c r="A976" s="3" t="n">
        <f aca="false">DATE(1994,8,29)</f>
        <v>34575</v>
      </c>
      <c r="B976" s="4" t="s">
        <v>1197</v>
      </c>
      <c r="C976" s="4" t="s">
        <v>1054</v>
      </c>
    </row>
    <row r="977" customFormat="false" ht="12.8" hidden="false" customHeight="false" outlineLevel="0" collapsed="false">
      <c r="A977" s="3" t="n">
        <f aca="false">DATE(1994,8,30)</f>
        <v>34576</v>
      </c>
      <c r="B977" s="4" t="s">
        <v>1198</v>
      </c>
      <c r="C977" s="4" t="s">
        <v>130</v>
      </c>
    </row>
    <row r="978" customFormat="false" ht="12.8" hidden="false" customHeight="false" outlineLevel="0" collapsed="false">
      <c r="A978" s="3" t="n">
        <f aca="false">DATE(1994,9,1)</f>
        <v>34578</v>
      </c>
      <c r="B978" s="4" t="s">
        <v>1199</v>
      </c>
      <c r="C978" s="4" t="s">
        <v>1152</v>
      </c>
    </row>
    <row r="979" customFormat="false" ht="12.8" hidden="false" customHeight="false" outlineLevel="0" collapsed="false">
      <c r="A979" s="3" t="n">
        <f aca="false">DATE(1994,9,2)</f>
        <v>34579</v>
      </c>
      <c r="B979" s="4" t="s">
        <v>1200</v>
      </c>
      <c r="C979" s="4" t="s">
        <v>560</v>
      </c>
    </row>
    <row r="980" customFormat="false" ht="12.8" hidden="false" customHeight="false" outlineLevel="0" collapsed="false">
      <c r="A980" s="3" t="n">
        <f aca="false">DATE(1994,9,2)</f>
        <v>34579</v>
      </c>
      <c r="B980" s="4" t="s">
        <v>1201</v>
      </c>
      <c r="C980" s="4" t="s">
        <v>556</v>
      </c>
    </row>
    <row r="981" customFormat="false" ht="12.8" hidden="false" customHeight="false" outlineLevel="0" collapsed="false">
      <c r="A981" s="3" t="n">
        <f aca="false">DATE(1994,9,2)</f>
        <v>34579</v>
      </c>
      <c r="B981" s="4" t="s">
        <v>1202</v>
      </c>
      <c r="C981" s="4" t="s">
        <v>1203</v>
      </c>
    </row>
    <row r="982" customFormat="false" ht="12.8" hidden="false" customHeight="false" outlineLevel="0" collapsed="false">
      <c r="A982" s="3" t="n">
        <f aca="false">DATE(1994,9,8)</f>
        <v>34585</v>
      </c>
      <c r="B982" s="4" t="s">
        <v>1204</v>
      </c>
      <c r="C982" s="4" t="s">
        <v>112</v>
      </c>
    </row>
    <row r="983" customFormat="false" ht="12.8" hidden="false" customHeight="false" outlineLevel="0" collapsed="false">
      <c r="A983" s="3" t="n">
        <f aca="false">DATE(1994,9,8)</f>
        <v>34585</v>
      </c>
      <c r="B983" s="4" t="s">
        <v>1205</v>
      </c>
      <c r="C983" s="4" t="s">
        <v>84</v>
      </c>
    </row>
    <row r="984" customFormat="false" ht="12.8" hidden="false" customHeight="false" outlineLevel="0" collapsed="false">
      <c r="A984" s="3" t="n">
        <f aca="false">DATE(1994,9,9)</f>
        <v>34586</v>
      </c>
      <c r="B984" s="4" t="s">
        <v>1206</v>
      </c>
      <c r="C984" s="4" t="s">
        <v>1203</v>
      </c>
    </row>
    <row r="985" customFormat="false" ht="12.8" hidden="false" customHeight="false" outlineLevel="0" collapsed="false">
      <c r="A985" s="3" t="n">
        <f aca="false">DATE(1994,9,14)</f>
        <v>34591</v>
      </c>
      <c r="B985" s="4" t="s">
        <v>1207</v>
      </c>
      <c r="C985" s="4" t="s">
        <v>570</v>
      </c>
    </row>
    <row r="986" customFormat="false" ht="12.8" hidden="false" customHeight="false" outlineLevel="0" collapsed="false">
      <c r="A986" s="3" t="n">
        <f aca="false">DATE(1994,9,19)</f>
        <v>34596</v>
      </c>
      <c r="B986" s="4" t="s">
        <v>1208</v>
      </c>
      <c r="C986" s="4" t="s">
        <v>86</v>
      </c>
    </row>
    <row r="987" customFormat="false" ht="12.8" hidden="false" customHeight="false" outlineLevel="0" collapsed="false">
      <c r="A987" s="3" t="n">
        <f aca="false">DATE(1994,9,19)</f>
        <v>34596</v>
      </c>
      <c r="B987" s="4" t="s">
        <v>1209</v>
      </c>
      <c r="C987" s="4" t="s">
        <v>1210</v>
      </c>
    </row>
    <row r="988" customFormat="false" ht="12.8" hidden="false" customHeight="false" outlineLevel="0" collapsed="false">
      <c r="A988" s="3" t="n">
        <f aca="false">DATE(1994,9,22)</f>
        <v>34599</v>
      </c>
      <c r="B988" s="4" t="s">
        <v>912</v>
      </c>
      <c r="C988" s="4" t="s">
        <v>681</v>
      </c>
    </row>
    <row r="989" customFormat="false" ht="12.8" hidden="false" customHeight="false" outlineLevel="0" collapsed="false">
      <c r="A989" s="3" t="n">
        <f aca="false">DATE(1994,9,22)</f>
        <v>34599</v>
      </c>
      <c r="B989" s="4" t="s">
        <v>1211</v>
      </c>
      <c r="C989" s="4" t="s">
        <v>225</v>
      </c>
    </row>
    <row r="990" customFormat="false" ht="12.8" hidden="false" customHeight="false" outlineLevel="0" collapsed="false">
      <c r="A990" s="3" t="n">
        <f aca="false">DATE(1994,9,22)</f>
        <v>34599</v>
      </c>
      <c r="B990" s="4" t="s">
        <v>1212</v>
      </c>
      <c r="C990" s="4" t="s">
        <v>349</v>
      </c>
    </row>
    <row r="991" customFormat="false" ht="12.8" hidden="false" customHeight="false" outlineLevel="0" collapsed="false">
      <c r="A991" s="3" t="n">
        <f aca="false">DATE(1994,9,26)</f>
        <v>34603</v>
      </c>
      <c r="B991" s="4" t="s">
        <v>1213</v>
      </c>
      <c r="C991" s="4" t="s">
        <v>1203</v>
      </c>
    </row>
    <row r="992" customFormat="false" ht="12.8" hidden="false" customHeight="false" outlineLevel="0" collapsed="false">
      <c r="A992" s="3" t="n">
        <f aca="false">DATE(1994,9,26)</f>
        <v>34603</v>
      </c>
      <c r="B992" s="4" t="s">
        <v>1214</v>
      </c>
      <c r="C992" s="4" t="s">
        <v>696</v>
      </c>
    </row>
    <row r="993" customFormat="false" ht="12.8" hidden="false" customHeight="false" outlineLevel="0" collapsed="false">
      <c r="A993" s="3" t="n">
        <f aca="false">DATE(1994,9,26)</f>
        <v>34603</v>
      </c>
      <c r="B993" s="4" t="s">
        <v>1215</v>
      </c>
      <c r="C993" s="4" t="s">
        <v>570</v>
      </c>
    </row>
    <row r="994" customFormat="false" ht="12.8" hidden="false" customHeight="false" outlineLevel="0" collapsed="false">
      <c r="A994" s="3" t="n">
        <f aca="false">DATE(1994,9,26)</f>
        <v>34603</v>
      </c>
      <c r="B994" s="4" t="s">
        <v>454</v>
      </c>
      <c r="C994" s="4" t="s">
        <v>511</v>
      </c>
    </row>
    <row r="995" customFormat="false" ht="12.8" hidden="false" customHeight="false" outlineLevel="0" collapsed="false">
      <c r="A995" s="3" t="n">
        <f aca="false">DATE(1994,9,27)</f>
        <v>34604</v>
      </c>
      <c r="B995" s="4" t="s">
        <v>1216</v>
      </c>
      <c r="C995" s="4" t="s">
        <v>935</v>
      </c>
    </row>
    <row r="996" customFormat="false" ht="12.8" hidden="false" customHeight="false" outlineLevel="0" collapsed="false">
      <c r="A996" s="3" t="n">
        <f aca="false">DATE(1994,9,27)</f>
        <v>34604</v>
      </c>
      <c r="B996" s="4" t="s">
        <v>1217</v>
      </c>
      <c r="C996" s="4" t="s">
        <v>1210</v>
      </c>
    </row>
    <row r="997" customFormat="false" ht="12.8" hidden="false" customHeight="false" outlineLevel="0" collapsed="false">
      <c r="A997" s="3" t="n">
        <f aca="false">DATE(1994,9,27)</f>
        <v>34604</v>
      </c>
      <c r="B997" s="4" t="s">
        <v>1218</v>
      </c>
      <c r="C997" s="4" t="s">
        <v>1210</v>
      </c>
    </row>
    <row r="998" customFormat="false" ht="12.8" hidden="false" customHeight="false" outlineLevel="0" collapsed="false">
      <c r="A998" s="3" t="n">
        <f aca="false">DATE(1994,9,28)</f>
        <v>34605</v>
      </c>
      <c r="B998" s="4" t="s">
        <v>1219</v>
      </c>
      <c r="C998" s="4" t="s">
        <v>50</v>
      </c>
    </row>
    <row r="999" customFormat="false" ht="12.8" hidden="false" customHeight="false" outlineLevel="0" collapsed="false">
      <c r="A999" s="3" t="n">
        <f aca="false">DATE(1994,9,30)</f>
        <v>34607</v>
      </c>
      <c r="B999" s="4" t="s">
        <v>1220</v>
      </c>
      <c r="C999" s="4" t="s">
        <v>1221</v>
      </c>
    </row>
    <row r="1000" customFormat="false" ht="12.8" hidden="false" customHeight="false" outlineLevel="0" collapsed="false">
      <c r="A1000" s="3" t="n">
        <f aca="false">DATE(1994,10,5)</f>
        <v>34612</v>
      </c>
      <c r="B1000" s="4" t="s">
        <v>1222</v>
      </c>
      <c r="C1000" s="4" t="s">
        <v>44</v>
      </c>
    </row>
    <row r="1001" customFormat="false" ht="12.8" hidden="false" customHeight="false" outlineLevel="0" collapsed="false">
      <c r="A1001" s="3" t="n">
        <f aca="false">DATE(1994,10,6)</f>
        <v>34613</v>
      </c>
      <c r="B1001" s="4" t="s">
        <v>629</v>
      </c>
      <c r="C1001" s="4" t="s">
        <v>560</v>
      </c>
    </row>
    <row r="1002" customFormat="false" ht="12.8" hidden="false" customHeight="false" outlineLevel="0" collapsed="false">
      <c r="A1002" s="3" t="n">
        <f aca="false">DATE(1994,10,7)</f>
        <v>34614</v>
      </c>
      <c r="B1002" s="4" t="s">
        <v>1223</v>
      </c>
      <c r="C1002" s="4" t="s">
        <v>847</v>
      </c>
    </row>
    <row r="1003" customFormat="false" ht="12.8" hidden="false" customHeight="false" outlineLevel="0" collapsed="false">
      <c r="A1003" s="3" t="n">
        <f aca="false">DATE(1994,10,7)</f>
        <v>34614</v>
      </c>
      <c r="B1003" s="4" t="s">
        <v>1224</v>
      </c>
      <c r="C1003" s="4" t="s">
        <v>178</v>
      </c>
    </row>
    <row r="1004" customFormat="false" ht="12.8" hidden="false" customHeight="false" outlineLevel="0" collapsed="false">
      <c r="A1004" s="3" t="n">
        <f aca="false">DATE(1994,10,12)</f>
        <v>34619</v>
      </c>
      <c r="B1004" s="4" t="s">
        <v>1225</v>
      </c>
      <c r="C1004" s="4" t="s">
        <v>813</v>
      </c>
    </row>
    <row r="1005" customFormat="false" ht="12.8" hidden="false" customHeight="false" outlineLevel="0" collapsed="false">
      <c r="A1005" s="3" t="n">
        <f aca="false">DATE(1994,10,13)</f>
        <v>34620</v>
      </c>
      <c r="B1005" s="4" t="s">
        <v>1226</v>
      </c>
      <c r="C1005" s="4" t="s">
        <v>1227</v>
      </c>
    </row>
    <row r="1006" customFormat="false" ht="12.8" hidden="false" customHeight="false" outlineLevel="0" collapsed="false">
      <c r="A1006" s="3" t="n">
        <f aca="false">DATE(1994,10,14)</f>
        <v>34621</v>
      </c>
      <c r="B1006" s="4" t="s">
        <v>1228</v>
      </c>
      <c r="C1006" s="4" t="s">
        <v>1229</v>
      </c>
    </row>
    <row r="1007" customFormat="false" ht="12.8" hidden="false" customHeight="false" outlineLevel="0" collapsed="false">
      <c r="A1007" s="3" t="n">
        <f aca="false">DATE(1994,10,17)</f>
        <v>34624</v>
      </c>
      <c r="B1007" s="4" t="s">
        <v>1230</v>
      </c>
      <c r="C1007" s="4" t="s">
        <v>553</v>
      </c>
    </row>
    <row r="1008" customFormat="false" ht="12.8" hidden="false" customHeight="false" outlineLevel="0" collapsed="false">
      <c r="A1008" s="3" t="n">
        <f aca="false">DATE(1994,10,19)</f>
        <v>34626</v>
      </c>
      <c r="B1008" s="4" t="s">
        <v>1231</v>
      </c>
      <c r="C1008" s="4" t="s">
        <v>641</v>
      </c>
    </row>
    <row r="1009" customFormat="false" ht="12.8" hidden="false" customHeight="false" outlineLevel="0" collapsed="false">
      <c r="A1009" s="3" t="n">
        <f aca="false">DATE(1994,10,19)</f>
        <v>34626</v>
      </c>
      <c r="B1009" s="4" t="s">
        <v>1232</v>
      </c>
      <c r="C1009" s="4" t="s">
        <v>349</v>
      </c>
    </row>
    <row r="1010" customFormat="false" ht="12.8" hidden="false" customHeight="false" outlineLevel="0" collapsed="false">
      <c r="A1010" s="3" t="n">
        <f aca="false">DATE(1994,10,20)</f>
        <v>34627</v>
      </c>
      <c r="B1010" s="4" t="s">
        <v>1233</v>
      </c>
      <c r="C1010" s="4" t="s">
        <v>1044</v>
      </c>
    </row>
    <row r="1011" customFormat="false" ht="12.8" hidden="false" customHeight="false" outlineLevel="0" collapsed="false">
      <c r="A1011" s="3" t="n">
        <f aca="false">DATE(1994,10,24)</f>
        <v>34631</v>
      </c>
      <c r="B1011" s="4" t="s">
        <v>1234</v>
      </c>
      <c r="C1011" s="4" t="s">
        <v>1235</v>
      </c>
    </row>
    <row r="1012" customFormat="false" ht="12.8" hidden="false" customHeight="false" outlineLevel="0" collapsed="false">
      <c r="A1012" s="3" t="n">
        <f aca="false">DATE(1994,10,24)</f>
        <v>34631</v>
      </c>
      <c r="B1012" s="4" t="s">
        <v>1236</v>
      </c>
      <c r="C1012" s="4" t="s">
        <v>164</v>
      </c>
    </row>
    <row r="1013" customFormat="false" ht="12.8" hidden="false" customHeight="false" outlineLevel="0" collapsed="false">
      <c r="A1013" s="3" t="n">
        <f aca="false">DATE(1994,10,25)</f>
        <v>34632</v>
      </c>
      <c r="B1013" s="4" t="s">
        <v>1237</v>
      </c>
      <c r="C1013" s="4" t="s">
        <v>1238</v>
      </c>
    </row>
    <row r="1014" customFormat="false" ht="12.8" hidden="false" customHeight="false" outlineLevel="0" collapsed="false">
      <c r="A1014" s="3" t="n">
        <f aca="false">DATE(1994,10,25)</f>
        <v>34632</v>
      </c>
      <c r="B1014" s="4" t="s">
        <v>904</v>
      </c>
      <c r="C1014" s="4" t="s">
        <v>1239</v>
      </c>
    </row>
    <row r="1015" customFormat="false" ht="12.8" hidden="false" customHeight="false" outlineLevel="0" collapsed="false">
      <c r="A1015" s="3" t="n">
        <f aca="false">DATE(1994,10,28)</f>
        <v>34635</v>
      </c>
      <c r="B1015" s="4" t="s">
        <v>1240</v>
      </c>
      <c r="C1015" s="4" t="s">
        <v>1241</v>
      </c>
    </row>
    <row r="1016" customFormat="false" ht="12.8" hidden="false" customHeight="false" outlineLevel="0" collapsed="false">
      <c r="A1016" s="3" t="n">
        <f aca="false">DATE(1994,11,1)</f>
        <v>34639</v>
      </c>
      <c r="B1016" s="4" t="s">
        <v>1242</v>
      </c>
      <c r="C1016" s="4" t="s">
        <v>511</v>
      </c>
    </row>
    <row r="1017" customFormat="false" ht="12.8" hidden="false" customHeight="false" outlineLevel="0" collapsed="false">
      <c r="A1017" s="3" t="n">
        <f aca="false">DATE(1994,11,3)</f>
        <v>34641</v>
      </c>
      <c r="B1017" s="4" t="s">
        <v>1243</v>
      </c>
      <c r="C1017" s="4" t="s">
        <v>1042</v>
      </c>
    </row>
    <row r="1018" customFormat="false" ht="12.8" hidden="false" customHeight="false" outlineLevel="0" collapsed="false">
      <c r="A1018" s="3" t="n">
        <f aca="false">DATE(1994,11,4)</f>
        <v>34642</v>
      </c>
      <c r="B1018" s="4" t="s">
        <v>1244</v>
      </c>
      <c r="C1018" s="4" t="s">
        <v>86</v>
      </c>
    </row>
    <row r="1019" customFormat="false" ht="12.8" hidden="false" customHeight="false" outlineLevel="0" collapsed="false">
      <c r="A1019" s="3" t="n">
        <f aca="false">DATE(1994,11,8)</f>
        <v>34646</v>
      </c>
      <c r="B1019" s="4" t="s">
        <v>1245</v>
      </c>
      <c r="C1019" s="4" t="s">
        <v>1012</v>
      </c>
    </row>
    <row r="1020" customFormat="false" ht="12.8" hidden="false" customHeight="false" outlineLevel="0" collapsed="false">
      <c r="A1020" s="3" t="n">
        <f aca="false">DATE(1994,11,9)</f>
        <v>34647</v>
      </c>
      <c r="B1020" s="4" t="s">
        <v>1246</v>
      </c>
      <c r="C1020" s="4" t="s">
        <v>976</v>
      </c>
    </row>
    <row r="1021" customFormat="false" ht="12.8" hidden="false" customHeight="false" outlineLevel="0" collapsed="false">
      <c r="A1021" s="3" t="n">
        <f aca="false">DATE(1994,11,15)</f>
        <v>34653</v>
      </c>
      <c r="B1021" s="4" t="s">
        <v>1247</v>
      </c>
      <c r="C1021" s="4" t="s">
        <v>1248</v>
      </c>
    </row>
    <row r="1022" customFormat="false" ht="12.8" hidden="false" customHeight="false" outlineLevel="0" collapsed="false">
      <c r="A1022" s="3" t="n">
        <f aca="false">DATE(1994,11,15)</f>
        <v>34653</v>
      </c>
      <c r="B1022" s="4" t="s">
        <v>1249</v>
      </c>
      <c r="C1022" s="4" t="s">
        <v>50</v>
      </c>
    </row>
    <row r="1023" customFormat="false" ht="12.8" hidden="false" customHeight="false" outlineLevel="0" collapsed="false">
      <c r="A1023" s="3" t="n">
        <f aca="false">DATE(1994,11,15)</f>
        <v>34653</v>
      </c>
      <c r="B1023" s="4" t="s">
        <v>1250</v>
      </c>
      <c r="C1023" s="4" t="s">
        <v>1227</v>
      </c>
    </row>
    <row r="1024" customFormat="false" ht="12.8" hidden="false" customHeight="false" outlineLevel="0" collapsed="false">
      <c r="A1024" s="3" t="n">
        <f aca="false">DATE(1994,11,15)</f>
        <v>34653</v>
      </c>
      <c r="B1024" s="4" t="s">
        <v>1251</v>
      </c>
      <c r="C1024" s="4" t="s">
        <v>50</v>
      </c>
    </row>
    <row r="1025" customFormat="false" ht="12.8" hidden="false" customHeight="false" outlineLevel="0" collapsed="false">
      <c r="A1025" s="3" t="n">
        <f aca="false">DATE(1994,11,17)</f>
        <v>34655</v>
      </c>
      <c r="B1025" s="4" t="s">
        <v>1252</v>
      </c>
      <c r="C1025" s="4" t="s">
        <v>820</v>
      </c>
    </row>
    <row r="1026" customFormat="false" ht="12.8" hidden="false" customHeight="false" outlineLevel="0" collapsed="false">
      <c r="A1026" s="3" t="n">
        <f aca="false">DATE(1994,11,18)</f>
        <v>34656</v>
      </c>
      <c r="B1026" s="4" t="s">
        <v>1253</v>
      </c>
      <c r="C1026" s="4" t="s">
        <v>611</v>
      </c>
    </row>
    <row r="1027" customFormat="false" ht="12.8" hidden="false" customHeight="false" outlineLevel="0" collapsed="false">
      <c r="A1027" s="3" t="n">
        <f aca="false">DATE(1994,11,18)</f>
        <v>34656</v>
      </c>
      <c r="B1027" s="4" t="s">
        <v>1254</v>
      </c>
      <c r="C1027" s="4" t="s">
        <v>1172</v>
      </c>
    </row>
    <row r="1028" customFormat="false" ht="12.8" hidden="false" customHeight="false" outlineLevel="0" collapsed="false">
      <c r="A1028" s="3" t="n">
        <f aca="false">DATE(1994,11,18)</f>
        <v>34656</v>
      </c>
      <c r="B1028" s="4" t="s">
        <v>1255</v>
      </c>
      <c r="C1028" s="4" t="s">
        <v>1256</v>
      </c>
    </row>
    <row r="1029" customFormat="false" ht="12.8" hidden="false" customHeight="false" outlineLevel="0" collapsed="false">
      <c r="A1029" s="3" t="n">
        <f aca="false">DATE(1994,11,22)</f>
        <v>34660</v>
      </c>
      <c r="B1029" s="4" t="s">
        <v>1257</v>
      </c>
      <c r="C1029" s="4" t="s">
        <v>1258</v>
      </c>
    </row>
    <row r="1030" customFormat="false" ht="12.8" hidden="false" customHeight="false" outlineLevel="0" collapsed="false">
      <c r="A1030" s="3" t="n">
        <f aca="false">DATE(1994,11,23)</f>
        <v>34661</v>
      </c>
      <c r="B1030" s="4" t="s">
        <v>1259</v>
      </c>
      <c r="C1030" s="4" t="s">
        <v>922</v>
      </c>
    </row>
    <row r="1031" customFormat="false" ht="12.8" hidden="false" customHeight="false" outlineLevel="0" collapsed="false">
      <c r="A1031" s="3" t="n">
        <f aca="false">DATE(1994,11,28)</f>
        <v>34666</v>
      </c>
      <c r="B1031" s="4" t="s">
        <v>1260</v>
      </c>
      <c r="C1031" s="4" t="s">
        <v>696</v>
      </c>
    </row>
    <row r="1032" customFormat="false" ht="12.8" hidden="false" customHeight="false" outlineLevel="0" collapsed="false">
      <c r="A1032" s="3" t="n">
        <f aca="false">DATE(1994,11,29)</f>
        <v>34667</v>
      </c>
      <c r="B1032" s="4" t="s">
        <v>1261</v>
      </c>
      <c r="C1032" s="4" t="s">
        <v>1262</v>
      </c>
    </row>
    <row r="1033" customFormat="false" ht="12.8" hidden="false" customHeight="false" outlineLevel="0" collapsed="false">
      <c r="A1033" s="3" t="n">
        <f aca="false">DATE(1994,11,30)</f>
        <v>34668</v>
      </c>
      <c r="B1033" s="4" t="s">
        <v>1263</v>
      </c>
      <c r="C1033" s="4" t="s">
        <v>1264</v>
      </c>
    </row>
    <row r="1034" customFormat="false" ht="12.8" hidden="false" customHeight="false" outlineLevel="0" collapsed="false">
      <c r="A1034" s="3" t="n">
        <f aca="false">DATE(1994,12,1)</f>
        <v>34669</v>
      </c>
      <c r="B1034" s="4" t="s">
        <v>1265</v>
      </c>
      <c r="C1034" s="4" t="s">
        <v>86</v>
      </c>
    </row>
    <row r="1035" customFormat="false" ht="12.8" hidden="false" customHeight="false" outlineLevel="0" collapsed="false">
      <c r="A1035" s="3" t="n">
        <f aca="false">DATE(1994,12,2)</f>
        <v>34670</v>
      </c>
      <c r="B1035" s="4" t="s">
        <v>1266</v>
      </c>
      <c r="C1035" s="4" t="s">
        <v>234</v>
      </c>
    </row>
    <row r="1036" customFormat="false" ht="12.8" hidden="false" customHeight="false" outlineLevel="0" collapsed="false">
      <c r="A1036" s="3" t="n">
        <f aca="false">DATE(1994,12,5)</f>
        <v>34673</v>
      </c>
      <c r="B1036" s="4" t="s">
        <v>1267</v>
      </c>
      <c r="C1036" s="4" t="s">
        <v>681</v>
      </c>
    </row>
    <row r="1037" customFormat="false" ht="12.8" hidden="false" customHeight="false" outlineLevel="0" collapsed="false">
      <c r="A1037" s="3" t="n">
        <f aca="false">DATE(1994,12,8)</f>
        <v>34676</v>
      </c>
      <c r="B1037" s="4" t="s">
        <v>1268</v>
      </c>
      <c r="C1037" s="4" t="s">
        <v>1269</v>
      </c>
    </row>
    <row r="1038" customFormat="false" ht="12.8" hidden="false" customHeight="false" outlineLevel="0" collapsed="false">
      <c r="A1038" s="3" t="n">
        <f aca="false">DATE(1994,12,9)</f>
        <v>34677</v>
      </c>
      <c r="B1038" s="4" t="s">
        <v>1270</v>
      </c>
      <c r="C1038" s="4" t="s">
        <v>1172</v>
      </c>
    </row>
    <row r="1039" customFormat="false" ht="12.8" hidden="false" customHeight="false" outlineLevel="0" collapsed="false">
      <c r="A1039" s="3" t="n">
        <f aca="false">DATE(1994,12,12)</f>
        <v>34680</v>
      </c>
      <c r="B1039" s="4" t="s">
        <v>1271</v>
      </c>
      <c r="C1039" s="4" t="s">
        <v>1241</v>
      </c>
    </row>
    <row r="1040" customFormat="false" ht="12.8" hidden="false" customHeight="false" outlineLevel="0" collapsed="false">
      <c r="A1040" s="3" t="n">
        <f aca="false">DATE(1994,12,14)</f>
        <v>34682</v>
      </c>
      <c r="B1040" s="4" t="s">
        <v>1272</v>
      </c>
      <c r="C1040" s="4" t="s">
        <v>1273</v>
      </c>
    </row>
    <row r="1041" customFormat="false" ht="12.8" hidden="false" customHeight="false" outlineLevel="0" collapsed="false">
      <c r="A1041" s="3" t="n">
        <f aca="false">DATE(1994,12,14)</f>
        <v>34682</v>
      </c>
      <c r="B1041" s="4" t="s">
        <v>1274</v>
      </c>
      <c r="C1041" s="4" t="s">
        <v>440</v>
      </c>
    </row>
    <row r="1042" customFormat="false" ht="12.8" hidden="false" customHeight="false" outlineLevel="0" collapsed="false">
      <c r="A1042" s="3" t="n">
        <f aca="false">DATE(1994,12,16)</f>
        <v>34684</v>
      </c>
      <c r="B1042" s="4" t="s">
        <v>1275</v>
      </c>
      <c r="C1042" s="4" t="s">
        <v>187</v>
      </c>
    </row>
    <row r="1043" customFormat="false" ht="12.8" hidden="false" customHeight="false" outlineLevel="0" collapsed="false">
      <c r="A1043" s="3" t="n">
        <f aca="false">DATE(1994,12,16)</f>
        <v>34684</v>
      </c>
      <c r="B1043" s="4" t="s">
        <v>1276</v>
      </c>
      <c r="C1043" s="4" t="s">
        <v>309</v>
      </c>
    </row>
    <row r="1044" customFormat="false" ht="12.8" hidden="false" customHeight="false" outlineLevel="0" collapsed="false">
      <c r="A1044" s="3" t="n">
        <f aca="false">DATE(1994,12,20)</f>
        <v>34688</v>
      </c>
      <c r="B1044" s="4" t="s">
        <v>1277</v>
      </c>
      <c r="C1044" s="4" t="s">
        <v>898</v>
      </c>
    </row>
    <row r="1045" customFormat="false" ht="12.8" hidden="false" customHeight="false" outlineLevel="0" collapsed="false">
      <c r="A1045" s="3" t="n">
        <f aca="false">DATE(1994,12,23)</f>
        <v>34691</v>
      </c>
      <c r="B1045" s="4" t="s">
        <v>1278</v>
      </c>
      <c r="C1045" s="4" t="s">
        <v>60</v>
      </c>
    </row>
    <row r="1046" customFormat="false" ht="12.8" hidden="false" customHeight="false" outlineLevel="0" collapsed="false">
      <c r="A1046" s="3" t="n">
        <f aca="false">DATE(1994,12,28)</f>
        <v>34696</v>
      </c>
      <c r="B1046" s="4" t="s">
        <v>1279</v>
      </c>
      <c r="C1046" s="4" t="s">
        <v>1280</v>
      </c>
    </row>
    <row r="1047" customFormat="false" ht="12.8" hidden="false" customHeight="false" outlineLevel="0" collapsed="false">
      <c r="A1047" s="3" t="n">
        <f aca="false">DATE(1994,12,31)</f>
        <v>34699</v>
      </c>
      <c r="B1047" s="4" t="s">
        <v>1281</v>
      </c>
      <c r="C1047" s="4" t="s">
        <v>461</v>
      </c>
    </row>
    <row r="1048" customFormat="false" ht="12.8" hidden="false" customHeight="false" outlineLevel="0" collapsed="false">
      <c r="A1048" s="3" t="n">
        <f aca="false">DATE(1995,1,6)</f>
        <v>34705</v>
      </c>
      <c r="B1048" s="4" t="s">
        <v>1282</v>
      </c>
      <c r="C1048" s="4" t="s">
        <v>400</v>
      </c>
    </row>
    <row r="1049" customFormat="false" ht="12.8" hidden="false" customHeight="false" outlineLevel="0" collapsed="false">
      <c r="A1049" s="3" t="n">
        <f aca="false">DATE(1995,1,6)</f>
        <v>34705</v>
      </c>
      <c r="B1049" s="4" t="s">
        <v>1283</v>
      </c>
      <c r="C1049" s="4" t="s">
        <v>202</v>
      </c>
    </row>
    <row r="1050" customFormat="false" ht="12.8" hidden="false" customHeight="false" outlineLevel="0" collapsed="false">
      <c r="A1050" s="3" t="n">
        <f aca="false">DATE(1995,1,11)</f>
        <v>34710</v>
      </c>
      <c r="B1050" s="4" t="s">
        <v>1284</v>
      </c>
      <c r="C1050" s="4" t="s">
        <v>972</v>
      </c>
    </row>
    <row r="1051" customFormat="false" ht="12.8" hidden="false" customHeight="false" outlineLevel="0" collapsed="false">
      <c r="A1051" s="3" t="n">
        <f aca="false">DATE(1995,1,13)</f>
        <v>34712</v>
      </c>
      <c r="B1051" s="4" t="s">
        <v>1285</v>
      </c>
      <c r="C1051" s="4" t="s">
        <v>840</v>
      </c>
    </row>
    <row r="1052" customFormat="false" ht="12.8" hidden="false" customHeight="false" outlineLevel="0" collapsed="false">
      <c r="A1052" s="3" t="n">
        <f aca="false">DATE(1995,1,16)</f>
        <v>34715</v>
      </c>
      <c r="B1052" s="4" t="s">
        <v>1286</v>
      </c>
      <c r="C1052" s="4" t="s">
        <v>664</v>
      </c>
    </row>
    <row r="1053" customFormat="false" ht="12.8" hidden="false" customHeight="false" outlineLevel="0" collapsed="false">
      <c r="A1053" s="3" t="n">
        <f aca="false">DATE(1995,1,18)</f>
        <v>34717</v>
      </c>
      <c r="B1053" s="4" t="s">
        <v>1287</v>
      </c>
      <c r="C1053" s="4" t="s">
        <v>524</v>
      </c>
    </row>
    <row r="1054" customFormat="false" ht="12.8" hidden="false" customHeight="false" outlineLevel="0" collapsed="false">
      <c r="A1054" s="3" t="n">
        <f aca="false">DATE(1995,1,25)</f>
        <v>34724</v>
      </c>
      <c r="B1054" s="4" t="s">
        <v>1288</v>
      </c>
      <c r="C1054" s="4" t="s">
        <v>86</v>
      </c>
    </row>
    <row r="1055" customFormat="false" ht="12.8" hidden="false" customHeight="false" outlineLevel="0" collapsed="false">
      <c r="A1055" s="3" t="n">
        <f aca="false">DATE(1995,1,27)</f>
        <v>34726</v>
      </c>
      <c r="B1055" s="4" t="s">
        <v>1289</v>
      </c>
      <c r="C1055" s="4" t="s">
        <v>1290</v>
      </c>
    </row>
    <row r="1056" customFormat="false" ht="12.8" hidden="false" customHeight="false" outlineLevel="0" collapsed="false">
      <c r="A1056" s="3" t="n">
        <f aca="false">DATE(1995,1,27)</f>
        <v>34726</v>
      </c>
      <c r="B1056" s="4" t="s">
        <v>1291</v>
      </c>
      <c r="C1056" s="4" t="s">
        <v>681</v>
      </c>
    </row>
    <row r="1057" customFormat="false" ht="12.8" hidden="false" customHeight="false" outlineLevel="0" collapsed="false">
      <c r="A1057" s="3" t="n">
        <f aca="false">DATE(1995,2,2)</f>
        <v>34732</v>
      </c>
      <c r="B1057" s="4" t="s">
        <v>1292</v>
      </c>
      <c r="C1057" s="4" t="s">
        <v>1293</v>
      </c>
    </row>
    <row r="1058" customFormat="false" ht="12.8" hidden="false" customHeight="false" outlineLevel="0" collapsed="false">
      <c r="A1058" s="3" t="n">
        <f aca="false">DATE(1995,2,3)</f>
        <v>34733</v>
      </c>
      <c r="B1058" s="4" t="s">
        <v>1294</v>
      </c>
      <c r="C1058" s="4" t="s">
        <v>1295</v>
      </c>
    </row>
    <row r="1059" customFormat="false" ht="12.8" hidden="false" customHeight="false" outlineLevel="0" collapsed="false">
      <c r="A1059" s="3" t="n">
        <f aca="false">DATE(1995,2,7)</f>
        <v>34737</v>
      </c>
      <c r="B1059" s="4" t="s">
        <v>1296</v>
      </c>
      <c r="C1059" s="4" t="s">
        <v>461</v>
      </c>
    </row>
    <row r="1060" customFormat="false" ht="12.8" hidden="false" customHeight="false" outlineLevel="0" collapsed="false">
      <c r="A1060" s="3" t="n">
        <f aca="false">DATE(1995,2,10)</f>
        <v>34740</v>
      </c>
      <c r="B1060" s="4" t="s">
        <v>1297</v>
      </c>
      <c r="C1060" s="4" t="s">
        <v>381</v>
      </c>
    </row>
    <row r="1061" customFormat="false" ht="12.8" hidden="false" customHeight="false" outlineLevel="0" collapsed="false">
      <c r="A1061" s="3" t="n">
        <f aca="false">DATE(1995,2,15)</f>
        <v>34745</v>
      </c>
      <c r="B1061" s="4" t="s">
        <v>1298</v>
      </c>
      <c r="C1061" s="4" t="s">
        <v>847</v>
      </c>
    </row>
    <row r="1062" customFormat="false" ht="12.8" hidden="false" customHeight="false" outlineLevel="0" collapsed="false">
      <c r="A1062" s="3" t="n">
        <f aca="false">DATE(1995,2,17)</f>
        <v>34747</v>
      </c>
      <c r="B1062" s="4" t="s">
        <v>1299</v>
      </c>
      <c r="C1062" s="4" t="s">
        <v>681</v>
      </c>
    </row>
    <row r="1063" customFormat="false" ht="12.8" hidden="false" customHeight="false" outlineLevel="0" collapsed="false">
      <c r="A1063" s="3" t="n">
        <f aca="false">DATE(1995,2,17)</f>
        <v>34747</v>
      </c>
      <c r="B1063" s="4" t="s">
        <v>1300</v>
      </c>
      <c r="C1063" s="4" t="s">
        <v>60</v>
      </c>
    </row>
    <row r="1064" customFormat="false" ht="12.8" hidden="false" customHeight="false" outlineLevel="0" collapsed="false">
      <c r="A1064" s="3" t="n">
        <f aca="false">DATE(1995,2,20)</f>
        <v>34750</v>
      </c>
      <c r="B1064" s="4" t="s">
        <v>935</v>
      </c>
      <c r="C1064" s="4" t="s">
        <v>58</v>
      </c>
    </row>
    <row r="1065" customFormat="false" ht="12.8" hidden="false" customHeight="false" outlineLevel="0" collapsed="false">
      <c r="A1065" s="3" t="n">
        <f aca="false">DATE(1995,2,21)</f>
        <v>34751</v>
      </c>
      <c r="B1065" s="4" t="s">
        <v>1301</v>
      </c>
      <c r="C1065" s="4" t="s">
        <v>349</v>
      </c>
    </row>
    <row r="1066" customFormat="false" ht="12.8" hidden="false" customHeight="false" outlineLevel="0" collapsed="false">
      <c r="A1066" s="3" t="n">
        <f aca="false">DATE(1995,2,21)</f>
        <v>34751</v>
      </c>
      <c r="B1066" s="4" t="s">
        <v>1302</v>
      </c>
      <c r="C1066" s="4" t="s">
        <v>180</v>
      </c>
    </row>
    <row r="1067" customFormat="false" ht="12.8" hidden="false" customHeight="false" outlineLevel="0" collapsed="false">
      <c r="A1067" s="3" t="n">
        <f aca="false">DATE(1995,2,21)</f>
        <v>34751</v>
      </c>
      <c r="B1067" s="4" t="s">
        <v>690</v>
      </c>
      <c r="C1067" s="4" t="s">
        <v>1120</v>
      </c>
    </row>
    <row r="1068" customFormat="false" ht="12.8" hidden="false" customHeight="false" outlineLevel="0" collapsed="false">
      <c r="A1068" s="3" t="n">
        <f aca="false">DATE(1995,2,23)</f>
        <v>34753</v>
      </c>
      <c r="B1068" s="4" t="s">
        <v>1303</v>
      </c>
      <c r="C1068" s="4" t="s">
        <v>225</v>
      </c>
    </row>
    <row r="1069" customFormat="false" ht="12.8" hidden="false" customHeight="false" outlineLevel="0" collapsed="false">
      <c r="A1069" s="3" t="n">
        <f aca="false">DATE(1995,3,3)</f>
        <v>34761</v>
      </c>
      <c r="B1069" s="4" t="s">
        <v>1304</v>
      </c>
      <c r="C1069" s="4" t="s">
        <v>187</v>
      </c>
    </row>
    <row r="1070" customFormat="false" ht="12.8" hidden="false" customHeight="false" outlineLevel="0" collapsed="false">
      <c r="A1070" s="3" t="n">
        <f aca="false">DATE(1995,3,7)</f>
        <v>34765</v>
      </c>
      <c r="B1070" s="4" t="s">
        <v>1305</v>
      </c>
      <c r="C1070" s="4" t="s">
        <v>367</v>
      </c>
    </row>
    <row r="1071" customFormat="false" ht="12.8" hidden="false" customHeight="false" outlineLevel="0" collapsed="false">
      <c r="A1071" s="3" t="n">
        <f aca="false">DATE(1995,3,14)</f>
        <v>34772</v>
      </c>
      <c r="B1071" s="4" t="s">
        <v>1306</v>
      </c>
      <c r="C1071" s="4" t="s">
        <v>1307</v>
      </c>
    </row>
    <row r="1072" customFormat="false" ht="12.8" hidden="false" customHeight="false" outlineLevel="0" collapsed="false">
      <c r="A1072" s="3" t="n">
        <f aca="false">DATE(1995,3,14)</f>
        <v>34772</v>
      </c>
      <c r="B1072" s="4" t="s">
        <v>1308</v>
      </c>
      <c r="C1072" s="4" t="s">
        <v>708</v>
      </c>
    </row>
    <row r="1073" customFormat="false" ht="12.8" hidden="false" customHeight="false" outlineLevel="0" collapsed="false">
      <c r="A1073" s="3" t="n">
        <f aca="false">DATE(1995,3,16)</f>
        <v>34774</v>
      </c>
      <c r="B1073" s="4" t="s">
        <v>1309</v>
      </c>
      <c r="C1073" s="4" t="s">
        <v>955</v>
      </c>
    </row>
    <row r="1074" customFormat="false" ht="12.8" hidden="false" customHeight="false" outlineLevel="0" collapsed="false">
      <c r="A1074" s="3" t="n">
        <f aca="false">DATE(1995,3,23)</f>
        <v>34781</v>
      </c>
      <c r="B1074" s="4" t="s">
        <v>1310</v>
      </c>
      <c r="C1074" s="4" t="s">
        <v>682</v>
      </c>
    </row>
    <row r="1075" customFormat="false" ht="12.8" hidden="false" customHeight="false" outlineLevel="0" collapsed="false">
      <c r="A1075" s="3" t="n">
        <f aca="false">DATE(1995,3,24)</f>
        <v>34782</v>
      </c>
      <c r="B1075" s="4" t="s">
        <v>1124</v>
      </c>
      <c r="C1075" s="4" t="s">
        <v>33</v>
      </c>
    </row>
    <row r="1076" customFormat="false" ht="12.8" hidden="false" customHeight="false" outlineLevel="0" collapsed="false">
      <c r="A1076" s="3" t="n">
        <f aca="false">DATE(1995,3,27)</f>
        <v>34785</v>
      </c>
      <c r="B1076" s="4" t="s">
        <v>374</v>
      </c>
      <c r="C1076" s="4" t="s">
        <v>1311</v>
      </c>
    </row>
    <row r="1077" customFormat="false" ht="12.8" hidden="false" customHeight="false" outlineLevel="0" collapsed="false">
      <c r="A1077" s="3" t="n">
        <f aca="false">DATE(1995,3,27)</f>
        <v>34785</v>
      </c>
      <c r="B1077" s="4" t="s">
        <v>1312</v>
      </c>
      <c r="C1077" s="4" t="s">
        <v>273</v>
      </c>
    </row>
    <row r="1078" customFormat="false" ht="12.8" hidden="false" customHeight="false" outlineLevel="0" collapsed="false">
      <c r="A1078" s="3" t="n">
        <f aca="false">DATE(1995,3,28)</f>
        <v>34786</v>
      </c>
      <c r="B1078" s="4" t="s">
        <v>1313</v>
      </c>
      <c r="C1078" s="4" t="s">
        <v>1314</v>
      </c>
    </row>
    <row r="1079" customFormat="false" ht="12.8" hidden="false" customHeight="false" outlineLevel="0" collapsed="false">
      <c r="A1079" s="3" t="n">
        <f aca="false">DATE(1995,3,31)</f>
        <v>34789</v>
      </c>
      <c r="B1079" s="4" t="s">
        <v>1315</v>
      </c>
      <c r="C1079" s="4" t="s">
        <v>1316</v>
      </c>
    </row>
    <row r="1080" customFormat="false" ht="12.8" hidden="false" customHeight="false" outlineLevel="0" collapsed="false">
      <c r="A1080" s="3" t="n">
        <f aca="false">DATE(1995,4,4)</f>
        <v>34793</v>
      </c>
      <c r="B1080" s="4" t="s">
        <v>1317</v>
      </c>
      <c r="C1080" s="4" t="s">
        <v>955</v>
      </c>
    </row>
    <row r="1081" customFormat="false" ht="12.8" hidden="false" customHeight="false" outlineLevel="0" collapsed="false">
      <c r="A1081" s="3" t="n">
        <f aca="false">DATE(1995,4,10)</f>
        <v>34799</v>
      </c>
      <c r="B1081" s="4" t="s">
        <v>1318</v>
      </c>
      <c r="C1081" s="4" t="s">
        <v>1319</v>
      </c>
    </row>
    <row r="1082" customFormat="false" ht="12.8" hidden="false" customHeight="false" outlineLevel="0" collapsed="false">
      <c r="A1082" s="3" t="n">
        <f aca="false">DATE(1995,4,11)</f>
        <v>34800</v>
      </c>
      <c r="B1082" s="4" t="s">
        <v>1320</v>
      </c>
      <c r="C1082" s="4" t="s">
        <v>820</v>
      </c>
    </row>
    <row r="1083" customFormat="false" ht="12.8" hidden="false" customHeight="false" outlineLevel="0" collapsed="false">
      <c r="A1083" s="3" t="n">
        <f aca="false">DATE(1995,4,18)</f>
        <v>34807</v>
      </c>
      <c r="B1083" s="4" t="s">
        <v>1214</v>
      </c>
      <c r="C1083" s="4" t="s">
        <v>854</v>
      </c>
    </row>
    <row r="1084" customFormat="false" ht="12.8" hidden="false" customHeight="false" outlineLevel="0" collapsed="false">
      <c r="A1084" s="3" t="n">
        <f aca="false">DATE(1995,4,18)</f>
        <v>34807</v>
      </c>
      <c r="B1084" s="4" t="s">
        <v>1321</v>
      </c>
      <c r="C1084" s="4" t="s">
        <v>365</v>
      </c>
    </row>
    <row r="1085" customFormat="false" ht="12.8" hidden="false" customHeight="false" outlineLevel="0" collapsed="false">
      <c r="A1085" s="3" t="n">
        <f aca="false">DATE(1995,4,20)</f>
        <v>34809</v>
      </c>
      <c r="B1085" s="4" t="s">
        <v>1322</v>
      </c>
      <c r="C1085" s="4" t="s">
        <v>1262</v>
      </c>
    </row>
    <row r="1086" customFormat="false" ht="12.8" hidden="false" customHeight="false" outlineLevel="0" collapsed="false">
      <c r="A1086" s="3" t="n">
        <f aca="false">DATE(1995,4,21)</f>
        <v>34810</v>
      </c>
      <c r="B1086" s="4" t="s">
        <v>1323</v>
      </c>
      <c r="C1086" s="4" t="s">
        <v>1324</v>
      </c>
    </row>
    <row r="1087" customFormat="false" ht="12.8" hidden="false" customHeight="false" outlineLevel="0" collapsed="false">
      <c r="A1087" s="3" t="n">
        <f aca="false">DATE(1995,4,24)</f>
        <v>34813</v>
      </c>
      <c r="B1087" s="4" t="s">
        <v>1325</v>
      </c>
      <c r="C1087" s="4" t="s">
        <v>1258</v>
      </c>
    </row>
    <row r="1088" customFormat="false" ht="12.8" hidden="false" customHeight="false" outlineLevel="0" collapsed="false">
      <c r="A1088" s="3" t="n">
        <f aca="false">DATE(1995,4,26)</f>
        <v>34815</v>
      </c>
      <c r="B1088" s="4" t="s">
        <v>590</v>
      </c>
      <c r="C1088" s="4" t="s">
        <v>1248</v>
      </c>
    </row>
    <row r="1089" customFormat="false" ht="12.8" hidden="false" customHeight="false" outlineLevel="0" collapsed="false">
      <c r="A1089" s="3" t="n">
        <f aca="false">DATE(1995,5,2)</f>
        <v>34821</v>
      </c>
      <c r="B1089" s="4" t="s">
        <v>1326</v>
      </c>
      <c r="C1089" s="4" t="s">
        <v>946</v>
      </c>
    </row>
    <row r="1090" customFormat="false" ht="12.8" hidden="false" customHeight="false" outlineLevel="0" collapsed="false">
      <c r="A1090" s="3" t="n">
        <f aca="false">DATE(1995,5,3)</f>
        <v>34822</v>
      </c>
      <c r="B1090" s="4" t="s">
        <v>1327</v>
      </c>
      <c r="C1090" s="4" t="s">
        <v>44</v>
      </c>
    </row>
    <row r="1091" customFormat="false" ht="12.8" hidden="false" customHeight="false" outlineLevel="0" collapsed="false">
      <c r="A1091" s="3" t="n">
        <f aca="false">DATE(1995,5,4)</f>
        <v>34823</v>
      </c>
      <c r="B1091" s="4" t="s">
        <v>1328</v>
      </c>
      <c r="C1091" s="4" t="s">
        <v>1203</v>
      </c>
    </row>
    <row r="1092" customFormat="false" ht="12.8" hidden="false" customHeight="false" outlineLevel="0" collapsed="false">
      <c r="A1092" s="3" t="n">
        <f aca="false">DATE(1995,5,12)</f>
        <v>34831</v>
      </c>
      <c r="B1092" s="4" t="s">
        <v>1329</v>
      </c>
      <c r="C1092" s="4" t="s">
        <v>1117</v>
      </c>
    </row>
    <row r="1093" customFormat="false" ht="12.8" hidden="false" customHeight="false" outlineLevel="0" collapsed="false">
      <c r="A1093" s="3" t="n">
        <f aca="false">DATE(1995,5,16)</f>
        <v>34835</v>
      </c>
      <c r="B1093" s="4" t="s">
        <v>1330</v>
      </c>
      <c r="C1093" s="4" t="s">
        <v>33</v>
      </c>
    </row>
    <row r="1094" customFormat="false" ht="12.8" hidden="false" customHeight="false" outlineLevel="0" collapsed="false">
      <c r="A1094" s="3" t="n">
        <f aca="false">DATE(1995,5,17)</f>
        <v>34836</v>
      </c>
      <c r="B1094" s="4" t="s">
        <v>1331</v>
      </c>
      <c r="C1094" s="4" t="s">
        <v>234</v>
      </c>
    </row>
    <row r="1095" customFormat="false" ht="12.8" hidden="false" customHeight="false" outlineLevel="0" collapsed="false">
      <c r="A1095" s="3" t="n">
        <f aca="false">DATE(1995,5,17)</f>
        <v>34836</v>
      </c>
      <c r="B1095" s="4" t="s">
        <v>1332</v>
      </c>
      <c r="C1095" s="4" t="s">
        <v>1333</v>
      </c>
    </row>
    <row r="1096" customFormat="false" ht="12.8" hidden="false" customHeight="false" outlineLevel="0" collapsed="false">
      <c r="A1096" s="3" t="n">
        <f aca="false">DATE(1995,5,17)</f>
        <v>34836</v>
      </c>
      <c r="B1096" s="4" t="s">
        <v>1334</v>
      </c>
      <c r="C1096" s="4" t="s">
        <v>443</v>
      </c>
    </row>
    <row r="1097" customFormat="false" ht="12.8" hidden="false" customHeight="false" outlineLevel="0" collapsed="false">
      <c r="A1097" s="3" t="n">
        <f aca="false">DATE(1995,5,22)</f>
        <v>34841</v>
      </c>
      <c r="B1097" s="4" t="s">
        <v>1335</v>
      </c>
      <c r="C1097" s="4" t="s">
        <v>1221</v>
      </c>
    </row>
    <row r="1098" customFormat="false" ht="12.8" hidden="false" customHeight="false" outlineLevel="0" collapsed="false">
      <c r="A1098" s="3" t="n">
        <f aca="false">DATE(1995,5,23)</f>
        <v>34842</v>
      </c>
      <c r="B1098" s="4" t="s">
        <v>1336</v>
      </c>
      <c r="C1098" s="4" t="s">
        <v>465</v>
      </c>
    </row>
    <row r="1099" customFormat="false" ht="12.8" hidden="false" customHeight="false" outlineLevel="0" collapsed="false">
      <c r="A1099" s="3" t="n">
        <f aca="false">DATE(1995,5,24)</f>
        <v>34843</v>
      </c>
      <c r="B1099" s="4" t="s">
        <v>1337</v>
      </c>
      <c r="C1099" s="4" t="s">
        <v>1012</v>
      </c>
    </row>
    <row r="1100" customFormat="false" ht="12.8" hidden="false" customHeight="false" outlineLevel="0" collapsed="false">
      <c r="A1100" s="3" t="n">
        <f aca="false">DATE(1995,5,30)</f>
        <v>34849</v>
      </c>
      <c r="B1100" s="4" t="s">
        <v>1338</v>
      </c>
      <c r="C1100" s="4" t="s">
        <v>443</v>
      </c>
    </row>
    <row r="1101" customFormat="false" ht="12.8" hidden="false" customHeight="false" outlineLevel="0" collapsed="false">
      <c r="A1101" s="3" t="n">
        <f aca="false">DATE(1995,5,30)</f>
        <v>34849</v>
      </c>
      <c r="B1101" s="4" t="s">
        <v>1339</v>
      </c>
      <c r="C1101" s="4" t="s">
        <v>187</v>
      </c>
    </row>
    <row r="1102" customFormat="false" ht="12.8" hidden="false" customHeight="false" outlineLevel="0" collapsed="false">
      <c r="A1102" s="3" t="n">
        <f aca="false">DATE(1995,5,31)</f>
        <v>34850</v>
      </c>
      <c r="B1102" s="4" t="s">
        <v>1340</v>
      </c>
      <c r="C1102" s="4" t="s">
        <v>388</v>
      </c>
    </row>
    <row r="1103" customFormat="false" ht="12.8" hidden="false" customHeight="false" outlineLevel="0" collapsed="false">
      <c r="A1103" s="3" t="n">
        <f aca="false">DATE(1995,6,2)</f>
        <v>34852</v>
      </c>
      <c r="B1103" s="4" t="s">
        <v>502</v>
      </c>
      <c r="C1103" s="4" t="s">
        <v>1341</v>
      </c>
    </row>
    <row r="1104" customFormat="false" ht="12.8" hidden="false" customHeight="false" outlineLevel="0" collapsed="false">
      <c r="A1104" s="3" t="n">
        <f aca="false">DATE(1995,6,7)</f>
        <v>34857</v>
      </c>
      <c r="B1104" s="4" t="s">
        <v>1342</v>
      </c>
      <c r="C1104" s="4" t="s">
        <v>1343</v>
      </c>
    </row>
    <row r="1105" customFormat="false" ht="12.8" hidden="false" customHeight="false" outlineLevel="0" collapsed="false">
      <c r="A1105" s="3" t="n">
        <f aca="false">DATE(1995,6,12)</f>
        <v>34862</v>
      </c>
      <c r="B1105" s="4" t="s">
        <v>1344</v>
      </c>
      <c r="C1105" s="4" t="s">
        <v>1174</v>
      </c>
    </row>
    <row r="1106" customFormat="false" ht="12.8" hidden="false" customHeight="false" outlineLevel="0" collapsed="false">
      <c r="A1106" s="3" t="n">
        <f aca="false">DATE(1995,6,12)</f>
        <v>34862</v>
      </c>
      <c r="B1106" s="4" t="s">
        <v>1345</v>
      </c>
      <c r="C1106" s="4" t="s">
        <v>1210</v>
      </c>
    </row>
    <row r="1107" customFormat="false" ht="12.8" hidden="false" customHeight="false" outlineLevel="0" collapsed="false">
      <c r="A1107" s="3" t="n">
        <f aca="false">DATE(1995,6,15)</f>
        <v>34865</v>
      </c>
      <c r="B1107" s="4" t="s">
        <v>1346</v>
      </c>
      <c r="C1107" s="4" t="s">
        <v>86</v>
      </c>
    </row>
    <row r="1108" customFormat="false" ht="12.8" hidden="false" customHeight="false" outlineLevel="0" collapsed="false">
      <c r="A1108" s="3" t="n">
        <f aca="false">DATE(1995,6,15)</f>
        <v>34865</v>
      </c>
      <c r="B1108" s="4" t="s">
        <v>1347</v>
      </c>
      <c r="C1108" s="4" t="s">
        <v>1348</v>
      </c>
    </row>
    <row r="1109" customFormat="false" ht="12.8" hidden="false" customHeight="false" outlineLevel="0" collapsed="false">
      <c r="A1109" s="3" t="n">
        <f aca="false">DATE(1995,6,16)</f>
        <v>34866</v>
      </c>
      <c r="B1109" s="4" t="s">
        <v>1349</v>
      </c>
      <c r="C1109" s="4" t="s">
        <v>1290</v>
      </c>
    </row>
    <row r="1110" customFormat="false" ht="12.8" hidden="false" customHeight="false" outlineLevel="0" collapsed="false">
      <c r="A1110" s="3" t="n">
        <f aca="false">DATE(1995,6,19)</f>
        <v>34869</v>
      </c>
      <c r="B1110" s="4" t="s">
        <v>171</v>
      </c>
      <c r="C1110" s="4" t="s">
        <v>58</v>
      </c>
    </row>
    <row r="1111" customFormat="false" ht="12.8" hidden="false" customHeight="false" outlineLevel="0" collapsed="false">
      <c r="A1111" s="3" t="n">
        <f aca="false">DATE(1995,6,20)</f>
        <v>34870</v>
      </c>
      <c r="B1111" s="4" t="s">
        <v>1350</v>
      </c>
      <c r="C1111" s="4" t="s">
        <v>440</v>
      </c>
    </row>
    <row r="1112" customFormat="false" ht="12.8" hidden="false" customHeight="false" outlineLevel="0" collapsed="false">
      <c r="A1112" s="3" t="n">
        <f aca="false">DATE(1995,6,21)</f>
        <v>34871</v>
      </c>
      <c r="B1112" s="4" t="s">
        <v>1351</v>
      </c>
      <c r="C1112" s="4" t="s">
        <v>976</v>
      </c>
    </row>
    <row r="1113" customFormat="false" ht="12.8" hidden="false" customHeight="false" outlineLevel="0" collapsed="false">
      <c r="A1113" s="3" t="n">
        <f aca="false">DATE(1995,6,21)</f>
        <v>34871</v>
      </c>
      <c r="B1113" s="4" t="s">
        <v>1352</v>
      </c>
      <c r="C1113" s="4" t="s">
        <v>1353</v>
      </c>
    </row>
    <row r="1114" customFormat="false" ht="12.8" hidden="false" customHeight="false" outlineLevel="0" collapsed="false">
      <c r="A1114" s="3" t="n">
        <f aca="false">DATE(1995,6,22)</f>
        <v>34872</v>
      </c>
      <c r="B1114" s="4" t="s">
        <v>1354</v>
      </c>
      <c r="C1114" s="4" t="s">
        <v>86</v>
      </c>
    </row>
    <row r="1115" customFormat="false" ht="12.8" hidden="false" customHeight="false" outlineLevel="0" collapsed="false">
      <c r="A1115" s="3" t="n">
        <f aca="false">DATE(1995,6,23)</f>
        <v>34873</v>
      </c>
      <c r="B1115" s="4" t="s">
        <v>1034</v>
      </c>
      <c r="C1115" s="4" t="s">
        <v>782</v>
      </c>
    </row>
    <row r="1116" customFormat="false" ht="12.8" hidden="false" customHeight="false" outlineLevel="0" collapsed="false">
      <c r="A1116" s="3" t="n">
        <f aca="false">DATE(1995,6,28)</f>
        <v>34878</v>
      </c>
      <c r="B1116" s="4" t="s">
        <v>1355</v>
      </c>
      <c r="C1116" s="4" t="s">
        <v>44</v>
      </c>
    </row>
    <row r="1117" customFormat="false" ht="12.8" hidden="false" customHeight="false" outlineLevel="0" collapsed="false">
      <c r="A1117" s="3" t="n">
        <f aca="false">DATE(1995,6,30)</f>
        <v>34880</v>
      </c>
      <c r="B1117" s="4" t="s">
        <v>1356</v>
      </c>
      <c r="C1117" s="4" t="s">
        <v>1357</v>
      </c>
    </row>
    <row r="1118" customFormat="false" ht="12.8" hidden="false" customHeight="false" outlineLevel="0" collapsed="false">
      <c r="A1118" s="3" t="n">
        <f aca="false">DATE(1995,6,30)</f>
        <v>34880</v>
      </c>
      <c r="B1118" s="4" t="s">
        <v>1358</v>
      </c>
      <c r="C1118" s="4" t="s">
        <v>1357</v>
      </c>
    </row>
    <row r="1119" customFormat="false" ht="12.8" hidden="false" customHeight="false" outlineLevel="0" collapsed="false">
      <c r="A1119" s="3" t="n">
        <f aca="false">DATE(1995,7,5)</f>
        <v>34885</v>
      </c>
      <c r="B1119" s="4" t="s">
        <v>1359</v>
      </c>
      <c r="C1119" s="4" t="s">
        <v>1360</v>
      </c>
    </row>
    <row r="1120" customFormat="false" ht="12.8" hidden="false" customHeight="false" outlineLevel="0" collapsed="false">
      <c r="A1120" s="3" t="n">
        <f aca="false">DATE(1995,7,5)</f>
        <v>34885</v>
      </c>
      <c r="B1120" s="4" t="s">
        <v>926</v>
      </c>
      <c r="C1120" s="4" t="s">
        <v>180</v>
      </c>
    </row>
    <row r="1121" customFormat="false" ht="12.8" hidden="false" customHeight="false" outlineLevel="0" collapsed="false">
      <c r="A1121" s="3" t="n">
        <f aca="false">DATE(1995,7,5)</f>
        <v>34885</v>
      </c>
      <c r="B1121" s="4" t="s">
        <v>1361</v>
      </c>
      <c r="C1121" s="4" t="s">
        <v>929</v>
      </c>
    </row>
    <row r="1122" customFormat="false" ht="12.8" hidden="false" customHeight="false" outlineLevel="0" collapsed="false">
      <c r="A1122" s="3" t="n">
        <f aca="false">DATE(1995,7,7)</f>
        <v>34887</v>
      </c>
      <c r="B1122" s="4" t="s">
        <v>1362</v>
      </c>
      <c r="C1122" s="4" t="s">
        <v>681</v>
      </c>
    </row>
    <row r="1123" customFormat="false" ht="12.8" hidden="false" customHeight="false" outlineLevel="0" collapsed="false">
      <c r="A1123" s="3" t="n">
        <f aca="false">DATE(1995,7,10)</f>
        <v>34890</v>
      </c>
      <c r="B1123" s="4" t="s">
        <v>334</v>
      </c>
      <c r="C1123" s="4" t="s">
        <v>877</v>
      </c>
    </row>
    <row r="1124" customFormat="false" ht="12.8" hidden="false" customHeight="false" outlineLevel="0" collapsed="false">
      <c r="A1124" s="3" t="n">
        <f aca="false">DATE(1995,7,11)</f>
        <v>34891</v>
      </c>
      <c r="B1124" s="4" t="s">
        <v>643</v>
      </c>
      <c r="C1124" s="4" t="s">
        <v>614</v>
      </c>
    </row>
    <row r="1125" customFormat="false" ht="12.8" hidden="false" customHeight="false" outlineLevel="0" collapsed="false">
      <c r="A1125" s="3" t="n">
        <f aca="false">DATE(1995,7,12)</f>
        <v>34892</v>
      </c>
      <c r="B1125" s="4" t="s">
        <v>306</v>
      </c>
      <c r="C1125" s="4" t="s">
        <v>74</v>
      </c>
    </row>
    <row r="1126" customFormat="false" ht="12.8" hidden="false" customHeight="false" outlineLevel="0" collapsed="false">
      <c r="A1126" s="3" t="n">
        <f aca="false">DATE(1995,7,18)</f>
        <v>34898</v>
      </c>
      <c r="B1126" s="4" t="s">
        <v>1363</v>
      </c>
      <c r="C1126" s="4" t="s">
        <v>269</v>
      </c>
    </row>
    <row r="1127" customFormat="false" ht="12.8" hidden="false" customHeight="false" outlineLevel="0" collapsed="false">
      <c r="A1127" s="3" t="n">
        <f aca="false">DATE(1995,7,19)</f>
        <v>34899</v>
      </c>
      <c r="B1127" s="4" t="s">
        <v>946</v>
      </c>
      <c r="C1127" s="4" t="s">
        <v>127</v>
      </c>
    </row>
    <row r="1128" customFormat="false" ht="12.8" hidden="false" customHeight="false" outlineLevel="0" collapsed="false">
      <c r="A1128" s="3" t="n">
        <f aca="false">DATE(1995,7,20)</f>
        <v>34900</v>
      </c>
      <c r="B1128" s="4" t="s">
        <v>691</v>
      </c>
      <c r="C1128" s="4" t="s">
        <v>221</v>
      </c>
    </row>
    <row r="1129" customFormat="false" ht="12.8" hidden="false" customHeight="false" outlineLevel="0" collapsed="false">
      <c r="A1129" s="3" t="n">
        <f aca="false">DATE(1995,7,20)</f>
        <v>34900</v>
      </c>
      <c r="B1129" s="4" t="s">
        <v>1364</v>
      </c>
      <c r="C1129" s="4" t="s">
        <v>1117</v>
      </c>
    </row>
    <row r="1130" customFormat="false" ht="12.8" hidden="false" customHeight="false" outlineLevel="0" collapsed="false">
      <c r="A1130" s="3" t="n">
        <f aca="false">DATE(1995,7,21)</f>
        <v>34901</v>
      </c>
      <c r="B1130" s="4" t="s">
        <v>691</v>
      </c>
      <c r="C1130" s="4" t="s">
        <v>127</v>
      </c>
    </row>
    <row r="1131" customFormat="false" ht="12.8" hidden="false" customHeight="false" outlineLevel="0" collapsed="false">
      <c r="A1131" s="3" t="n">
        <f aca="false">DATE(1995,7,25)</f>
        <v>34905</v>
      </c>
      <c r="B1131" s="4" t="s">
        <v>1365</v>
      </c>
      <c r="C1131" s="4" t="s">
        <v>681</v>
      </c>
    </row>
    <row r="1132" customFormat="false" ht="12.8" hidden="false" customHeight="false" outlineLevel="0" collapsed="false">
      <c r="A1132" s="3" t="n">
        <f aca="false">DATE(1995,7,27)</f>
        <v>34907</v>
      </c>
      <c r="B1132" s="4" t="s">
        <v>1216</v>
      </c>
      <c r="C1132" s="4" t="s">
        <v>922</v>
      </c>
    </row>
    <row r="1133" customFormat="false" ht="12.8" hidden="false" customHeight="false" outlineLevel="0" collapsed="false">
      <c r="A1133" s="3" t="n">
        <f aca="false">DATE(1995,7,28)</f>
        <v>34908</v>
      </c>
      <c r="B1133" s="4" t="s">
        <v>1366</v>
      </c>
      <c r="C1133" s="4" t="s">
        <v>202</v>
      </c>
    </row>
    <row r="1134" customFormat="false" ht="12.8" hidden="false" customHeight="false" outlineLevel="0" collapsed="false">
      <c r="A1134" s="3" t="n">
        <f aca="false">DATE(1995,7,31)</f>
        <v>34911</v>
      </c>
      <c r="B1134" s="4" t="s">
        <v>1367</v>
      </c>
      <c r="C1134" s="4" t="s">
        <v>570</v>
      </c>
    </row>
    <row r="1135" customFormat="false" ht="12.8" hidden="false" customHeight="false" outlineLevel="0" collapsed="false">
      <c r="A1135" s="3" t="n">
        <f aca="false">DATE(1995,8,2)</f>
        <v>34913</v>
      </c>
      <c r="B1135" s="4" t="s">
        <v>1368</v>
      </c>
      <c r="C1135" s="4" t="s">
        <v>1037</v>
      </c>
    </row>
    <row r="1136" customFormat="false" ht="12.8" hidden="false" customHeight="false" outlineLevel="0" collapsed="false">
      <c r="A1136" s="3" t="n">
        <f aca="false">DATE(1995,8,3)</f>
        <v>34914</v>
      </c>
      <c r="B1136" s="4" t="s">
        <v>1369</v>
      </c>
      <c r="C1136" s="4" t="s">
        <v>132</v>
      </c>
    </row>
    <row r="1137" customFormat="false" ht="12.8" hidden="false" customHeight="false" outlineLevel="0" collapsed="false">
      <c r="A1137" s="3" t="n">
        <f aca="false">DATE(1995,8,4)</f>
        <v>34915</v>
      </c>
      <c r="B1137" s="4" t="s">
        <v>795</v>
      </c>
      <c r="C1137" s="4" t="s">
        <v>681</v>
      </c>
    </row>
    <row r="1138" customFormat="false" ht="12.8" hidden="false" customHeight="false" outlineLevel="0" collapsed="false">
      <c r="A1138" s="3" t="n">
        <f aca="false">DATE(1995,8,7)</f>
        <v>34918</v>
      </c>
      <c r="B1138" s="4" t="s">
        <v>564</v>
      </c>
      <c r="C1138" s="4" t="s">
        <v>321</v>
      </c>
    </row>
    <row r="1139" customFormat="false" ht="12.8" hidden="false" customHeight="false" outlineLevel="0" collapsed="false">
      <c r="A1139" s="3" t="n">
        <f aca="false">DATE(1995,8,16)</f>
        <v>34927</v>
      </c>
      <c r="B1139" s="4" t="s">
        <v>1370</v>
      </c>
      <c r="C1139" s="4" t="s">
        <v>1371</v>
      </c>
    </row>
    <row r="1140" customFormat="false" ht="12.8" hidden="false" customHeight="false" outlineLevel="0" collapsed="false">
      <c r="A1140" s="3" t="n">
        <f aca="false">DATE(1995,8,18)</f>
        <v>34929</v>
      </c>
      <c r="B1140" s="4" t="s">
        <v>1372</v>
      </c>
      <c r="C1140" s="4" t="s">
        <v>9</v>
      </c>
    </row>
    <row r="1141" customFormat="false" ht="12.8" hidden="false" customHeight="false" outlineLevel="0" collapsed="false">
      <c r="A1141" s="3" t="n">
        <f aca="false">DATE(1995,8,21)</f>
        <v>34932</v>
      </c>
      <c r="B1141" s="4" t="s">
        <v>1373</v>
      </c>
      <c r="C1141" s="4" t="s">
        <v>1044</v>
      </c>
    </row>
    <row r="1142" customFormat="false" ht="12.8" hidden="false" customHeight="false" outlineLevel="0" collapsed="false">
      <c r="A1142" s="3" t="n">
        <f aca="false">DATE(1995,8,21)</f>
        <v>34932</v>
      </c>
      <c r="B1142" s="4" t="s">
        <v>1374</v>
      </c>
      <c r="C1142" s="4" t="s">
        <v>922</v>
      </c>
    </row>
    <row r="1143" customFormat="false" ht="12.8" hidden="false" customHeight="false" outlineLevel="0" collapsed="false">
      <c r="A1143" s="3" t="n">
        <f aca="false">DATE(1995,8,21)</f>
        <v>34932</v>
      </c>
      <c r="B1143" s="4" t="s">
        <v>1375</v>
      </c>
      <c r="C1143" s="4" t="s">
        <v>1376</v>
      </c>
    </row>
    <row r="1144" customFormat="false" ht="12.8" hidden="false" customHeight="false" outlineLevel="0" collapsed="false">
      <c r="A1144" s="3" t="n">
        <f aca="false">DATE(1995,8,21)</f>
        <v>34932</v>
      </c>
      <c r="B1144" s="4" t="s">
        <v>1377</v>
      </c>
      <c r="C1144" s="4" t="s">
        <v>1376</v>
      </c>
    </row>
    <row r="1145" customFormat="false" ht="12.8" hidden="false" customHeight="false" outlineLevel="0" collapsed="false">
      <c r="A1145" s="3" t="n">
        <f aca="false">DATE(1995,8,23)</f>
        <v>34934</v>
      </c>
      <c r="B1145" s="4" t="s">
        <v>1378</v>
      </c>
      <c r="C1145" s="4" t="s">
        <v>1044</v>
      </c>
    </row>
    <row r="1146" customFormat="false" ht="12.8" hidden="false" customHeight="false" outlineLevel="0" collapsed="false">
      <c r="A1146" s="3" t="n">
        <f aca="false">DATE(1995,8,24)</f>
        <v>34935</v>
      </c>
      <c r="B1146" s="4" t="s">
        <v>1379</v>
      </c>
      <c r="C1146" s="4" t="s">
        <v>1380</v>
      </c>
    </row>
    <row r="1147" customFormat="false" ht="12.8" hidden="false" customHeight="false" outlineLevel="0" collapsed="false">
      <c r="A1147" s="3" t="n">
        <f aca="false">DATE(1995,8,25)</f>
        <v>34936</v>
      </c>
      <c r="B1147" s="4" t="s">
        <v>84</v>
      </c>
      <c r="C1147" s="4" t="s">
        <v>50</v>
      </c>
    </row>
    <row r="1148" customFormat="false" ht="12.8" hidden="false" customHeight="false" outlineLevel="0" collapsed="false">
      <c r="A1148" s="3" t="n">
        <f aca="false">DATE(1995,8,28)</f>
        <v>34939</v>
      </c>
      <c r="B1148" s="4" t="s">
        <v>164</v>
      </c>
      <c r="C1148" s="4" t="s">
        <v>1381</v>
      </c>
    </row>
    <row r="1149" customFormat="false" ht="12.8" hidden="false" customHeight="false" outlineLevel="0" collapsed="false">
      <c r="A1149" s="3" t="n">
        <f aca="false">DATE(1995,8,28)</f>
        <v>34939</v>
      </c>
      <c r="B1149" s="4" t="s">
        <v>541</v>
      </c>
      <c r="C1149" s="4" t="s">
        <v>664</v>
      </c>
    </row>
    <row r="1150" customFormat="false" ht="12.8" hidden="false" customHeight="false" outlineLevel="0" collapsed="false">
      <c r="A1150" s="3" t="n">
        <f aca="false">DATE(1995,8,31)</f>
        <v>34942</v>
      </c>
      <c r="B1150" s="4" t="s">
        <v>1382</v>
      </c>
      <c r="C1150" s="4" t="s">
        <v>976</v>
      </c>
    </row>
    <row r="1151" customFormat="false" ht="12.8" hidden="false" customHeight="false" outlineLevel="0" collapsed="false">
      <c r="A1151" s="3" t="n">
        <f aca="false">DATE(1995,9,5)</f>
        <v>34947</v>
      </c>
      <c r="B1151" s="4" t="s">
        <v>214</v>
      </c>
      <c r="C1151" s="4" t="s">
        <v>782</v>
      </c>
    </row>
    <row r="1152" customFormat="false" ht="12.8" hidden="false" customHeight="false" outlineLevel="0" collapsed="false">
      <c r="A1152" s="3" t="n">
        <f aca="false">DATE(1995,9,7)</f>
        <v>34949</v>
      </c>
      <c r="B1152" s="4" t="s">
        <v>1383</v>
      </c>
      <c r="C1152" s="4" t="s">
        <v>86</v>
      </c>
    </row>
    <row r="1153" customFormat="false" ht="12.8" hidden="false" customHeight="false" outlineLevel="0" collapsed="false">
      <c r="A1153" s="3" t="n">
        <f aca="false">DATE(1995,9,8)</f>
        <v>34950</v>
      </c>
      <c r="B1153" s="4" t="s">
        <v>1384</v>
      </c>
      <c r="C1153" s="4" t="s">
        <v>1023</v>
      </c>
    </row>
    <row r="1154" customFormat="false" ht="12.8" hidden="false" customHeight="false" outlineLevel="0" collapsed="false">
      <c r="A1154" s="3" t="n">
        <f aca="false">DATE(1995,9,11)</f>
        <v>34953</v>
      </c>
      <c r="B1154" s="4" t="s">
        <v>1385</v>
      </c>
      <c r="C1154" s="4" t="s">
        <v>58</v>
      </c>
    </row>
    <row r="1155" customFormat="false" ht="12.8" hidden="false" customHeight="false" outlineLevel="0" collapsed="false">
      <c r="A1155" s="3" t="n">
        <f aca="false">DATE(1995,9,11)</f>
        <v>34953</v>
      </c>
      <c r="B1155" s="4" t="s">
        <v>383</v>
      </c>
      <c r="C1155" s="4" t="s">
        <v>1037</v>
      </c>
    </row>
    <row r="1156" customFormat="false" ht="12.8" hidden="false" customHeight="false" outlineLevel="0" collapsed="false">
      <c r="A1156" s="3" t="n">
        <f aca="false">DATE(1995,9,13)</f>
        <v>34955</v>
      </c>
      <c r="B1156" s="4" t="s">
        <v>1386</v>
      </c>
      <c r="C1156" s="4" t="s">
        <v>1387</v>
      </c>
    </row>
    <row r="1157" customFormat="false" ht="12.8" hidden="false" customHeight="false" outlineLevel="0" collapsed="false">
      <c r="A1157" s="3" t="n">
        <f aca="false">DATE(1995,9,13)</f>
        <v>34955</v>
      </c>
      <c r="B1157" s="4" t="s">
        <v>1388</v>
      </c>
      <c r="C1157" s="4" t="s">
        <v>1389</v>
      </c>
    </row>
    <row r="1158" customFormat="false" ht="12.8" hidden="false" customHeight="false" outlineLevel="0" collapsed="false">
      <c r="A1158" s="3" t="n">
        <f aca="false">DATE(1995,9,19)</f>
        <v>34961</v>
      </c>
      <c r="B1158" s="4" t="s">
        <v>1390</v>
      </c>
      <c r="C1158" s="4" t="s">
        <v>400</v>
      </c>
    </row>
    <row r="1159" customFormat="false" ht="12.8" hidden="false" customHeight="false" outlineLevel="0" collapsed="false">
      <c r="A1159" s="3" t="n">
        <f aca="false">DATE(1995,9,19)</f>
        <v>34961</v>
      </c>
      <c r="B1159" s="4" t="s">
        <v>1391</v>
      </c>
      <c r="C1159" s="4" t="s">
        <v>835</v>
      </c>
    </row>
    <row r="1160" customFormat="false" ht="12.8" hidden="false" customHeight="false" outlineLevel="0" collapsed="false">
      <c r="A1160" s="3" t="n">
        <f aca="false">DATE(1995,9,19)</f>
        <v>34961</v>
      </c>
      <c r="B1160" s="4" t="s">
        <v>1392</v>
      </c>
      <c r="C1160" s="4" t="s">
        <v>475</v>
      </c>
    </row>
    <row r="1161" customFormat="false" ht="12.8" hidden="false" customHeight="false" outlineLevel="0" collapsed="false">
      <c r="A1161" s="3" t="n">
        <f aca="false">DATE(1995,9,20)</f>
        <v>34962</v>
      </c>
      <c r="B1161" s="4" t="s">
        <v>1393</v>
      </c>
      <c r="C1161" s="4" t="s">
        <v>976</v>
      </c>
    </row>
    <row r="1162" customFormat="false" ht="12.8" hidden="false" customHeight="false" outlineLevel="0" collapsed="false">
      <c r="A1162" s="3" t="n">
        <f aca="false">DATE(1995,9,22)</f>
        <v>34964</v>
      </c>
      <c r="B1162" s="4" t="s">
        <v>1394</v>
      </c>
      <c r="C1162" s="4" t="s">
        <v>1395</v>
      </c>
    </row>
    <row r="1163" customFormat="false" ht="12.8" hidden="false" customHeight="false" outlineLevel="0" collapsed="false">
      <c r="A1163" s="3" t="n">
        <f aca="false">DATE(1995,9,22)</f>
        <v>34964</v>
      </c>
      <c r="B1163" s="4" t="s">
        <v>1396</v>
      </c>
      <c r="C1163" s="4" t="s">
        <v>1397</v>
      </c>
    </row>
    <row r="1164" customFormat="false" ht="12.8" hidden="false" customHeight="false" outlineLevel="0" collapsed="false">
      <c r="A1164" s="3" t="n">
        <f aca="false">DATE(1995,9,28)</f>
        <v>34970</v>
      </c>
      <c r="B1164" s="4" t="s">
        <v>1398</v>
      </c>
      <c r="C1164" s="4" t="s">
        <v>750</v>
      </c>
    </row>
    <row r="1165" customFormat="false" ht="12.8" hidden="false" customHeight="false" outlineLevel="0" collapsed="false">
      <c r="A1165" s="3" t="n">
        <f aca="false">DATE(1995,9,28)</f>
        <v>34970</v>
      </c>
      <c r="B1165" s="4" t="s">
        <v>1399</v>
      </c>
      <c r="C1165" s="4" t="s">
        <v>663</v>
      </c>
    </row>
    <row r="1166" customFormat="false" ht="12.8" hidden="false" customHeight="false" outlineLevel="0" collapsed="false">
      <c r="A1166" s="3" t="n">
        <f aca="false">DATE(1995,9,29)</f>
        <v>34971</v>
      </c>
      <c r="B1166" s="4" t="s">
        <v>1400</v>
      </c>
      <c r="C1166" s="4" t="s">
        <v>1401</v>
      </c>
    </row>
    <row r="1167" customFormat="false" ht="12.8" hidden="false" customHeight="false" outlineLevel="0" collapsed="false">
      <c r="A1167" s="3" t="n">
        <f aca="false">DATE(1995,9,29)</f>
        <v>34971</v>
      </c>
      <c r="B1167" s="4" t="s">
        <v>1402</v>
      </c>
      <c r="C1167" s="4" t="s">
        <v>400</v>
      </c>
    </row>
    <row r="1168" customFormat="false" ht="12.8" hidden="false" customHeight="false" outlineLevel="0" collapsed="false">
      <c r="A1168" s="3" t="n">
        <f aca="false">DATE(1995,10,2)</f>
        <v>34974</v>
      </c>
      <c r="B1168" s="4" t="s">
        <v>1403</v>
      </c>
      <c r="C1168" s="4" t="s">
        <v>118</v>
      </c>
    </row>
    <row r="1169" customFormat="false" ht="12.8" hidden="false" customHeight="false" outlineLevel="0" collapsed="false">
      <c r="A1169" s="3" t="n">
        <f aca="false">DATE(1995,10,10)</f>
        <v>34982</v>
      </c>
      <c r="B1169" s="4" t="s">
        <v>1404</v>
      </c>
      <c r="C1169" s="4" t="s">
        <v>1287</v>
      </c>
    </row>
    <row r="1170" customFormat="false" ht="12.8" hidden="false" customHeight="false" outlineLevel="0" collapsed="false">
      <c r="A1170" s="3" t="n">
        <f aca="false">DATE(1995,10,10)</f>
        <v>34982</v>
      </c>
      <c r="B1170" s="4" t="s">
        <v>130</v>
      </c>
      <c r="C1170" s="4" t="s">
        <v>221</v>
      </c>
    </row>
    <row r="1171" customFormat="false" ht="12.8" hidden="false" customHeight="false" outlineLevel="0" collapsed="false">
      <c r="A1171" s="3" t="n">
        <f aca="false">DATE(1995,10,11)</f>
        <v>34983</v>
      </c>
      <c r="B1171" s="4" t="s">
        <v>1405</v>
      </c>
      <c r="C1171" s="4" t="s">
        <v>364</v>
      </c>
    </row>
    <row r="1172" customFormat="false" ht="12.8" hidden="false" customHeight="false" outlineLevel="0" collapsed="false">
      <c r="A1172" s="3" t="n">
        <f aca="false">DATE(1995,10,19)</f>
        <v>34991</v>
      </c>
      <c r="B1172" s="4" t="s">
        <v>1406</v>
      </c>
      <c r="C1172" s="4" t="s">
        <v>281</v>
      </c>
    </row>
    <row r="1173" customFormat="false" ht="12.8" hidden="false" customHeight="false" outlineLevel="0" collapsed="false">
      <c r="A1173" s="3" t="n">
        <f aca="false">DATE(1995,10,20)</f>
        <v>34992</v>
      </c>
      <c r="B1173" s="4" t="s">
        <v>1407</v>
      </c>
      <c r="C1173" s="4" t="s">
        <v>1408</v>
      </c>
    </row>
    <row r="1174" customFormat="false" ht="12.8" hidden="false" customHeight="false" outlineLevel="0" collapsed="false">
      <c r="A1174" s="3" t="n">
        <f aca="false">DATE(1995,10,23)</f>
        <v>34995</v>
      </c>
      <c r="B1174" s="4" t="s">
        <v>490</v>
      </c>
      <c r="C1174" s="4" t="s">
        <v>1044</v>
      </c>
    </row>
    <row r="1175" customFormat="false" ht="12.8" hidden="false" customHeight="false" outlineLevel="0" collapsed="false">
      <c r="A1175" s="3" t="n">
        <f aca="false">DATE(1995,10,24)</f>
        <v>34996</v>
      </c>
      <c r="B1175" s="4" t="s">
        <v>1409</v>
      </c>
      <c r="C1175" s="4" t="s">
        <v>1044</v>
      </c>
    </row>
    <row r="1176" customFormat="false" ht="12.8" hidden="false" customHeight="false" outlineLevel="0" collapsed="false">
      <c r="A1176" s="3" t="n">
        <f aca="false">DATE(1995,10,25)</f>
        <v>34997</v>
      </c>
      <c r="B1176" s="4" t="s">
        <v>320</v>
      </c>
      <c r="C1176" s="4" t="s">
        <v>487</v>
      </c>
    </row>
    <row r="1177" customFormat="false" ht="12.8" hidden="false" customHeight="false" outlineLevel="0" collapsed="false">
      <c r="A1177" s="3" t="n">
        <f aca="false">DATE(1995,10,25)</f>
        <v>34997</v>
      </c>
      <c r="B1177" s="4" t="s">
        <v>1410</v>
      </c>
      <c r="C1177" s="4" t="s">
        <v>381</v>
      </c>
    </row>
    <row r="1178" customFormat="false" ht="12.8" hidden="false" customHeight="false" outlineLevel="0" collapsed="false">
      <c r="A1178" s="3" t="n">
        <f aca="false">DATE(1995,10,27)</f>
        <v>34999</v>
      </c>
      <c r="B1178" s="4" t="s">
        <v>1411</v>
      </c>
      <c r="C1178" s="4" t="s">
        <v>570</v>
      </c>
    </row>
    <row r="1179" customFormat="false" ht="12.8" hidden="false" customHeight="false" outlineLevel="0" collapsed="false">
      <c r="A1179" s="3" t="n">
        <f aca="false">DATE(1995,10,31)</f>
        <v>35003</v>
      </c>
      <c r="B1179" s="4" t="s">
        <v>1412</v>
      </c>
      <c r="C1179" s="4" t="s">
        <v>105</v>
      </c>
    </row>
    <row r="1180" customFormat="false" ht="12.8" hidden="false" customHeight="false" outlineLevel="0" collapsed="false">
      <c r="A1180" s="3" t="n">
        <f aca="false">DATE(1995,11,6)</f>
        <v>35009</v>
      </c>
      <c r="B1180" s="4" t="s">
        <v>187</v>
      </c>
      <c r="C1180" s="4" t="s">
        <v>321</v>
      </c>
    </row>
    <row r="1181" customFormat="false" ht="12.8" hidden="false" customHeight="false" outlineLevel="0" collapsed="false">
      <c r="A1181" s="3" t="n">
        <f aca="false">DATE(1995,11,6)</f>
        <v>35009</v>
      </c>
      <c r="B1181" s="4" t="s">
        <v>584</v>
      </c>
      <c r="C1181" s="4" t="s">
        <v>467</v>
      </c>
    </row>
    <row r="1182" customFormat="false" ht="12.8" hidden="false" customHeight="false" outlineLevel="0" collapsed="false">
      <c r="A1182" s="3" t="n">
        <f aca="false">DATE(1995,11,13)</f>
        <v>35016</v>
      </c>
      <c r="B1182" s="4" t="s">
        <v>1413</v>
      </c>
      <c r="C1182" s="4" t="s">
        <v>1348</v>
      </c>
    </row>
    <row r="1183" customFormat="false" ht="12.8" hidden="false" customHeight="false" outlineLevel="0" collapsed="false">
      <c r="A1183" s="3" t="n">
        <f aca="false">DATE(1995,11,13)</f>
        <v>35016</v>
      </c>
      <c r="B1183" s="4" t="s">
        <v>773</v>
      </c>
      <c r="C1183" s="4" t="s">
        <v>570</v>
      </c>
    </row>
    <row r="1184" customFormat="false" ht="12.8" hidden="false" customHeight="false" outlineLevel="0" collapsed="false">
      <c r="A1184" s="3" t="n">
        <f aca="false">DATE(1995,11,14)</f>
        <v>35017</v>
      </c>
      <c r="B1184" s="4" t="s">
        <v>1414</v>
      </c>
      <c r="C1184" s="4" t="s">
        <v>180</v>
      </c>
    </row>
    <row r="1185" customFormat="false" ht="12.8" hidden="false" customHeight="false" outlineLevel="0" collapsed="false">
      <c r="A1185" s="3" t="n">
        <f aca="false">DATE(1995,11,15)</f>
        <v>35018</v>
      </c>
      <c r="B1185" s="4" t="s">
        <v>1354</v>
      </c>
      <c r="C1185" s="4" t="s">
        <v>1044</v>
      </c>
    </row>
    <row r="1186" customFormat="false" ht="12.8" hidden="false" customHeight="false" outlineLevel="0" collapsed="false">
      <c r="A1186" s="3" t="n">
        <f aca="false">DATE(1995,11,17)</f>
        <v>35020</v>
      </c>
      <c r="B1186" s="4" t="s">
        <v>1415</v>
      </c>
      <c r="C1186" s="4" t="s">
        <v>634</v>
      </c>
    </row>
    <row r="1187" customFormat="false" ht="12.8" hidden="false" customHeight="false" outlineLevel="0" collapsed="false">
      <c r="A1187" s="3" t="n">
        <f aca="false">DATE(1995,11,17)</f>
        <v>35020</v>
      </c>
      <c r="B1187" s="4" t="s">
        <v>1416</v>
      </c>
      <c r="C1187" s="4" t="s">
        <v>1417</v>
      </c>
    </row>
    <row r="1188" customFormat="false" ht="12.8" hidden="false" customHeight="false" outlineLevel="0" collapsed="false">
      <c r="A1188" s="3" t="n">
        <f aca="false">DATE(1995,11,20)</f>
        <v>35023</v>
      </c>
      <c r="B1188" s="4" t="s">
        <v>1418</v>
      </c>
      <c r="C1188" s="4" t="s">
        <v>641</v>
      </c>
    </row>
    <row r="1189" customFormat="false" ht="12.8" hidden="false" customHeight="false" outlineLevel="0" collapsed="false">
      <c r="A1189" s="3" t="n">
        <f aca="false">DATE(1995,11,21)</f>
        <v>35024</v>
      </c>
      <c r="B1189" s="4" t="s">
        <v>1419</v>
      </c>
      <c r="C1189" s="4" t="s">
        <v>132</v>
      </c>
    </row>
    <row r="1190" customFormat="false" ht="12.8" hidden="false" customHeight="false" outlineLevel="0" collapsed="false">
      <c r="A1190" s="3" t="n">
        <f aca="false">DATE(1995,11,22)</f>
        <v>35025</v>
      </c>
      <c r="B1190" s="4" t="s">
        <v>1420</v>
      </c>
      <c r="C1190" s="4" t="s">
        <v>611</v>
      </c>
    </row>
    <row r="1191" customFormat="false" ht="12.8" hidden="false" customHeight="false" outlineLevel="0" collapsed="false">
      <c r="A1191" s="3" t="n">
        <f aca="false">DATE(1995,11,27)</f>
        <v>35030</v>
      </c>
      <c r="B1191" s="4" t="s">
        <v>1421</v>
      </c>
      <c r="C1191" s="4" t="s">
        <v>935</v>
      </c>
    </row>
    <row r="1192" customFormat="false" ht="12.8" hidden="false" customHeight="false" outlineLevel="0" collapsed="false">
      <c r="A1192" s="3" t="n">
        <f aca="false">DATE(1995,11,29)</f>
        <v>35032</v>
      </c>
      <c r="B1192" s="4" t="s">
        <v>1422</v>
      </c>
      <c r="C1192" s="4" t="s">
        <v>1241</v>
      </c>
    </row>
    <row r="1193" customFormat="false" ht="12.8" hidden="false" customHeight="false" outlineLevel="0" collapsed="false">
      <c r="A1193" s="3" t="n">
        <f aca="false">DATE(1995,12,1)</f>
        <v>35034</v>
      </c>
      <c r="B1193" s="4" t="s">
        <v>1423</v>
      </c>
      <c r="C1193" s="4" t="s">
        <v>1424</v>
      </c>
    </row>
    <row r="1194" customFormat="false" ht="12.8" hidden="false" customHeight="false" outlineLevel="0" collapsed="false">
      <c r="A1194" s="3" t="n">
        <f aca="false">DATE(1995,12,4)</f>
        <v>35037</v>
      </c>
      <c r="B1194" s="4" t="s">
        <v>1425</v>
      </c>
      <c r="C1194" s="4" t="s">
        <v>595</v>
      </c>
    </row>
    <row r="1195" customFormat="false" ht="12.8" hidden="false" customHeight="false" outlineLevel="0" collapsed="false">
      <c r="A1195" s="3" t="n">
        <f aca="false">DATE(1995,12,4)</f>
        <v>35037</v>
      </c>
      <c r="B1195" s="4" t="s">
        <v>1426</v>
      </c>
      <c r="C1195" s="4" t="s">
        <v>1348</v>
      </c>
    </row>
    <row r="1196" customFormat="false" ht="12.8" hidden="false" customHeight="false" outlineLevel="0" collapsed="false">
      <c r="A1196" s="3" t="n">
        <f aca="false">DATE(1995,12,4)</f>
        <v>35037</v>
      </c>
      <c r="B1196" s="4" t="s">
        <v>1427</v>
      </c>
      <c r="C1196" s="4" t="s">
        <v>595</v>
      </c>
    </row>
    <row r="1197" customFormat="false" ht="12.8" hidden="false" customHeight="false" outlineLevel="0" collapsed="false">
      <c r="A1197" s="3" t="n">
        <f aca="false">DATE(1995,12,5)</f>
        <v>35038</v>
      </c>
      <c r="B1197" s="4" t="s">
        <v>1428</v>
      </c>
      <c r="C1197" s="4" t="s">
        <v>1044</v>
      </c>
    </row>
    <row r="1198" customFormat="false" ht="12.8" hidden="false" customHeight="false" outlineLevel="0" collapsed="false">
      <c r="A1198" s="3" t="n">
        <f aca="false">DATE(1995,12,6)</f>
        <v>35039</v>
      </c>
      <c r="B1198" s="4" t="s">
        <v>1429</v>
      </c>
      <c r="C1198" s="4" t="s">
        <v>1264</v>
      </c>
    </row>
    <row r="1199" customFormat="false" ht="12.8" hidden="false" customHeight="false" outlineLevel="0" collapsed="false">
      <c r="A1199" s="3" t="n">
        <f aca="false">DATE(1995,12,12)</f>
        <v>35045</v>
      </c>
      <c r="B1199" s="4" t="s">
        <v>1311</v>
      </c>
      <c r="C1199" s="4" t="s">
        <v>691</v>
      </c>
    </row>
    <row r="1200" customFormat="false" ht="12.8" hidden="false" customHeight="false" outlineLevel="0" collapsed="false">
      <c r="A1200" s="3" t="n">
        <f aca="false">DATE(1995,12,15)</f>
        <v>35048</v>
      </c>
      <c r="B1200" s="4" t="s">
        <v>1430</v>
      </c>
      <c r="C1200" s="4" t="s">
        <v>1431</v>
      </c>
    </row>
    <row r="1201" customFormat="false" ht="12.8" hidden="false" customHeight="false" outlineLevel="0" collapsed="false">
      <c r="A1201" s="3" t="n">
        <f aca="false">DATE(1995,12,18)</f>
        <v>35051</v>
      </c>
      <c r="B1201" s="4" t="s">
        <v>1432</v>
      </c>
      <c r="C1201" s="4" t="s">
        <v>1044</v>
      </c>
    </row>
    <row r="1202" customFormat="false" ht="12.8" hidden="false" customHeight="false" outlineLevel="0" collapsed="false">
      <c r="A1202" s="3" t="n">
        <f aca="false">DATE(1995,12,19)</f>
        <v>35052</v>
      </c>
      <c r="B1202" s="4" t="s">
        <v>955</v>
      </c>
      <c r="C1202" s="4" t="s">
        <v>1433</v>
      </c>
    </row>
    <row r="1203" customFormat="false" ht="12.8" hidden="false" customHeight="false" outlineLevel="0" collapsed="false">
      <c r="A1203" s="3" t="n">
        <f aca="false">DATE(1995,12,19)</f>
        <v>35052</v>
      </c>
      <c r="B1203" s="4" t="s">
        <v>1434</v>
      </c>
      <c r="C1203" s="4" t="s">
        <v>1120</v>
      </c>
    </row>
    <row r="1204" customFormat="false" ht="12.8" hidden="false" customHeight="false" outlineLevel="0" collapsed="false">
      <c r="A1204" s="3" t="n">
        <f aca="false">DATE(1995,12,19)</f>
        <v>35052</v>
      </c>
      <c r="B1204" s="4" t="s">
        <v>1435</v>
      </c>
      <c r="C1204" s="4" t="s">
        <v>681</v>
      </c>
    </row>
    <row r="1205" customFormat="false" ht="12.8" hidden="false" customHeight="false" outlineLevel="0" collapsed="false">
      <c r="A1205" s="3" t="n">
        <f aca="false">DATE(1995,12,20)</f>
        <v>35053</v>
      </c>
      <c r="B1205" s="4" t="s">
        <v>1436</v>
      </c>
      <c r="C1205" s="4" t="s">
        <v>1307</v>
      </c>
    </row>
    <row r="1206" customFormat="false" ht="12.8" hidden="false" customHeight="false" outlineLevel="0" collapsed="false">
      <c r="A1206" s="3" t="n">
        <f aca="false">DATE(1995,12,21)</f>
        <v>35054</v>
      </c>
      <c r="B1206" s="4" t="s">
        <v>1437</v>
      </c>
      <c r="C1206" s="4" t="s">
        <v>955</v>
      </c>
    </row>
    <row r="1207" customFormat="false" ht="12.8" hidden="false" customHeight="false" outlineLevel="0" collapsed="false">
      <c r="A1207" s="3" t="n">
        <f aca="false">DATE(1995,12,22)</f>
        <v>35055</v>
      </c>
      <c r="B1207" s="4" t="s">
        <v>1438</v>
      </c>
      <c r="C1207" s="4" t="s">
        <v>955</v>
      </c>
    </row>
    <row r="1208" customFormat="false" ht="12.8" hidden="false" customHeight="false" outlineLevel="0" collapsed="false">
      <c r="A1208" s="3" t="n">
        <f aca="false">DATE(1995,12,27)</f>
        <v>35060</v>
      </c>
      <c r="B1208" s="4" t="s">
        <v>1439</v>
      </c>
      <c r="C1208" s="4" t="s">
        <v>1258</v>
      </c>
    </row>
    <row r="1209" customFormat="false" ht="12.8" hidden="false" customHeight="false" outlineLevel="0" collapsed="false">
      <c r="A1209" s="3" t="n">
        <f aca="false">DATE(1996,1,4)</f>
        <v>35068</v>
      </c>
      <c r="B1209" s="4" t="s">
        <v>1440</v>
      </c>
      <c r="C1209" s="4" t="s">
        <v>1433</v>
      </c>
    </row>
    <row r="1210" customFormat="false" ht="12.8" hidden="false" customHeight="false" outlineLevel="0" collapsed="false">
      <c r="A1210" s="3" t="n">
        <f aca="false">DATE(1996,1,9)</f>
        <v>35073</v>
      </c>
      <c r="B1210" s="4" t="s">
        <v>1441</v>
      </c>
      <c r="C1210" s="4" t="s">
        <v>927</v>
      </c>
    </row>
    <row r="1211" customFormat="false" ht="12.8" hidden="false" customHeight="false" outlineLevel="0" collapsed="false">
      <c r="A1211" s="3" t="n">
        <f aca="false">DATE(1996,1,10)</f>
        <v>35074</v>
      </c>
      <c r="B1211" s="4" t="s">
        <v>1442</v>
      </c>
      <c r="C1211" s="4" t="s">
        <v>1262</v>
      </c>
    </row>
    <row r="1212" customFormat="false" ht="12.8" hidden="false" customHeight="false" outlineLevel="0" collapsed="false">
      <c r="A1212" s="3" t="n">
        <f aca="false">DATE(1996,1,10)</f>
        <v>35074</v>
      </c>
      <c r="B1212" s="4" t="s">
        <v>1443</v>
      </c>
      <c r="C1212" s="4" t="s">
        <v>548</v>
      </c>
    </row>
    <row r="1213" customFormat="false" ht="12.8" hidden="false" customHeight="false" outlineLevel="0" collapsed="false">
      <c r="A1213" s="3" t="n">
        <f aca="false">DATE(1996,1,11)</f>
        <v>35075</v>
      </c>
      <c r="B1213" s="4" t="s">
        <v>1444</v>
      </c>
      <c r="C1213" s="4" t="s">
        <v>1314</v>
      </c>
    </row>
    <row r="1214" customFormat="false" ht="12.8" hidden="false" customHeight="false" outlineLevel="0" collapsed="false">
      <c r="A1214" s="3" t="n">
        <f aca="false">DATE(1996,1,17)</f>
        <v>35081</v>
      </c>
      <c r="B1214" s="4" t="s">
        <v>1445</v>
      </c>
      <c r="C1214" s="4" t="s">
        <v>987</v>
      </c>
    </row>
    <row r="1215" customFormat="false" ht="12.8" hidden="false" customHeight="false" outlineLevel="0" collapsed="false">
      <c r="A1215" s="3" t="n">
        <f aca="false">DATE(1996,1,18)</f>
        <v>35082</v>
      </c>
      <c r="B1215" s="4" t="s">
        <v>786</v>
      </c>
      <c r="C1215" s="4" t="s">
        <v>1446</v>
      </c>
    </row>
    <row r="1216" customFormat="false" ht="12.8" hidden="false" customHeight="false" outlineLevel="0" collapsed="false">
      <c r="A1216" s="3" t="n">
        <f aca="false">DATE(1996,1,23)</f>
        <v>35087</v>
      </c>
      <c r="B1216" s="4" t="s">
        <v>1447</v>
      </c>
      <c r="C1216" s="4" t="s">
        <v>1448</v>
      </c>
    </row>
    <row r="1217" customFormat="false" ht="12.8" hidden="false" customHeight="false" outlineLevel="0" collapsed="false">
      <c r="A1217" s="3" t="n">
        <f aca="false">DATE(1996,1,24)</f>
        <v>35088</v>
      </c>
      <c r="B1217" s="4" t="s">
        <v>1449</v>
      </c>
      <c r="C1217" s="4" t="s">
        <v>1401</v>
      </c>
    </row>
    <row r="1218" customFormat="false" ht="12.8" hidden="false" customHeight="false" outlineLevel="0" collapsed="false">
      <c r="A1218" s="3" t="n">
        <f aca="false">DATE(1996,1,24)</f>
        <v>35088</v>
      </c>
      <c r="B1218" s="4" t="s">
        <v>1450</v>
      </c>
      <c r="C1218" s="4" t="s">
        <v>634</v>
      </c>
    </row>
    <row r="1219" customFormat="false" ht="12.8" hidden="false" customHeight="false" outlineLevel="0" collapsed="false">
      <c r="A1219" s="3" t="n">
        <f aca="false">DATE(1996,1,24)</f>
        <v>35088</v>
      </c>
      <c r="B1219" s="4" t="s">
        <v>1451</v>
      </c>
      <c r="C1219" s="4" t="s">
        <v>634</v>
      </c>
    </row>
    <row r="1220" customFormat="false" ht="12.8" hidden="false" customHeight="false" outlineLevel="0" collapsed="false">
      <c r="A1220" s="3" t="n">
        <f aca="false">DATE(1996,1,26)</f>
        <v>35090</v>
      </c>
      <c r="B1220" s="4" t="s">
        <v>1452</v>
      </c>
      <c r="C1220" s="4" t="s">
        <v>1453</v>
      </c>
    </row>
    <row r="1221" customFormat="false" ht="12.8" hidden="false" customHeight="false" outlineLevel="0" collapsed="false">
      <c r="A1221" s="3" t="n">
        <f aca="false">DATE(1996,1,26)</f>
        <v>35090</v>
      </c>
      <c r="B1221" s="4" t="s">
        <v>1454</v>
      </c>
      <c r="C1221" s="4" t="s">
        <v>1455</v>
      </c>
    </row>
    <row r="1222" customFormat="false" ht="12.8" hidden="false" customHeight="false" outlineLevel="0" collapsed="false">
      <c r="A1222" s="3" t="n">
        <f aca="false">DATE(1996,1,26)</f>
        <v>35090</v>
      </c>
      <c r="B1222" s="4" t="s">
        <v>1348</v>
      </c>
      <c r="C1222" s="4" t="s">
        <v>782</v>
      </c>
    </row>
    <row r="1223" customFormat="false" ht="12.8" hidden="false" customHeight="false" outlineLevel="0" collapsed="false">
      <c r="A1223" s="3" t="n">
        <f aca="false">DATE(1996,2,5)</f>
        <v>35100</v>
      </c>
      <c r="B1223" s="4" t="s">
        <v>1456</v>
      </c>
      <c r="C1223" s="4" t="s">
        <v>1457</v>
      </c>
    </row>
    <row r="1224" customFormat="false" ht="12.8" hidden="false" customHeight="false" outlineLevel="0" collapsed="false">
      <c r="A1224" s="3" t="n">
        <f aca="false">DATE(1996,2,5)</f>
        <v>35100</v>
      </c>
      <c r="B1224" s="4" t="s">
        <v>1458</v>
      </c>
      <c r="C1224" s="4" t="s">
        <v>1459</v>
      </c>
    </row>
    <row r="1225" customFormat="false" ht="12.8" hidden="false" customHeight="false" outlineLevel="0" collapsed="false">
      <c r="A1225" s="3" t="n">
        <f aca="false">DATE(1996,2,6)</f>
        <v>35101</v>
      </c>
      <c r="B1225" s="4" t="s">
        <v>1460</v>
      </c>
      <c r="C1225" s="4" t="s">
        <v>234</v>
      </c>
    </row>
    <row r="1226" customFormat="false" ht="12.8" hidden="false" customHeight="false" outlineLevel="0" collapsed="false">
      <c r="A1226" s="3" t="n">
        <f aca="false">DATE(1996,2,6)</f>
        <v>35101</v>
      </c>
      <c r="B1226" s="4" t="s">
        <v>1461</v>
      </c>
      <c r="C1226" s="4" t="s">
        <v>847</v>
      </c>
    </row>
    <row r="1227" customFormat="false" ht="12.8" hidden="false" customHeight="false" outlineLevel="0" collapsed="false">
      <c r="A1227" s="3" t="n">
        <f aca="false">DATE(1996,2,7)</f>
        <v>35102</v>
      </c>
      <c r="B1227" s="4" t="s">
        <v>1462</v>
      </c>
      <c r="C1227" s="4" t="s">
        <v>1463</v>
      </c>
    </row>
    <row r="1228" customFormat="false" ht="12.8" hidden="false" customHeight="false" outlineLevel="0" collapsed="false">
      <c r="A1228" s="3" t="n">
        <f aca="false">DATE(1996,2,8)</f>
        <v>35103</v>
      </c>
      <c r="B1228" s="4" t="s">
        <v>1464</v>
      </c>
      <c r="C1228" s="4" t="s">
        <v>443</v>
      </c>
    </row>
    <row r="1229" customFormat="false" ht="12.8" hidden="false" customHeight="false" outlineLevel="0" collapsed="false">
      <c r="A1229" s="3" t="n">
        <f aca="false">DATE(1996,2,9)</f>
        <v>35104</v>
      </c>
      <c r="B1229" s="4" t="s">
        <v>1465</v>
      </c>
      <c r="C1229" s="4" t="s">
        <v>660</v>
      </c>
    </row>
    <row r="1230" customFormat="false" ht="12.8" hidden="false" customHeight="false" outlineLevel="0" collapsed="false">
      <c r="A1230" s="3" t="n">
        <f aca="false">DATE(1996,2,12)</f>
        <v>35107</v>
      </c>
      <c r="B1230" s="4" t="s">
        <v>854</v>
      </c>
      <c r="C1230" s="4" t="s">
        <v>303</v>
      </c>
    </row>
    <row r="1231" customFormat="false" ht="12.8" hidden="false" customHeight="false" outlineLevel="0" collapsed="false">
      <c r="A1231" s="3" t="n">
        <f aca="false">DATE(1996,2,16)</f>
        <v>35111</v>
      </c>
      <c r="B1231" s="4" t="s">
        <v>1466</v>
      </c>
      <c r="C1231" s="4" t="s">
        <v>1467</v>
      </c>
    </row>
    <row r="1232" customFormat="false" ht="12.8" hidden="false" customHeight="false" outlineLevel="0" collapsed="false">
      <c r="A1232" s="3" t="n">
        <f aca="false">DATE(1996,2,16)</f>
        <v>35111</v>
      </c>
      <c r="B1232" s="4" t="s">
        <v>1468</v>
      </c>
      <c r="C1232" s="4" t="s">
        <v>904</v>
      </c>
    </row>
    <row r="1233" customFormat="false" ht="12.8" hidden="false" customHeight="false" outlineLevel="0" collapsed="false">
      <c r="A1233" s="3" t="n">
        <f aca="false">DATE(1996,2,27)</f>
        <v>35122</v>
      </c>
      <c r="B1233" s="4" t="s">
        <v>1469</v>
      </c>
      <c r="C1233" s="4" t="s">
        <v>595</v>
      </c>
    </row>
    <row r="1234" customFormat="false" ht="12.8" hidden="false" customHeight="false" outlineLevel="0" collapsed="false">
      <c r="A1234" s="3" t="n">
        <f aca="false">DATE(1996,3,1)</f>
        <v>35125</v>
      </c>
      <c r="B1234" s="4" t="s">
        <v>1470</v>
      </c>
      <c r="C1234" s="4" t="s">
        <v>1044</v>
      </c>
    </row>
    <row r="1235" customFormat="false" ht="12.8" hidden="false" customHeight="false" outlineLevel="0" collapsed="false">
      <c r="A1235" s="3" t="n">
        <f aca="false">DATE(1996,3,5)</f>
        <v>35129</v>
      </c>
      <c r="B1235" s="4" t="s">
        <v>1471</v>
      </c>
      <c r="C1235" s="4" t="s">
        <v>1472</v>
      </c>
    </row>
    <row r="1236" customFormat="false" ht="12.8" hidden="false" customHeight="false" outlineLevel="0" collapsed="false">
      <c r="A1236" s="3" t="n">
        <f aca="false">DATE(1996,3,12)</f>
        <v>35136</v>
      </c>
      <c r="B1236" s="4" t="s">
        <v>1473</v>
      </c>
      <c r="C1236" s="4" t="s">
        <v>1474</v>
      </c>
    </row>
    <row r="1237" customFormat="false" ht="12.8" hidden="false" customHeight="false" outlineLevel="0" collapsed="false">
      <c r="A1237" s="3" t="n">
        <f aca="false">DATE(1996,3,13)</f>
        <v>35137</v>
      </c>
      <c r="B1237" s="4" t="s">
        <v>1475</v>
      </c>
      <c r="C1237" s="4" t="s">
        <v>1044</v>
      </c>
    </row>
    <row r="1238" customFormat="false" ht="12.8" hidden="false" customHeight="false" outlineLevel="0" collapsed="false">
      <c r="A1238" s="3" t="n">
        <f aca="false">DATE(1996,3,14)</f>
        <v>35138</v>
      </c>
      <c r="B1238" s="4" t="s">
        <v>1476</v>
      </c>
      <c r="C1238" s="4" t="s">
        <v>1477</v>
      </c>
    </row>
    <row r="1239" customFormat="false" ht="12.8" hidden="false" customHeight="false" outlineLevel="0" collapsed="false">
      <c r="A1239" s="3" t="n">
        <f aca="false">DATE(1996,3,20)</f>
        <v>35144</v>
      </c>
      <c r="B1239" s="4" t="s">
        <v>1478</v>
      </c>
      <c r="C1239" s="4" t="s">
        <v>1241</v>
      </c>
    </row>
    <row r="1240" customFormat="false" ht="12.8" hidden="false" customHeight="false" outlineLevel="0" collapsed="false">
      <c r="A1240" s="3" t="n">
        <f aca="false">DATE(1996,3,20)</f>
        <v>35144</v>
      </c>
      <c r="B1240" s="4" t="s">
        <v>1479</v>
      </c>
      <c r="C1240" s="4" t="s">
        <v>682</v>
      </c>
    </row>
    <row r="1241" customFormat="false" ht="12.8" hidden="false" customHeight="false" outlineLevel="0" collapsed="false">
      <c r="A1241" s="3" t="n">
        <f aca="false">DATE(1996,3,20)</f>
        <v>35144</v>
      </c>
      <c r="B1241" s="4" t="s">
        <v>1480</v>
      </c>
      <c r="C1241" s="4" t="s">
        <v>681</v>
      </c>
    </row>
    <row r="1242" customFormat="false" ht="12.8" hidden="false" customHeight="false" outlineLevel="0" collapsed="false">
      <c r="A1242" s="3" t="n">
        <f aca="false">DATE(1996,3,22)</f>
        <v>35146</v>
      </c>
      <c r="B1242" s="4" t="s">
        <v>1481</v>
      </c>
      <c r="C1242" s="4" t="s">
        <v>1482</v>
      </c>
    </row>
    <row r="1243" customFormat="false" ht="12.8" hidden="false" customHeight="false" outlineLevel="0" collapsed="false">
      <c r="A1243" s="3" t="n">
        <f aca="false">DATE(1996,3,22)</f>
        <v>35146</v>
      </c>
      <c r="B1243" s="4" t="s">
        <v>1483</v>
      </c>
      <c r="C1243" s="4" t="s">
        <v>1484</v>
      </c>
    </row>
    <row r="1244" customFormat="false" ht="12.8" hidden="false" customHeight="false" outlineLevel="0" collapsed="false">
      <c r="A1244" s="3" t="n">
        <f aca="false">DATE(1996,3,26)</f>
        <v>35150</v>
      </c>
      <c r="B1244" s="4" t="s">
        <v>1485</v>
      </c>
      <c r="C1244" s="4" t="s">
        <v>1448</v>
      </c>
    </row>
    <row r="1245" customFormat="false" ht="12.8" hidden="false" customHeight="false" outlineLevel="0" collapsed="false">
      <c r="A1245" s="3" t="n">
        <f aca="false">DATE(1996,3,28)</f>
        <v>35152</v>
      </c>
      <c r="B1245" s="4" t="s">
        <v>1486</v>
      </c>
      <c r="C1245" s="4" t="s">
        <v>1117</v>
      </c>
    </row>
    <row r="1246" customFormat="false" ht="12.8" hidden="false" customHeight="false" outlineLevel="0" collapsed="false">
      <c r="A1246" s="3" t="n">
        <f aca="false">DATE(1996,4,1)</f>
        <v>35156</v>
      </c>
      <c r="B1246" s="4" t="s">
        <v>1487</v>
      </c>
      <c r="C1246" s="4" t="s">
        <v>418</v>
      </c>
    </row>
    <row r="1247" customFormat="false" ht="12.8" hidden="false" customHeight="false" outlineLevel="0" collapsed="false">
      <c r="A1247" s="3" t="n">
        <f aca="false">DATE(1996,4,1)</f>
        <v>35156</v>
      </c>
      <c r="B1247" s="4" t="s">
        <v>1488</v>
      </c>
      <c r="C1247" s="4" t="s">
        <v>86</v>
      </c>
    </row>
    <row r="1248" customFormat="false" ht="12.8" hidden="false" customHeight="false" outlineLevel="0" collapsed="false">
      <c r="A1248" s="3" t="n">
        <f aca="false">DATE(1996,4,2)</f>
        <v>35157</v>
      </c>
      <c r="B1248" s="4" t="s">
        <v>1489</v>
      </c>
      <c r="C1248" s="4" t="s">
        <v>1490</v>
      </c>
    </row>
    <row r="1249" customFormat="false" ht="12.8" hidden="false" customHeight="false" outlineLevel="0" collapsed="false">
      <c r="A1249" s="3" t="n">
        <f aca="false">DATE(1996,4,4)</f>
        <v>35159</v>
      </c>
      <c r="B1249" s="4" t="s">
        <v>1491</v>
      </c>
      <c r="C1249" s="4" t="s">
        <v>929</v>
      </c>
    </row>
    <row r="1250" customFormat="false" ht="12.8" hidden="false" customHeight="false" outlineLevel="0" collapsed="false">
      <c r="A1250" s="3" t="n">
        <f aca="false">DATE(1996,4,8)</f>
        <v>35163</v>
      </c>
      <c r="B1250" s="4" t="s">
        <v>1492</v>
      </c>
      <c r="C1250" s="4" t="s">
        <v>1117</v>
      </c>
    </row>
    <row r="1251" customFormat="false" ht="12.8" hidden="false" customHeight="false" outlineLevel="0" collapsed="false">
      <c r="A1251" s="3" t="n">
        <f aca="false">DATE(1996,4,16)</f>
        <v>35171</v>
      </c>
      <c r="B1251" s="4" t="s">
        <v>1493</v>
      </c>
      <c r="C1251" s="4" t="s">
        <v>1433</v>
      </c>
    </row>
    <row r="1252" customFormat="false" ht="12.8" hidden="false" customHeight="false" outlineLevel="0" collapsed="false">
      <c r="A1252" s="3" t="n">
        <f aca="false">DATE(1996,4,17)</f>
        <v>35172</v>
      </c>
      <c r="B1252" s="4" t="s">
        <v>1494</v>
      </c>
      <c r="C1252" s="4" t="s">
        <v>1495</v>
      </c>
    </row>
    <row r="1253" customFormat="false" ht="12.8" hidden="false" customHeight="false" outlineLevel="0" collapsed="false">
      <c r="A1253" s="3" t="n">
        <f aca="false">DATE(1996,4,17)</f>
        <v>35172</v>
      </c>
      <c r="B1253" s="4" t="s">
        <v>1496</v>
      </c>
      <c r="C1253" s="4" t="s">
        <v>1497</v>
      </c>
    </row>
    <row r="1254" customFormat="false" ht="12.8" hidden="false" customHeight="false" outlineLevel="0" collapsed="false">
      <c r="A1254" s="3" t="n">
        <f aca="false">DATE(1996,4,18)</f>
        <v>35173</v>
      </c>
      <c r="B1254" s="4" t="s">
        <v>1498</v>
      </c>
      <c r="C1254" s="4" t="s">
        <v>1241</v>
      </c>
    </row>
    <row r="1255" customFormat="false" ht="12.8" hidden="false" customHeight="false" outlineLevel="0" collapsed="false">
      <c r="A1255" s="3" t="n">
        <f aca="false">DATE(1996,4,22)</f>
        <v>35177</v>
      </c>
      <c r="B1255" s="4" t="s">
        <v>1499</v>
      </c>
      <c r="C1255" s="4" t="s">
        <v>611</v>
      </c>
    </row>
    <row r="1256" customFormat="false" ht="12.8" hidden="false" customHeight="false" outlineLevel="0" collapsed="false">
      <c r="A1256" s="3" t="n">
        <f aca="false">DATE(1996,4,23)</f>
        <v>35178</v>
      </c>
      <c r="B1256" s="4" t="s">
        <v>1500</v>
      </c>
      <c r="C1256" s="4" t="s">
        <v>1477</v>
      </c>
    </row>
    <row r="1257" customFormat="false" ht="12.8" hidden="false" customHeight="false" outlineLevel="0" collapsed="false">
      <c r="A1257" s="3" t="n">
        <f aca="false">DATE(1996,4,24)</f>
        <v>35179</v>
      </c>
      <c r="B1257" s="4" t="s">
        <v>1501</v>
      </c>
      <c r="C1257" s="4" t="s">
        <v>1401</v>
      </c>
    </row>
    <row r="1258" customFormat="false" ht="12.8" hidden="false" customHeight="false" outlineLevel="0" collapsed="false">
      <c r="A1258" s="3" t="n">
        <f aca="false">DATE(1996,4,29)</f>
        <v>35184</v>
      </c>
      <c r="B1258" s="4" t="s">
        <v>1502</v>
      </c>
      <c r="C1258" s="4" t="s">
        <v>60</v>
      </c>
    </row>
    <row r="1259" customFormat="false" ht="12.8" hidden="false" customHeight="false" outlineLevel="0" collapsed="false">
      <c r="A1259" s="3" t="n">
        <f aca="false">DATE(1996,4,29)</f>
        <v>35184</v>
      </c>
      <c r="B1259" s="4" t="s">
        <v>1503</v>
      </c>
      <c r="C1259" s="4" t="s">
        <v>847</v>
      </c>
    </row>
    <row r="1260" customFormat="false" ht="12.8" hidden="false" customHeight="false" outlineLevel="0" collapsed="false">
      <c r="A1260" s="3" t="n">
        <f aca="false">DATE(1996,4,29)</f>
        <v>35184</v>
      </c>
      <c r="B1260" s="4" t="s">
        <v>1504</v>
      </c>
      <c r="C1260" s="4" t="s">
        <v>782</v>
      </c>
    </row>
    <row r="1261" customFormat="false" ht="12.8" hidden="false" customHeight="false" outlineLevel="0" collapsed="false">
      <c r="A1261" s="3" t="n">
        <f aca="false">DATE(1996,5,3)</f>
        <v>35188</v>
      </c>
      <c r="B1261" s="4" t="s">
        <v>1505</v>
      </c>
      <c r="C1261" s="4" t="s">
        <v>1497</v>
      </c>
    </row>
    <row r="1262" customFormat="false" ht="12.8" hidden="false" customHeight="false" outlineLevel="0" collapsed="false">
      <c r="A1262" s="3" t="n">
        <f aca="false">DATE(1996,5,10)</f>
        <v>35195</v>
      </c>
      <c r="B1262" s="4" t="s">
        <v>1506</v>
      </c>
      <c r="C1262" s="4" t="s">
        <v>443</v>
      </c>
    </row>
    <row r="1263" customFormat="false" ht="12.8" hidden="false" customHeight="false" outlineLevel="0" collapsed="false">
      <c r="A1263" s="3" t="n">
        <f aca="false">DATE(1996,5,14)</f>
        <v>35199</v>
      </c>
      <c r="B1263" s="4" t="s">
        <v>1507</v>
      </c>
      <c r="C1263" s="4" t="s">
        <v>1508</v>
      </c>
    </row>
    <row r="1264" customFormat="false" ht="12.8" hidden="false" customHeight="false" outlineLevel="0" collapsed="false">
      <c r="A1264" s="3" t="n">
        <f aca="false">DATE(1996,5,15)</f>
        <v>35200</v>
      </c>
      <c r="B1264" s="4" t="s">
        <v>1509</v>
      </c>
      <c r="C1264" s="4" t="s">
        <v>708</v>
      </c>
    </row>
    <row r="1265" customFormat="false" ht="12.8" hidden="false" customHeight="false" outlineLevel="0" collapsed="false">
      <c r="A1265" s="3" t="n">
        <f aca="false">DATE(1996,5,22)</f>
        <v>35207</v>
      </c>
      <c r="B1265" s="4" t="s">
        <v>1510</v>
      </c>
      <c r="C1265" s="4" t="s">
        <v>1511</v>
      </c>
    </row>
    <row r="1266" customFormat="false" ht="12.8" hidden="false" customHeight="false" outlineLevel="0" collapsed="false">
      <c r="A1266" s="3" t="n">
        <f aca="false">DATE(1996,5,30)</f>
        <v>35215</v>
      </c>
      <c r="B1266" s="4" t="s">
        <v>1512</v>
      </c>
      <c r="C1266" s="4" t="s">
        <v>1012</v>
      </c>
    </row>
    <row r="1267" customFormat="false" ht="12.8" hidden="false" customHeight="false" outlineLevel="0" collapsed="false">
      <c r="A1267" s="3" t="n">
        <f aca="false">DATE(1996,5,31)</f>
        <v>35216</v>
      </c>
      <c r="B1267" s="4" t="s">
        <v>1071</v>
      </c>
      <c r="C1267" s="4" t="s">
        <v>1513</v>
      </c>
    </row>
    <row r="1268" customFormat="false" ht="12.8" hidden="false" customHeight="false" outlineLevel="0" collapsed="false">
      <c r="A1268" s="3" t="n">
        <f aca="false">DATE(1996,6,1)</f>
        <v>35217</v>
      </c>
      <c r="B1268" s="4" t="s">
        <v>1514</v>
      </c>
      <c r="C1268" s="4" t="s">
        <v>440</v>
      </c>
    </row>
    <row r="1269" customFormat="false" ht="12.8" hidden="false" customHeight="false" outlineLevel="0" collapsed="false">
      <c r="A1269" s="3" t="n">
        <f aca="false">DATE(1996,6,4)</f>
        <v>35220</v>
      </c>
      <c r="B1269" s="4" t="s">
        <v>1515</v>
      </c>
      <c r="C1269" s="4" t="s">
        <v>820</v>
      </c>
    </row>
    <row r="1270" customFormat="false" ht="12.8" hidden="false" customHeight="false" outlineLevel="0" collapsed="false">
      <c r="A1270" s="3" t="n">
        <f aca="false">DATE(1996,6,4)</f>
        <v>35220</v>
      </c>
      <c r="B1270" s="4" t="s">
        <v>1516</v>
      </c>
      <c r="C1270" s="4" t="s">
        <v>169</v>
      </c>
    </row>
    <row r="1271" customFormat="false" ht="12.8" hidden="false" customHeight="false" outlineLevel="0" collapsed="false">
      <c r="A1271" s="3" t="n">
        <f aca="false">DATE(1996,6,6)</f>
        <v>35222</v>
      </c>
      <c r="B1271" s="4" t="s">
        <v>1517</v>
      </c>
      <c r="C1271" s="4" t="s">
        <v>1518</v>
      </c>
    </row>
    <row r="1272" customFormat="false" ht="12.8" hidden="false" customHeight="false" outlineLevel="0" collapsed="false">
      <c r="A1272" s="3" t="n">
        <f aca="false">DATE(1996,6,10)</f>
        <v>35226</v>
      </c>
      <c r="B1272" s="4" t="s">
        <v>1519</v>
      </c>
      <c r="C1272" s="4" t="s">
        <v>1341</v>
      </c>
    </row>
    <row r="1273" customFormat="false" ht="12.8" hidden="false" customHeight="false" outlineLevel="0" collapsed="false">
      <c r="A1273" s="3" t="n">
        <f aca="false">DATE(1996,6,10)</f>
        <v>35226</v>
      </c>
      <c r="B1273" s="4" t="s">
        <v>1520</v>
      </c>
      <c r="C1273" s="4" t="s">
        <v>1203</v>
      </c>
    </row>
    <row r="1274" customFormat="false" ht="12.8" hidden="false" customHeight="false" outlineLevel="0" collapsed="false">
      <c r="A1274" s="3" t="n">
        <f aca="false">DATE(1996,6,12)</f>
        <v>35228</v>
      </c>
      <c r="B1274" s="4" t="s">
        <v>1521</v>
      </c>
      <c r="C1274" s="4" t="s">
        <v>1522</v>
      </c>
    </row>
    <row r="1275" customFormat="false" ht="12.8" hidden="false" customHeight="false" outlineLevel="0" collapsed="false">
      <c r="A1275" s="3" t="n">
        <f aca="false">DATE(1996,6,14)</f>
        <v>35230</v>
      </c>
      <c r="B1275" s="4" t="s">
        <v>509</v>
      </c>
      <c r="C1275" s="4" t="s">
        <v>1044</v>
      </c>
    </row>
    <row r="1276" customFormat="false" ht="12.8" hidden="false" customHeight="false" outlineLevel="0" collapsed="false">
      <c r="A1276" s="3" t="n">
        <f aca="false">DATE(1996,6,19)</f>
        <v>35235</v>
      </c>
      <c r="B1276" s="4" t="s">
        <v>1523</v>
      </c>
      <c r="C1276" s="4" t="s">
        <v>1164</v>
      </c>
    </row>
    <row r="1277" customFormat="false" ht="12.8" hidden="false" customHeight="false" outlineLevel="0" collapsed="false">
      <c r="A1277" s="3" t="n">
        <f aca="false">DATE(1996,6,21)</f>
        <v>35237</v>
      </c>
      <c r="B1277" s="4" t="s">
        <v>1524</v>
      </c>
      <c r="C1277" s="4" t="s">
        <v>847</v>
      </c>
    </row>
    <row r="1278" customFormat="false" ht="12.8" hidden="false" customHeight="false" outlineLevel="0" collapsed="false">
      <c r="A1278" s="3" t="n">
        <f aca="false">DATE(1996,6,24)</f>
        <v>35240</v>
      </c>
      <c r="B1278" s="4" t="s">
        <v>1492</v>
      </c>
      <c r="C1278" s="4" t="s">
        <v>1525</v>
      </c>
    </row>
    <row r="1279" customFormat="false" ht="12.8" hidden="false" customHeight="false" outlineLevel="0" collapsed="false">
      <c r="A1279" s="3" t="n">
        <f aca="false">DATE(1996,6,25)</f>
        <v>35241</v>
      </c>
      <c r="B1279" s="4" t="s">
        <v>1262</v>
      </c>
      <c r="C1279" s="4" t="s">
        <v>696</v>
      </c>
    </row>
    <row r="1280" customFormat="false" ht="12.8" hidden="false" customHeight="false" outlineLevel="0" collapsed="false">
      <c r="A1280" s="3" t="n">
        <f aca="false">DATE(1996,6,27)</f>
        <v>35243</v>
      </c>
      <c r="B1280" s="4" t="s">
        <v>1526</v>
      </c>
      <c r="C1280" s="4" t="s">
        <v>440</v>
      </c>
    </row>
    <row r="1281" customFormat="false" ht="12.8" hidden="false" customHeight="false" outlineLevel="0" collapsed="false">
      <c r="A1281" s="3" t="n">
        <f aca="false">DATE(1996,7,2)</f>
        <v>35248</v>
      </c>
      <c r="B1281" s="4" t="s">
        <v>1527</v>
      </c>
      <c r="C1281" s="4" t="s">
        <v>1012</v>
      </c>
    </row>
    <row r="1282" customFormat="false" ht="12.8" hidden="false" customHeight="false" outlineLevel="0" collapsed="false">
      <c r="A1282" s="3" t="n">
        <f aca="false">DATE(1996,7,8)</f>
        <v>35254</v>
      </c>
      <c r="B1282" s="4" t="s">
        <v>1528</v>
      </c>
      <c r="C1282" s="4" t="s">
        <v>1529</v>
      </c>
    </row>
    <row r="1283" customFormat="false" ht="12.8" hidden="false" customHeight="false" outlineLevel="0" collapsed="false">
      <c r="A1283" s="3" t="n">
        <f aca="false">DATE(1996,7,10)</f>
        <v>35256</v>
      </c>
      <c r="B1283" s="4" t="s">
        <v>1530</v>
      </c>
      <c r="C1283" s="4" t="s">
        <v>681</v>
      </c>
    </row>
    <row r="1284" customFormat="false" ht="12.8" hidden="false" customHeight="false" outlineLevel="0" collapsed="false">
      <c r="A1284" s="3" t="n">
        <f aca="false">DATE(1996,7,12)</f>
        <v>35258</v>
      </c>
      <c r="B1284" s="4" t="s">
        <v>1531</v>
      </c>
      <c r="C1284" s="4" t="s">
        <v>1532</v>
      </c>
    </row>
    <row r="1285" customFormat="false" ht="12.8" hidden="false" customHeight="false" outlineLevel="0" collapsed="false">
      <c r="A1285" s="3" t="n">
        <f aca="false">DATE(1996,7,15)</f>
        <v>35261</v>
      </c>
      <c r="B1285" s="4" t="s">
        <v>1533</v>
      </c>
      <c r="C1285" s="4" t="s">
        <v>400</v>
      </c>
    </row>
    <row r="1286" customFormat="false" ht="12.8" hidden="false" customHeight="false" outlineLevel="0" collapsed="false">
      <c r="A1286" s="3" t="n">
        <f aca="false">DATE(1996,7,18)</f>
        <v>35264</v>
      </c>
      <c r="B1286" s="4" t="s">
        <v>1534</v>
      </c>
      <c r="C1286" s="4" t="s">
        <v>459</v>
      </c>
    </row>
    <row r="1287" customFormat="false" ht="12.8" hidden="false" customHeight="false" outlineLevel="0" collapsed="false">
      <c r="A1287" s="3" t="n">
        <f aca="false">DATE(1996,7,18)</f>
        <v>35264</v>
      </c>
      <c r="B1287" s="4" t="s">
        <v>1535</v>
      </c>
      <c r="C1287" s="4" t="s">
        <v>459</v>
      </c>
    </row>
    <row r="1288" customFormat="false" ht="12.8" hidden="false" customHeight="false" outlineLevel="0" collapsed="false">
      <c r="A1288" s="3" t="n">
        <f aca="false">DATE(1996,7,19)</f>
        <v>35265</v>
      </c>
      <c r="B1288" s="4" t="s">
        <v>1536</v>
      </c>
      <c r="C1288" s="4" t="s">
        <v>1537</v>
      </c>
    </row>
    <row r="1289" customFormat="false" ht="12.8" hidden="false" customHeight="false" outlineLevel="0" collapsed="false">
      <c r="A1289" s="3" t="n">
        <f aca="false">DATE(1996,7,23)</f>
        <v>35269</v>
      </c>
      <c r="B1289" s="4" t="s">
        <v>1538</v>
      </c>
      <c r="C1289" s="4" t="s">
        <v>955</v>
      </c>
    </row>
    <row r="1290" customFormat="false" ht="12.8" hidden="false" customHeight="false" outlineLevel="0" collapsed="false">
      <c r="A1290" s="3" t="n">
        <f aca="false">DATE(1996,7,23)</f>
        <v>35269</v>
      </c>
      <c r="B1290" s="4" t="s">
        <v>1539</v>
      </c>
      <c r="C1290" s="4" t="s">
        <v>234</v>
      </c>
    </row>
    <row r="1291" customFormat="false" ht="12.8" hidden="false" customHeight="false" outlineLevel="0" collapsed="false">
      <c r="A1291" s="3" t="n">
        <f aca="false">DATE(1996,7,25)</f>
        <v>35271</v>
      </c>
      <c r="B1291" s="4" t="s">
        <v>1540</v>
      </c>
      <c r="C1291" s="4" t="s">
        <v>1541</v>
      </c>
    </row>
    <row r="1292" customFormat="false" ht="12.8" hidden="false" customHeight="false" outlineLevel="0" collapsed="false">
      <c r="A1292" s="3" t="n">
        <f aca="false">DATE(1996,7,30)</f>
        <v>35276</v>
      </c>
      <c r="B1292" s="4" t="s">
        <v>1542</v>
      </c>
      <c r="C1292" s="4" t="s">
        <v>922</v>
      </c>
    </row>
    <row r="1293" customFormat="false" ht="12.8" hidden="false" customHeight="false" outlineLevel="0" collapsed="false">
      <c r="A1293" s="3" t="n">
        <f aca="false">DATE(1996,8,2)</f>
        <v>35279</v>
      </c>
      <c r="B1293" s="4" t="s">
        <v>1543</v>
      </c>
      <c r="C1293" s="4" t="s">
        <v>1164</v>
      </c>
    </row>
    <row r="1294" customFormat="false" ht="12.8" hidden="false" customHeight="false" outlineLevel="0" collapsed="false">
      <c r="A1294" s="3" t="n">
        <f aca="false">DATE(1996,8,5)</f>
        <v>35282</v>
      </c>
      <c r="B1294" s="4" t="s">
        <v>1544</v>
      </c>
      <c r="C1294" s="4" t="s">
        <v>935</v>
      </c>
    </row>
    <row r="1295" customFormat="false" ht="12.8" hidden="false" customHeight="false" outlineLevel="0" collapsed="false">
      <c r="A1295" s="3" t="n">
        <f aca="false">DATE(1996,8,5)</f>
        <v>35282</v>
      </c>
      <c r="B1295" s="4" t="s">
        <v>1545</v>
      </c>
      <c r="C1295" s="4" t="s">
        <v>461</v>
      </c>
    </row>
    <row r="1296" customFormat="false" ht="12.8" hidden="false" customHeight="false" outlineLevel="0" collapsed="false">
      <c r="A1296" s="3" t="n">
        <f aca="false">DATE(1996,8,6)</f>
        <v>35283</v>
      </c>
      <c r="B1296" s="4" t="s">
        <v>1546</v>
      </c>
      <c r="C1296" s="4" t="s">
        <v>443</v>
      </c>
    </row>
    <row r="1297" customFormat="false" ht="12.8" hidden="false" customHeight="false" outlineLevel="0" collapsed="false">
      <c r="A1297" s="3" t="n">
        <f aca="false">DATE(1996,8,12)</f>
        <v>35289</v>
      </c>
      <c r="B1297" s="4" t="s">
        <v>1547</v>
      </c>
      <c r="C1297" s="4" t="s">
        <v>726</v>
      </c>
    </row>
    <row r="1298" customFormat="false" ht="12.8" hidden="false" customHeight="false" outlineLevel="0" collapsed="false">
      <c r="A1298" s="3" t="n">
        <f aca="false">DATE(1996,8,20)</f>
        <v>35297</v>
      </c>
      <c r="B1298" s="4" t="s">
        <v>1548</v>
      </c>
      <c r="C1298" s="4" t="s">
        <v>927</v>
      </c>
    </row>
    <row r="1299" customFormat="false" ht="12.8" hidden="false" customHeight="false" outlineLevel="0" collapsed="false">
      <c r="A1299" s="3" t="n">
        <f aca="false">DATE(1996,8,20)</f>
        <v>35297</v>
      </c>
      <c r="B1299" s="4" t="s">
        <v>1549</v>
      </c>
      <c r="C1299" s="4" t="s">
        <v>847</v>
      </c>
    </row>
    <row r="1300" customFormat="false" ht="12.8" hidden="false" customHeight="false" outlineLevel="0" collapsed="false">
      <c r="A1300" s="3" t="n">
        <f aca="false">DATE(1996,8,22)</f>
        <v>35299</v>
      </c>
      <c r="B1300" s="4" t="s">
        <v>1550</v>
      </c>
      <c r="C1300" s="4" t="s">
        <v>193</v>
      </c>
    </row>
    <row r="1301" customFormat="false" ht="12.8" hidden="false" customHeight="false" outlineLevel="0" collapsed="false">
      <c r="A1301" s="3" t="n">
        <f aca="false">DATE(1996,8,23)</f>
        <v>35300</v>
      </c>
      <c r="B1301" s="4" t="s">
        <v>1551</v>
      </c>
      <c r="C1301" s="4" t="s">
        <v>1552</v>
      </c>
    </row>
    <row r="1302" customFormat="false" ht="12.8" hidden="false" customHeight="false" outlineLevel="0" collapsed="false">
      <c r="A1302" s="3" t="n">
        <f aca="false">DATE(1996,8,23)</f>
        <v>35300</v>
      </c>
      <c r="B1302" s="4" t="s">
        <v>1553</v>
      </c>
      <c r="C1302" s="4" t="s">
        <v>234</v>
      </c>
    </row>
    <row r="1303" customFormat="false" ht="12.8" hidden="false" customHeight="false" outlineLevel="0" collapsed="false">
      <c r="A1303" s="3" t="n">
        <f aca="false">DATE(1996,8,23)</f>
        <v>35300</v>
      </c>
      <c r="B1303" s="4" t="s">
        <v>1554</v>
      </c>
      <c r="C1303" s="4" t="s">
        <v>681</v>
      </c>
    </row>
    <row r="1304" customFormat="false" ht="12.8" hidden="false" customHeight="false" outlineLevel="0" collapsed="false">
      <c r="A1304" s="3" t="n">
        <f aca="false">DATE(1996,8,29)</f>
        <v>35306</v>
      </c>
      <c r="B1304" s="4" t="s">
        <v>1555</v>
      </c>
      <c r="C1304" s="4" t="s">
        <v>1511</v>
      </c>
    </row>
    <row r="1305" customFormat="false" ht="12.8" hidden="false" customHeight="false" outlineLevel="0" collapsed="false">
      <c r="A1305" s="3" t="n">
        <f aca="false">DATE(1996,8,29)</f>
        <v>35306</v>
      </c>
      <c r="B1305" s="4" t="s">
        <v>1556</v>
      </c>
      <c r="C1305" s="4" t="s">
        <v>1140</v>
      </c>
    </row>
    <row r="1306" customFormat="false" ht="12.8" hidden="false" customHeight="false" outlineLevel="0" collapsed="false">
      <c r="A1306" s="3" t="n">
        <f aca="false">DATE(1996,8,30)</f>
        <v>35307</v>
      </c>
      <c r="B1306" s="4" t="s">
        <v>50</v>
      </c>
      <c r="C1306" s="4" t="s">
        <v>782</v>
      </c>
    </row>
    <row r="1307" customFormat="false" ht="12.8" hidden="false" customHeight="false" outlineLevel="0" collapsed="false">
      <c r="A1307" s="3" t="n">
        <f aca="false">DATE(1996,9,3)</f>
        <v>35311</v>
      </c>
      <c r="B1307" s="4" t="s">
        <v>1557</v>
      </c>
      <c r="C1307" s="4" t="s">
        <v>364</v>
      </c>
    </row>
    <row r="1308" customFormat="false" ht="12.8" hidden="false" customHeight="false" outlineLevel="0" collapsed="false">
      <c r="A1308" s="3" t="n">
        <f aca="false">DATE(1996,9,10)</f>
        <v>35318</v>
      </c>
      <c r="B1308" s="4" t="s">
        <v>1558</v>
      </c>
      <c r="C1308" s="4" t="s">
        <v>509</v>
      </c>
    </row>
    <row r="1309" customFormat="false" ht="12.8" hidden="false" customHeight="false" outlineLevel="0" collapsed="false">
      <c r="A1309" s="3" t="n">
        <f aca="false">DATE(1996,9,12)</f>
        <v>35320</v>
      </c>
      <c r="B1309" s="4" t="s">
        <v>1559</v>
      </c>
      <c r="C1309" s="4" t="s">
        <v>955</v>
      </c>
    </row>
    <row r="1310" customFormat="false" ht="12.8" hidden="false" customHeight="false" outlineLevel="0" collapsed="false">
      <c r="A1310" s="3" t="n">
        <f aca="false">DATE(1996,9,12)</f>
        <v>35320</v>
      </c>
      <c r="B1310" s="4" t="s">
        <v>1560</v>
      </c>
      <c r="C1310" s="4" t="s">
        <v>752</v>
      </c>
    </row>
    <row r="1311" customFormat="false" ht="12.8" hidden="false" customHeight="false" outlineLevel="0" collapsed="false">
      <c r="A1311" s="3" t="n">
        <f aca="false">DATE(1996,9,13)</f>
        <v>35321</v>
      </c>
      <c r="B1311" s="4" t="s">
        <v>1561</v>
      </c>
      <c r="C1311" s="4" t="s">
        <v>553</v>
      </c>
    </row>
    <row r="1312" customFormat="false" ht="12.8" hidden="false" customHeight="false" outlineLevel="0" collapsed="false">
      <c r="A1312" s="3" t="n">
        <f aca="false">DATE(1996,9,16)</f>
        <v>35324</v>
      </c>
      <c r="B1312" s="4" t="s">
        <v>1562</v>
      </c>
      <c r="C1312" s="4" t="s">
        <v>566</v>
      </c>
    </row>
    <row r="1313" customFormat="false" ht="12.8" hidden="false" customHeight="false" outlineLevel="0" collapsed="false">
      <c r="A1313" s="3" t="n">
        <f aca="false">DATE(1996,9,17)</f>
        <v>35325</v>
      </c>
      <c r="B1313" s="4" t="s">
        <v>1563</v>
      </c>
      <c r="C1313" s="4" t="s">
        <v>570</v>
      </c>
    </row>
    <row r="1314" customFormat="false" ht="12.8" hidden="false" customHeight="false" outlineLevel="0" collapsed="false">
      <c r="A1314" s="3" t="n">
        <f aca="false">DATE(1996,9,23)</f>
        <v>35331</v>
      </c>
      <c r="B1314" s="4" t="s">
        <v>1564</v>
      </c>
      <c r="C1314" s="4" t="s">
        <v>1565</v>
      </c>
    </row>
    <row r="1315" customFormat="false" ht="12.8" hidden="false" customHeight="false" outlineLevel="0" collapsed="false">
      <c r="A1315" s="3" t="n">
        <f aca="false">DATE(1996,9,24)</f>
        <v>35332</v>
      </c>
      <c r="B1315" s="4" t="s">
        <v>1566</v>
      </c>
      <c r="C1315" s="4" t="s">
        <v>955</v>
      </c>
    </row>
    <row r="1316" customFormat="false" ht="12.8" hidden="false" customHeight="false" outlineLevel="0" collapsed="false">
      <c r="A1316" s="3" t="n">
        <f aca="false">DATE(1996,9,25)</f>
        <v>35333</v>
      </c>
      <c r="B1316" s="4" t="s">
        <v>1567</v>
      </c>
      <c r="C1316" s="4" t="s">
        <v>303</v>
      </c>
    </row>
    <row r="1317" customFormat="false" ht="12.8" hidden="false" customHeight="false" outlineLevel="0" collapsed="false">
      <c r="A1317" s="3" t="n">
        <f aca="false">DATE(1996,9,27)</f>
        <v>35335</v>
      </c>
      <c r="B1317" s="4" t="s">
        <v>495</v>
      </c>
      <c r="C1317" s="4" t="s">
        <v>1401</v>
      </c>
    </row>
    <row r="1318" customFormat="false" ht="12.8" hidden="false" customHeight="false" outlineLevel="0" collapsed="false">
      <c r="A1318" s="3" t="n">
        <f aca="false">DATE(1996,9,27)</f>
        <v>35335</v>
      </c>
      <c r="B1318" s="4" t="s">
        <v>1568</v>
      </c>
      <c r="C1318" s="4" t="s">
        <v>1044</v>
      </c>
    </row>
    <row r="1319" customFormat="false" ht="12.8" hidden="false" customHeight="false" outlineLevel="0" collapsed="false">
      <c r="A1319" s="3" t="n">
        <f aca="false">DATE(1996,9,30)</f>
        <v>35338</v>
      </c>
      <c r="B1319" s="4" t="s">
        <v>137</v>
      </c>
      <c r="C1319" s="4" t="s">
        <v>9</v>
      </c>
    </row>
    <row r="1320" customFormat="false" ht="12.8" hidden="false" customHeight="false" outlineLevel="0" collapsed="false">
      <c r="A1320" s="3" t="n">
        <f aca="false">DATE(1996,9,30)</f>
        <v>35338</v>
      </c>
      <c r="B1320" s="4" t="s">
        <v>1569</v>
      </c>
      <c r="C1320" s="4" t="s">
        <v>381</v>
      </c>
    </row>
    <row r="1321" customFormat="false" ht="12.8" hidden="false" customHeight="false" outlineLevel="0" collapsed="false">
      <c r="A1321" s="3" t="n">
        <f aca="false">DATE(1996,10,1)</f>
        <v>35339</v>
      </c>
      <c r="B1321" s="4" t="s">
        <v>1570</v>
      </c>
      <c r="C1321" s="4" t="s">
        <v>1571</v>
      </c>
    </row>
    <row r="1322" customFormat="false" ht="12.8" hidden="false" customHeight="false" outlineLevel="0" collapsed="false">
      <c r="A1322" s="3" t="n">
        <f aca="false">DATE(1996,10,3)</f>
        <v>35341</v>
      </c>
      <c r="B1322" s="4" t="s">
        <v>1572</v>
      </c>
      <c r="C1322" s="4" t="s">
        <v>580</v>
      </c>
    </row>
    <row r="1323" customFormat="false" ht="12.8" hidden="false" customHeight="false" outlineLevel="0" collapsed="false">
      <c r="A1323" s="3" t="n">
        <f aca="false">DATE(1996,10,7)</f>
        <v>35345</v>
      </c>
      <c r="B1323" s="4" t="s">
        <v>1573</v>
      </c>
      <c r="C1323" s="4" t="s">
        <v>820</v>
      </c>
    </row>
    <row r="1324" customFormat="false" ht="12.8" hidden="false" customHeight="false" outlineLevel="0" collapsed="false">
      <c r="A1324" s="3" t="n">
        <f aca="false">DATE(1996,10,8)</f>
        <v>35346</v>
      </c>
      <c r="B1324" s="4" t="s">
        <v>1574</v>
      </c>
      <c r="C1324" s="4" t="s">
        <v>1575</v>
      </c>
    </row>
    <row r="1325" customFormat="false" ht="12.8" hidden="false" customHeight="false" outlineLevel="0" collapsed="false">
      <c r="A1325" s="3" t="n">
        <f aca="false">DATE(1996,10,11)</f>
        <v>35349</v>
      </c>
      <c r="B1325" s="4" t="s">
        <v>1576</v>
      </c>
      <c r="C1325" s="4" t="s">
        <v>641</v>
      </c>
    </row>
    <row r="1326" customFormat="false" ht="12.8" hidden="false" customHeight="false" outlineLevel="0" collapsed="false">
      <c r="A1326" s="3" t="n">
        <f aca="false">DATE(1996,10,11)</f>
        <v>35349</v>
      </c>
      <c r="B1326" s="4" t="s">
        <v>1577</v>
      </c>
      <c r="C1326" s="4" t="s">
        <v>180</v>
      </c>
    </row>
    <row r="1327" customFormat="false" ht="12.8" hidden="false" customHeight="false" outlineLevel="0" collapsed="false">
      <c r="A1327" s="3" t="n">
        <f aca="false">DATE(1996,10,14)</f>
        <v>35352</v>
      </c>
      <c r="B1327" s="4" t="s">
        <v>1578</v>
      </c>
      <c r="C1327" s="4" t="s">
        <v>1579</v>
      </c>
    </row>
    <row r="1328" customFormat="false" ht="12.8" hidden="false" customHeight="false" outlineLevel="0" collapsed="false">
      <c r="A1328" s="3" t="n">
        <f aca="false">DATE(1996,10,28)</f>
        <v>35366</v>
      </c>
      <c r="B1328" s="4" t="s">
        <v>1580</v>
      </c>
      <c r="C1328" s="4" t="s">
        <v>681</v>
      </c>
    </row>
    <row r="1329" customFormat="false" ht="12.8" hidden="false" customHeight="false" outlineLevel="0" collapsed="false">
      <c r="A1329" s="3" t="n">
        <f aca="false">DATE(1996,10,28)</f>
        <v>35366</v>
      </c>
      <c r="B1329" s="4" t="s">
        <v>1140</v>
      </c>
      <c r="C1329" s="4" t="s">
        <v>20</v>
      </c>
    </row>
    <row r="1330" customFormat="false" ht="12.8" hidden="false" customHeight="false" outlineLevel="0" collapsed="false">
      <c r="A1330" s="3" t="n">
        <f aca="false">DATE(1996,10,29)</f>
        <v>35367</v>
      </c>
      <c r="B1330" s="4" t="s">
        <v>1581</v>
      </c>
      <c r="C1330" s="4" t="s">
        <v>1582</v>
      </c>
    </row>
    <row r="1331" customFormat="false" ht="12.8" hidden="false" customHeight="false" outlineLevel="0" collapsed="false">
      <c r="A1331" s="3" t="n">
        <f aca="false">DATE(1996,11,1)</f>
        <v>35370</v>
      </c>
      <c r="B1331" s="4" t="s">
        <v>1583</v>
      </c>
      <c r="C1331" s="4" t="s">
        <v>124</v>
      </c>
    </row>
    <row r="1332" customFormat="false" ht="12.8" hidden="false" customHeight="false" outlineLevel="0" collapsed="false">
      <c r="A1332" s="3" t="n">
        <f aca="false">DATE(1996,11,4)</f>
        <v>35373</v>
      </c>
      <c r="B1332" s="4" t="s">
        <v>281</v>
      </c>
      <c r="C1332" s="4" t="s">
        <v>193</v>
      </c>
    </row>
    <row r="1333" customFormat="false" ht="12.8" hidden="false" customHeight="false" outlineLevel="0" collapsed="false">
      <c r="A1333" s="3" t="n">
        <f aca="false">DATE(1996,11,7)</f>
        <v>35376</v>
      </c>
      <c r="B1333" s="4" t="s">
        <v>1584</v>
      </c>
      <c r="C1333" s="4" t="s">
        <v>1585</v>
      </c>
    </row>
    <row r="1334" customFormat="false" ht="12.8" hidden="false" customHeight="false" outlineLevel="0" collapsed="false">
      <c r="A1334" s="3" t="n">
        <f aca="false">DATE(1996,11,12)</f>
        <v>35381</v>
      </c>
      <c r="B1334" s="4" t="s">
        <v>1117</v>
      </c>
      <c r="C1334" s="4" t="s">
        <v>1172</v>
      </c>
    </row>
    <row r="1335" customFormat="false" ht="12.8" hidden="false" customHeight="false" outlineLevel="0" collapsed="false">
      <c r="A1335" s="3" t="n">
        <f aca="false">DATE(1996,11,13)</f>
        <v>35382</v>
      </c>
      <c r="B1335" s="4" t="s">
        <v>1586</v>
      </c>
      <c r="C1335" s="4" t="s">
        <v>1293</v>
      </c>
    </row>
    <row r="1336" customFormat="false" ht="12.8" hidden="false" customHeight="false" outlineLevel="0" collapsed="false">
      <c r="A1336" s="3" t="n">
        <f aca="false">DATE(1996,11,14)</f>
        <v>35383</v>
      </c>
      <c r="B1336" s="4" t="s">
        <v>1587</v>
      </c>
      <c r="C1336" s="4" t="s">
        <v>1401</v>
      </c>
    </row>
    <row r="1337" customFormat="false" ht="12.8" hidden="false" customHeight="false" outlineLevel="0" collapsed="false">
      <c r="A1337" s="3" t="n">
        <f aca="false">DATE(1996,11,15)</f>
        <v>35384</v>
      </c>
      <c r="B1337" s="4" t="s">
        <v>1588</v>
      </c>
      <c r="C1337" s="4" t="s">
        <v>1459</v>
      </c>
    </row>
    <row r="1338" customFormat="false" ht="12.8" hidden="false" customHeight="false" outlineLevel="0" collapsed="false">
      <c r="A1338" s="3" t="n">
        <f aca="false">DATE(1996,11,20)</f>
        <v>35389</v>
      </c>
      <c r="B1338" s="4" t="s">
        <v>840</v>
      </c>
      <c r="C1338" s="4" t="s">
        <v>987</v>
      </c>
    </row>
    <row r="1339" customFormat="false" ht="12.8" hidden="false" customHeight="false" outlineLevel="0" collapsed="false">
      <c r="A1339" s="3" t="n">
        <f aca="false">DATE(1996,11,25)</f>
        <v>35394</v>
      </c>
      <c r="B1339" s="4" t="s">
        <v>1589</v>
      </c>
      <c r="C1339" s="4" t="s">
        <v>1590</v>
      </c>
    </row>
    <row r="1340" customFormat="false" ht="12.8" hidden="false" customHeight="false" outlineLevel="0" collapsed="false">
      <c r="A1340" s="3" t="n">
        <f aca="false">DATE(1996,11,26)</f>
        <v>35395</v>
      </c>
      <c r="B1340" s="4" t="s">
        <v>1591</v>
      </c>
      <c r="C1340" s="4" t="s">
        <v>202</v>
      </c>
    </row>
    <row r="1341" customFormat="false" ht="12.8" hidden="false" customHeight="false" outlineLevel="0" collapsed="false">
      <c r="A1341" s="3" t="n">
        <f aca="false">DATE(1996,11,26)</f>
        <v>35395</v>
      </c>
      <c r="B1341" s="4" t="s">
        <v>1592</v>
      </c>
      <c r="C1341" s="4" t="s">
        <v>1593</v>
      </c>
    </row>
    <row r="1342" customFormat="false" ht="12.8" hidden="false" customHeight="false" outlineLevel="0" collapsed="false">
      <c r="A1342" s="3" t="n">
        <f aca="false">DATE(1996,12,10)</f>
        <v>35409</v>
      </c>
      <c r="B1342" s="4" t="s">
        <v>1594</v>
      </c>
      <c r="C1342" s="4" t="s">
        <v>309</v>
      </c>
    </row>
    <row r="1343" customFormat="false" ht="12.8" hidden="false" customHeight="false" outlineLevel="0" collapsed="false">
      <c r="A1343" s="3" t="n">
        <f aca="false">DATE(1996,12,11)</f>
        <v>35410</v>
      </c>
      <c r="B1343" s="4" t="s">
        <v>1595</v>
      </c>
      <c r="C1343" s="4" t="s">
        <v>1596</v>
      </c>
    </row>
    <row r="1344" customFormat="false" ht="12.8" hidden="false" customHeight="false" outlineLevel="0" collapsed="false">
      <c r="A1344" s="3" t="n">
        <f aca="false">DATE(1996,12,16)</f>
        <v>35415</v>
      </c>
      <c r="B1344" s="4" t="s">
        <v>1597</v>
      </c>
      <c r="C1344" s="4" t="s">
        <v>1044</v>
      </c>
    </row>
    <row r="1345" customFormat="false" ht="12.8" hidden="false" customHeight="false" outlineLevel="0" collapsed="false">
      <c r="A1345" s="3" t="n">
        <f aca="false">DATE(1996,12,19)</f>
        <v>35418</v>
      </c>
      <c r="B1345" s="4" t="s">
        <v>1598</v>
      </c>
      <c r="C1345" s="4" t="s">
        <v>1599</v>
      </c>
    </row>
    <row r="1346" customFormat="false" ht="12.8" hidden="false" customHeight="false" outlineLevel="0" collapsed="false">
      <c r="A1346" s="3" t="n">
        <f aca="false">DATE(1996,12,20)</f>
        <v>35419</v>
      </c>
      <c r="B1346" s="4" t="s">
        <v>1600</v>
      </c>
      <c r="C1346" s="4" t="s">
        <v>202</v>
      </c>
    </row>
    <row r="1347" customFormat="false" ht="12.8" hidden="false" customHeight="false" outlineLevel="0" collapsed="false">
      <c r="A1347" s="3" t="n">
        <f aca="false">DATE(1996,12,20)</f>
        <v>35419</v>
      </c>
      <c r="B1347" s="4" t="s">
        <v>1601</v>
      </c>
      <c r="C1347" s="4" t="s">
        <v>1602</v>
      </c>
    </row>
    <row r="1348" customFormat="false" ht="12.8" hidden="false" customHeight="false" outlineLevel="0" collapsed="false">
      <c r="A1348" s="3" t="n">
        <f aca="false">DATE(1996,12,20)</f>
        <v>35419</v>
      </c>
      <c r="B1348" s="4" t="s">
        <v>1603</v>
      </c>
      <c r="C1348" s="4" t="s">
        <v>1044</v>
      </c>
    </row>
    <row r="1349" customFormat="false" ht="12.8" hidden="false" customHeight="false" outlineLevel="0" collapsed="false">
      <c r="A1349" s="3" t="n">
        <f aca="false">DATE(1996,12,20)</f>
        <v>35419</v>
      </c>
      <c r="B1349" s="4" t="s">
        <v>1604</v>
      </c>
      <c r="C1349" s="4" t="s">
        <v>660</v>
      </c>
    </row>
    <row r="1350" customFormat="false" ht="12.8" hidden="false" customHeight="false" outlineLevel="0" collapsed="false">
      <c r="A1350" s="3" t="n">
        <f aca="false">DATE(1996,12,20)</f>
        <v>35419</v>
      </c>
      <c r="B1350" s="4" t="s">
        <v>1605</v>
      </c>
      <c r="C1350" s="4" t="s">
        <v>443</v>
      </c>
    </row>
    <row r="1351" customFormat="false" ht="12.8" hidden="false" customHeight="false" outlineLevel="0" collapsed="false">
      <c r="A1351" s="3" t="n">
        <f aca="false">DATE(1996,12,27)</f>
        <v>35426</v>
      </c>
      <c r="B1351" s="4" t="s">
        <v>1149</v>
      </c>
      <c r="C1351" s="4" t="s">
        <v>303</v>
      </c>
    </row>
    <row r="1352" customFormat="false" ht="12.8" hidden="false" customHeight="false" outlineLevel="0" collapsed="false">
      <c r="A1352" s="3" t="n">
        <f aca="false">DATE(1996,12,27)</f>
        <v>35426</v>
      </c>
      <c r="B1352" s="4" t="s">
        <v>1606</v>
      </c>
      <c r="C1352" s="4" t="s">
        <v>234</v>
      </c>
    </row>
    <row r="1353" customFormat="false" ht="12.8" hidden="false" customHeight="false" outlineLevel="0" collapsed="false">
      <c r="A1353" s="3" t="n">
        <f aca="false">DATE(1996,12,30)</f>
        <v>35429</v>
      </c>
      <c r="B1353" s="4" t="s">
        <v>1607</v>
      </c>
      <c r="C1353" s="4" t="s">
        <v>127</v>
      </c>
    </row>
    <row r="1354" customFormat="false" ht="12.8" hidden="false" customHeight="false" outlineLevel="0" collapsed="false">
      <c r="A1354" s="3" t="n">
        <f aca="false">DATE(1997,1,6)</f>
        <v>35436</v>
      </c>
      <c r="B1354" s="4" t="s">
        <v>1608</v>
      </c>
      <c r="C1354" s="4" t="s">
        <v>922</v>
      </c>
    </row>
    <row r="1355" customFormat="false" ht="12.8" hidden="false" customHeight="false" outlineLevel="0" collapsed="false">
      <c r="A1355" s="3" t="n">
        <f aca="false">DATE(1997,1,13)</f>
        <v>35443</v>
      </c>
      <c r="B1355" s="4" t="s">
        <v>1609</v>
      </c>
      <c r="C1355" s="4" t="s">
        <v>1012</v>
      </c>
    </row>
    <row r="1356" customFormat="false" ht="12.8" hidden="false" customHeight="false" outlineLevel="0" collapsed="false">
      <c r="A1356" s="3" t="n">
        <f aca="false">DATE(1997,1,14)</f>
        <v>35444</v>
      </c>
      <c r="B1356" s="4" t="s">
        <v>1610</v>
      </c>
      <c r="C1356" s="4" t="s">
        <v>935</v>
      </c>
    </row>
    <row r="1357" customFormat="false" ht="12.8" hidden="false" customHeight="false" outlineLevel="0" collapsed="false">
      <c r="A1357" s="3" t="n">
        <f aca="false">DATE(1997,1,14)</f>
        <v>35444</v>
      </c>
      <c r="B1357" s="4" t="s">
        <v>1611</v>
      </c>
      <c r="C1357" s="4" t="s">
        <v>1612</v>
      </c>
    </row>
    <row r="1358" customFormat="false" ht="12.8" hidden="false" customHeight="false" outlineLevel="0" collapsed="false">
      <c r="A1358" s="3" t="n">
        <f aca="false">DATE(1997,1,15)</f>
        <v>35445</v>
      </c>
      <c r="B1358" s="4" t="s">
        <v>1613</v>
      </c>
      <c r="C1358" s="4" t="s">
        <v>1614</v>
      </c>
    </row>
    <row r="1359" customFormat="false" ht="12.8" hidden="false" customHeight="false" outlineLevel="0" collapsed="false">
      <c r="A1359" s="3" t="n">
        <f aca="false">DATE(1997,1,20)</f>
        <v>35450</v>
      </c>
      <c r="B1359" s="4" t="s">
        <v>1615</v>
      </c>
      <c r="C1359" s="4" t="s">
        <v>511</v>
      </c>
    </row>
    <row r="1360" customFormat="false" ht="12.8" hidden="false" customHeight="false" outlineLevel="0" collapsed="false">
      <c r="A1360" s="3" t="n">
        <f aca="false">DATE(1997,1,21)</f>
        <v>35451</v>
      </c>
      <c r="B1360" s="4" t="s">
        <v>1616</v>
      </c>
      <c r="C1360" s="4" t="s">
        <v>1617</v>
      </c>
    </row>
    <row r="1361" customFormat="false" ht="12.8" hidden="false" customHeight="false" outlineLevel="0" collapsed="false">
      <c r="A1361" s="3" t="n">
        <f aca="false">DATE(1997,1,24)</f>
        <v>35454</v>
      </c>
      <c r="B1361" s="4" t="s">
        <v>1618</v>
      </c>
      <c r="C1361" s="4" t="s">
        <v>1619</v>
      </c>
    </row>
    <row r="1362" customFormat="false" ht="12.8" hidden="false" customHeight="false" outlineLevel="0" collapsed="false">
      <c r="A1362" s="3" t="n">
        <f aca="false">DATE(1997,1,27)</f>
        <v>35457</v>
      </c>
      <c r="B1362" s="4" t="s">
        <v>1620</v>
      </c>
      <c r="C1362" s="4" t="s">
        <v>112</v>
      </c>
    </row>
    <row r="1363" customFormat="false" ht="12.8" hidden="false" customHeight="false" outlineLevel="0" collapsed="false">
      <c r="A1363" s="3" t="n">
        <f aca="false">DATE(1997,1,29)</f>
        <v>35459</v>
      </c>
      <c r="B1363" s="4" t="s">
        <v>1621</v>
      </c>
      <c r="C1363" s="4" t="s">
        <v>1227</v>
      </c>
    </row>
    <row r="1364" customFormat="false" ht="12.8" hidden="false" customHeight="false" outlineLevel="0" collapsed="false">
      <c r="A1364" s="3" t="n">
        <f aca="false">DATE(1997,2,4)</f>
        <v>35465</v>
      </c>
      <c r="B1364" s="4" t="s">
        <v>1622</v>
      </c>
      <c r="C1364" s="4" t="s">
        <v>1623</v>
      </c>
    </row>
    <row r="1365" customFormat="false" ht="12.8" hidden="false" customHeight="false" outlineLevel="0" collapsed="false">
      <c r="A1365" s="3" t="n">
        <f aca="false">DATE(1997,2,5)</f>
        <v>35466</v>
      </c>
      <c r="B1365" s="4" t="s">
        <v>1624</v>
      </c>
      <c r="C1365" s="4" t="s">
        <v>443</v>
      </c>
    </row>
    <row r="1366" customFormat="false" ht="12.8" hidden="false" customHeight="false" outlineLevel="0" collapsed="false">
      <c r="A1366" s="3" t="n">
        <f aca="false">DATE(1997,2,13)</f>
        <v>35474</v>
      </c>
      <c r="B1366" s="4" t="s">
        <v>1625</v>
      </c>
      <c r="C1366" s="4" t="s">
        <v>459</v>
      </c>
    </row>
    <row r="1367" customFormat="false" ht="12.8" hidden="false" customHeight="false" outlineLevel="0" collapsed="false">
      <c r="A1367" s="3" t="n">
        <f aca="false">DATE(1997,2,14)</f>
        <v>35475</v>
      </c>
      <c r="B1367" s="4" t="s">
        <v>1449</v>
      </c>
      <c r="C1367" s="4" t="s">
        <v>1044</v>
      </c>
    </row>
    <row r="1368" customFormat="false" ht="12.8" hidden="false" customHeight="false" outlineLevel="0" collapsed="false">
      <c r="A1368" s="3" t="n">
        <f aca="false">DATE(1997,2,18)</f>
        <v>35479</v>
      </c>
      <c r="B1368" s="4" t="s">
        <v>1626</v>
      </c>
      <c r="C1368" s="4" t="s">
        <v>955</v>
      </c>
    </row>
    <row r="1369" customFormat="false" ht="12.8" hidden="false" customHeight="false" outlineLevel="0" collapsed="false">
      <c r="A1369" s="3" t="n">
        <f aca="false">DATE(1997,2,19)</f>
        <v>35480</v>
      </c>
      <c r="B1369" s="4" t="s">
        <v>1627</v>
      </c>
      <c r="C1369" s="4" t="s">
        <v>367</v>
      </c>
    </row>
    <row r="1370" customFormat="false" ht="12.8" hidden="false" customHeight="false" outlineLevel="0" collapsed="false">
      <c r="A1370" s="3" t="n">
        <f aca="false">DATE(1997,2,19)</f>
        <v>35480</v>
      </c>
      <c r="B1370" s="4" t="s">
        <v>1628</v>
      </c>
      <c r="C1370" s="4" t="s">
        <v>1629</v>
      </c>
    </row>
    <row r="1371" customFormat="false" ht="12.8" hidden="false" customHeight="false" outlineLevel="0" collapsed="false">
      <c r="A1371" s="3" t="n">
        <f aca="false">DATE(1997,2,19)</f>
        <v>35480</v>
      </c>
      <c r="B1371" s="4" t="s">
        <v>1630</v>
      </c>
      <c r="C1371" s="4" t="s">
        <v>1631</v>
      </c>
    </row>
    <row r="1372" customFormat="false" ht="12.8" hidden="false" customHeight="false" outlineLevel="0" collapsed="false">
      <c r="A1372" s="3" t="n">
        <f aca="false">DATE(1997,2,20)</f>
        <v>35481</v>
      </c>
      <c r="B1372" s="4" t="s">
        <v>1632</v>
      </c>
      <c r="C1372" s="4" t="s">
        <v>955</v>
      </c>
    </row>
    <row r="1373" customFormat="false" ht="12.8" hidden="false" customHeight="false" outlineLevel="0" collapsed="false">
      <c r="A1373" s="3" t="n">
        <f aca="false">DATE(1997,2,21)</f>
        <v>35482</v>
      </c>
      <c r="B1373" s="4" t="s">
        <v>1633</v>
      </c>
      <c r="C1373" s="4" t="s">
        <v>234</v>
      </c>
    </row>
    <row r="1374" customFormat="false" ht="12.8" hidden="false" customHeight="false" outlineLevel="0" collapsed="false">
      <c r="A1374" s="3" t="n">
        <f aca="false">DATE(1997,2,25)</f>
        <v>35486</v>
      </c>
      <c r="B1374" s="4" t="s">
        <v>1314</v>
      </c>
      <c r="C1374" s="4" t="s">
        <v>1634</v>
      </c>
    </row>
    <row r="1375" customFormat="false" ht="12.8" hidden="false" customHeight="false" outlineLevel="0" collapsed="false">
      <c r="A1375" s="3" t="n">
        <f aca="false">DATE(1997,2,25)</f>
        <v>35486</v>
      </c>
      <c r="B1375" s="4" t="s">
        <v>1635</v>
      </c>
      <c r="C1375" s="4" t="s">
        <v>1307</v>
      </c>
    </row>
    <row r="1376" customFormat="false" ht="12.8" hidden="false" customHeight="false" outlineLevel="0" collapsed="false">
      <c r="A1376" s="3" t="n">
        <f aca="false">DATE(1997,2,26)</f>
        <v>35487</v>
      </c>
      <c r="B1376" s="4" t="s">
        <v>1636</v>
      </c>
      <c r="C1376" s="4" t="s">
        <v>520</v>
      </c>
    </row>
    <row r="1377" customFormat="false" ht="12.8" hidden="false" customHeight="false" outlineLevel="0" collapsed="false">
      <c r="A1377" s="3" t="n">
        <f aca="false">DATE(1997,2,27)</f>
        <v>35488</v>
      </c>
      <c r="B1377" s="4" t="s">
        <v>1637</v>
      </c>
      <c r="C1377" s="4" t="s">
        <v>927</v>
      </c>
    </row>
    <row r="1378" customFormat="false" ht="12.8" hidden="false" customHeight="false" outlineLevel="0" collapsed="false">
      <c r="A1378" s="3" t="n">
        <f aca="false">DATE(1997,2,28)</f>
        <v>35489</v>
      </c>
      <c r="B1378" s="4" t="s">
        <v>1638</v>
      </c>
      <c r="C1378" s="4" t="s">
        <v>1639</v>
      </c>
    </row>
    <row r="1379" customFormat="false" ht="12.8" hidden="false" customHeight="false" outlineLevel="0" collapsed="false">
      <c r="A1379" s="3" t="n">
        <f aca="false">DATE(1997,3,3)</f>
        <v>35492</v>
      </c>
      <c r="B1379" s="4" t="s">
        <v>1640</v>
      </c>
      <c r="C1379" s="4" t="s">
        <v>1164</v>
      </c>
    </row>
    <row r="1380" customFormat="false" ht="12.8" hidden="false" customHeight="false" outlineLevel="0" collapsed="false">
      <c r="A1380" s="3" t="n">
        <f aca="false">DATE(1997,3,3)</f>
        <v>35492</v>
      </c>
      <c r="B1380" s="4" t="s">
        <v>1641</v>
      </c>
      <c r="C1380" s="4" t="s">
        <v>1333</v>
      </c>
    </row>
    <row r="1381" customFormat="false" ht="12.8" hidden="false" customHeight="false" outlineLevel="0" collapsed="false">
      <c r="A1381" s="3" t="n">
        <f aca="false">DATE(1997,3,7)</f>
        <v>35496</v>
      </c>
      <c r="B1381" s="4" t="s">
        <v>1642</v>
      </c>
      <c r="C1381" s="4" t="s">
        <v>847</v>
      </c>
    </row>
    <row r="1382" customFormat="false" ht="12.8" hidden="false" customHeight="false" outlineLevel="0" collapsed="false">
      <c r="A1382" s="3" t="n">
        <f aca="false">DATE(1997,3,12)</f>
        <v>35501</v>
      </c>
      <c r="B1382" s="4" t="s">
        <v>1643</v>
      </c>
      <c r="C1382" s="4" t="s">
        <v>1644</v>
      </c>
    </row>
    <row r="1383" customFormat="false" ht="12.8" hidden="false" customHeight="false" outlineLevel="0" collapsed="false">
      <c r="A1383" s="3" t="n">
        <f aca="false">DATE(1997,3,13)</f>
        <v>35502</v>
      </c>
      <c r="B1383" s="4" t="s">
        <v>1645</v>
      </c>
      <c r="C1383" s="4" t="s">
        <v>1646</v>
      </c>
    </row>
    <row r="1384" customFormat="false" ht="12.8" hidden="false" customHeight="false" outlineLevel="0" collapsed="false">
      <c r="A1384" s="3" t="n">
        <f aca="false">DATE(1997,3,14)</f>
        <v>35503</v>
      </c>
      <c r="B1384" s="4" t="s">
        <v>1647</v>
      </c>
      <c r="C1384" s="4" t="s">
        <v>1648</v>
      </c>
    </row>
    <row r="1385" customFormat="false" ht="12.8" hidden="false" customHeight="false" outlineLevel="0" collapsed="false">
      <c r="A1385" s="3" t="n">
        <f aca="false">DATE(1997,3,14)</f>
        <v>35503</v>
      </c>
      <c r="B1385" s="4" t="s">
        <v>1649</v>
      </c>
      <c r="C1385" s="4" t="s">
        <v>182</v>
      </c>
    </row>
    <row r="1386" customFormat="false" ht="12.8" hidden="false" customHeight="false" outlineLevel="0" collapsed="false">
      <c r="A1386" s="3" t="n">
        <f aca="false">DATE(1997,3,17)</f>
        <v>35506</v>
      </c>
      <c r="B1386" s="4" t="s">
        <v>1650</v>
      </c>
      <c r="C1386" s="4" t="s">
        <v>1174</v>
      </c>
    </row>
    <row r="1387" customFormat="false" ht="12.8" hidden="false" customHeight="false" outlineLevel="0" collapsed="false">
      <c r="A1387" s="3" t="n">
        <f aca="false">DATE(1997,3,18)</f>
        <v>35507</v>
      </c>
      <c r="B1387" s="4" t="s">
        <v>1651</v>
      </c>
      <c r="C1387" s="4" t="s">
        <v>953</v>
      </c>
    </row>
    <row r="1388" customFormat="false" ht="12.8" hidden="false" customHeight="false" outlineLevel="0" collapsed="false">
      <c r="A1388" s="3" t="n">
        <f aca="false">DATE(1997,3,18)</f>
        <v>35507</v>
      </c>
      <c r="B1388" s="4" t="s">
        <v>1652</v>
      </c>
      <c r="C1388" s="4" t="s">
        <v>418</v>
      </c>
    </row>
    <row r="1389" customFormat="false" ht="12.8" hidden="false" customHeight="false" outlineLevel="0" collapsed="false">
      <c r="A1389" s="3" t="n">
        <f aca="false">DATE(1997,3,18)</f>
        <v>35507</v>
      </c>
      <c r="B1389" s="4" t="s">
        <v>1653</v>
      </c>
      <c r="C1389" s="4" t="s">
        <v>381</v>
      </c>
    </row>
    <row r="1390" customFormat="false" ht="12.8" hidden="false" customHeight="false" outlineLevel="0" collapsed="false">
      <c r="A1390" s="3" t="n">
        <f aca="false">DATE(1997,3,20)</f>
        <v>35509</v>
      </c>
      <c r="B1390" s="4" t="s">
        <v>303</v>
      </c>
      <c r="C1390" s="4" t="s">
        <v>1654</v>
      </c>
    </row>
    <row r="1391" customFormat="false" ht="12.8" hidden="false" customHeight="false" outlineLevel="0" collapsed="false">
      <c r="A1391" s="3" t="n">
        <f aca="false">DATE(1997,3,26)</f>
        <v>35515</v>
      </c>
      <c r="B1391" s="4" t="s">
        <v>1655</v>
      </c>
      <c r="C1391" s="4" t="s">
        <v>1656</v>
      </c>
    </row>
    <row r="1392" customFormat="false" ht="12.8" hidden="false" customHeight="false" outlineLevel="0" collapsed="false">
      <c r="A1392" s="3" t="n">
        <f aca="false">DATE(1997,3,27)</f>
        <v>35516</v>
      </c>
      <c r="B1392" s="4" t="s">
        <v>1657</v>
      </c>
      <c r="C1392" s="4" t="s">
        <v>1203</v>
      </c>
    </row>
    <row r="1393" customFormat="false" ht="12.8" hidden="false" customHeight="false" outlineLevel="0" collapsed="false">
      <c r="A1393" s="3" t="n">
        <f aca="false">DATE(1997,4,14)</f>
        <v>35534</v>
      </c>
      <c r="B1393" s="4" t="s">
        <v>1658</v>
      </c>
      <c r="C1393" s="4" t="s">
        <v>1659</v>
      </c>
    </row>
    <row r="1394" customFormat="false" ht="12.8" hidden="false" customHeight="false" outlineLevel="0" collapsed="false">
      <c r="A1394" s="3" t="n">
        <f aca="false">DATE(1997,4,25)</f>
        <v>35545</v>
      </c>
      <c r="B1394" s="4" t="s">
        <v>1660</v>
      </c>
      <c r="C1394" s="4" t="s">
        <v>830</v>
      </c>
    </row>
    <row r="1395" customFormat="false" ht="12.8" hidden="false" customHeight="false" outlineLevel="0" collapsed="false">
      <c r="A1395" s="3" t="n">
        <f aca="false">DATE(1997,4,28)</f>
        <v>35548</v>
      </c>
      <c r="B1395" s="4" t="s">
        <v>1661</v>
      </c>
      <c r="C1395" s="4" t="s">
        <v>1662</v>
      </c>
    </row>
    <row r="1396" customFormat="false" ht="12.8" hidden="false" customHeight="false" outlineLevel="0" collapsed="false">
      <c r="A1396" s="3" t="n">
        <f aca="false">DATE(1997,4,29)</f>
        <v>35549</v>
      </c>
      <c r="B1396" s="4" t="s">
        <v>1663</v>
      </c>
      <c r="C1396" s="4" t="s">
        <v>1664</v>
      </c>
    </row>
    <row r="1397" customFormat="false" ht="12.8" hidden="false" customHeight="false" outlineLevel="0" collapsed="false">
      <c r="A1397" s="3" t="n">
        <f aca="false">DATE(1997,5,1)</f>
        <v>35551</v>
      </c>
      <c r="B1397" s="4" t="s">
        <v>1665</v>
      </c>
      <c r="C1397" s="4" t="s">
        <v>1666</v>
      </c>
    </row>
    <row r="1398" customFormat="false" ht="12.8" hidden="false" customHeight="false" outlineLevel="0" collapsed="false">
      <c r="A1398" s="3" t="n">
        <f aca="false">DATE(1997,5,5)</f>
        <v>35555</v>
      </c>
      <c r="B1398" s="4" t="s">
        <v>1667</v>
      </c>
      <c r="C1398" s="4" t="s">
        <v>1668</v>
      </c>
    </row>
    <row r="1399" customFormat="false" ht="12.8" hidden="false" customHeight="false" outlineLevel="0" collapsed="false">
      <c r="A1399" s="3" t="n">
        <f aca="false">DATE(1997,5,5)</f>
        <v>35555</v>
      </c>
      <c r="B1399" s="4" t="s">
        <v>471</v>
      </c>
      <c r="C1399" s="4" t="s">
        <v>124</v>
      </c>
    </row>
    <row r="1400" customFormat="false" ht="12.8" hidden="false" customHeight="false" outlineLevel="0" collapsed="false">
      <c r="A1400" s="3" t="n">
        <f aca="false">DATE(1997,5,12)</f>
        <v>35562</v>
      </c>
      <c r="B1400" s="4" t="s">
        <v>1669</v>
      </c>
      <c r="C1400" s="4" t="s">
        <v>86</v>
      </c>
    </row>
    <row r="1401" customFormat="false" ht="12.8" hidden="false" customHeight="false" outlineLevel="0" collapsed="false">
      <c r="A1401" s="3" t="n">
        <f aca="false">DATE(1997,5,12)</f>
        <v>35562</v>
      </c>
      <c r="B1401" s="4" t="s">
        <v>1670</v>
      </c>
      <c r="C1401" s="4" t="s">
        <v>1459</v>
      </c>
    </row>
    <row r="1402" customFormat="false" ht="12.8" hidden="false" customHeight="false" outlineLevel="0" collapsed="false">
      <c r="A1402" s="3" t="n">
        <f aca="false">DATE(1997,5,15)</f>
        <v>35565</v>
      </c>
      <c r="B1402" s="4" t="s">
        <v>1671</v>
      </c>
      <c r="C1402" s="4" t="s">
        <v>959</v>
      </c>
    </row>
    <row r="1403" customFormat="false" ht="12.8" hidden="false" customHeight="false" outlineLevel="0" collapsed="false">
      <c r="A1403" s="3" t="n">
        <f aca="false">DATE(1997,5,19)</f>
        <v>35569</v>
      </c>
      <c r="B1403" s="4" t="s">
        <v>1672</v>
      </c>
      <c r="C1403" s="4" t="s">
        <v>1463</v>
      </c>
    </row>
    <row r="1404" customFormat="false" ht="12.8" hidden="false" customHeight="false" outlineLevel="0" collapsed="false">
      <c r="A1404" s="3" t="n">
        <f aca="false">DATE(1997,5,22)</f>
        <v>35572</v>
      </c>
      <c r="B1404" s="4" t="s">
        <v>1673</v>
      </c>
      <c r="C1404" s="4" t="s">
        <v>1674</v>
      </c>
    </row>
    <row r="1405" customFormat="false" ht="12.8" hidden="false" customHeight="false" outlineLevel="0" collapsed="false">
      <c r="A1405" s="3" t="n">
        <f aca="false">DATE(1997,5,22)</f>
        <v>35572</v>
      </c>
      <c r="B1405" s="4" t="s">
        <v>1675</v>
      </c>
      <c r="C1405" s="4" t="s">
        <v>987</v>
      </c>
    </row>
    <row r="1406" customFormat="false" ht="12.8" hidden="false" customHeight="false" outlineLevel="0" collapsed="false">
      <c r="A1406" s="3" t="n">
        <f aca="false">DATE(1997,5,23)</f>
        <v>35573</v>
      </c>
      <c r="B1406" s="4" t="s">
        <v>1676</v>
      </c>
      <c r="C1406" s="4" t="s">
        <v>105</v>
      </c>
    </row>
    <row r="1407" customFormat="false" ht="12.8" hidden="false" customHeight="false" outlineLevel="0" collapsed="false">
      <c r="A1407" s="3" t="n">
        <f aca="false">DATE(1997,5,27)</f>
        <v>35577</v>
      </c>
      <c r="B1407" s="4" t="s">
        <v>1677</v>
      </c>
      <c r="C1407" s="4" t="s">
        <v>1678</v>
      </c>
    </row>
    <row r="1408" customFormat="false" ht="12.8" hidden="false" customHeight="false" outlineLevel="0" collapsed="false">
      <c r="A1408" s="3" t="n">
        <f aca="false">DATE(1997,5,28)</f>
        <v>35578</v>
      </c>
      <c r="B1408" s="4" t="s">
        <v>1679</v>
      </c>
      <c r="C1408" s="4" t="s">
        <v>86</v>
      </c>
    </row>
    <row r="1409" customFormat="false" ht="12.8" hidden="false" customHeight="false" outlineLevel="0" collapsed="false">
      <c r="A1409" s="3" t="n">
        <f aca="false">DATE(1997,5,29)</f>
        <v>35579</v>
      </c>
      <c r="B1409" s="4" t="s">
        <v>1680</v>
      </c>
      <c r="C1409" s="4" t="s">
        <v>1472</v>
      </c>
    </row>
    <row r="1410" customFormat="false" ht="12.8" hidden="false" customHeight="false" outlineLevel="0" collapsed="false">
      <c r="A1410" s="3" t="n">
        <f aca="false">DATE(1997,6,2)</f>
        <v>35583</v>
      </c>
      <c r="B1410" s="4" t="s">
        <v>1681</v>
      </c>
      <c r="C1410" s="4" t="s">
        <v>1682</v>
      </c>
    </row>
    <row r="1411" customFormat="false" ht="12.8" hidden="false" customHeight="false" outlineLevel="0" collapsed="false">
      <c r="A1411" s="3" t="n">
        <f aca="false">DATE(1997,6,3)</f>
        <v>35584</v>
      </c>
      <c r="B1411" s="4" t="s">
        <v>1683</v>
      </c>
      <c r="C1411" s="4" t="s">
        <v>1596</v>
      </c>
    </row>
    <row r="1412" customFormat="false" ht="12.8" hidden="false" customHeight="false" outlineLevel="0" collapsed="false">
      <c r="A1412" s="3" t="n">
        <f aca="false">DATE(1997,6,9)</f>
        <v>35590</v>
      </c>
      <c r="B1412" s="4" t="s">
        <v>1684</v>
      </c>
      <c r="C1412" s="4" t="s">
        <v>1685</v>
      </c>
    </row>
    <row r="1413" customFormat="false" ht="12.8" hidden="false" customHeight="false" outlineLevel="0" collapsed="false">
      <c r="A1413" s="3" t="n">
        <f aca="false">DATE(1997,6,10)</f>
        <v>35591</v>
      </c>
      <c r="B1413" s="4" t="s">
        <v>1686</v>
      </c>
      <c r="C1413" s="4" t="s">
        <v>1687</v>
      </c>
    </row>
    <row r="1414" customFormat="false" ht="12.8" hidden="false" customHeight="false" outlineLevel="0" collapsed="false">
      <c r="A1414" s="3" t="n">
        <f aca="false">DATE(1997,6,10)</f>
        <v>35591</v>
      </c>
      <c r="B1414" s="4" t="s">
        <v>532</v>
      </c>
      <c r="C1414" s="4" t="s">
        <v>80</v>
      </c>
    </row>
    <row r="1415" customFormat="false" ht="12.8" hidden="false" customHeight="false" outlineLevel="0" collapsed="false">
      <c r="A1415" s="3" t="n">
        <f aca="false">DATE(1997,6,11)</f>
        <v>35592</v>
      </c>
      <c r="B1415" s="4" t="s">
        <v>1688</v>
      </c>
      <c r="C1415" s="4" t="s">
        <v>1258</v>
      </c>
    </row>
    <row r="1416" customFormat="false" ht="12.8" hidden="false" customHeight="false" outlineLevel="0" collapsed="false">
      <c r="A1416" s="3" t="n">
        <f aca="false">DATE(1997,6,16)</f>
        <v>35597</v>
      </c>
      <c r="B1416" s="4" t="s">
        <v>1689</v>
      </c>
      <c r="C1416" s="4" t="s">
        <v>388</v>
      </c>
    </row>
    <row r="1417" customFormat="false" ht="12.8" hidden="false" customHeight="false" outlineLevel="0" collapsed="false">
      <c r="A1417" s="3" t="n">
        <f aca="false">DATE(1997,6,18)</f>
        <v>35599</v>
      </c>
      <c r="B1417" s="4" t="s">
        <v>1690</v>
      </c>
      <c r="C1417" s="4" t="s">
        <v>1691</v>
      </c>
    </row>
    <row r="1418" customFormat="false" ht="12.8" hidden="false" customHeight="false" outlineLevel="0" collapsed="false">
      <c r="A1418" s="3" t="n">
        <f aca="false">DATE(1997,6,19)</f>
        <v>35600</v>
      </c>
      <c r="B1418" s="4" t="s">
        <v>1692</v>
      </c>
      <c r="C1418" s="4" t="s">
        <v>1693</v>
      </c>
    </row>
    <row r="1419" customFormat="false" ht="12.8" hidden="false" customHeight="false" outlineLevel="0" collapsed="false">
      <c r="A1419" s="3" t="n">
        <f aca="false">DATE(1997,6,20)</f>
        <v>35601</v>
      </c>
      <c r="B1419" s="4" t="s">
        <v>1694</v>
      </c>
      <c r="C1419" s="4" t="s">
        <v>602</v>
      </c>
    </row>
    <row r="1420" customFormat="false" ht="12.8" hidden="false" customHeight="false" outlineLevel="0" collapsed="false">
      <c r="A1420" s="3" t="n">
        <f aca="false">DATE(1997,6,23)</f>
        <v>35604</v>
      </c>
      <c r="B1420" s="4" t="s">
        <v>1695</v>
      </c>
      <c r="C1420" s="4" t="s">
        <v>566</v>
      </c>
    </row>
    <row r="1421" customFormat="false" ht="12.8" hidden="false" customHeight="false" outlineLevel="0" collapsed="false">
      <c r="A1421" s="3" t="n">
        <f aca="false">DATE(1997,6,23)</f>
        <v>35604</v>
      </c>
      <c r="B1421" s="4" t="s">
        <v>1696</v>
      </c>
      <c r="C1421" s="4" t="s">
        <v>955</v>
      </c>
    </row>
    <row r="1422" customFormat="false" ht="12.8" hidden="false" customHeight="false" outlineLevel="0" collapsed="false">
      <c r="A1422" s="3" t="n">
        <f aca="false">DATE(1997,6,24)</f>
        <v>35605</v>
      </c>
      <c r="B1422" s="4" t="s">
        <v>1697</v>
      </c>
      <c r="C1422" s="4" t="s">
        <v>487</v>
      </c>
    </row>
    <row r="1423" customFormat="false" ht="12.8" hidden="false" customHeight="false" outlineLevel="0" collapsed="false">
      <c r="A1423" s="3" t="n">
        <f aca="false">DATE(1997,6,24)</f>
        <v>35605</v>
      </c>
      <c r="B1423" s="4" t="s">
        <v>1698</v>
      </c>
      <c r="C1423" s="4" t="s">
        <v>80</v>
      </c>
    </row>
    <row r="1424" customFormat="false" ht="12.8" hidden="false" customHeight="false" outlineLevel="0" collapsed="false">
      <c r="A1424" s="3" t="n">
        <f aca="false">DATE(1997,6,24)</f>
        <v>35605</v>
      </c>
      <c r="B1424" s="4" t="s">
        <v>1699</v>
      </c>
      <c r="C1424" s="4" t="s">
        <v>1614</v>
      </c>
    </row>
    <row r="1425" customFormat="false" ht="12.8" hidden="false" customHeight="false" outlineLevel="0" collapsed="false">
      <c r="A1425" s="3" t="n">
        <f aca="false">DATE(1997,6,24)</f>
        <v>35605</v>
      </c>
      <c r="B1425" s="4" t="s">
        <v>1700</v>
      </c>
      <c r="C1425" s="4" t="s">
        <v>1497</v>
      </c>
    </row>
    <row r="1426" customFormat="false" ht="12.8" hidden="false" customHeight="false" outlineLevel="0" collapsed="false">
      <c r="A1426" s="3" t="n">
        <f aca="false">DATE(1997,6,24)</f>
        <v>35605</v>
      </c>
      <c r="B1426" s="4" t="s">
        <v>1701</v>
      </c>
      <c r="C1426" s="4" t="s">
        <v>1702</v>
      </c>
    </row>
    <row r="1427" customFormat="false" ht="12.8" hidden="false" customHeight="false" outlineLevel="0" collapsed="false">
      <c r="A1427" s="3" t="n">
        <f aca="false">DATE(1997,6,30)</f>
        <v>35611</v>
      </c>
      <c r="B1427" s="4" t="s">
        <v>1540</v>
      </c>
      <c r="C1427" s="4" t="s">
        <v>1387</v>
      </c>
    </row>
    <row r="1428" customFormat="false" ht="12.8" hidden="false" customHeight="false" outlineLevel="0" collapsed="false">
      <c r="A1428" s="3" t="n">
        <f aca="false">DATE(1997,7,9)</f>
        <v>35620</v>
      </c>
      <c r="B1428" s="4" t="s">
        <v>1703</v>
      </c>
      <c r="C1428" s="4" t="s">
        <v>955</v>
      </c>
    </row>
    <row r="1429" customFormat="false" ht="12.8" hidden="false" customHeight="false" outlineLevel="0" collapsed="false">
      <c r="A1429" s="3" t="n">
        <f aca="false">DATE(1997,7,9)</f>
        <v>35620</v>
      </c>
      <c r="B1429" s="4" t="s">
        <v>1704</v>
      </c>
      <c r="C1429" s="4" t="s">
        <v>1042</v>
      </c>
    </row>
    <row r="1430" customFormat="false" ht="12.8" hidden="false" customHeight="false" outlineLevel="0" collapsed="false">
      <c r="A1430" s="3" t="n">
        <f aca="false">DATE(1997,7,10)</f>
        <v>35621</v>
      </c>
      <c r="B1430" s="4" t="s">
        <v>1705</v>
      </c>
      <c r="C1430" s="4" t="s">
        <v>1706</v>
      </c>
    </row>
    <row r="1431" customFormat="false" ht="12.8" hidden="false" customHeight="false" outlineLevel="0" collapsed="false">
      <c r="A1431" s="3" t="n">
        <f aca="false">DATE(1997,7,14)</f>
        <v>35625</v>
      </c>
      <c r="B1431" s="4" t="s">
        <v>1707</v>
      </c>
      <c r="C1431" s="4" t="s">
        <v>1659</v>
      </c>
    </row>
    <row r="1432" customFormat="false" ht="12.8" hidden="false" customHeight="false" outlineLevel="0" collapsed="false">
      <c r="A1432" s="3" t="n">
        <f aca="false">DATE(1997,7,16)</f>
        <v>35627</v>
      </c>
      <c r="B1432" s="4" t="s">
        <v>1552</v>
      </c>
      <c r="C1432" s="4" t="s">
        <v>86</v>
      </c>
    </row>
    <row r="1433" customFormat="false" ht="12.8" hidden="false" customHeight="false" outlineLevel="0" collapsed="false">
      <c r="A1433" s="3" t="n">
        <f aca="false">DATE(1997,7,21)</f>
        <v>35632</v>
      </c>
      <c r="B1433" s="4" t="s">
        <v>605</v>
      </c>
      <c r="C1433" s="4" t="s">
        <v>58</v>
      </c>
    </row>
    <row r="1434" customFormat="false" ht="12.8" hidden="false" customHeight="false" outlineLevel="0" collapsed="false">
      <c r="A1434" s="3" t="n">
        <f aca="false">DATE(1997,7,23)</f>
        <v>35634</v>
      </c>
      <c r="B1434" s="4" t="s">
        <v>1708</v>
      </c>
      <c r="C1434" s="4" t="s">
        <v>955</v>
      </c>
    </row>
    <row r="1435" customFormat="false" ht="12.8" hidden="false" customHeight="false" outlineLevel="0" collapsed="false">
      <c r="A1435" s="3" t="n">
        <f aca="false">DATE(1997,7,25)</f>
        <v>35636</v>
      </c>
      <c r="B1435" s="4" t="s">
        <v>1709</v>
      </c>
      <c r="C1435" s="4" t="s">
        <v>1341</v>
      </c>
    </row>
    <row r="1436" customFormat="false" ht="12.8" hidden="false" customHeight="false" outlineLevel="0" collapsed="false">
      <c r="A1436" s="3" t="n">
        <f aca="false">DATE(1997,7,25)</f>
        <v>35636</v>
      </c>
      <c r="B1436" s="4" t="s">
        <v>1710</v>
      </c>
      <c r="C1436" s="4" t="s">
        <v>1525</v>
      </c>
    </row>
    <row r="1437" customFormat="false" ht="12.8" hidden="false" customHeight="false" outlineLevel="0" collapsed="false">
      <c r="A1437" s="3" t="n">
        <f aca="false">DATE(1997,7,25)</f>
        <v>35636</v>
      </c>
      <c r="B1437" s="4" t="s">
        <v>1711</v>
      </c>
      <c r="C1437" s="4" t="s">
        <v>987</v>
      </c>
    </row>
    <row r="1438" customFormat="false" ht="12.8" hidden="false" customHeight="false" outlineLevel="0" collapsed="false">
      <c r="A1438" s="3" t="n">
        <f aca="false">DATE(1997,7,25)</f>
        <v>35636</v>
      </c>
      <c r="B1438" s="4" t="s">
        <v>1712</v>
      </c>
      <c r="C1438" s="4" t="s">
        <v>1497</v>
      </c>
    </row>
    <row r="1439" customFormat="false" ht="12.8" hidden="false" customHeight="false" outlineLevel="0" collapsed="false">
      <c r="A1439" s="3" t="n">
        <f aca="false">DATE(1997,7,25)</f>
        <v>35636</v>
      </c>
      <c r="B1439" s="4" t="s">
        <v>1713</v>
      </c>
      <c r="C1439" s="4" t="s">
        <v>929</v>
      </c>
    </row>
    <row r="1440" customFormat="false" ht="12.8" hidden="false" customHeight="false" outlineLevel="0" collapsed="false">
      <c r="A1440" s="3" t="n">
        <f aca="false">DATE(1997,7,29)</f>
        <v>35640</v>
      </c>
      <c r="B1440" s="4" t="s">
        <v>1714</v>
      </c>
      <c r="C1440" s="4" t="s">
        <v>1525</v>
      </c>
    </row>
    <row r="1441" customFormat="false" ht="12.8" hidden="false" customHeight="false" outlineLevel="0" collapsed="false">
      <c r="A1441" s="3" t="n">
        <f aca="false">DATE(1997,7,31)</f>
        <v>35642</v>
      </c>
      <c r="B1441" s="4" t="s">
        <v>1715</v>
      </c>
      <c r="C1441" s="4" t="s">
        <v>681</v>
      </c>
    </row>
    <row r="1442" customFormat="false" ht="12.8" hidden="false" customHeight="false" outlineLevel="0" collapsed="false">
      <c r="A1442" s="3" t="n">
        <f aca="false">DATE(1997,7,31)</f>
        <v>35642</v>
      </c>
      <c r="B1442" s="4" t="s">
        <v>1716</v>
      </c>
      <c r="C1442" s="4" t="s">
        <v>1459</v>
      </c>
    </row>
    <row r="1443" customFormat="false" ht="12.8" hidden="false" customHeight="false" outlineLevel="0" collapsed="false">
      <c r="A1443" s="3" t="n">
        <f aca="false">DATE(1997,7,31)</f>
        <v>35642</v>
      </c>
      <c r="B1443" s="4" t="s">
        <v>1717</v>
      </c>
      <c r="C1443" s="4" t="s">
        <v>1664</v>
      </c>
    </row>
    <row r="1444" customFormat="false" ht="12.8" hidden="false" customHeight="false" outlineLevel="0" collapsed="false">
      <c r="A1444" s="3" t="n">
        <f aca="false">DATE(1997,8,1)</f>
        <v>35643</v>
      </c>
      <c r="B1444" s="4" t="s">
        <v>1718</v>
      </c>
      <c r="C1444" s="4" t="s">
        <v>1719</v>
      </c>
    </row>
    <row r="1445" customFormat="false" ht="12.8" hidden="false" customHeight="false" outlineLevel="0" collapsed="false">
      <c r="A1445" s="3" t="n">
        <f aca="false">DATE(1997,8,4)</f>
        <v>35646</v>
      </c>
      <c r="B1445" s="4" t="s">
        <v>1720</v>
      </c>
      <c r="C1445" s="4" t="s">
        <v>440</v>
      </c>
    </row>
    <row r="1446" customFormat="false" ht="12.8" hidden="false" customHeight="false" outlineLevel="0" collapsed="false">
      <c r="A1446" s="3" t="n">
        <f aca="false">DATE(1997,8,5)</f>
        <v>35647</v>
      </c>
      <c r="B1446" s="4" t="s">
        <v>1721</v>
      </c>
      <c r="C1446" s="4" t="s">
        <v>58</v>
      </c>
    </row>
    <row r="1447" customFormat="false" ht="12.8" hidden="false" customHeight="false" outlineLevel="0" collapsed="false">
      <c r="A1447" s="3" t="n">
        <f aca="false">DATE(1997,8,6)</f>
        <v>35648</v>
      </c>
      <c r="B1447" s="4" t="s">
        <v>1722</v>
      </c>
      <c r="C1447" s="4" t="s">
        <v>935</v>
      </c>
    </row>
    <row r="1448" customFormat="false" ht="12.8" hidden="false" customHeight="false" outlineLevel="0" collapsed="false">
      <c r="A1448" s="3" t="n">
        <f aca="false">DATE(1997,8,7)</f>
        <v>35649</v>
      </c>
      <c r="B1448" s="4" t="s">
        <v>1723</v>
      </c>
      <c r="C1448" s="4" t="s">
        <v>847</v>
      </c>
    </row>
    <row r="1449" customFormat="false" ht="12.8" hidden="false" customHeight="false" outlineLevel="0" collapsed="false">
      <c r="A1449" s="3" t="n">
        <f aca="false">DATE(1997,8,7)</f>
        <v>35649</v>
      </c>
      <c r="B1449" s="4" t="s">
        <v>922</v>
      </c>
      <c r="C1449" s="4" t="s">
        <v>80</v>
      </c>
    </row>
    <row r="1450" customFormat="false" ht="12.8" hidden="false" customHeight="false" outlineLevel="0" collapsed="false">
      <c r="A1450" s="3" t="n">
        <f aca="false">DATE(1997,8,13)</f>
        <v>35655</v>
      </c>
      <c r="B1450" s="4" t="s">
        <v>1724</v>
      </c>
      <c r="C1450" s="4" t="s">
        <v>1459</v>
      </c>
    </row>
    <row r="1451" customFormat="false" ht="12.8" hidden="false" customHeight="false" outlineLevel="0" collapsed="false">
      <c r="A1451" s="3" t="n">
        <f aca="false">DATE(1997,8,15)</f>
        <v>35657</v>
      </c>
      <c r="B1451" s="4" t="s">
        <v>1725</v>
      </c>
      <c r="C1451" s="4" t="s">
        <v>1726</v>
      </c>
    </row>
    <row r="1452" customFormat="false" ht="12.8" hidden="false" customHeight="false" outlineLevel="0" collapsed="false">
      <c r="A1452" s="3" t="n">
        <f aca="false">DATE(1997,8,15)</f>
        <v>35657</v>
      </c>
      <c r="B1452" s="4" t="s">
        <v>1727</v>
      </c>
      <c r="C1452" s="4" t="s">
        <v>381</v>
      </c>
    </row>
    <row r="1453" customFormat="false" ht="12.8" hidden="false" customHeight="false" outlineLevel="0" collapsed="false">
      <c r="A1453" s="3" t="n">
        <f aca="false">DATE(1997,8,18)</f>
        <v>35660</v>
      </c>
      <c r="B1453" s="4" t="s">
        <v>1728</v>
      </c>
      <c r="C1453" s="4" t="s">
        <v>1729</v>
      </c>
    </row>
    <row r="1454" customFormat="false" ht="12.8" hidden="false" customHeight="false" outlineLevel="0" collapsed="false">
      <c r="A1454" s="3" t="n">
        <f aca="false">DATE(1997,8,21)</f>
        <v>35663</v>
      </c>
      <c r="B1454" s="4" t="s">
        <v>1730</v>
      </c>
      <c r="C1454" s="4" t="s">
        <v>1044</v>
      </c>
    </row>
    <row r="1455" customFormat="false" ht="12.8" hidden="false" customHeight="false" outlineLevel="0" collapsed="false">
      <c r="A1455" s="3" t="n">
        <f aca="false">DATE(1997,8,22)</f>
        <v>35664</v>
      </c>
      <c r="B1455" s="4" t="s">
        <v>1731</v>
      </c>
      <c r="C1455" s="4" t="s">
        <v>696</v>
      </c>
    </row>
    <row r="1456" customFormat="false" ht="12.8" hidden="false" customHeight="false" outlineLevel="0" collapsed="false">
      <c r="A1456" s="3" t="n">
        <f aca="false">DATE(1997,8,27)</f>
        <v>35669</v>
      </c>
      <c r="B1456" s="4" t="s">
        <v>1732</v>
      </c>
      <c r="C1456" s="4" t="s">
        <v>1733</v>
      </c>
    </row>
    <row r="1457" customFormat="false" ht="12.8" hidden="false" customHeight="false" outlineLevel="0" collapsed="false">
      <c r="A1457" s="3" t="n">
        <f aca="false">DATE(1997,8,28)</f>
        <v>35670</v>
      </c>
      <c r="B1457" s="4" t="s">
        <v>1734</v>
      </c>
      <c r="C1457" s="4" t="s">
        <v>696</v>
      </c>
    </row>
    <row r="1458" customFormat="false" ht="12.8" hidden="false" customHeight="false" outlineLevel="0" collapsed="false">
      <c r="A1458" s="3" t="n">
        <f aca="false">DATE(1997,8,29)</f>
        <v>35671</v>
      </c>
      <c r="B1458" s="4" t="s">
        <v>388</v>
      </c>
      <c r="C1458" s="4" t="s">
        <v>782</v>
      </c>
    </row>
    <row r="1459" customFormat="false" ht="12.8" hidden="false" customHeight="false" outlineLevel="0" collapsed="false">
      <c r="A1459" s="3" t="n">
        <f aca="false">DATE(1997,9,1)</f>
        <v>35674</v>
      </c>
      <c r="B1459" s="4" t="s">
        <v>1735</v>
      </c>
      <c r="C1459" s="4" t="s">
        <v>588</v>
      </c>
    </row>
    <row r="1460" customFormat="false" ht="12.8" hidden="false" customHeight="false" outlineLevel="0" collapsed="false">
      <c r="A1460" s="3" t="n">
        <f aca="false">DATE(1997,9,5)</f>
        <v>35678</v>
      </c>
      <c r="B1460" s="4" t="s">
        <v>1736</v>
      </c>
      <c r="C1460" s="4" t="s">
        <v>1508</v>
      </c>
    </row>
    <row r="1461" customFormat="false" ht="12.8" hidden="false" customHeight="false" outlineLevel="0" collapsed="false">
      <c r="A1461" s="3" t="n">
        <f aca="false">DATE(1997,9,5)</f>
        <v>35678</v>
      </c>
      <c r="B1461" s="4" t="s">
        <v>1737</v>
      </c>
      <c r="C1461" s="4" t="s">
        <v>1738</v>
      </c>
    </row>
    <row r="1462" customFormat="false" ht="12.8" hidden="false" customHeight="false" outlineLevel="0" collapsed="false">
      <c r="A1462" s="3" t="n">
        <f aca="false">DATE(1997,9,8)</f>
        <v>35681</v>
      </c>
      <c r="B1462" s="4" t="s">
        <v>1739</v>
      </c>
      <c r="C1462" s="4" t="s">
        <v>1740</v>
      </c>
    </row>
    <row r="1463" customFormat="false" ht="12.8" hidden="false" customHeight="false" outlineLevel="0" collapsed="false">
      <c r="A1463" s="3" t="n">
        <f aca="false">DATE(1997,9,8)</f>
        <v>35681</v>
      </c>
      <c r="B1463" s="4" t="s">
        <v>1741</v>
      </c>
      <c r="C1463" s="4" t="s">
        <v>1518</v>
      </c>
    </row>
    <row r="1464" customFormat="false" ht="12.8" hidden="false" customHeight="false" outlineLevel="0" collapsed="false">
      <c r="A1464" s="3" t="n">
        <f aca="false">DATE(1997,9,8)</f>
        <v>35681</v>
      </c>
      <c r="B1464" s="4" t="s">
        <v>1742</v>
      </c>
      <c r="C1464" s="4" t="s">
        <v>1740</v>
      </c>
    </row>
    <row r="1465" customFormat="false" ht="12.8" hidden="false" customHeight="false" outlineLevel="0" collapsed="false">
      <c r="A1465" s="3" t="n">
        <f aca="false">DATE(1997,9,9)</f>
        <v>35682</v>
      </c>
      <c r="B1465" s="4" t="s">
        <v>1743</v>
      </c>
      <c r="C1465" s="4" t="s">
        <v>955</v>
      </c>
    </row>
    <row r="1466" customFormat="false" ht="12.8" hidden="false" customHeight="false" outlineLevel="0" collapsed="false">
      <c r="A1466" s="3" t="n">
        <f aca="false">DATE(1997,9,9)</f>
        <v>35682</v>
      </c>
      <c r="B1466" s="4" t="s">
        <v>1744</v>
      </c>
      <c r="C1466" s="4" t="s">
        <v>1094</v>
      </c>
    </row>
    <row r="1467" customFormat="false" ht="12.8" hidden="false" customHeight="false" outlineLevel="0" collapsed="false">
      <c r="A1467" s="3" t="n">
        <f aca="false">DATE(1997,9,9)</f>
        <v>35682</v>
      </c>
      <c r="B1467" s="4" t="s">
        <v>1745</v>
      </c>
      <c r="C1467" s="4" t="s">
        <v>955</v>
      </c>
    </row>
    <row r="1468" customFormat="false" ht="12.8" hidden="false" customHeight="false" outlineLevel="0" collapsed="false">
      <c r="A1468" s="3" t="n">
        <f aca="false">DATE(1997,9,10)</f>
        <v>35683</v>
      </c>
      <c r="B1468" s="4" t="s">
        <v>1746</v>
      </c>
      <c r="C1468" s="4" t="s">
        <v>955</v>
      </c>
    </row>
    <row r="1469" customFormat="false" ht="12.8" hidden="false" customHeight="false" outlineLevel="0" collapsed="false">
      <c r="A1469" s="3" t="n">
        <f aca="false">DATE(1997,9,11)</f>
        <v>35684</v>
      </c>
      <c r="B1469" s="4" t="s">
        <v>1747</v>
      </c>
      <c r="C1469" s="4" t="s">
        <v>696</v>
      </c>
    </row>
    <row r="1470" customFormat="false" ht="12.8" hidden="false" customHeight="false" outlineLevel="0" collapsed="false">
      <c r="A1470" s="3" t="n">
        <f aca="false">DATE(1997,9,11)</f>
        <v>35684</v>
      </c>
      <c r="B1470" s="4" t="s">
        <v>1408</v>
      </c>
      <c r="C1470" s="4" t="s">
        <v>367</v>
      </c>
    </row>
    <row r="1471" customFormat="false" ht="12.8" hidden="false" customHeight="false" outlineLevel="0" collapsed="false">
      <c r="A1471" s="3" t="n">
        <f aca="false">DATE(1997,9,11)</f>
        <v>35684</v>
      </c>
      <c r="B1471" s="4" t="s">
        <v>1748</v>
      </c>
      <c r="C1471" s="4" t="s">
        <v>976</v>
      </c>
    </row>
    <row r="1472" customFormat="false" ht="12.8" hidden="false" customHeight="false" outlineLevel="0" collapsed="false">
      <c r="A1472" s="3" t="n">
        <f aca="false">DATE(1997,9,12)</f>
        <v>35685</v>
      </c>
      <c r="B1472" s="4" t="s">
        <v>1726</v>
      </c>
      <c r="C1472" s="4" t="s">
        <v>660</v>
      </c>
    </row>
    <row r="1473" customFormat="false" ht="12.8" hidden="false" customHeight="false" outlineLevel="0" collapsed="false">
      <c r="A1473" s="3" t="n">
        <f aca="false">DATE(1997,9,12)</f>
        <v>35685</v>
      </c>
      <c r="B1473" s="4" t="s">
        <v>1749</v>
      </c>
      <c r="C1473" s="4" t="s">
        <v>1729</v>
      </c>
    </row>
    <row r="1474" customFormat="false" ht="12.8" hidden="false" customHeight="false" outlineLevel="0" collapsed="false">
      <c r="A1474" s="3" t="n">
        <f aca="false">DATE(1997,9,16)</f>
        <v>35689</v>
      </c>
      <c r="B1474" s="4" t="s">
        <v>1750</v>
      </c>
      <c r="C1474" s="4" t="s">
        <v>1751</v>
      </c>
    </row>
    <row r="1475" customFormat="false" ht="12.8" hidden="false" customHeight="false" outlineLevel="0" collapsed="false">
      <c r="A1475" s="3" t="n">
        <f aca="false">DATE(1997,9,17)</f>
        <v>35690</v>
      </c>
      <c r="B1475" s="4" t="s">
        <v>1752</v>
      </c>
      <c r="C1475" s="4" t="s">
        <v>1307</v>
      </c>
    </row>
    <row r="1476" customFormat="false" ht="12.8" hidden="false" customHeight="false" outlineLevel="0" collapsed="false">
      <c r="A1476" s="3" t="n">
        <f aca="false">DATE(1997,9,18)</f>
        <v>35691</v>
      </c>
      <c r="B1476" s="4" t="s">
        <v>1753</v>
      </c>
      <c r="C1476" s="4" t="s">
        <v>1754</v>
      </c>
    </row>
    <row r="1477" customFormat="false" ht="12.8" hidden="false" customHeight="false" outlineLevel="0" collapsed="false">
      <c r="A1477" s="3" t="n">
        <f aca="false">DATE(1997,9,18)</f>
        <v>35691</v>
      </c>
      <c r="B1477" s="4" t="s">
        <v>1755</v>
      </c>
      <c r="C1477" s="4" t="s">
        <v>702</v>
      </c>
    </row>
    <row r="1478" customFormat="false" ht="12.8" hidden="false" customHeight="false" outlineLevel="0" collapsed="false">
      <c r="A1478" s="3" t="n">
        <f aca="false">DATE(1997,9,22)</f>
        <v>35695</v>
      </c>
      <c r="B1478" s="4" t="s">
        <v>1756</v>
      </c>
      <c r="C1478" s="4" t="s">
        <v>1525</v>
      </c>
    </row>
    <row r="1479" customFormat="false" ht="12.8" hidden="false" customHeight="false" outlineLevel="0" collapsed="false">
      <c r="A1479" s="3" t="n">
        <f aca="false">DATE(1997,9,23)</f>
        <v>35696</v>
      </c>
      <c r="B1479" s="4" t="s">
        <v>1757</v>
      </c>
      <c r="C1479" s="4" t="s">
        <v>1044</v>
      </c>
    </row>
    <row r="1480" customFormat="false" ht="12.8" hidden="false" customHeight="false" outlineLevel="0" collapsed="false">
      <c r="A1480" s="3" t="n">
        <f aca="false">DATE(1997,9,24)</f>
        <v>35697</v>
      </c>
      <c r="B1480" s="4" t="s">
        <v>1758</v>
      </c>
      <c r="C1480" s="4" t="s">
        <v>1013</v>
      </c>
    </row>
    <row r="1481" customFormat="false" ht="12.8" hidden="false" customHeight="false" outlineLevel="0" collapsed="false">
      <c r="A1481" s="3" t="n">
        <f aca="false">DATE(1997,9,24)</f>
        <v>35697</v>
      </c>
      <c r="B1481" s="4" t="s">
        <v>1759</v>
      </c>
      <c r="C1481" s="4" t="s">
        <v>987</v>
      </c>
    </row>
    <row r="1482" customFormat="false" ht="12.8" hidden="false" customHeight="false" outlineLevel="0" collapsed="false">
      <c r="A1482" s="3" t="n">
        <f aca="false">DATE(1997,9,24)</f>
        <v>35697</v>
      </c>
      <c r="B1482" s="4" t="s">
        <v>1258</v>
      </c>
      <c r="C1482" s="4" t="s">
        <v>987</v>
      </c>
    </row>
    <row r="1483" customFormat="false" ht="12.8" hidden="false" customHeight="false" outlineLevel="0" collapsed="false">
      <c r="A1483" s="3" t="n">
        <f aca="false">DATE(1997,9,25)</f>
        <v>35698</v>
      </c>
      <c r="B1483" s="4" t="s">
        <v>1760</v>
      </c>
      <c r="C1483" s="4" t="s">
        <v>234</v>
      </c>
    </row>
    <row r="1484" customFormat="false" ht="12.8" hidden="false" customHeight="false" outlineLevel="0" collapsed="false">
      <c r="A1484" s="3" t="n">
        <f aca="false">DATE(1997,9,29)</f>
        <v>35702</v>
      </c>
      <c r="B1484" s="4" t="s">
        <v>1761</v>
      </c>
      <c r="C1484" s="4" t="s">
        <v>1012</v>
      </c>
    </row>
    <row r="1485" customFormat="false" ht="12.8" hidden="false" customHeight="false" outlineLevel="0" collapsed="false">
      <c r="A1485" s="3" t="n">
        <f aca="false">DATE(1997,10,13)</f>
        <v>35716</v>
      </c>
      <c r="B1485" s="4" t="s">
        <v>1762</v>
      </c>
      <c r="C1485" s="4" t="s">
        <v>440</v>
      </c>
    </row>
    <row r="1486" customFormat="false" ht="12.8" hidden="false" customHeight="false" outlineLevel="0" collapsed="false">
      <c r="A1486" s="3" t="n">
        <f aca="false">DATE(1997,10,14)</f>
        <v>35717</v>
      </c>
      <c r="B1486" s="4" t="s">
        <v>1763</v>
      </c>
      <c r="C1486" s="4" t="s">
        <v>1764</v>
      </c>
    </row>
    <row r="1487" customFormat="false" ht="12.8" hidden="false" customHeight="false" outlineLevel="0" collapsed="false">
      <c r="A1487" s="3" t="n">
        <f aca="false">DATE(1997,10,14)</f>
        <v>35717</v>
      </c>
      <c r="B1487" s="4" t="s">
        <v>1765</v>
      </c>
      <c r="C1487" s="4" t="s">
        <v>1128</v>
      </c>
    </row>
    <row r="1488" customFormat="false" ht="12.8" hidden="false" customHeight="false" outlineLevel="0" collapsed="false">
      <c r="A1488" s="3" t="n">
        <f aca="false">DATE(1997,10,15)</f>
        <v>35718</v>
      </c>
      <c r="B1488" s="4" t="s">
        <v>1766</v>
      </c>
      <c r="C1488" s="4" t="s">
        <v>60</v>
      </c>
    </row>
    <row r="1489" customFormat="false" ht="12.8" hidden="false" customHeight="false" outlineLevel="0" collapsed="false">
      <c r="A1489" s="3" t="n">
        <f aca="false">DATE(1997,10,15)</f>
        <v>35718</v>
      </c>
      <c r="B1489" s="4" t="s">
        <v>1333</v>
      </c>
      <c r="C1489" s="4" t="s">
        <v>641</v>
      </c>
    </row>
    <row r="1490" customFormat="false" ht="12.8" hidden="false" customHeight="false" outlineLevel="0" collapsed="false">
      <c r="A1490" s="3" t="n">
        <f aca="false">DATE(1997,10,15)</f>
        <v>35718</v>
      </c>
      <c r="B1490" s="4" t="s">
        <v>1767</v>
      </c>
      <c r="C1490" s="4" t="s">
        <v>1768</v>
      </c>
    </row>
    <row r="1491" customFormat="false" ht="12.8" hidden="false" customHeight="false" outlineLevel="0" collapsed="false">
      <c r="A1491" s="3" t="n">
        <f aca="false">DATE(1997,10,16)</f>
        <v>35719</v>
      </c>
      <c r="B1491" s="4" t="s">
        <v>1769</v>
      </c>
      <c r="C1491" s="4" t="s">
        <v>1203</v>
      </c>
    </row>
    <row r="1492" customFormat="false" ht="12.8" hidden="false" customHeight="false" outlineLevel="0" collapsed="false">
      <c r="A1492" s="3" t="n">
        <f aca="false">DATE(1997,10,17)</f>
        <v>35720</v>
      </c>
      <c r="B1492" s="4" t="s">
        <v>1770</v>
      </c>
      <c r="C1492" s="4" t="s">
        <v>1339</v>
      </c>
    </row>
    <row r="1493" customFormat="false" ht="12.8" hidden="false" customHeight="false" outlineLevel="0" collapsed="false">
      <c r="A1493" s="3" t="n">
        <f aca="false">DATE(1997,10,20)</f>
        <v>35723</v>
      </c>
      <c r="B1493" s="4" t="s">
        <v>33</v>
      </c>
      <c r="C1493" s="4" t="s">
        <v>127</v>
      </c>
    </row>
    <row r="1494" customFormat="false" ht="12.8" hidden="false" customHeight="false" outlineLevel="0" collapsed="false">
      <c r="A1494" s="3" t="n">
        <f aca="false">DATE(1997,10,20)</f>
        <v>35723</v>
      </c>
      <c r="B1494" s="4" t="s">
        <v>1771</v>
      </c>
      <c r="C1494" s="4" t="s">
        <v>418</v>
      </c>
    </row>
    <row r="1495" customFormat="false" ht="12.8" hidden="false" customHeight="false" outlineLevel="0" collapsed="false">
      <c r="A1495" s="3" t="n">
        <f aca="false">DATE(1997,10,21)</f>
        <v>35724</v>
      </c>
      <c r="B1495" s="4" t="s">
        <v>1772</v>
      </c>
      <c r="C1495" s="4" t="s">
        <v>1529</v>
      </c>
    </row>
    <row r="1496" customFormat="false" ht="12.8" hidden="false" customHeight="false" outlineLevel="0" collapsed="false">
      <c r="A1496" s="3" t="n">
        <f aca="false">DATE(1997,10,22)</f>
        <v>35725</v>
      </c>
      <c r="B1496" s="4" t="s">
        <v>1773</v>
      </c>
      <c r="C1496" s="4" t="s">
        <v>1774</v>
      </c>
    </row>
    <row r="1497" customFormat="false" ht="12.8" hidden="false" customHeight="false" outlineLevel="0" collapsed="false">
      <c r="A1497" s="3" t="n">
        <f aca="false">DATE(1997,10,24)</f>
        <v>35727</v>
      </c>
      <c r="B1497" s="4" t="s">
        <v>1775</v>
      </c>
      <c r="C1497" s="4" t="s">
        <v>86</v>
      </c>
    </row>
    <row r="1498" customFormat="false" ht="12.8" hidden="false" customHeight="false" outlineLevel="0" collapsed="false">
      <c r="A1498" s="3" t="n">
        <f aca="false">DATE(1997,10,27)</f>
        <v>35730</v>
      </c>
      <c r="B1498" s="4" t="s">
        <v>1776</v>
      </c>
      <c r="C1498" s="4" t="s">
        <v>1497</v>
      </c>
    </row>
    <row r="1499" customFormat="false" ht="12.8" hidden="false" customHeight="false" outlineLevel="0" collapsed="false">
      <c r="A1499" s="3" t="n">
        <f aca="false">DATE(1997,10,28)</f>
        <v>35731</v>
      </c>
      <c r="B1499" s="4" t="s">
        <v>744</v>
      </c>
      <c r="C1499" s="4" t="s">
        <v>1101</v>
      </c>
    </row>
    <row r="1500" customFormat="false" ht="12.8" hidden="false" customHeight="false" outlineLevel="0" collapsed="false">
      <c r="A1500" s="3" t="n">
        <f aca="false">DATE(1997,10,28)</f>
        <v>35731</v>
      </c>
      <c r="B1500" s="4" t="s">
        <v>1777</v>
      </c>
      <c r="C1500" s="4" t="s">
        <v>1778</v>
      </c>
    </row>
    <row r="1501" customFormat="false" ht="12.8" hidden="false" customHeight="false" outlineLevel="0" collapsed="false">
      <c r="A1501" s="3" t="n">
        <f aca="false">DATE(1997,10,29)</f>
        <v>35732</v>
      </c>
      <c r="B1501" s="4" t="s">
        <v>1779</v>
      </c>
      <c r="C1501" s="4" t="s">
        <v>1780</v>
      </c>
    </row>
    <row r="1502" customFormat="false" ht="12.8" hidden="false" customHeight="false" outlineLevel="0" collapsed="false">
      <c r="A1502" s="3" t="n">
        <f aca="false">DATE(1997,10,29)</f>
        <v>35732</v>
      </c>
      <c r="B1502" s="4" t="s">
        <v>1781</v>
      </c>
      <c r="C1502" s="4" t="s">
        <v>511</v>
      </c>
    </row>
    <row r="1503" customFormat="false" ht="12.8" hidden="false" customHeight="false" outlineLevel="0" collapsed="false">
      <c r="A1503" s="3" t="n">
        <f aca="false">DATE(1997,10,30)</f>
        <v>35733</v>
      </c>
      <c r="B1503" s="4" t="s">
        <v>1782</v>
      </c>
      <c r="C1503" s="4" t="s">
        <v>904</v>
      </c>
    </row>
    <row r="1504" customFormat="false" ht="12.8" hidden="false" customHeight="false" outlineLevel="0" collapsed="false">
      <c r="A1504" s="3" t="n">
        <f aca="false">DATE(1997,10,31)</f>
        <v>35734</v>
      </c>
      <c r="B1504" s="4" t="s">
        <v>1783</v>
      </c>
      <c r="C1504" s="4" t="s">
        <v>1472</v>
      </c>
    </row>
    <row r="1505" customFormat="false" ht="12.8" hidden="false" customHeight="false" outlineLevel="0" collapsed="false">
      <c r="A1505" s="3" t="n">
        <f aca="false">DATE(1997,11,3)</f>
        <v>35737</v>
      </c>
      <c r="B1505" s="4" t="s">
        <v>1784</v>
      </c>
      <c r="C1505" s="4" t="s">
        <v>1785</v>
      </c>
    </row>
    <row r="1506" customFormat="false" ht="12.8" hidden="false" customHeight="false" outlineLevel="0" collapsed="false">
      <c r="A1506" s="3" t="n">
        <f aca="false">DATE(1997,11,3)</f>
        <v>35737</v>
      </c>
      <c r="B1506" s="4" t="s">
        <v>1786</v>
      </c>
      <c r="C1506" s="4" t="s">
        <v>475</v>
      </c>
    </row>
    <row r="1507" customFormat="false" ht="12.8" hidden="false" customHeight="false" outlineLevel="0" collapsed="false">
      <c r="A1507" s="3" t="n">
        <f aca="false">DATE(1997,11,4)</f>
        <v>35738</v>
      </c>
      <c r="B1507" s="4" t="s">
        <v>1787</v>
      </c>
      <c r="C1507" s="4" t="s">
        <v>1044</v>
      </c>
    </row>
    <row r="1508" customFormat="false" ht="12.8" hidden="false" customHeight="false" outlineLevel="0" collapsed="false">
      <c r="A1508" s="3" t="n">
        <f aca="false">DATE(1997,11,7)</f>
        <v>35741</v>
      </c>
      <c r="B1508" s="4" t="s">
        <v>1788</v>
      </c>
      <c r="C1508" s="4" t="s">
        <v>1789</v>
      </c>
    </row>
    <row r="1509" customFormat="false" ht="12.8" hidden="false" customHeight="false" outlineLevel="0" collapsed="false">
      <c r="A1509" s="3" t="n">
        <f aca="false">DATE(1997,11,17)</f>
        <v>35751</v>
      </c>
      <c r="B1509" s="4" t="s">
        <v>1790</v>
      </c>
      <c r="C1509" s="4" t="s">
        <v>80</v>
      </c>
    </row>
    <row r="1510" customFormat="false" ht="12.8" hidden="false" customHeight="false" outlineLevel="0" collapsed="false">
      <c r="A1510" s="3" t="n">
        <f aca="false">DATE(1997,11,17)</f>
        <v>35751</v>
      </c>
      <c r="B1510" s="4" t="s">
        <v>1791</v>
      </c>
      <c r="C1510" s="4" t="s">
        <v>929</v>
      </c>
    </row>
    <row r="1511" customFormat="false" ht="12.8" hidden="false" customHeight="false" outlineLevel="0" collapsed="false">
      <c r="A1511" s="3" t="n">
        <f aca="false">DATE(1997,11,18)</f>
        <v>35752</v>
      </c>
      <c r="B1511" s="4" t="s">
        <v>221</v>
      </c>
      <c r="C1511" s="4" t="s">
        <v>58</v>
      </c>
    </row>
    <row r="1512" customFormat="false" ht="12.8" hidden="false" customHeight="false" outlineLevel="0" collapsed="false">
      <c r="A1512" s="3" t="n">
        <f aca="false">DATE(1997,11,18)</f>
        <v>35752</v>
      </c>
      <c r="B1512" s="4" t="s">
        <v>995</v>
      </c>
      <c r="C1512" s="4" t="s">
        <v>440</v>
      </c>
    </row>
    <row r="1513" customFormat="false" ht="12.8" hidden="false" customHeight="false" outlineLevel="0" collapsed="false">
      <c r="A1513" s="3" t="n">
        <f aca="false">DATE(1997,11,18)</f>
        <v>35752</v>
      </c>
      <c r="B1513" s="4" t="s">
        <v>1792</v>
      </c>
      <c r="C1513" s="4" t="s">
        <v>1740</v>
      </c>
    </row>
    <row r="1514" customFormat="false" ht="12.8" hidden="false" customHeight="false" outlineLevel="0" collapsed="false">
      <c r="A1514" s="3" t="n">
        <f aca="false">DATE(1997,11,19)</f>
        <v>35753</v>
      </c>
      <c r="B1514" s="4" t="s">
        <v>1793</v>
      </c>
      <c r="C1514" s="4" t="s">
        <v>1794</v>
      </c>
    </row>
    <row r="1515" customFormat="false" ht="12.8" hidden="false" customHeight="false" outlineLevel="0" collapsed="false">
      <c r="A1515" s="3" t="n">
        <f aca="false">DATE(1997,11,20)</f>
        <v>35754</v>
      </c>
      <c r="B1515" s="4" t="s">
        <v>1795</v>
      </c>
      <c r="C1515" s="4" t="s">
        <v>1796</v>
      </c>
    </row>
    <row r="1516" customFormat="false" ht="12.8" hidden="false" customHeight="false" outlineLevel="0" collapsed="false">
      <c r="A1516" s="3" t="n">
        <f aca="false">DATE(1997,11,20)</f>
        <v>35754</v>
      </c>
      <c r="B1516" s="4" t="s">
        <v>1797</v>
      </c>
      <c r="C1516" s="4" t="s">
        <v>309</v>
      </c>
    </row>
    <row r="1517" customFormat="false" ht="12.8" hidden="false" customHeight="false" outlineLevel="0" collapsed="false">
      <c r="A1517" s="3" t="n">
        <f aca="false">DATE(1997,11,21)</f>
        <v>35755</v>
      </c>
      <c r="B1517" s="4" t="s">
        <v>1798</v>
      </c>
      <c r="C1517" s="4" t="s">
        <v>1799</v>
      </c>
    </row>
    <row r="1518" customFormat="false" ht="12.8" hidden="false" customHeight="false" outlineLevel="0" collapsed="false">
      <c r="A1518" s="3" t="n">
        <f aca="false">DATE(1997,11,21)</f>
        <v>35755</v>
      </c>
      <c r="B1518" s="4" t="s">
        <v>1800</v>
      </c>
      <c r="C1518" s="4" t="s">
        <v>1799</v>
      </c>
    </row>
    <row r="1519" customFormat="false" ht="12.8" hidden="false" customHeight="false" outlineLevel="0" collapsed="false">
      <c r="A1519" s="3" t="n">
        <f aca="false">DATE(1997,11,25)</f>
        <v>35759</v>
      </c>
      <c r="B1519" s="4" t="s">
        <v>1801</v>
      </c>
      <c r="C1519" s="4" t="s">
        <v>1474</v>
      </c>
    </row>
    <row r="1520" customFormat="false" ht="12.8" hidden="false" customHeight="false" outlineLevel="0" collapsed="false">
      <c r="A1520" s="3" t="n">
        <f aca="false">DATE(1997,12,1)</f>
        <v>35765</v>
      </c>
      <c r="B1520" s="4" t="s">
        <v>1802</v>
      </c>
      <c r="C1520" s="4" t="s">
        <v>927</v>
      </c>
    </row>
    <row r="1521" customFormat="false" ht="12.8" hidden="false" customHeight="false" outlineLevel="0" collapsed="false">
      <c r="A1521" s="3" t="n">
        <f aca="false">DATE(1997,12,1)</f>
        <v>35765</v>
      </c>
      <c r="B1521" s="4" t="s">
        <v>1803</v>
      </c>
      <c r="C1521" s="4" t="s">
        <v>1659</v>
      </c>
    </row>
    <row r="1522" customFormat="false" ht="12.8" hidden="false" customHeight="false" outlineLevel="0" collapsed="false">
      <c r="A1522" s="3" t="n">
        <f aca="false">DATE(1997,12,1)</f>
        <v>35765</v>
      </c>
      <c r="B1522" s="4" t="s">
        <v>156</v>
      </c>
      <c r="C1522" s="4" t="s">
        <v>664</v>
      </c>
    </row>
    <row r="1523" customFormat="false" ht="12.8" hidden="false" customHeight="false" outlineLevel="0" collapsed="false">
      <c r="A1523" s="3" t="n">
        <f aca="false">DATE(1997,12,2)</f>
        <v>35766</v>
      </c>
      <c r="B1523" s="4" t="s">
        <v>1804</v>
      </c>
      <c r="C1523" s="4" t="s">
        <v>1805</v>
      </c>
    </row>
    <row r="1524" customFormat="false" ht="12.8" hidden="false" customHeight="false" outlineLevel="0" collapsed="false">
      <c r="A1524" s="3" t="n">
        <f aca="false">DATE(1997,12,2)</f>
        <v>35766</v>
      </c>
      <c r="B1524" s="4" t="s">
        <v>1806</v>
      </c>
      <c r="C1524" s="4" t="s">
        <v>611</v>
      </c>
    </row>
    <row r="1525" customFormat="false" ht="12.8" hidden="false" customHeight="false" outlineLevel="0" collapsed="false">
      <c r="A1525" s="3" t="n">
        <f aca="false">DATE(1997,12,3)</f>
        <v>35767</v>
      </c>
      <c r="B1525" s="4" t="s">
        <v>1075</v>
      </c>
      <c r="C1525" s="4" t="s">
        <v>1614</v>
      </c>
    </row>
    <row r="1526" customFormat="false" ht="12.8" hidden="false" customHeight="false" outlineLevel="0" collapsed="false">
      <c r="A1526" s="3" t="n">
        <f aca="false">DATE(1997,12,5)</f>
        <v>35769</v>
      </c>
      <c r="B1526" s="4" t="s">
        <v>1807</v>
      </c>
      <c r="C1526" s="4" t="s">
        <v>1808</v>
      </c>
    </row>
    <row r="1527" customFormat="false" ht="12.8" hidden="false" customHeight="false" outlineLevel="0" collapsed="false">
      <c r="A1527" s="3" t="n">
        <f aca="false">DATE(1997,12,8)</f>
        <v>35772</v>
      </c>
      <c r="B1527" s="4" t="s">
        <v>234</v>
      </c>
      <c r="C1527" s="4" t="s">
        <v>180</v>
      </c>
    </row>
    <row r="1528" customFormat="false" ht="12.8" hidden="false" customHeight="false" outlineLevel="0" collapsed="false">
      <c r="A1528" s="3" t="n">
        <f aca="false">DATE(1997,12,9)</f>
        <v>35773</v>
      </c>
      <c r="B1528" s="4" t="s">
        <v>1809</v>
      </c>
      <c r="C1528" s="4" t="s">
        <v>1401</v>
      </c>
    </row>
    <row r="1529" customFormat="false" ht="12.8" hidden="false" customHeight="false" outlineLevel="0" collapsed="false">
      <c r="A1529" s="3" t="n">
        <f aca="false">DATE(1997,12,10)</f>
        <v>35774</v>
      </c>
      <c r="B1529" s="4" t="s">
        <v>1810</v>
      </c>
      <c r="C1529" s="4" t="s">
        <v>1811</v>
      </c>
    </row>
    <row r="1530" customFormat="false" ht="12.8" hidden="false" customHeight="false" outlineLevel="0" collapsed="false">
      <c r="A1530" s="3" t="n">
        <f aca="false">DATE(1997,12,11)</f>
        <v>35775</v>
      </c>
      <c r="B1530" s="4" t="s">
        <v>1812</v>
      </c>
      <c r="C1530" s="4" t="s">
        <v>1044</v>
      </c>
    </row>
    <row r="1531" customFormat="false" ht="12.8" hidden="false" customHeight="false" outlineLevel="0" collapsed="false">
      <c r="A1531" s="3" t="n">
        <f aca="false">DATE(1997,12,12)</f>
        <v>35776</v>
      </c>
      <c r="B1531" s="4" t="s">
        <v>1813</v>
      </c>
      <c r="C1531" s="4" t="s">
        <v>611</v>
      </c>
    </row>
    <row r="1532" customFormat="false" ht="12.8" hidden="false" customHeight="false" outlineLevel="0" collapsed="false">
      <c r="A1532" s="3" t="n">
        <f aca="false">DATE(1997,12,12)</f>
        <v>35776</v>
      </c>
      <c r="B1532" s="4" t="s">
        <v>1814</v>
      </c>
      <c r="C1532" s="4" t="s">
        <v>1805</v>
      </c>
    </row>
    <row r="1533" customFormat="false" ht="12.8" hidden="false" customHeight="false" outlineLevel="0" collapsed="false">
      <c r="A1533" s="3" t="n">
        <f aca="false">DATE(1997,12,16)</f>
        <v>35780</v>
      </c>
      <c r="B1533" s="4" t="s">
        <v>1144</v>
      </c>
      <c r="C1533" s="4" t="s">
        <v>1780</v>
      </c>
    </row>
    <row r="1534" customFormat="false" ht="12.8" hidden="false" customHeight="false" outlineLevel="0" collapsed="false">
      <c r="A1534" s="3" t="n">
        <f aca="false">DATE(1997,12,16)</f>
        <v>35780</v>
      </c>
      <c r="B1534" s="4" t="s">
        <v>1815</v>
      </c>
      <c r="C1534" s="4" t="s">
        <v>1614</v>
      </c>
    </row>
    <row r="1535" customFormat="false" ht="12.8" hidden="false" customHeight="false" outlineLevel="0" collapsed="false">
      <c r="A1535" s="3" t="n">
        <f aca="false">DATE(1997,12,19)</f>
        <v>35783</v>
      </c>
      <c r="B1535" s="4" t="s">
        <v>1816</v>
      </c>
      <c r="C1535" s="4" t="s">
        <v>1817</v>
      </c>
    </row>
    <row r="1536" customFormat="false" ht="12.8" hidden="false" customHeight="false" outlineLevel="0" collapsed="false">
      <c r="A1536" s="3" t="n">
        <f aca="false">DATE(1997,12,29)</f>
        <v>35793</v>
      </c>
      <c r="B1536" s="4" t="s">
        <v>1376</v>
      </c>
      <c r="C1536" s="4" t="s">
        <v>987</v>
      </c>
    </row>
    <row r="1537" customFormat="false" ht="12.8" hidden="false" customHeight="false" outlineLevel="0" collapsed="false">
      <c r="A1537" s="3" t="n">
        <f aca="false">DATE(1997,12,30)</f>
        <v>35794</v>
      </c>
      <c r="B1537" s="4" t="s">
        <v>1818</v>
      </c>
      <c r="C1537" s="4" t="s">
        <v>1819</v>
      </c>
    </row>
    <row r="1538" customFormat="false" ht="12.8" hidden="false" customHeight="false" outlineLevel="0" collapsed="false">
      <c r="A1538" s="3" t="n">
        <f aca="false">DATE(1997,12,30)</f>
        <v>35794</v>
      </c>
      <c r="B1538" s="4" t="s">
        <v>1820</v>
      </c>
      <c r="C1538" s="4" t="s">
        <v>1821</v>
      </c>
    </row>
    <row r="1539" customFormat="false" ht="12.8" hidden="false" customHeight="false" outlineLevel="0" collapsed="false">
      <c r="A1539" s="3" t="n">
        <f aca="false">DATE(1997,12,30)</f>
        <v>35794</v>
      </c>
      <c r="B1539" s="4" t="s">
        <v>1822</v>
      </c>
      <c r="C1539" s="4" t="s">
        <v>987</v>
      </c>
    </row>
    <row r="1540" customFormat="false" ht="12.8" hidden="false" customHeight="false" outlineLevel="0" collapsed="false">
      <c r="A1540" s="3" t="n">
        <f aca="false">DATE(1997,12,30)</f>
        <v>35794</v>
      </c>
      <c r="B1540" s="4" t="s">
        <v>1823</v>
      </c>
      <c r="C1540" s="4" t="s">
        <v>1287</v>
      </c>
    </row>
    <row r="1541" customFormat="false" ht="12.8" hidden="false" customHeight="false" outlineLevel="0" collapsed="false">
      <c r="A1541" s="3" t="n">
        <f aca="false">DATE(1997,12,31)</f>
        <v>35795</v>
      </c>
      <c r="B1541" s="4" t="s">
        <v>1824</v>
      </c>
      <c r="C1541" s="4" t="s">
        <v>726</v>
      </c>
    </row>
    <row r="1542" customFormat="false" ht="12.8" hidden="false" customHeight="false" outlineLevel="0" collapsed="false">
      <c r="A1542" s="3" t="n">
        <f aca="false">DATE(1998,1,2)</f>
        <v>35797</v>
      </c>
      <c r="B1542" s="4" t="s">
        <v>1825</v>
      </c>
      <c r="C1542" s="4" t="s">
        <v>1241</v>
      </c>
    </row>
    <row r="1543" customFormat="false" ht="12.8" hidden="false" customHeight="false" outlineLevel="0" collapsed="false">
      <c r="A1543" s="3" t="n">
        <f aca="false">DATE(1998,1,5)</f>
        <v>35800</v>
      </c>
      <c r="B1543" s="4" t="s">
        <v>1826</v>
      </c>
      <c r="C1543" s="4" t="s">
        <v>105</v>
      </c>
    </row>
    <row r="1544" customFormat="false" ht="12.8" hidden="false" customHeight="false" outlineLevel="0" collapsed="false">
      <c r="A1544" s="3" t="n">
        <f aca="false">DATE(1998,1,5)</f>
        <v>35800</v>
      </c>
      <c r="B1544" s="4" t="s">
        <v>1827</v>
      </c>
      <c r="C1544" s="4" t="s">
        <v>1828</v>
      </c>
    </row>
    <row r="1545" customFormat="false" ht="12.8" hidden="false" customHeight="false" outlineLevel="0" collapsed="false">
      <c r="A1545" s="3" t="n">
        <f aca="false">DATE(1998,1,7)</f>
        <v>35802</v>
      </c>
      <c r="B1545" s="4" t="s">
        <v>1829</v>
      </c>
      <c r="C1545" s="4" t="s">
        <v>1463</v>
      </c>
    </row>
    <row r="1546" customFormat="false" ht="12.8" hidden="false" customHeight="false" outlineLevel="0" collapsed="false">
      <c r="A1546" s="3" t="n">
        <f aca="false">DATE(1998,1,7)</f>
        <v>35802</v>
      </c>
      <c r="B1546" s="4" t="s">
        <v>1830</v>
      </c>
      <c r="C1546" s="4" t="s">
        <v>440</v>
      </c>
    </row>
    <row r="1547" customFormat="false" ht="12.8" hidden="false" customHeight="false" outlineLevel="0" collapsed="false">
      <c r="A1547" s="3" t="n">
        <f aca="false">DATE(1998,1,7)</f>
        <v>35802</v>
      </c>
      <c r="B1547" s="4" t="s">
        <v>1831</v>
      </c>
      <c r="C1547" s="4" t="s">
        <v>1832</v>
      </c>
    </row>
    <row r="1548" customFormat="false" ht="12.8" hidden="false" customHeight="false" outlineLevel="0" collapsed="false">
      <c r="A1548" s="3" t="n">
        <f aca="false">DATE(1998,1,9)</f>
        <v>35804</v>
      </c>
      <c r="B1548" s="4" t="s">
        <v>1833</v>
      </c>
      <c r="C1548" s="4" t="s">
        <v>1112</v>
      </c>
    </row>
    <row r="1549" customFormat="false" ht="12.8" hidden="false" customHeight="false" outlineLevel="0" collapsed="false">
      <c r="A1549" s="3" t="n">
        <f aca="false">DATE(1998,1,9)</f>
        <v>35804</v>
      </c>
      <c r="B1549" s="4" t="s">
        <v>467</v>
      </c>
      <c r="C1549" s="4" t="s">
        <v>664</v>
      </c>
    </row>
    <row r="1550" customFormat="false" ht="12.8" hidden="false" customHeight="false" outlineLevel="0" collapsed="false">
      <c r="A1550" s="3" t="n">
        <f aca="false">DATE(1998,1,12)</f>
        <v>35807</v>
      </c>
      <c r="B1550" s="4" t="s">
        <v>1050</v>
      </c>
      <c r="C1550" s="4" t="s">
        <v>681</v>
      </c>
    </row>
    <row r="1551" customFormat="false" ht="12.8" hidden="false" customHeight="false" outlineLevel="0" collapsed="false">
      <c r="A1551" s="3" t="n">
        <f aca="false">DATE(1998,1,13)</f>
        <v>35808</v>
      </c>
      <c r="B1551" s="4" t="s">
        <v>1834</v>
      </c>
      <c r="C1551" s="4" t="s">
        <v>1044</v>
      </c>
    </row>
    <row r="1552" customFormat="false" ht="12.8" hidden="false" customHeight="false" outlineLevel="0" collapsed="false">
      <c r="A1552" s="3" t="n">
        <f aca="false">DATE(1998,1,15)</f>
        <v>35810</v>
      </c>
      <c r="B1552" s="4" t="s">
        <v>663</v>
      </c>
      <c r="C1552" s="4" t="s">
        <v>602</v>
      </c>
    </row>
    <row r="1553" customFormat="false" ht="12.8" hidden="false" customHeight="false" outlineLevel="0" collapsed="false">
      <c r="A1553" s="3" t="n">
        <f aca="false">DATE(1998,1,21)</f>
        <v>35816</v>
      </c>
      <c r="B1553" s="4" t="s">
        <v>1835</v>
      </c>
      <c r="C1553" s="4" t="s">
        <v>440</v>
      </c>
    </row>
    <row r="1554" customFormat="false" ht="12.8" hidden="false" customHeight="false" outlineLevel="0" collapsed="false">
      <c r="A1554" s="3" t="n">
        <f aca="false">DATE(1998,1,26)</f>
        <v>35821</v>
      </c>
      <c r="B1554" s="4" t="s">
        <v>1836</v>
      </c>
      <c r="C1554" s="4" t="s">
        <v>381</v>
      </c>
    </row>
    <row r="1555" customFormat="false" ht="12.8" hidden="false" customHeight="false" outlineLevel="0" collapsed="false">
      <c r="A1555" s="3" t="n">
        <f aca="false">DATE(1998,1,26)</f>
        <v>35821</v>
      </c>
      <c r="B1555" s="4" t="s">
        <v>1837</v>
      </c>
      <c r="C1555" s="4" t="s">
        <v>920</v>
      </c>
    </row>
    <row r="1556" customFormat="false" ht="12.8" hidden="false" customHeight="false" outlineLevel="0" collapsed="false">
      <c r="A1556" s="3" t="n">
        <f aca="false">DATE(1998,1,26)</f>
        <v>35821</v>
      </c>
      <c r="B1556" s="4" t="s">
        <v>1838</v>
      </c>
      <c r="C1556" s="4" t="s">
        <v>987</v>
      </c>
    </row>
    <row r="1557" customFormat="false" ht="12.8" hidden="false" customHeight="false" outlineLevel="0" collapsed="false">
      <c r="A1557" s="3" t="n">
        <f aca="false">DATE(1998,1,28)</f>
        <v>35823</v>
      </c>
      <c r="B1557" s="4" t="s">
        <v>443</v>
      </c>
      <c r="C1557" s="4" t="s">
        <v>1044</v>
      </c>
    </row>
    <row r="1558" customFormat="false" ht="12.8" hidden="false" customHeight="false" outlineLevel="0" collapsed="false">
      <c r="A1558" s="3" t="n">
        <f aca="false">DATE(1998,1,28)</f>
        <v>35823</v>
      </c>
      <c r="B1558" s="4" t="s">
        <v>1839</v>
      </c>
      <c r="C1558" s="4" t="s">
        <v>1840</v>
      </c>
    </row>
    <row r="1559" customFormat="false" ht="12.8" hidden="false" customHeight="false" outlineLevel="0" collapsed="false">
      <c r="A1559" s="3" t="n">
        <f aca="false">DATE(1998,1,29)</f>
        <v>35824</v>
      </c>
      <c r="B1559" s="4" t="s">
        <v>1841</v>
      </c>
      <c r="C1559" s="4" t="s">
        <v>1842</v>
      </c>
    </row>
    <row r="1560" customFormat="false" ht="12.8" hidden="false" customHeight="false" outlineLevel="0" collapsed="false">
      <c r="A1560" s="3" t="n">
        <f aca="false">DATE(1998,1,29)</f>
        <v>35824</v>
      </c>
      <c r="B1560" s="4" t="s">
        <v>1843</v>
      </c>
      <c r="C1560" s="4" t="s">
        <v>1844</v>
      </c>
    </row>
    <row r="1561" customFormat="false" ht="12.8" hidden="false" customHeight="false" outlineLevel="0" collapsed="false">
      <c r="A1561" s="3" t="n">
        <f aca="false">DATE(1998,1,30)</f>
        <v>35825</v>
      </c>
      <c r="B1561" s="4" t="s">
        <v>1845</v>
      </c>
      <c r="C1561" s="4" t="s">
        <v>1846</v>
      </c>
    </row>
    <row r="1562" customFormat="false" ht="12.8" hidden="false" customHeight="false" outlineLevel="0" collapsed="false">
      <c r="A1562" s="3" t="n">
        <f aca="false">DATE(1998,2,2)</f>
        <v>35828</v>
      </c>
      <c r="B1562" s="4" t="s">
        <v>1847</v>
      </c>
      <c r="C1562" s="4" t="s">
        <v>60</v>
      </c>
    </row>
    <row r="1563" customFormat="false" ht="12.8" hidden="false" customHeight="false" outlineLevel="0" collapsed="false">
      <c r="A1563" s="3" t="n">
        <f aca="false">DATE(1998,2,2)</f>
        <v>35828</v>
      </c>
      <c r="B1563" s="4" t="s">
        <v>1848</v>
      </c>
      <c r="C1563" s="4" t="s">
        <v>1849</v>
      </c>
    </row>
    <row r="1564" customFormat="false" ht="12.8" hidden="false" customHeight="false" outlineLevel="0" collapsed="false">
      <c r="A1564" s="3" t="n">
        <f aca="false">DATE(1998,2,2)</f>
        <v>35828</v>
      </c>
      <c r="B1564" s="4" t="s">
        <v>1850</v>
      </c>
      <c r="C1564" s="4" t="s">
        <v>1459</v>
      </c>
    </row>
    <row r="1565" customFormat="false" ht="12.8" hidden="false" customHeight="false" outlineLevel="0" collapsed="false">
      <c r="A1565" s="3" t="n">
        <f aca="false">DATE(1998,2,4)</f>
        <v>35830</v>
      </c>
      <c r="B1565" s="4" t="s">
        <v>1851</v>
      </c>
      <c r="C1565" s="4" t="s">
        <v>1852</v>
      </c>
    </row>
    <row r="1566" customFormat="false" ht="12.8" hidden="false" customHeight="false" outlineLevel="0" collapsed="false">
      <c r="A1566" s="3" t="n">
        <f aca="false">DATE(1998,2,5)</f>
        <v>35831</v>
      </c>
      <c r="B1566" s="4" t="s">
        <v>1853</v>
      </c>
      <c r="C1566" s="4" t="s">
        <v>1614</v>
      </c>
    </row>
    <row r="1567" customFormat="false" ht="12.8" hidden="false" customHeight="false" outlineLevel="0" collapsed="false">
      <c r="A1567" s="3" t="n">
        <f aca="false">DATE(1998,2,10)</f>
        <v>35836</v>
      </c>
      <c r="B1567" s="4" t="s">
        <v>1854</v>
      </c>
      <c r="C1567" s="4" t="s">
        <v>86</v>
      </c>
    </row>
    <row r="1568" customFormat="false" ht="12.8" hidden="false" customHeight="false" outlineLevel="0" collapsed="false">
      <c r="A1568" s="3" t="n">
        <f aca="false">DATE(1998,2,10)</f>
        <v>35836</v>
      </c>
      <c r="B1568" s="4" t="s">
        <v>1855</v>
      </c>
      <c r="C1568" s="4" t="s">
        <v>1646</v>
      </c>
    </row>
    <row r="1569" customFormat="false" ht="12.8" hidden="false" customHeight="false" outlineLevel="0" collapsed="false">
      <c r="A1569" s="3" t="n">
        <f aca="false">DATE(1998,2,11)</f>
        <v>35837</v>
      </c>
      <c r="B1569" s="4" t="s">
        <v>1856</v>
      </c>
      <c r="C1569" s="4" t="s">
        <v>1857</v>
      </c>
    </row>
    <row r="1570" customFormat="false" ht="12.8" hidden="false" customHeight="false" outlineLevel="0" collapsed="false">
      <c r="A1570" s="3" t="n">
        <f aca="false">DATE(1998,2,11)</f>
        <v>35837</v>
      </c>
      <c r="B1570" s="4" t="s">
        <v>1858</v>
      </c>
      <c r="C1570" s="4" t="s">
        <v>1859</v>
      </c>
    </row>
    <row r="1571" customFormat="false" ht="12.8" hidden="false" customHeight="false" outlineLevel="0" collapsed="false">
      <c r="A1571" s="3" t="n">
        <f aca="false">DATE(1998,2,13)</f>
        <v>35839</v>
      </c>
      <c r="B1571" s="4" t="s">
        <v>1860</v>
      </c>
      <c r="C1571" s="4" t="s">
        <v>1044</v>
      </c>
    </row>
    <row r="1572" customFormat="false" ht="12.8" hidden="false" customHeight="false" outlineLevel="0" collapsed="false">
      <c r="A1572" s="3" t="n">
        <f aca="false">DATE(1998,2,13)</f>
        <v>35839</v>
      </c>
      <c r="B1572" s="4" t="s">
        <v>1861</v>
      </c>
      <c r="C1572" s="4" t="s">
        <v>641</v>
      </c>
    </row>
    <row r="1573" customFormat="false" ht="12.8" hidden="false" customHeight="false" outlineLevel="0" collapsed="false">
      <c r="A1573" s="3" t="n">
        <f aca="false">DATE(1998,2,13)</f>
        <v>35839</v>
      </c>
      <c r="B1573" s="4" t="s">
        <v>1862</v>
      </c>
      <c r="C1573" s="4" t="s">
        <v>1307</v>
      </c>
    </row>
    <row r="1574" customFormat="false" ht="12.8" hidden="false" customHeight="false" outlineLevel="0" collapsed="false">
      <c r="A1574" s="3" t="n">
        <f aca="false">DATE(1998,2,17)</f>
        <v>35843</v>
      </c>
      <c r="B1574" s="4" t="s">
        <v>1863</v>
      </c>
      <c r="C1574" s="4" t="s">
        <v>9</v>
      </c>
    </row>
    <row r="1575" customFormat="false" ht="12.8" hidden="false" customHeight="false" outlineLevel="0" collapsed="false">
      <c r="A1575" s="3" t="n">
        <f aca="false">DATE(1998,2,17)</f>
        <v>35843</v>
      </c>
      <c r="B1575" s="4" t="s">
        <v>1864</v>
      </c>
      <c r="C1575" s="4" t="s">
        <v>1865</v>
      </c>
    </row>
    <row r="1576" customFormat="false" ht="12.8" hidden="false" customHeight="false" outlineLevel="0" collapsed="false">
      <c r="A1576" s="3" t="n">
        <f aca="false">DATE(1998,2,18)</f>
        <v>35844</v>
      </c>
      <c r="B1576" s="4" t="s">
        <v>1866</v>
      </c>
      <c r="C1576" s="4" t="s">
        <v>953</v>
      </c>
    </row>
    <row r="1577" customFormat="false" ht="12.8" hidden="false" customHeight="false" outlineLevel="0" collapsed="false">
      <c r="A1577" s="3" t="n">
        <f aca="false">DATE(1998,2,19)</f>
        <v>35845</v>
      </c>
      <c r="B1577" s="4" t="s">
        <v>614</v>
      </c>
      <c r="C1577" s="4" t="s">
        <v>673</v>
      </c>
    </row>
    <row r="1578" customFormat="false" ht="12.8" hidden="false" customHeight="false" outlineLevel="0" collapsed="false">
      <c r="A1578" s="3" t="n">
        <f aca="false">DATE(1998,2,19)</f>
        <v>35845</v>
      </c>
      <c r="B1578" s="4" t="s">
        <v>1867</v>
      </c>
      <c r="C1578" s="4" t="s">
        <v>1044</v>
      </c>
    </row>
    <row r="1579" customFormat="false" ht="12.8" hidden="false" customHeight="false" outlineLevel="0" collapsed="false">
      <c r="A1579" s="3" t="n">
        <f aca="false">DATE(1998,2,20)</f>
        <v>35846</v>
      </c>
      <c r="B1579" s="4" t="s">
        <v>1868</v>
      </c>
      <c r="C1579" s="4" t="s">
        <v>1869</v>
      </c>
    </row>
    <row r="1580" customFormat="false" ht="12.8" hidden="false" customHeight="false" outlineLevel="0" collapsed="false">
      <c r="A1580" s="3" t="n">
        <f aca="false">DATE(1998,2,23)</f>
        <v>35849</v>
      </c>
      <c r="B1580" s="4" t="s">
        <v>364</v>
      </c>
      <c r="C1580" s="4" t="s">
        <v>440</v>
      </c>
    </row>
    <row r="1581" customFormat="false" ht="12.8" hidden="false" customHeight="false" outlineLevel="0" collapsed="false">
      <c r="A1581" s="3" t="n">
        <f aca="false">DATE(1998,2,25)</f>
        <v>35851</v>
      </c>
      <c r="B1581" s="4" t="s">
        <v>1870</v>
      </c>
      <c r="C1581" s="4" t="s">
        <v>1871</v>
      </c>
    </row>
    <row r="1582" customFormat="false" ht="12.8" hidden="false" customHeight="false" outlineLevel="0" collapsed="false">
      <c r="A1582" s="3" t="n">
        <f aca="false">DATE(1998,2,26)</f>
        <v>35852</v>
      </c>
      <c r="B1582" s="4" t="s">
        <v>1872</v>
      </c>
      <c r="C1582" s="4" t="s">
        <v>955</v>
      </c>
    </row>
    <row r="1583" customFormat="false" ht="12.8" hidden="false" customHeight="false" outlineLevel="0" collapsed="false">
      <c r="A1583" s="3" t="n">
        <f aca="false">DATE(1998,2,26)</f>
        <v>35852</v>
      </c>
      <c r="B1583" s="4" t="s">
        <v>1873</v>
      </c>
      <c r="C1583" s="4" t="s">
        <v>1874</v>
      </c>
    </row>
    <row r="1584" customFormat="false" ht="12.8" hidden="false" customHeight="false" outlineLevel="0" collapsed="false">
      <c r="A1584" s="3" t="n">
        <f aca="false">DATE(1998,2,26)</f>
        <v>35852</v>
      </c>
      <c r="B1584" s="4" t="s">
        <v>1875</v>
      </c>
      <c r="C1584" s="4" t="s">
        <v>461</v>
      </c>
    </row>
    <row r="1585" customFormat="false" ht="12.8" hidden="false" customHeight="false" outlineLevel="0" collapsed="false">
      <c r="A1585" s="3" t="n">
        <f aca="false">DATE(1998,3,3)</f>
        <v>35857</v>
      </c>
      <c r="B1585" s="4" t="s">
        <v>1876</v>
      </c>
      <c r="C1585" s="4" t="s">
        <v>847</v>
      </c>
    </row>
    <row r="1586" customFormat="false" ht="12.8" hidden="false" customHeight="false" outlineLevel="0" collapsed="false">
      <c r="A1586" s="3" t="n">
        <f aca="false">DATE(1998,3,5)</f>
        <v>35859</v>
      </c>
      <c r="B1586" s="4" t="s">
        <v>1877</v>
      </c>
      <c r="C1586" s="4" t="s">
        <v>1341</v>
      </c>
    </row>
    <row r="1587" customFormat="false" ht="12.8" hidden="false" customHeight="false" outlineLevel="0" collapsed="false">
      <c r="A1587" s="3" t="n">
        <f aca="false">DATE(1998,3,9)</f>
        <v>35863</v>
      </c>
      <c r="B1587" s="4" t="s">
        <v>1878</v>
      </c>
      <c r="C1587" s="4" t="s">
        <v>824</v>
      </c>
    </row>
    <row r="1588" customFormat="false" ht="12.8" hidden="false" customHeight="false" outlineLevel="0" collapsed="false">
      <c r="A1588" s="3" t="n">
        <f aca="false">DATE(1998,3,19)</f>
        <v>35873</v>
      </c>
      <c r="B1588" s="4" t="s">
        <v>1879</v>
      </c>
      <c r="C1588" s="4" t="s">
        <v>1307</v>
      </c>
    </row>
    <row r="1589" customFormat="false" ht="12.8" hidden="false" customHeight="false" outlineLevel="0" collapsed="false">
      <c r="A1589" s="3" t="n">
        <f aca="false">DATE(1998,3,24)</f>
        <v>35878</v>
      </c>
      <c r="B1589" s="4" t="s">
        <v>1880</v>
      </c>
      <c r="C1589" s="4" t="s">
        <v>1733</v>
      </c>
    </row>
    <row r="1590" customFormat="false" ht="12.8" hidden="false" customHeight="false" outlineLevel="0" collapsed="false">
      <c r="A1590" s="3" t="n">
        <f aca="false">DATE(1998,3,24)</f>
        <v>35878</v>
      </c>
      <c r="B1590" s="4" t="s">
        <v>1881</v>
      </c>
      <c r="C1590" s="4" t="s">
        <v>1044</v>
      </c>
    </row>
    <row r="1591" customFormat="false" ht="12.8" hidden="false" customHeight="false" outlineLevel="0" collapsed="false">
      <c r="A1591" s="3" t="n">
        <f aca="false">DATE(1998,3,26)</f>
        <v>35880</v>
      </c>
      <c r="B1591" s="4" t="s">
        <v>1882</v>
      </c>
      <c r="C1591" s="4" t="s">
        <v>987</v>
      </c>
    </row>
    <row r="1592" customFormat="false" ht="12.8" hidden="false" customHeight="false" outlineLevel="0" collapsed="false">
      <c r="A1592" s="3" t="n">
        <f aca="false">DATE(1998,3,27)</f>
        <v>35881</v>
      </c>
      <c r="B1592" s="4" t="s">
        <v>1883</v>
      </c>
      <c r="C1592" s="4" t="s">
        <v>955</v>
      </c>
    </row>
    <row r="1593" customFormat="false" ht="12.8" hidden="false" customHeight="false" outlineLevel="0" collapsed="false">
      <c r="A1593" s="3" t="n">
        <f aca="false">DATE(1998,3,31)</f>
        <v>35885</v>
      </c>
      <c r="B1593" s="4" t="s">
        <v>813</v>
      </c>
      <c r="C1593" s="4" t="s">
        <v>440</v>
      </c>
    </row>
    <row r="1594" customFormat="false" ht="12.8" hidden="false" customHeight="false" outlineLevel="0" collapsed="false">
      <c r="A1594" s="3" t="n">
        <f aca="false">DATE(1998,3,31)</f>
        <v>35885</v>
      </c>
      <c r="B1594" s="4" t="s">
        <v>1884</v>
      </c>
      <c r="C1594" s="4" t="s">
        <v>847</v>
      </c>
    </row>
    <row r="1595" customFormat="false" ht="12.8" hidden="false" customHeight="false" outlineLevel="0" collapsed="false">
      <c r="A1595" s="3" t="n">
        <f aca="false">DATE(1998,4,1)</f>
        <v>35886</v>
      </c>
      <c r="B1595" s="4" t="s">
        <v>1885</v>
      </c>
      <c r="C1595" s="4" t="s">
        <v>596</v>
      </c>
    </row>
    <row r="1596" customFormat="false" ht="12.8" hidden="false" customHeight="false" outlineLevel="0" collapsed="false">
      <c r="A1596" s="3" t="n">
        <f aca="false">DATE(1998,4,6)</f>
        <v>35891</v>
      </c>
      <c r="B1596" s="4" t="s">
        <v>1886</v>
      </c>
      <c r="C1596" s="4" t="s">
        <v>1887</v>
      </c>
    </row>
    <row r="1597" customFormat="false" ht="12.8" hidden="false" customHeight="false" outlineLevel="0" collapsed="false">
      <c r="A1597" s="3" t="n">
        <f aca="false">DATE(1998,4,7)</f>
        <v>35892</v>
      </c>
      <c r="B1597" s="4" t="s">
        <v>1888</v>
      </c>
      <c r="C1597" s="4" t="s">
        <v>1889</v>
      </c>
    </row>
    <row r="1598" customFormat="false" ht="12.8" hidden="false" customHeight="false" outlineLevel="0" collapsed="false">
      <c r="A1598" s="3" t="n">
        <f aca="false">DATE(1998,4,10)</f>
        <v>35895</v>
      </c>
      <c r="B1598" s="4" t="s">
        <v>803</v>
      </c>
      <c r="C1598" s="4" t="s">
        <v>1890</v>
      </c>
    </row>
    <row r="1599" customFormat="false" ht="12.8" hidden="false" customHeight="false" outlineLevel="0" collapsed="false">
      <c r="A1599" s="3" t="n">
        <f aca="false">DATE(1998,4,13)</f>
        <v>35898</v>
      </c>
      <c r="B1599" s="4" t="s">
        <v>66</v>
      </c>
      <c r="C1599" s="4" t="s">
        <v>782</v>
      </c>
    </row>
    <row r="1600" customFormat="false" ht="12.8" hidden="false" customHeight="false" outlineLevel="0" collapsed="false">
      <c r="A1600" s="3" t="n">
        <f aca="false">DATE(1998,4,13)</f>
        <v>35898</v>
      </c>
      <c r="B1600" s="4" t="s">
        <v>1891</v>
      </c>
      <c r="C1600" s="4" t="s">
        <v>681</v>
      </c>
    </row>
    <row r="1601" customFormat="false" ht="12.8" hidden="false" customHeight="false" outlineLevel="0" collapsed="false">
      <c r="A1601" s="3" t="n">
        <f aca="false">DATE(1998,4,13)</f>
        <v>35898</v>
      </c>
      <c r="B1601" s="4" t="s">
        <v>1453</v>
      </c>
      <c r="C1601" s="4" t="s">
        <v>127</v>
      </c>
    </row>
    <row r="1602" customFormat="false" ht="12.8" hidden="false" customHeight="false" outlineLevel="0" collapsed="false">
      <c r="A1602" s="3" t="n">
        <f aca="false">DATE(1998,4,14)</f>
        <v>35899</v>
      </c>
      <c r="B1602" s="4" t="s">
        <v>815</v>
      </c>
      <c r="C1602" s="4" t="s">
        <v>459</v>
      </c>
    </row>
    <row r="1603" customFormat="false" ht="12.8" hidden="false" customHeight="false" outlineLevel="0" collapsed="false">
      <c r="A1603" s="3" t="n">
        <f aca="false">DATE(1998,4,14)</f>
        <v>35899</v>
      </c>
      <c r="B1603" s="4" t="s">
        <v>1892</v>
      </c>
      <c r="C1603" s="4" t="s">
        <v>1893</v>
      </c>
    </row>
    <row r="1604" customFormat="false" ht="12.8" hidden="false" customHeight="false" outlineLevel="0" collapsed="false">
      <c r="A1604" s="3" t="n">
        <f aca="false">DATE(1998,4,16)</f>
        <v>35901</v>
      </c>
      <c r="B1604" s="4" t="s">
        <v>1693</v>
      </c>
      <c r="C1604" s="4" t="s">
        <v>1664</v>
      </c>
    </row>
    <row r="1605" customFormat="false" ht="12.8" hidden="false" customHeight="false" outlineLevel="0" collapsed="false">
      <c r="A1605" s="3" t="n">
        <f aca="false">DATE(1998,4,16)</f>
        <v>35901</v>
      </c>
      <c r="B1605" s="4" t="s">
        <v>1894</v>
      </c>
      <c r="C1605" s="4" t="s">
        <v>1685</v>
      </c>
    </row>
    <row r="1606" customFormat="false" ht="12.8" hidden="false" customHeight="false" outlineLevel="0" collapsed="false">
      <c r="A1606" s="3" t="n">
        <f aca="false">DATE(1998,4,16)</f>
        <v>35901</v>
      </c>
      <c r="B1606" s="4" t="s">
        <v>1895</v>
      </c>
      <c r="C1606" s="4" t="s">
        <v>459</v>
      </c>
    </row>
    <row r="1607" customFormat="false" ht="12.8" hidden="false" customHeight="false" outlineLevel="0" collapsed="false">
      <c r="A1607" s="3" t="n">
        <f aca="false">DATE(1998,4,20)</f>
        <v>35905</v>
      </c>
      <c r="B1607" s="4" t="s">
        <v>1896</v>
      </c>
      <c r="C1607" s="4" t="s">
        <v>1897</v>
      </c>
    </row>
    <row r="1608" customFormat="false" ht="12.8" hidden="false" customHeight="false" outlineLevel="0" collapsed="false">
      <c r="A1608" s="3" t="n">
        <f aca="false">DATE(1998,4,20)</f>
        <v>35905</v>
      </c>
      <c r="B1608" s="4" t="s">
        <v>1898</v>
      </c>
      <c r="C1608" s="4" t="s">
        <v>1899</v>
      </c>
    </row>
    <row r="1609" customFormat="false" ht="12.8" hidden="false" customHeight="false" outlineLevel="0" collapsed="false">
      <c r="A1609" s="3" t="n">
        <f aca="false">DATE(1998,4,22)</f>
        <v>35907</v>
      </c>
      <c r="B1609" s="4" t="s">
        <v>1900</v>
      </c>
      <c r="C1609" s="4" t="s">
        <v>169</v>
      </c>
    </row>
    <row r="1610" customFormat="false" ht="12.8" hidden="false" customHeight="false" outlineLevel="0" collapsed="false">
      <c r="A1610" s="3" t="n">
        <f aca="false">DATE(1998,4,22)</f>
        <v>35907</v>
      </c>
      <c r="B1610" s="4" t="s">
        <v>1901</v>
      </c>
      <c r="C1610" s="4" t="s">
        <v>820</v>
      </c>
    </row>
    <row r="1611" customFormat="false" ht="12.8" hidden="false" customHeight="false" outlineLevel="0" collapsed="false">
      <c r="A1611" s="3" t="n">
        <f aca="false">DATE(1998,4,22)</f>
        <v>35907</v>
      </c>
      <c r="B1611" s="4" t="s">
        <v>1902</v>
      </c>
      <c r="C1611" s="4" t="s">
        <v>1903</v>
      </c>
    </row>
    <row r="1612" customFormat="false" ht="12.8" hidden="false" customHeight="false" outlineLevel="0" collapsed="false">
      <c r="A1612" s="3" t="n">
        <f aca="false">DATE(1998,4,22)</f>
        <v>35907</v>
      </c>
      <c r="B1612" s="4" t="s">
        <v>139</v>
      </c>
      <c r="C1612" s="4" t="s">
        <v>273</v>
      </c>
    </row>
    <row r="1613" customFormat="false" ht="12.8" hidden="false" customHeight="false" outlineLevel="0" collapsed="false">
      <c r="A1613" s="3" t="n">
        <f aca="false">DATE(1998,4,22)</f>
        <v>35907</v>
      </c>
      <c r="B1613" s="4" t="s">
        <v>530</v>
      </c>
      <c r="C1613" s="4" t="s">
        <v>180</v>
      </c>
    </row>
    <row r="1614" customFormat="false" ht="12.8" hidden="false" customHeight="false" outlineLevel="0" collapsed="false">
      <c r="A1614" s="3" t="n">
        <f aca="false">DATE(1998,4,23)</f>
        <v>35908</v>
      </c>
      <c r="B1614" s="4" t="s">
        <v>1904</v>
      </c>
      <c r="C1614" s="4" t="s">
        <v>1852</v>
      </c>
    </row>
    <row r="1615" customFormat="false" ht="12.8" hidden="false" customHeight="false" outlineLevel="0" collapsed="false">
      <c r="A1615" s="3" t="n">
        <f aca="false">DATE(1998,4,23)</f>
        <v>35908</v>
      </c>
      <c r="B1615" s="4" t="s">
        <v>1905</v>
      </c>
      <c r="C1615" s="4" t="s">
        <v>1702</v>
      </c>
    </row>
    <row r="1616" customFormat="false" ht="12.8" hidden="false" customHeight="false" outlineLevel="0" collapsed="false">
      <c r="A1616" s="3" t="n">
        <f aca="false">DATE(1998,4,23)</f>
        <v>35908</v>
      </c>
      <c r="B1616" s="4" t="s">
        <v>1906</v>
      </c>
      <c r="C1616" s="4" t="s">
        <v>1907</v>
      </c>
    </row>
    <row r="1617" customFormat="false" ht="12.8" hidden="false" customHeight="false" outlineLevel="0" collapsed="false">
      <c r="A1617" s="3" t="n">
        <f aca="false">DATE(1998,4,24)</f>
        <v>35909</v>
      </c>
      <c r="B1617" s="4" t="s">
        <v>1908</v>
      </c>
      <c r="C1617" s="4" t="s">
        <v>955</v>
      </c>
    </row>
    <row r="1618" customFormat="false" ht="12.8" hidden="false" customHeight="false" outlineLevel="0" collapsed="false">
      <c r="A1618" s="3" t="n">
        <f aca="false">DATE(1998,4,24)</f>
        <v>35909</v>
      </c>
      <c r="B1618" s="4" t="s">
        <v>1909</v>
      </c>
      <c r="C1618" s="4" t="s">
        <v>1910</v>
      </c>
    </row>
    <row r="1619" customFormat="false" ht="12.8" hidden="false" customHeight="false" outlineLevel="0" collapsed="false">
      <c r="A1619" s="3" t="n">
        <f aca="false">DATE(1998,4,29)</f>
        <v>35914</v>
      </c>
      <c r="B1619" s="4" t="s">
        <v>1911</v>
      </c>
      <c r="C1619" s="4" t="s">
        <v>1112</v>
      </c>
    </row>
    <row r="1620" customFormat="false" ht="12.8" hidden="false" customHeight="false" outlineLevel="0" collapsed="false">
      <c r="A1620" s="3" t="n">
        <f aca="false">DATE(1998,4,29)</f>
        <v>35914</v>
      </c>
      <c r="B1620" s="4" t="s">
        <v>1912</v>
      </c>
      <c r="C1620" s="4" t="s">
        <v>1659</v>
      </c>
    </row>
    <row r="1621" customFormat="false" ht="12.8" hidden="false" customHeight="false" outlineLevel="0" collapsed="false">
      <c r="A1621" s="3" t="n">
        <f aca="false">DATE(1998,4,29)</f>
        <v>35914</v>
      </c>
      <c r="B1621" s="4" t="s">
        <v>1913</v>
      </c>
      <c r="C1621" s="4" t="s">
        <v>1659</v>
      </c>
    </row>
    <row r="1622" customFormat="false" ht="12.8" hidden="false" customHeight="false" outlineLevel="0" collapsed="false">
      <c r="A1622" s="3" t="n">
        <f aca="false">DATE(1998,5,1)</f>
        <v>35916</v>
      </c>
      <c r="B1622" s="4" t="s">
        <v>1914</v>
      </c>
      <c r="C1622" s="4" t="s">
        <v>1893</v>
      </c>
    </row>
    <row r="1623" customFormat="false" ht="12.8" hidden="false" customHeight="false" outlineLevel="0" collapsed="false">
      <c r="A1623" s="3" t="n">
        <f aca="false">DATE(1998,5,4)</f>
        <v>35919</v>
      </c>
      <c r="B1623" s="4" t="s">
        <v>1915</v>
      </c>
      <c r="C1623" s="4" t="s">
        <v>1290</v>
      </c>
    </row>
    <row r="1624" customFormat="false" ht="12.8" hidden="false" customHeight="false" outlineLevel="0" collapsed="false">
      <c r="A1624" s="3" t="n">
        <f aca="false">DATE(1998,5,5)</f>
        <v>35920</v>
      </c>
      <c r="B1624" s="4" t="s">
        <v>1916</v>
      </c>
      <c r="C1624" s="4" t="s">
        <v>955</v>
      </c>
    </row>
    <row r="1625" customFormat="false" ht="12.8" hidden="false" customHeight="false" outlineLevel="0" collapsed="false">
      <c r="A1625" s="3" t="n">
        <f aca="false">DATE(1998,5,8)</f>
        <v>35923</v>
      </c>
      <c r="B1625" s="4" t="s">
        <v>1917</v>
      </c>
      <c r="C1625" s="4" t="s">
        <v>681</v>
      </c>
    </row>
    <row r="1626" customFormat="false" ht="12.8" hidden="false" customHeight="false" outlineLevel="0" collapsed="false">
      <c r="A1626" s="3" t="n">
        <f aca="false">DATE(1998,5,8)</f>
        <v>35923</v>
      </c>
      <c r="B1626" s="4" t="s">
        <v>1918</v>
      </c>
      <c r="C1626" s="4" t="s">
        <v>1919</v>
      </c>
    </row>
    <row r="1627" customFormat="false" ht="12.8" hidden="false" customHeight="false" outlineLevel="0" collapsed="false">
      <c r="A1627" s="3" t="n">
        <f aca="false">DATE(1998,5,8)</f>
        <v>35923</v>
      </c>
      <c r="B1627" s="4" t="s">
        <v>1920</v>
      </c>
      <c r="C1627" s="4" t="s">
        <v>987</v>
      </c>
    </row>
    <row r="1628" customFormat="false" ht="12.8" hidden="false" customHeight="false" outlineLevel="0" collapsed="false">
      <c r="A1628" s="3" t="n">
        <f aca="false">DATE(1998,5,12)</f>
        <v>35927</v>
      </c>
      <c r="B1628" s="4" t="s">
        <v>1921</v>
      </c>
      <c r="C1628" s="4" t="s">
        <v>1227</v>
      </c>
    </row>
    <row r="1629" customFormat="false" ht="12.8" hidden="false" customHeight="false" outlineLevel="0" collapsed="false">
      <c r="A1629" s="3" t="n">
        <f aca="false">DATE(1998,5,15)</f>
        <v>35930</v>
      </c>
      <c r="B1629" s="4" t="s">
        <v>1922</v>
      </c>
      <c r="C1629" s="4" t="s">
        <v>987</v>
      </c>
    </row>
    <row r="1630" customFormat="false" ht="12.8" hidden="false" customHeight="false" outlineLevel="0" collapsed="false">
      <c r="A1630" s="3" t="n">
        <f aca="false">DATE(1998,5,15)</f>
        <v>35930</v>
      </c>
      <c r="B1630" s="4" t="s">
        <v>1923</v>
      </c>
      <c r="C1630" s="4" t="s">
        <v>1044</v>
      </c>
    </row>
    <row r="1631" customFormat="false" ht="12.8" hidden="false" customHeight="false" outlineLevel="0" collapsed="false">
      <c r="A1631" s="3" t="n">
        <f aca="false">DATE(1998,5,18)</f>
        <v>35933</v>
      </c>
      <c r="B1631" s="4" t="s">
        <v>1924</v>
      </c>
      <c r="C1631" s="4" t="s">
        <v>1455</v>
      </c>
    </row>
    <row r="1632" customFormat="false" ht="12.8" hidden="false" customHeight="false" outlineLevel="0" collapsed="false">
      <c r="A1632" s="3" t="n">
        <f aca="false">DATE(1998,5,19)</f>
        <v>35934</v>
      </c>
      <c r="B1632" s="4" t="s">
        <v>1925</v>
      </c>
      <c r="C1632" s="4" t="s">
        <v>1659</v>
      </c>
    </row>
    <row r="1633" customFormat="false" ht="12.8" hidden="false" customHeight="false" outlineLevel="0" collapsed="false">
      <c r="A1633" s="3" t="n">
        <f aca="false">DATE(1998,5,20)</f>
        <v>35935</v>
      </c>
      <c r="B1633" s="4" t="s">
        <v>1926</v>
      </c>
      <c r="C1633" s="4" t="s">
        <v>1659</v>
      </c>
    </row>
    <row r="1634" customFormat="false" ht="12.8" hidden="false" customHeight="false" outlineLevel="0" collapsed="false">
      <c r="A1634" s="3" t="n">
        <f aca="false">DATE(1998,5,21)</f>
        <v>35936</v>
      </c>
      <c r="B1634" s="4" t="s">
        <v>473</v>
      </c>
      <c r="C1634" s="4" t="s">
        <v>929</v>
      </c>
    </row>
    <row r="1635" customFormat="false" ht="12.8" hidden="false" customHeight="false" outlineLevel="0" collapsed="false">
      <c r="A1635" s="3" t="n">
        <f aca="false">DATE(1998,5,22)</f>
        <v>35937</v>
      </c>
      <c r="B1635" s="4" t="s">
        <v>1927</v>
      </c>
      <c r="C1635" s="4" t="s">
        <v>820</v>
      </c>
    </row>
    <row r="1636" customFormat="false" ht="12.8" hidden="false" customHeight="false" outlineLevel="0" collapsed="false">
      <c r="A1636" s="3" t="n">
        <f aca="false">DATE(1998,5,25)</f>
        <v>35940</v>
      </c>
      <c r="B1636" s="4" t="s">
        <v>1928</v>
      </c>
      <c r="C1636" s="4" t="s">
        <v>440</v>
      </c>
    </row>
    <row r="1637" customFormat="false" ht="12.8" hidden="false" customHeight="false" outlineLevel="0" collapsed="false">
      <c r="A1637" s="3" t="n">
        <f aca="false">DATE(1998,5,25)</f>
        <v>35940</v>
      </c>
      <c r="B1637" s="4" t="s">
        <v>1929</v>
      </c>
      <c r="C1637" s="4" t="s">
        <v>820</v>
      </c>
    </row>
    <row r="1638" customFormat="false" ht="12.8" hidden="false" customHeight="false" outlineLevel="0" collapsed="false">
      <c r="A1638" s="3" t="n">
        <f aca="false">DATE(1998,5,25)</f>
        <v>35940</v>
      </c>
      <c r="B1638" s="4" t="s">
        <v>1930</v>
      </c>
      <c r="C1638" s="4" t="s">
        <v>955</v>
      </c>
    </row>
    <row r="1639" customFormat="false" ht="12.8" hidden="false" customHeight="false" outlineLevel="0" collapsed="false">
      <c r="A1639" s="3" t="n">
        <f aca="false">DATE(1998,5,26)</f>
        <v>35941</v>
      </c>
      <c r="B1639" s="4" t="s">
        <v>1931</v>
      </c>
      <c r="C1639" s="4" t="s">
        <v>180</v>
      </c>
    </row>
    <row r="1640" customFormat="false" ht="12.8" hidden="false" customHeight="false" outlineLevel="0" collapsed="false">
      <c r="A1640" s="3" t="n">
        <f aca="false">DATE(1998,5,26)</f>
        <v>35941</v>
      </c>
      <c r="B1640" s="4" t="s">
        <v>1932</v>
      </c>
      <c r="C1640" s="4" t="s">
        <v>418</v>
      </c>
    </row>
    <row r="1641" customFormat="false" ht="12.8" hidden="false" customHeight="false" outlineLevel="0" collapsed="false">
      <c r="A1641" s="3" t="n">
        <f aca="false">DATE(1998,5,26)</f>
        <v>35941</v>
      </c>
      <c r="B1641" s="4" t="s">
        <v>1602</v>
      </c>
      <c r="C1641" s="4" t="s">
        <v>1042</v>
      </c>
    </row>
    <row r="1642" customFormat="false" ht="12.8" hidden="false" customHeight="false" outlineLevel="0" collapsed="false">
      <c r="A1642" s="3" t="n">
        <f aca="false">DATE(1998,5,27)</f>
        <v>35942</v>
      </c>
      <c r="B1642" s="4" t="s">
        <v>1933</v>
      </c>
      <c r="C1642" s="4" t="s">
        <v>1227</v>
      </c>
    </row>
    <row r="1643" customFormat="false" ht="12.8" hidden="false" customHeight="false" outlineLevel="0" collapsed="false">
      <c r="A1643" s="3" t="n">
        <f aca="false">DATE(1998,5,27)</f>
        <v>35942</v>
      </c>
      <c r="B1643" s="4" t="s">
        <v>1934</v>
      </c>
      <c r="C1643" s="4" t="s">
        <v>225</v>
      </c>
    </row>
    <row r="1644" customFormat="false" ht="12.8" hidden="false" customHeight="false" outlineLevel="0" collapsed="false">
      <c r="A1644" s="3" t="n">
        <f aca="false">DATE(1998,5,28)</f>
        <v>35943</v>
      </c>
      <c r="B1644" s="4" t="s">
        <v>1935</v>
      </c>
      <c r="C1644" s="4" t="s">
        <v>595</v>
      </c>
    </row>
    <row r="1645" customFormat="false" ht="12.8" hidden="false" customHeight="false" outlineLevel="0" collapsed="false">
      <c r="A1645" s="3" t="n">
        <f aca="false">DATE(1998,5,28)</f>
        <v>35943</v>
      </c>
      <c r="B1645" s="4" t="s">
        <v>1936</v>
      </c>
      <c r="C1645" s="4" t="s">
        <v>1937</v>
      </c>
    </row>
    <row r="1646" customFormat="false" ht="12.8" hidden="false" customHeight="false" outlineLevel="0" collapsed="false">
      <c r="A1646" s="3" t="n">
        <f aca="false">DATE(1998,5,28)</f>
        <v>35943</v>
      </c>
      <c r="B1646" s="4" t="s">
        <v>1134</v>
      </c>
      <c r="C1646" s="4" t="s">
        <v>180</v>
      </c>
    </row>
    <row r="1647" customFormat="false" ht="12.8" hidden="false" customHeight="false" outlineLevel="0" collapsed="false">
      <c r="A1647" s="3" t="n">
        <f aca="false">DATE(1998,5,29)</f>
        <v>35944</v>
      </c>
      <c r="B1647" s="4" t="s">
        <v>1938</v>
      </c>
      <c r="C1647" s="4" t="s">
        <v>1532</v>
      </c>
    </row>
    <row r="1648" customFormat="false" ht="12.8" hidden="false" customHeight="false" outlineLevel="0" collapsed="false">
      <c r="A1648" s="3" t="n">
        <f aca="false">DATE(1998,5,29)</f>
        <v>35944</v>
      </c>
      <c r="B1648" s="4" t="s">
        <v>1939</v>
      </c>
      <c r="C1648" s="4" t="s">
        <v>553</v>
      </c>
    </row>
    <row r="1649" customFormat="false" ht="12.8" hidden="false" customHeight="false" outlineLevel="0" collapsed="false">
      <c r="A1649" s="3" t="n">
        <f aca="false">DATE(1998,6,1)</f>
        <v>35947</v>
      </c>
      <c r="B1649" s="4" t="s">
        <v>1940</v>
      </c>
      <c r="C1649" s="4" t="s">
        <v>1941</v>
      </c>
    </row>
    <row r="1650" customFormat="false" ht="12.8" hidden="false" customHeight="false" outlineLevel="0" collapsed="false">
      <c r="A1650" s="3" t="n">
        <f aca="false">DATE(1998,6,4)</f>
        <v>35950</v>
      </c>
      <c r="B1650" s="4" t="s">
        <v>1942</v>
      </c>
      <c r="C1650" s="4" t="s">
        <v>269</v>
      </c>
    </row>
    <row r="1651" customFormat="false" ht="12.8" hidden="false" customHeight="false" outlineLevel="0" collapsed="false">
      <c r="A1651" s="3" t="n">
        <f aca="false">DATE(1998,6,4)</f>
        <v>35950</v>
      </c>
      <c r="B1651" s="4" t="s">
        <v>1943</v>
      </c>
      <c r="C1651" s="4" t="s">
        <v>132</v>
      </c>
    </row>
    <row r="1652" customFormat="false" ht="12.8" hidden="false" customHeight="false" outlineLevel="0" collapsed="false">
      <c r="A1652" s="3" t="n">
        <f aca="false">DATE(1998,6,5)</f>
        <v>35951</v>
      </c>
      <c r="B1652" s="4" t="s">
        <v>1944</v>
      </c>
      <c r="C1652" s="4" t="s">
        <v>1341</v>
      </c>
    </row>
    <row r="1653" customFormat="false" ht="12.8" hidden="false" customHeight="false" outlineLevel="0" collapsed="false">
      <c r="A1653" s="3" t="n">
        <f aca="false">DATE(1998,6,8)</f>
        <v>35954</v>
      </c>
      <c r="B1653" s="4" t="s">
        <v>1945</v>
      </c>
      <c r="C1653" s="4" t="s">
        <v>1525</v>
      </c>
    </row>
    <row r="1654" customFormat="false" ht="12.8" hidden="false" customHeight="false" outlineLevel="0" collapsed="false">
      <c r="A1654" s="3" t="n">
        <f aca="false">DATE(1998,6,8)</f>
        <v>35954</v>
      </c>
      <c r="B1654" s="4" t="s">
        <v>1946</v>
      </c>
      <c r="C1654" s="4" t="s">
        <v>570</v>
      </c>
    </row>
    <row r="1655" customFormat="false" ht="12.8" hidden="false" customHeight="false" outlineLevel="0" collapsed="false">
      <c r="A1655" s="3" t="n">
        <f aca="false">DATE(1998,6,10)</f>
        <v>35956</v>
      </c>
      <c r="B1655" s="4" t="s">
        <v>1947</v>
      </c>
      <c r="C1655" s="4" t="s">
        <v>180</v>
      </c>
    </row>
    <row r="1656" customFormat="false" ht="12.8" hidden="false" customHeight="false" outlineLevel="0" collapsed="false">
      <c r="A1656" s="3" t="n">
        <f aca="false">DATE(1998,6,12)</f>
        <v>35958</v>
      </c>
      <c r="B1656" s="4" t="s">
        <v>1948</v>
      </c>
      <c r="C1656" s="4" t="s">
        <v>953</v>
      </c>
    </row>
    <row r="1657" customFormat="false" ht="12.8" hidden="false" customHeight="false" outlineLevel="0" collapsed="false">
      <c r="A1657" s="3" t="n">
        <f aca="false">DATE(1998,6,15)</f>
        <v>35961</v>
      </c>
      <c r="B1657" s="4" t="s">
        <v>1949</v>
      </c>
      <c r="C1657" s="4" t="s">
        <v>1937</v>
      </c>
    </row>
    <row r="1658" customFormat="false" ht="12.8" hidden="false" customHeight="false" outlineLevel="0" collapsed="false">
      <c r="A1658" s="3" t="n">
        <f aca="false">DATE(1998,6,15)</f>
        <v>35961</v>
      </c>
      <c r="B1658" s="4" t="s">
        <v>1950</v>
      </c>
      <c r="C1658" s="4" t="s">
        <v>1474</v>
      </c>
    </row>
    <row r="1659" customFormat="false" ht="12.8" hidden="false" customHeight="false" outlineLevel="0" collapsed="false">
      <c r="A1659" s="3" t="n">
        <f aca="false">DATE(1998,6,18)</f>
        <v>35964</v>
      </c>
      <c r="B1659" s="4" t="s">
        <v>1951</v>
      </c>
      <c r="C1659" s="4" t="s">
        <v>1774</v>
      </c>
    </row>
    <row r="1660" customFormat="false" ht="12.8" hidden="false" customHeight="false" outlineLevel="0" collapsed="false">
      <c r="A1660" s="3" t="n">
        <f aca="false">DATE(1998,6,18)</f>
        <v>35964</v>
      </c>
      <c r="B1660" s="4" t="s">
        <v>1952</v>
      </c>
      <c r="C1660" s="4" t="s">
        <v>440</v>
      </c>
    </row>
    <row r="1661" customFormat="false" ht="12.8" hidden="false" customHeight="false" outlineLevel="0" collapsed="false">
      <c r="A1661" s="3" t="n">
        <f aca="false">DATE(1998,6,18)</f>
        <v>35964</v>
      </c>
      <c r="B1661" s="4" t="s">
        <v>1953</v>
      </c>
      <c r="C1661" s="4" t="s">
        <v>1511</v>
      </c>
    </row>
    <row r="1662" customFormat="false" ht="12.8" hidden="false" customHeight="false" outlineLevel="0" collapsed="false">
      <c r="A1662" s="3" t="n">
        <f aca="false">DATE(1998,6,19)</f>
        <v>35965</v>
      </c>
      <c r="B1662" s="4" t="s">
        <v>1954</v>
      </c>
      <c r="C1662" s="4" t="s">
        <v>570</v>
      </c>
    </row>
    <row r="1663" customFormat="false" ht="12.8" hidden="false" customHeight="false" outlineLevel="0" collapsed="false">
      <c r="A1663" s="3" t="n">
        <f aca="false">DATE(1998,6,19)</f>
        <v>35965</v>
      </c>
      <c r="B1663" s="4" t="s">
        <v>1955</v>
      </c>
      <c r="C1663" s="4" t="s">
        <v>1042</v>
      </c>
    </row>
    <row r="1664" customFormat="false" ht="12.8" hidden="false" customHeight="false" outlineLevel="0" collapsed="false">
      <c r="A1664" s="3" t="n">
        <f aca="false">DATE(1998,6,23)</f>
        <v>35969</v>
      </c>
      <c r="B1664" s="4" t="s">
        <v>1956</v>
      </c>
      <c r="C1664" s="4" t="s">
        <v>1221</v>
      </c>
    </row>
    <row r="1665" customFormat="false" ht="12.8" hidden="false" customHeight="false" outlineLevel="0" collapsed="false">
      <c r="A1665" s="3" t="n">
        <f aca="false">DATE(1998,6,25)</f>
        <v>35971</v>
      </c>
      <c r="B1665" s="4" t="s">
        <v>1957</v>
      </c>
      <c r="C1665" s="4" t="s">
        <v>1529</v>
      </c>
    </row>
    <row r="1666" customFormat="false" ht="12.8" hidden="false" customHeight="false" outlineLevel="0" collapsed="false">
      <c r="A1666" s="3" t="n">
        <f aca="false">DATE(1998,6,25)</f>
        <v>35971</v>
      </c>
      <c r="B1666" s="4" t="s">
        <v>557</v>
      </c>
      <c r="C1666" s="4" t="s">
        <v>1044</v>
      </c>
    </row>
    <row r="1667" customFormat="false" ht="12.8" hidden="false" customHeight="false" outlineLevel="0" collapsed="false">
      <c r="A1667" s="3" t="n">
        <f aca="false">DATE(1998,6,25)</f>
        <v>35971</v>
      </c>
      <c r="B1667" s="4" t="s">
        <v>1958</v>
      </c>
      <c r="C1667" s="4" t="s">
        <v>1293</v>
      </c>
    </row>
    <row r="1668" customFormat="false" ht="12.8" hidden="false" customHeight="false" outlineLevel="0" collapsed="false">
      <c r="A1668" s="3" t="n">
        <f aca="false">DATE(1998,6,26)</f>
        <v>35972</v>
      </c>
      <c r="B1668" s="4" t="s">
        <v>1959</v>
      </c>
      <c r="C1668" s="4" t="s">
        <v>1960</v>
      </c>
    </row>
    <row r="1669" customFormat="false" ht="12.8" hidden="false" customHeight="false" outlineLevel="0" collapsed="false">
      <c r="A1669" s="3" t="n">
        <f aca="false">DATE(1998,6,29)</f>
        <v>35975</v>
      </c>
      <c r="B1669" s="4" t="s">
        <v>1961</v>
      </c>
      <c r="C1669" s="4" t="s">
        <v>1227</v>
      </c>
    </row>
    <row r="1670" customFormat="false" ht="12.8" hidden="false" customHeight="false" outlineLevel="0" collapsed="false">
      <c r="A1670" s="3" t="n">
        <f aca="false">DATE(1998,6,30)</f>
        <v>35976</v>
      </c>
      <c r="B1670" s="4" t="s">
        <v>1962</v>
      </c>
      <c r="C1670" s="4" t="s">
        <v>86</v>
      </c>
    </row>
    <row r="1671" customFormat="false" ht="12.8" hidden="false" customHeight="false" outlineLevel="0" collapsed="false">
      <c r="A1671" s="3" t="n">
        <f aca="false">DATE(1998,7,1)</f>
        <v>35977</v>
      </c>
      <c r="B1671" s="4" t="s">
        <v>1963</v>
      </c>
      <c r="C1671" s="4" t="s">
        <v>118</v>
      </c>
    </row>
    <row r="1672" customFormat="false" ht="12.8" hidden="false" customHeight="false" outlineLevel="0" collapsed="false">
      <c r="A1672" s="3" t="n">
        <f aca="false">DATE(1998,7,1)</f>
        <v>35977</v>
      </c>
      <c r="B1672" s="4" t="s">
        <v>548</v>
      </c>
      <c r="C1672" s="4" t="s">
        <v>1890</v>
      </c>
    </row>
    <row r="1673" customFormat="false" ht="12.8" hidden="false" customHeight="false" outlineLevel="0" collapsed="false">
      <c r="A1673" s="3" t="n">
        <f aca="false">DATE(1998,7,6)</f>
        <v>35982</v>
      </c>
      <c r="B1673" s="4" t="s">
        <v>1964</v>
      </c>
      <c r="C1673" s="4" t="s">
        <v>935</v>
      </c>
    </row>
    <row r="1674" customFormat="false" ht="12.8" hidden="false" customHeight="false" outlineLevel="0" collapsed="false">
      <c r="A1674" s="3" t="n">
        <f aca="false">DATE(1998,7,6)</f>
        <v>35982</v>
      </c>
      <c r="B1674" s="4" t="s">
        <v>1965</v>
      </c>
      <c r="C1674" s="4" t="s">
        <v>872</v>
      </c>
    </row>
    <row r="1675" customFormat="false" ht="12.8" hidden="false" customHeight="false" outlineLevel="0" collapsed="false">
      <c r="A1675" s="3" t="n">
        <f aca="false">DATE(1998,7,9)</f>
        <v>35985</v>
      </c>
      <c r="B1675" s="4" t="s">
        <v>1966</v>
      </c>
      <c r="C1675" s="4" t="s">
        <v>1614</v>
      </c>
    </row>
    <row r="1676" customFormat="false" ht="12.8" hidden="false" customHeight="false" outlineLevel="0" collapsed="false">
      <c r="A1676" s="3" t="n">
        <f aca="false">DATE(1998,7,10)</f>
        <v>35986</v>
      </c>
      <c r="B1676" s="4" t="s">
        <v>1967</v>
      </c>
      <c r="C1676" s="4" t="s">
        <v>820</v>
      </c>
    </row>
    <row r="1677" customFormat="false" ht="12.8" hidden="false" customHeight="false" outlineLevel="0" collapsed="false">
      <c r="A1677" s="3" t="n">
        <f aca="false">DATE(1998,7,14)</f>
        <v>35990</v>
      </c>
      <c r="B1677" s="4" t="s">
        <v>1968</v>
      </c>
      <c r="C1677" s="4" t="s">
        <v>820</v>
      </c>
    </row>
    <row r="1678" customFormat="false" ht="12.8" hidden="false" customHeight="false" outlineLevel="0" collapsed="false">
      <c r="A1678" s="3" t="n">
        <f aca="false">DATE(1998,7,16)</f>
        <v>35992</v>
      </c>
      <c r="B1678" s="4" t="s">
        <v>1969</v>
      </c>
      <c r="C1678" s="4" t="s">
        <v>816</v>
      </c>
    </row>
    <row r="1679" customFormat="false" ht="12.8" hidden="false" customHeight="false" outlineLevel="0" collapsed="false">
      <c r="A1679" s="3" t="n">
        <f aca="false">DATE(1998,7,17)</f>
        <v>35993</v>
      </c>
      <c r="B1679" s="4" t="s">
        <v>1970</v>
      </c>
      <c r="C1679" s="4" t="s">
        <v>1044</v>
      </c>
    </row>
    <row r="1680" customFormat="false" ht="12.8" hidden="false" customHeight="false" outlineLevel="0" collapsed="false">
      <c r="A1680" s="3" t="n">
        <f aca="false">DATE(1998,7,20)</f>
        <v>35996</v>
      </c>
      <c r="B1680" s="4" t="s">
        <v>566</v>
      </c>
      <c r="C1680" s="4" t="s">
        <v>269</v>
      </c>
    </row>
    <row r="1681" customFormat="false" ht="12.8" hidden="false" customHeight="false" outlineLevel="0" collapsed="false">
      <c r="A1681" s="3" t="n">
        <f aca="false">DATE(1998,7,20)</f>
        <v>35996</v>
      </c>
      <c r="B1681" s="4" t="s">
        <v>1537</v>
      </c>
      <c r="C1681" s="4" t="s">
        <v>1596</v>
      </c>
    </row>
    <row r="1682" customFormat="false" ht="12.8" hidden="false" customHeight="false" outlineLevel="0" collapsed="false">
      <c r="A1682" s="3" t="n">
        <f aca="false">DATE(1998,7,21)</f>
        <v>35997</v>
      </c>
      <c r="B1682" s="4" t="s">
        <v>1971</v>
      </c>
      <c r="C1682" s="4" t="s">
        <v>931</v>
      </c>
    </row>
    <row r="1683" customFormat="false" ht="12.8" hidden="false" customHeight="false" outlineLevel="0" collapsed="false">
      <c r="A1683" s="3" t="n">
        <f aca="false">DATE(1998,7,22)</f>
        <v>35998</v>
      </c>
      <c r="B1683" s="4" t="s">
        <v>1972</v>
      </c>
      <c r="C1683" s="4" t="s">
        <v>929</v>
      </c>
    </row>
    <row r="1684" customFormat="false" ht="12.8" hidden="false" customHeight="false" outlineLevel="0" collapsed="false">
      <c r="A1684" s="3" t="n">
        <f aca="false">DATE(1998,7,22)</f>
        <v>35998</v>
      </c>
      <c r="B1684" s="4" t="s">
        <v>1973</v>
      </c>
      <c r="C1684" s="4" t="s">
        <v>1044</v>
      </c>
    </row>
    <row r="1685" customFormat="false" ht="12.8" hidden="false" customHeight="false" outlineLevel="0" collapsed="false">
      <c r="A1685" s="3" t="n">
        <f aca="false">DATE(1998,7,24)</f>
        <v>36000</v>
      </c>
      <c r="B1685" s="4" t="s">
        <v>1974</v>
      </c>
      <c r="C1685" s="4" t="s">
        <v>1248</v>
      </c>
    </row>
    <row r="1686" customFormat="false" ht="12.8" hidden="false" customHeight="false" outlineLevel="0" collapsed="false">
      <c r="A1686" s="3" t="n">
        <f aca="false">DATE(1998,7,24)</f>
        <v>36000</v>
      </c>
      <c r="B1686" s="4" t="s">
        <v>1975</v>
      </c>
      <c r="C1686" s="4" t="s">
        <v>1976</v>
      </c>
    </row>
    <row r="1687" customFormat="false" ht="12.8" hidden="false" customHeight="false" outlineLevel="0" collapsed="false">
      <c r="A1687" s="3" t="n">
        <f aca="false">DATE(1998,7,24)</f>
        <v>36000</v>
      </c>
      <c r="B1687" s="4" t="s">
        <v>907</v>
      </c>
      <c r="C1687" s="4" t="s">
        <v>1664</v>
      </c>
    </row>
    <row r="1688" customFormat="false" ht="12.8" hidden="false" customHeight="false" outlineLevel="0" collapsed="false">
      <c r="A1688" s="3" t="n">
        <f aca="false">DATE(1998,7,27)</f>
        <v>36003</v>
      </c>
      <c r="B1688" s="4" t="s">
        <v>1977</v>
      </c>
      <c r="C1688" s="4" t="s">
        <v>1978</v>
      </c>
    </row>
    <row r="1689" customFormat="false" ht="12.8" hidden="false" customHeight="false" outlineLevel="0" collapsed="false">
      <c r="A1689" s="3" t="n">
        <f aca="false">DATE(1998,7,28)</f>
        <v>36004</v>
      </c>
      <c r="B1689" s="4" t="s">
        <v>827</v>
      </c>
      <c r="C1689" s="4" t="s">
        <v>1979</v>
      </c>
    </row>
    <row r="1690" customFormat="false" ht="12.8" hidden="false" customHeight="false" outlineLevel="0" collapsed="false">
      <c r="A1690" s="3" t="n">
        <f aca="false">DATE(1998,7,28)</f>
        <v>36004</v>
      </c>
      <c r="B1690" s="4" t="s">
        <v>1980</v>
      </c>
      <c r="C1690" s="4" t="s">
        <v>1023</v>
      </c>
    </row>
    <row r="1691" customFormat="false" ht="12.8" hidden="false" customHeight="false" outlineLevel="0" collapsed="false">
      <c r="A1691" s="3" t="n">
        <f aca="false">DATE(1998,7,30)</f>
        <v>36006</v>
      </c>
      <c r="B1691" s="4" t="s">
        <v>1981</v>
      </c>
      <c r="C1691" s="4" t="s">
        <v>86</v>
      </c>
    </row>
    <row r="1692" customFormat="false" ht="12.8" hidden="false" customHeight="false" outlineLevel="0" collapsed="false">
      <c r="A1692" s="3" t="n">
        <f aca="false">DATE(1998,7,31)</f>
        <v>36007</v>
      </c>
      <c r="B1692" s="4" t="s">
        <v>725</v>
      </c>
      <c r="C1692" s="4" t="s">
        <v>118</v>
      </c>
    </row>
    <row r="1693" customFormat="false" ht="12.8" hidden="false" customHeight="false" outlineLevel="0" collapsed="false">
      <c r="A1693" s="3" t="n">
        <f aca="false">DATE(1998,7,31)</f>
        <v>36007</v>
      </c>
      <c r="B1693" s="4" t="s">
        <v>1982</v>
      </c>
      <c r="C1693" s="4" t="s">
        <v>1983</v>
      </c>
    </row>
    <row r="1694" customFormat="false" ht="12.8" hidden="false" customHeight="false" outlineLevel="0" collapsed="false">
      <c r="A1694" s="3" t="n">
        <f aca="false">DATE(1998,8,4)</f>
        <v>36011</v>
      </c>
      <c r="B1694" s="4" t="s">
        <v>1984</v>
      </c>
      <c r="C1694" s="4" t="s">
        <v>1985</v>
      </c>
    </row>
    <row r="1695" customFormat="false" ht="12.8" hidden="false" customHeight="false" outlineLevel="0" collapsed="false">
      <c r="A1695" s="3" t="n">
        <f aca="false">DATE(1998,8,5)</f>
        <v>36012</v>
      </c>
      <c r="B1695" s="4" t="s">
        <v>1986</v>
      </c>
      <c r="C1695" s="4" t="s">
        <v>1987</v>
      </c>
    </row>
    <row r="1696" customFormat="false" ht="12.8" hidden="false" customHeight="false" outlineLevel="0" collapsed="false">
      <c r="A1696" s="3" t="n">
        <f aca="false">DATE(1998,8,6)</f>
        <v>36013</v>
      </c>
      <c r="B1696" s="4" t="s">
        <v>1988</v>
      </c>
      <c r="C1696" s="4" t="s">
        <v>1044</v>
      </c>
    </row>
    <row r="1697" customFormat="false" ht="12.8" hidden="false" customHeight="false" outlineLevel="0" collapsed="false">
      <c r="A1697" s="3" t="n">
        <f aca="false">DATE(1998,8,7)</f>
        <v>36014</v>
      </c>
      <c r="B1697" s="4" t="s">
        <v>1463</v>
      </c>
      <c r="C1697" s="4" t="s">
        <v>708</v>
      </c>
    </row>
    <row r="1698" customFormat="false" ht="12.8" hidden="false" customHeight="false" outlineLevel="0" collapsed="false">
      <c r="A1698" s="3" t="n">
        <f aca="false">DATE(1998,8,7)</f>
        <v>36014</v>
      </c>
      <c r="B1698" s="4" t="s">
        <v>1989</v>
      </c>
      <c r="C1698" s="4" t="s">
        <v>440</v>
      </c>
    </row>
    <row r="1699" customFormat="false" ht="12.8" hidden="false" customHeight="false" outlineLevel="0" collapsed="false">
      <c r="A1699" s="3" t="n">
        <f aca="false">DATE(1998,8,11)</f>
        <v>36018</v>
      </c>
      <c r="B1699" s="4" t="s">
        <v>1990</v>
      </c>
      <c r="C1699" s="4" t="s">
        <v>1785</v>
      </c>
    </row>
    <row r="1700" customFormat="false" ht="12.8" hidden="false" customHeight="false" outlineLevel="0" collapsed="false">
      <c r="A1700" s="3" t="n">
        <f aca="false">DATE(1998,8,13)</f>
        <v>36020</v>
      </c>
      <c r="B1700" s="4" t="s">
        <v>1991</v>
      </c>
      <c r="C1700" s="4" t="s">
        <v>1579</v>
      </c>
    </row>
    <row r="1701" customFormat="false" ht="12.8" hidden="false" customHeight="false" outlineLevel="0" collapsed="false">
      <c r="A1701" s="3" t="n">
        <f aca="false">DATE(1998,8,13)</f>
        <v>36020</v>
      </c>
      <c r="B1701" s="4" t="s">
        <v>1992</v>
      </c>
      <c r="C1701" s="4" t="s">
        <v>1993</v>
      </c>
    </row>
    <row r="1702" customFormat="false" ht="12.8" hidden="false" customHeight="false" outlineLevel="0" collapsed="false">
      <c r="A1702" s="3" t="n">
        <f aca="false">DATE(1998,8,18)</f>
        <v>36025</v>
      </c>
      <c r="B1702" s="4" t="s">
        <v>1994</v>
      </c>
      <c r="C1702" s="4" t="s">
        <v>1076</v>
      </c>
    </row>
    <row r="1703" customFormat="false" ht="12.8" hidden="false" customHeight="false" outlineLevel="0" collapsed="false">
      <c r="A1703" s="3" t="n">
        <f aca="false">DATE(1998,8,20)</f>
        <v>36027</v>
      </c>
      <c r="B1703" s="4" t="s">
        <v>1995</v>
      </c>
      <c r="C1703" s="4" t="s">
        <v>1459</v>
      </c>
    </row>
    <row r="1704" customFormat="false" ht="12.8" hidden="false" customHeight="false" outlineLevel="0" collapsed="false">
      <c r="A1704" s="3" t="n">
        <f aca="false">DATE(1998,8,20)</f>
        <v>36027</v>
      </c>
      <c r="B1704" s="4" t="s">
        <v>1996</v>
      </c>
      <c r="C1704" s="4" t="s">
        <v>634</v>
      </c>
    </row>
    <row r="1705" customFormat="false" ht="12.8" hidden="false" customHeight="false" outlineLevel="0" collapsed="false">
      <c r="A1705" s="3" t="n">
        <f aca="false">DATE(1998,8,21)</f>
        <v>36028</v>
      </c>
      <c r="B1705" s="4" t="s">
        <v>1997</v>
      </c>
      <c r="C1705" s="4" t="s">
        <v>634</v>
      </c>
    </row>
    <row r="1706" customFormat="false" ht="12.8" hidden="false" customHeight="false" outlineLevel="0" collapsed="false">
      <c r="A1706" s="3" t="n">
        <f aca="false">DATE(1998,8,25)</f>
        <v>36032</v>
      </c>
      <c r="B1706" s="4" t="s">
        <v>1998</v>
      </c>
      <c r="C1706" s="4" t="s">
        <v>1248</v>
      </c>
    </row>
    <row r="1707" customFormat="false" ht="12.8" hidden="false" customHeight="false" outlineLevel="0" collapsed="false">
      <c r="A1707" s="3" t="n">
        <f aca="false">DATE(1998,8,25)</f>
        <v>36032</v>
      </c>
      <c r="B1707" s="4" t="s">
        <v>1999</v>
      </c>
      <c r="C1707" s="4" t="s">
        <v>1666</v>
      </c>
    </row>
    <row r="1708" customFormat="false" ht="12.8" hidden="false" customHeight="false" outlineLevel="0" collapsed="false">
      <c r="A1708" s="3" t="n">
        <f aca="false">DATE(1998,8,26)</f>
        <v>36033</v>
      </c>
      <c r="B1708" s="4" t="s">
        <v>2000</v>
      </c>
      <c r="C1708" s="4" t="s">
        <v>1780</v>
      </c>
    </row>
    <row r="1709" customFormat="false" ht="12.8" hidden="false" customHeight="false" outlineLevel="0" collapsed="false">
      <c r="A1709" s="3" t="n">
        <f aca="false">DATE(1998,8,28)</f>
        <v>36035</v>
      </c>
      <c r="B1709" s="4" t="s">
        <v>2001</v>
      </c>
      <c r="C1709" s="4" t="s">
        <v>440</v>
      </c>
    </row>
    <row r="1710" customFormat="false" ht="12.8" hidden="false" customHeight="false" outlineLevel="0" collapsed="false">
      <c r="A1710" s="3" t="n">
        <f aca="false">DATE(1998,9,1)</f>
        <v>36039</v>
      </c>
      <c r="B1710" s="4" t="s">
        <v>2002</v>
      </c>
      <c r="C1710" s="4" t="s">
        <v>987</v>
      </c>
    </row>
    <row r="1711" customFormat="false" ht="12.8" hidden="false" customHeight="false" outlineLevel="0" collapsed="false">
      <c r="A1711" s="3" t="n">
        <f aca="false">DATE(1998,9,2)</f>
        <v>36040</v>
      </c>
      <c r="B1711" s="4" t="s">
        <v>2003</v>
      </c>
      <c r="C1711" s="4" t="s">
        <v>1659</v>
      </c>
    </row>
    <row r="1712" customFormat="false" ht="12.8" hidden="false" customHeight="false" outlineLevel="0" collapsed="false">
      <c r="A1712" s="3" t="n">
        <f aca="false">DATE(1998,9,4)</f>
        <v>36042</v>
      </c>
      <c r="B1712" s="4" t="s">
        <v>2004</v>
      </c>
      <c r="C1712" s="4" t="s">
        <v>1490</v>
      </c>
    </row>
    <row r="1713" customFormat="false" ht="12.8" hidden="false" customHeight="false" outlineLevel="0" collapsed="false">
      <c r="A1713" s="3" t="n">
        <f aca="false">DATE(1998,9,8)</f>
        <v>36046</v>
      </c>
      <c r="B1713" s="4" t="s">
        <v>2005</v>
      </c>
      <c r="C1713" s="4" t="s">
        <v>440</v>
      </c>
    </row>
    <row r="1714" customFormat="false" ht="12.8" hidden="false" customHeight="false" outlineLevel="0" collapsed="false">
      <c r="A1714" s="3" t="n">
        <f aca="false">DATE(1998,9,9)</f>
        <v>36047</v>
      </c>
      <c r="B1714" s="4" t="s">
        <v>2006</v>
      </c>
      <c r="C1714" s="4" t="s">
        <v>2007</v>
      </c>
    </row>
    <row r="1715" customFormat="false" ht="12.8" hidden="false" customHeight="false" outlineLevel="0" collapsed="false">
      <c r="A1715" s="3" t="n">
        <f aca="false">DATE(1998,9,17)</f>
        <v>36055</v>
      </c>
      <c r="B1715" s="4" t="s">
        <v>2008</v>
      </c>
      <c r="C1715" s="4" t="s">
        <v>2009</v>
      </c>
    </row>
    <row r="1716" customFormat="false" ht="12.8" hidden="false" customHeight="false" outlineLevel="0" collapsed="false">
      <c r="A1716" s="3" t="n">
        <f aca="false">DATE(1998,9,17)</f>
        <v>36055</v>
      </c>
      <c r="B1716" s="4" t="s">
        <v>2010</v>
      </c>
      <c r="C1716" s="4" t="s">
        <v>1579</v>
      </c>
    </row>
    <row r="1717" customFormat="false" ht="12.8" hidden="false" customHeight="false" outlineLevel="0" collapsed="false">
      <c r="A1717" s="3" t="n">
        <f aca="false">DATE(1998,9,22)</f>
        <v>36060</v>
      </c>
      <c r="B1717" s="4" t="s">
        <v>2011</v>
      </c>
      <c r="C1717" s="4" t="s">
        <v>1341</v>
      </c>
    </row>
    <row r="1718" customFormat="false" ht="12.8" hidden="false" customHeight="false" outlineLevel="0" collapsed="false">
      <c r="A1718" s="3" t="n">
        <f aca="false">DATE(1998,9,28)</f>
        <v>36066</v>
      </c>
      <c r="B1718" s="4" t="s">
        <v>2012</v>
      </c>
      <c r="C1718" s="4" t="s">
        <v>105</v>
      </c>
    </row>
    <row r="1719" customFormat="false" ht="12.8" hidden="false" customHeight="false" outlineLevel="0" collapsed="false">
      <c r="A1719" s="3" t="n">
        <f aca="false">DATE(1998,9,28)</f>
        <v>36066</v>
      </c>
      <c r="B1719" s="4" t="s">
        <v>2013</v>
      </c>
      <c r="C1719" s="4" t="s">
        <v>1076</v>
      </c>
    </row>
    <row r="1720" customFormat="false" ht="12.8" hidden="false" customHeight="false" outlineLevel="0" collapsed="false">
      <c r="A1720" s="3" t="n">
        <f aca="false">DATE(1998,10,1)</f>
        <v>36069</v>
      </c>
      <c r="B1720" s="4" t="s">
        <v>2014</v>
      </c>
      <c r="C1720" s="4" t="s">
        <v>2015</v>
      </c>
    </row>
    <row r="1721" customFormat="false" ht="12.8" hidden="false" customHeight="false" outlineLevel="0" collapsed="false">
      <c r="A1721" s="3" t="n">
        <f aca="false">DATE(1998,10,1)</f>
        <v>36069</v>
      </c>
      <c r="B1721" s="4" t="s">
        <v>2016</v>
      </c>
      <c r="C1721" s="4" t="s">
        <v>682</v>
      </c>
    </row>
    <row r="1722" customFormat="false" ht="12.8" hidden="false" customHeight="false" outlineLevel="0" collapsed="false">
      <c r="A1722" s="3" t="n">
        <f aca="false">DATE(1998,10,6)</f>
        <v>36074</v>
      </c>
      <c r="B1722" s="4" t="s">
        <v>2017</v>
      </c>
      <c r="C1722" s="4" t="s">
        <v>1472</v>
      </c>
    </row>
    <row r="1723" customFormat="false" ht="12.8" hidden="false" customHeight="false" outlineLevel="0" collapsed="false">
      <c r="A1723" s="3" t="n">
        <f aca="false">DATE(1998,10,7)</f>
        <v>36075</v>
      </c>
      <c r="B1723" s="4" t="s">
        <v>2018</v>
      </c>
      <c r="C1723" s="4" t="s">
        <v>1664</v>
      </c>
    </row>
    <row r="1724" customFormat="false" ht="12.8" hidden="false" customHeight="false" outlineLevel="0" collapsed="false">
      <c r="A1724" s="3" t="n">
        <f aca="false">DATE(1998,10,14)</f>
        <v>36082</v>
      </c>
      <c r="B1724" s="4" t="s">
        <v>2019</v>
      </c>
      <c r="C1724" s="4" t="s">
        <v>2020</v>
      </c>
    </row>
    <row r="1725" customFormat="false" ht="12.8" hidden="false" customHeight="false" outlineLevel="0" collapsed="false">
      <c r="A1725" s="3" t="n">
        <f aca="false">DATE(1998,10,16)</f>
        <v>36084</v>
      </c>
      <c r="B1725" s="4" t="s">
        <v>2021</v>
      </c>
      <c r="C1725" s="4" t="s">
        <v>1235</v>
      </c>
    </row>
    <row r="1726" customFormat="false" ht="12.8" hidden="false" customHeight="false" outlineLevel="0" collapsed="false">
      <c r="A1726" s="3" t="n">
        <f aca="false">DATE(1998,10,20)</f>
        <v>36088</v>
      </c>
      <c r="B1726" s="4" t="s">
        <v>2022</v>
      </c>
      <c r="C1726" s="4" t="s">
        <v>726</v>
      </c>
    </row>
    <row r="1727" customFormat="false" ht="12.8" hidden="false" customHeight="false" outlineLevel="0" collapsed="false">
      <c r="A1727" s="3" t="n">
        <f aca="false">DATE(1998,10,21)</f>
        <v>36089</v>
      </c>
      <c r="B1727" s="4" t="s">
        <v>2023</v>
      </c>
      <c r="C1727" s="4" t="s">
        <v>2024</v>
      </c>
    </row>
    <row r="1728" customFormat="false" ht="12.8" hidden="false" customHeight="false" outlineLevel="0" collapsed="false">
      <c r="A1728" s="3" t="n">
        <f aca="false">DATE(1998,10,21)</f>
        <v>36089</v>
      </c>
      <c r="B1728" s="4" t="s">
        <v>2025</v>
      </c>
      <c r="C1728" s="4" t="s">
        <v>2026</v>
      </c>
    </row>
    <row r="1729" customFormat="false" ht="12.8" hidden="false" customHeight="false" outlineLevel="0" collapsed="false">
      <c r="A1729" s="3" t="n">
        <f aca="false">DATE(1998,10,22)</f>
        <v>36090</v>
      </c>
      <c r="B1729" s="4" t="s">
        <v>2027</v>
      </c>
      <c r="C1729" s="4" t="s">
        <v>814</v>
      </c>
    </row>
    <row r="1730" customFormat="false" ht="12.8" hidden="false" customHeight="false" outlineLevel="0" collapsed="false">
      <c r="A1730" s="3" t="n">
        <f aca="false">DATE(1998,10,22)</f>
        <v>36090</v>
      </c>
      <c r="B1730" s="4" t="s">
        <v>2028</v>
      </c>
      <c r="C1730" s="4" t="s">
        <v>105</v>
      </c>
    </row>
    <row r="1731" customFormat="false" ht="12.8" hidden="false" customHeight="false" outlineLevel="0" collapsed="false">
      <c r="A1731" s="3" t="n">
        <f aca="false">DATE(1998,10,27)</f>
        <v>36095</v>
      </c>
      <c r="B1731" s="4" t="s">
        <v>2029</v>
      </c>
      <c r="C1731" s="4" t="s">
        <v>872</v>
      </c>
    </row>
    <row r="1732" customFormat="false" ht="12.8" hidden="false" customHeight="false" outlineLevel="0" collapsed="false">
      <c r="A1732" s="3" t="n">
        <f aca="false">DATE(1998,10,28)</f>
        <v>36096</v>
      </c>
      <c r="B1732" s="4" t="s">
        <v>1985</v>
      </c>
      <c r="C1732" s="4" t="s">
        <v>1241</v>
      </c>
    </row>
    <row r="1733" customFormat="false" ht="12.8" hidden="false" customHeight="false" outlineLevel="0" collapsed="false">
      <c r="A1733" s="3" t="n">
        <f aca="false">DATE(1998,11,4)</f>
        <v>36103</v>
      </c>
      <c r="B1733" s="4" t="s">
        <v>2030</v>
      </c>
      <c r="C1733" s="4" t="s">
        <v>1290</v>
      </c>
    </row>
    <row r="1734" customFormat="false" ht="12.8" hidden="false" customHeight="false" outlineLevel="0" collapsed="false">
      <c r="A1734" s="3" t="n">
        <f aca="false">DATE(1998,11,10)</f>
        <v>36109</v>
      </c>
      <c r="B1734" s="4" t="s">
        <v>2031</v>
      </c>
      <c r="C1734" s="4" t="s">
        <v>611</v>
      </c>
    </row>
    <row r="1735" customFormat="false" ht="12.8" hidden="false" customHeight="false" outlineLevel="0" collapsed="false">
      <c r="A1735" s="3" t="n">
        <f aca="false">DATE(1998,11,11)</f>
        <v>36110</v>
      </c>
      <c r="B1735" s="4" t="s">
        <v>2032</v>
      </c>
      <c r="C1735" s="4" t="s">
        <v>1733</v>
      </c>
    </row>
    <row r="1736" customFormat="false" ht="12.8" hidden="false" customHeight="false" outlineLevel="0" collapsed="false">
      <c r="A1736" s="3" t="n">
        <f aca="false">DATE(1998,11,13)</f>
        <v>36112</v>
      </c>
      <c r="B1736" s="4" t="s">
        <v>2033</v>
      </c>
      <c r="C1736" s="4" t="s">
        <v>2034</v>
      </c>
    </row>
    <row r="1737" customFormat="false" ht="12.8" hidden="false" customHeight="false" outlineLevel="0" collapsed="false">
      <c r="A1737" s="3" t="n">
        <f aca="false">DATE(1998,11,13)</f>
        <v>36112</v>
      </c>
      <c r="B1737" s="4" t="s">
        <v>2035</v>
      </c>
      <c r="C1737" s="4" t="s">
        <v>2034</v>
      </c>
    </row>
    <row r="1738" customFormat="false" ht="12.8" hidden="false" customHeight="false" outlineLevel="0" collapsed="false">
      <c r="A1738" s="3" t="n">
        <f aca="false">DATE(1998,11,20)</f>
        <v>36119</v>
      </c>
      <c r="B1738" s="4" t="s">
        <v>2036</v>
      </c>
      <c r="C1738" s="4" t="s">
        <v>440</v>
      </c>
    </row>
    <row r="1739" customFormat="false" ht="12.8" hidden="false" customHeight="false" outlineLevel="0" collapsed="false">
      <c r="A1739" s="3" t="n">
        <f aca="false">DATE(1998,11,25)</f>
        <v>36124</v>
      </c>
      <c r="B1739" s="4" t="s">
        <v>2037</v>
      </c>
      <c r="C1739" s="4" t="s">
        <v>2038</v>
      </c>
    </row>
    <row r="1740" customFormat="false" ht="12.8" hidden="false" customHeight="false" outlineLevel="0" collapsed="false">
      <c r="A1740" s="3" t="n">
        <f aca="false">DATE(1998,11,30)</f>
        <v>36129</v>
      </c>
      <c r="B1740" s="4" t="s">
        <v>2039</v>
      </c>
      <c r="C1740" s="4" t="s">
        <v>86</v>
      </c>
    </row>
    <row r="1741" customFormat="false" ht="12.8" hidden="false" customHeight="false" outlineLevel="0" collapsed="false">
      <c r="A1741" s="3" t="n">
        <f aca="false">DATE(1998,12,3)</f>
        <v>36132</v>
      </c>
      <c r="B1741" s="4" t="s">
        <v>2040</v>
      </c>
      <c r="C1741" s="4" t="s">
        <v>440</v>
      </c>
    </row>
    <row r="1742" customFormat="false" ht="12.8" hidden="false" customHeight="false" outlineLevel="0" collapsed="false">
      <c r="A1742" s="3" t="n">
        <f aca="false">DATE(1998,12,4)</f>
        <v>36133</v>
      </c>
      <c r="B1742" s="4" t="s">
        <v>2041</v>
      </c>
      <c r="C1742" s="4" t="s">
        <v>1751</v>
      </c>
    </row>
    <row r="1743" customFormat="false" ht="12.8" hidden="false" customHeight="false" outlineLevel="0" collapsed="false">
      <c r="A1743" s="3" t="n">
        <f aca="false">DATE(1998,12,10)</f>
        <v>36139</v>
      </c>
      <c r="B1743" s="4" t="s">
        <v>2042</v>
      </c>
      <c r="C1743" s="4" t="s">
        <v>2043</v>
      </c>
    </row>
    <row r="1744" customFormat="false" ht="12.8" hidden="false" customHeight="false" outlineLevel="0" collapsed="false">
      <c r="A1744" s="3" t="n">
        <f aca="false">DATE(1998,12,10)</f>
        <v>36139</v>
      </c>
      <c r="B1744" s="4" t="s">
        <v>2044</v>
      </c>
      <c r="C1744" s="4" t="s">
        <v>132</v>
      </c>
    </row>
    <row r="1745" customFormat="false" ht="12.8" hidden="false" customHeight="false" outlineLevel="0" collapsed="false">
      <c r="A1745" s="3" t="n">
        <f aca="false">DATE(1998,12,14)</f>
        <v>36143</v>
      </c>
      <c r="B1745" s="4" t="s">
        <v>1869</v>
      </c>
      <c r="C1745" s="4" t="s">
        <v>2045</v>
      </c>
    </row>
    <row r="1746" customFormat="false" ht="12.8" hidden="false" customHeight="false" outlineLevel="0" collapsed="false">
      <c r="A1746" s="3" t="n">
        <f aca="false">DATE(1998,12,16)</f>
        <v>36145</v>
      </c>
      <c r="B1746" s="4" t="s">
        <v>2046</v>
      </c>
      <c r="C1746" s="4" t="s">
        <v>835</v>
      </c>
    </row>
    <row r="1747" customFormat="false" ht="12.8" hidden="false" customHeight="false" outlineLevel="0" collapsed="false">
      <c r="A1747" s="3" t="n">
        <f aca="false">DATE(1998,12,17)</f>
        <v>36146</v>
      </c>
      <c r="B1747" s="4" t="s">
        <v>2047</v>
      </c>
      <c r="C1747" s="4" t="s">
        <v>1012</v>
      </c>
    </row>
    <row r="1748" customFormat="false" ht="12.8" hidden="false" customHeight="false" outlineLevel="0" collapsed="false">
      <c r="A1748" s="3" t="n">
        <f aca="false">DATE(1998,12,17)</f>
        <v>36146</v>
      </c>
      <c r="B1748" s="4" t="s">
        <v>2048</v>
      </c>
      <c r="C1748" s="4" t="s">
        <v>2045</v>
      </c>
    </row>
    <row r="1749" customFormat="false" ht="12.8" hidden="false" customHeight="false" outlineLevel="0" collapsed="false">
      <c r="A1749" s="3" t="n">
        <f aca="false">DATE(1998,12,18)</f>
        <v>36147</v>
      </c>
      <c r="B1749" s="4" t="s">
        <v>2049</v>
      </c>
      <c r="C1749" s="4" t="s">
        <v>553</v>
      </c>
    </row>
    <row r="1750" customFormat="false" ht="12.8" hidden="false" customHeight="false" outlineLevel="0" collapsed="false">
      <c r="A1750" s="3" t="n">
        <f aca="false">DATE(1998,12,28)</f>
        <v>36157</v>
      </c>
      <c r="B1750" s="4" t="s">
        <v>2050</v>
      </c>
      <c r="C1750" s="4" t="s">
        <v>2051</v>
      </c>
    </row>
    <row r="1751" customFormat="false" ht="12.8" hidden="false" customHeight="false" outlineLevel="0" collapsed="false">
      <c r="A1751" s="3" t="n">
        <f aca="false">DATE(1999,1,4)</f>
        <v>36164</v>
      </c>
      <c r="B1751" s="4" t="s">
        <v>2052</v>
      </c>
      <c r="C1751" s="4" t="s">
        <v>1012</v>
      </c>
    </row>
    <row r="1752" customFormat="false" ht="12.8" hidden="false" customHeight="false" outlineLevel="0" collapsed="false">
      <c r="A1752" s="3" t="n">
        <f aca="false">DATE(1999,1,5)</f>
        <v>36165</v>
      </c>
      <c r="B1752" s="4" t="s">
        <v>2053</v>
      </c>
      <c r="C1752" s="4" t="s">
        <v>2054</v>
      </c>
    </row>
    <row r="1753" customFormat="false" ht="12.8" hidden="false" customHeight="false" outlineLevel="0" collapsed="false">
      <c r="A1753" s="3" t="n">
        <f aca="false">DATE(1999,1,12)</f>
        <v>36172</v>
      </c>
      <c r="B1753" s="4" t="s">
        <v>2055</v>
      </c>
      <c r="C1753" s="4" t="s">
        <v>2056</v>
      </c>
    </row>
    <row r="1754" customFormat="false" ht="12.8" hidden="false" customHeight="false" outlineLevel="0" collapsed="false">
      <c r="A1754" s="3" t="n">
        <f aca="false">DATE(1999,1,13)</f>
        <v>36173</v>
      </c>
      <c r="B1754" s="4" t="s">
        <v>2057</v>
      </c>
      <c r="C1754" s="4" t="s">
        <v>2058</v>
      </c>
    </row>
    <row r="1755" customFormat="false" ht="12.8" hidden="false" customHeight="false" outlineLevel="0" collapsed="false">
      <c r="A1755" s="3" t="n">
        <f aca="false">DATE(1999,1,18)</f>
        <v>36178</v>
      </c>
      <c r="B1755" s="4" t="s">
        <v>2059</v>
      </c>
      <c r="C1755" s="4" t="s">
        <v>2060</v>
      </c>
    </row>
    <row r="1756" customFormat="false" ht="12.8" hidden="false" customHeight="false" outlineLevel="0" collapsed="false">
      <c r="A1756" s="3" t="n">
        <f aca="false">DATE(1999,1,25)</f>
        <v>36185</v>
      </c>
      <c r="B1756" s="4" t="s">
        <v>820</v>
      </c>
      <c r="C1756" s="4" t="s">
        <v>641</v>
      </c>
    </row>
    <row r="1757" customFormat="false" ht="12.8" hidden="false" customHeight="false" outlineLevel="0" collapsed="false">
      <c r="A1757" s="3" t="n">
        <f aca="false">DATE(1999,1,25)</f>
        <v>36185</v>
      </c>
      <c r="B1757" s="4" t="s">
        <v>2061</v>
      </c>
      <c r="C1757" s="4" t="s">
        <v>1946</v>
      </c>
    </row>
    <row r="1758" customFormat="false" ht="12.8" hidden="false" customHeight="false" outlineLevel="0" collapsed="false">
      <c r="A1758" s="3" t="n">
        <f aca="false">DATE(1999,1,25)</f>
        <v>36185</v>
      </c>
      <c r="B1758" s="4" t="s">
        <v>2062</v>
      </c>
      <c r="C1758" s="4" t="s">
        <v>2063</v>
      </c>
    </row>
    <row r="1759" customFormat="false" ht="12.8" hidden="false" customHeight="false" outlineLevel="0" collapsed="false">
      <c r="A1759" s="3" t="n">
        <f aca="false">DATE(1999,1,26)</f>
        <v>36186</v>
      </c>
      <c r="B1759" s="4" t="s">
        <v>2064</v>
      </c>
      <c r="C1759" s="4" t="s">
        <v>1518</v>
      </c>
    </row>
    <row r="1760" customFormat="false" ht="12.8" hidden="false" customHeight="false" outlineLevel="0" collapsed="false">
      <c r="A1760" s="3" t="n">
        <f aca="false">DATE(1999,1,26)</f>
        <v>36186</v>
      </c>
      <c r="B1760" s="4" t="s">
        <v>2065</v>
      </c>
      <c r="C1760" s="4" t="s">
        <v>1227</v>
      </c>
    </row>
    <row r="1761" customFormat="false" ht="12.8" hidden="false" customHeight="false" outlineLevel="0" collapsed="false">
      <c r="A1761" s="3" t="n">
        <f aca="false">DATE(1999,1,26)</f>
        <v>36186</v>
      </c>
      <c r="B1761" s="4" t="s">
        <v>1993</v>
      </c>
      <c r="C1761" s="4" t="s">
        <v>847</v>
      </c>
    </row>
    <row r="1762" customFormat="false" ht="12.8" hidden="false" customHeight="false" outlineLevel="0" collapsed="false">
      <c r="A1762" s="3" t="n">
        <f aca="false">DATE(1999,1,28)</f>
        <v>36188</v>
      </c>
      <c r="B1762" s="4" t="s">
        <v>1235</v>
      </c>
      <c r="C1762" s="4" t="s">
        <v>2066</v>
      </c>
    </row>
    <row r="1763" customFormat="false" ht="12.8" hidden="false" customHeight="false" outlineLevel="0" collapsed="false">
      <c r="A1763" s="3" t="n">
        <f aca="false">DATE(1999,1,29)</f>
        <v>36189</v>
      </c>
      <c r="B1763" s="4" t="s">
        <v>2067</v>
      </c>
      <c r="C1763" s="4" t="s">
        <v>2034</v>
      </c>
    </row>
    <row r="1764" customFormat="false" ht="12.8" hidden="false" customHeight="false" outlineLevel="0" collapsed="false">
      <c r="A1764" s="3" t="n">
        <f aca="false">DATE(1999,1,29)</f>
        <v>36189</v>
      </c>
      <c r="B1764" s="4" t="s">
        <v>2068</v>
      </c>
      <c r="C1764" s="4" t="s">
        <v>2034</v>
      </c>
    </row>
    <row r="1765" customFormat="false" ht="12.8" hidden="false" customHeight="false" outlineLevel="0" collapsed="false">
      <c r="A1765" s="3" t="n">
        <f aca="false">DATE(1999,1,29)</f>
        <v>36189</v>
      </c>
      <c r="B1765" s="4" t="s">
        <v>2069</v>
      </c>
      <c r="C1765" s="4" t="s">
        <v>2070</v>
      </c>
    </row>
    <row r="1766" customFormat="false" ht="12.8" hidden="false" customHeight="false" outlineLevel="0" collapsed="false">
      <c r="A1766" s="3" t="n">
        <f aca="false">DATE(1999,2,1)</f>
        <v>36192</v>
      </c>
      <c r="B1766" s="4" t="s">
        <v>1642</v>
      </c>
      <c r="C1766" s="4" t="s">
        <v>2071</v>
      </c>
    </row>
    <row r="1767" customFormat="false" ht="12.8" hidden="false" customHeight="false" outlineLevel="0" collapsed="false">
      <c r="A1767" s="3" t="n">
        <f aca="false">DATE(1999,2,10)</f>
        <v>36201</v>
      </c>
      <c r="B1767" s="4" t="s">
        <v>852</v>
      </c>
      <c r="C1767" s="4" t="s">
        <v>1852</v>
      </c>
    </row>
    <row r="1768" customFormat="false" ht="12.8" hidden="false" customHeight="false" outlineLevel="0" collapsed="false">
      <c r="A1768" s="3" t="n">
        <f aca="false">DATE(1999,2,15)</f>
        <v>36206</v>
      </c>
      <c r="B1768" s="4" t="s">
        <v>2072</v>
      </c>
      <c r="C1768" s="4" t="s">
        <v>2073</v>
      </c>
    </row>
    <row r="1769" customFormat="false" ht="12.8" hidden="false" customHeight="false" outlineLevel="0" collapsed="false">
      <c r="A1769" s="3" t="n">
        <f aca="false">DATE(1999,2,16)</f>
        <v>36207</v>
      </c>
      <c r="B1769" s="4" t="s">
        <v>2074</v>
      </c>
      <c r="C1769" s="4" t="s">
        <v>2034</v>
      </c>
    </row>
    <row r="1770" customFormat="false" ht="12.8" hidden="false" customHeight="false" outlineLevel="0" collapsed="false">
      <c r="A1770" s="3" t="n">
        <f aca="false">DATE(1999,2,16)</f>
        <v>36207</v>
      </c>
      <c r="B1770" s="4" t="s">
        <v>2075</v>
      </c>
      <c r="C1770" s="4" t="s">
        <v>2076</v>
      </c>
    </row>
    <row r="1771" customFormat="false" ht="12.8" hidden="false" customHeight="false" outlineLevel="0" collapsed="false">
      <c r="A1771" s="3" t="n">
        <f aca="false">DATE(1999,2,17)</f>
        <v>36208</v>
      </c>
      <c r="B1771" s="4" t="s">
        <v>973</v>
      </c>
      <c r="C1771" s="4" t="s">
        <v>9</v>
      </c>
    </row>
    <row r="1772" customFormat="false" ht="12.8" hidden="false" customHeight="false" outlineLevel="0" collapsed="false">
      <c r="A1772" s="3" t="n">
        <f aca="false">DATE(1999,2,17)</f>
        <v>36208</v>
      </c>
      <c r="B1772" s="4" t="s">
        <v>1522</v>
      </c>
      <c r="C1772" s="4" t="s">
        <v>1511</v>
      </c>
    </row>
    <row r="1773" customFormat="false" ht="12.8" hidden="false" customHeight="false" outlineLevel="0" collapsed="false">
      <c r="A1773" s="3" t="n">
        <f aca="false">DATE(1999,2,18)</f>
        <v>36209</v>
      </c>
      <c r="B1773" s="4" t="s">
        <v>1646</v>
      </c>
      <c r="C1773" s="4" t="s">
        <v>1654</v>
      </c>
    </row>
    <row r="1774" customFormat="false" ht="12.8" hidden="false" customHeight="false" outlineLevel="0" collapsed="false">
      <c r="A1774" s="3" t="n">
        <f aca="false">DATE(1999,2,18)</f>
        <v>36209</v>
      </c>
      <c r="B1774" s="4" t="s">
        <v>2077</v>
      </c>
      <c r="C1774" s="4" t="s">
        <v>1357</v>
      </c>
    </row>
    <row r="1775" customFormat="false" ht="12.8" hidden="false" customHeight="false" outlineLevel="0" collapsed="false">
      <c r="A1775" s="3" t="n">
        <f aca="false">DATE(1999,2,22)</f>
        <v>36213</v>
      </c>
      <c r="B1775" s="4" t="s">
        <v>2078</v>
      </c>
      <c r="C1775" s="4" t="s">
        <v>440</v>
      </c>
    </row>
    <row r="1776" customFormat="false" ht="12.8" hidden="false" customHeight="false" outlineLevel="0" collapsed="false">
      <c r="A1776" s="3" t="n">
        <f aca="false">DATE(1999,2,23)</f>
        <v>36214</v>
      </c>
      <c r="B1776" s="4" t="s">
        <v>2079</v>
      </c>
      <c r="C1776" s="4" t="s">
        <v>2080</v>
      </c>
    </row>
    <row r="1777" customFormat="false" ht="12.8" hidden="false" customHeight="false" outlineLevel="0" collapsed="false">
      <c r="A1777" s="3" t="n">
        <f aca="false">DATE(1999,2,23)</f>
        <v>36214</v>
      </c>
      <c r="B1777" s="4" t="s">
        <v>2081</v>
      </c>
      <c r="C1777" s="4" t="s">
        <v>2082</v>
      </c>
    </row>
    <row r="1778" customFormat="false" ht="12.8" hidden="false" customHeight="false" outlineLevel="0" collapsed="false">
      <c r="A1778" s="3" t="n">
        <f aca="false">DATE(1999,2,23)</f>
        <v>36214</v>
      </c>
      <c r="B1778" s="4" t="s">
        <v>2083</v>
      </c>
      <c r="C1778" s="4" t="s">
        <v>1238</v>
      </c>
    </row>
    <row r="1779" customFormat="false" ht="12.8" hidden="false" customHeight="false" outlineLevel="0" collapsed="false">
      <c r="A1779" s="3" t="n">
        <f aca="false">DATE(1999,2,25)</f>
        <v>36216</v>
      </c>
      <c r="B1779" s="4" t="s">
        <v>2084</v>
      </c>
      <c r="C1779" s="4" t="s">
        <v>2066</v>
      </c>
    </row>
    <row r="1780" customFormat="false" ht="12.8" hidden="false" customHeight="false" outlineLevel="0" collapsed="false">
      <c r="A1780" s="3" t="n">
        <f aca="false">DATE(1999,3,4)</f>
        <v>36223</v>
      </c>
      <c r="B1780" s="4" t="s">
        <v>2085</v>
      </c>
      <c r="C1780" s="4" t="s">
        <v>2086</v>
      </c>
    </row>
    <row r="1781" customFormat="false" ht="12.8" hidden="false" customHeight="false" outlineLevel="0" collapsed="false">
      <c r="A1781" s="3" t="n">
        <f aca="false">DATE(1999,3,12)</f>
        <v>36231</v>
      </c>
      <c r="B1781" s="4" t="s">
        <v>2087</v>
      </c>
      <c r="C1781" s="4" t="s">
        <v>1221</v>
      </c>
    </row>
    <row r="1782" customFormat="false" ht="12.8" hidden="false" customHeight="false" outlineLevel="0" collapsed="false">
      <c r="A1782" s="3" t="n">
        <f aca="false">DATE(1999,3,12)</f>
        <v>36231</v>
      </c>
      <c r="B1782" s="4" t="s">
        <v>2088</v>
      </c>
      <c r="C1782" s="4" t="s">
        <v>702</v>
      </c>
    </row>
    <row r="1783" customFormat="false" ht="12.8" hidden="false" customHeight="false" outlineLevel="0" collapsed="false">
      <c r="A1783" s="3" t="n">
        <f aca="false">DATE(1999,3,14)</f>
        <v>36233</v>
      </c>
      <c r="B1783" s="4" t="s">
        <v>1678</v>
      </c>
      <c r="C1783" s="4" t="s">
        <v>1120</v>
      </c>
    </row>
    <row r="1784" customFormat="false" ht="12.8" hidden="false" customHeight="false" outlineLevel="0" collapsed="false">
      <c r="A1784" s="3" t="n">
        <f aca="false">DATE(1999,3,15)</f>
        <v>36234</v>
      </c>
      <c r="B1784" s="4" t="s">
        <v>2089</v>
      </c>
      <c r="C1784" s="4" t="s">
        <v>2090</v>
      </c>
    </row>
    <row r="1785" customFormat="false" ht="12.8" hidden="false" customHeight="false" outlineLevel="0" collapsed="false">
      <c r="A1785" s="3" t="n">
        <f aca="false">DATE(1999,3,18)</f>
        <v>36237</v>
      </c>
      <c r="B1785" s="4" t="s">
        <v>2091</v>
      </c>
      <c r="C1785" s="4" t="s">
        <v>1227</v>
      </c>
    </row>
    <row r="1786" customFormat="false" ht="12.8" hidden="false" customHeight="false" outlineLevel="0" collapsed="false">
      <c r="A1786" s="3" t="n">
        <f aca="false">DATE(1999,3,18)</f>
        <v>36237</v>
      </c>
      <c r="B1786" s="4" t="s">
        <v>2092</v>
      </c>
      <c r="C1786" s="4" t="s">
        <v>2093</v>
      </c>
    </row>
    <row r="1787" customFormat="false" ht="12.8" hidden="false" customHeight="false" outlineLevel="0" collapsed="false">
      <c r="A1787" s="3" t="n">
        <f aca="false">DATE(1999,3,18)</f>
        <v>36237</v>
      </c>
      <c r="B1787" s="4" t="s">
        <v>506</v>
      </c>
      <c r="C1787" s="4" t="s">
        <v>169</v>
      </c>
    </row>
    <row r="1788" customFormat="false" ht="12.8" hidden="false" customHeight="false" outlineLevel="0" collapsed="false">
      <c r="A1788" s="3" t="n">
        <f aca="false">DATE(1999,3,19)</f>
        <v>36238</v>
      </c>
      <c r="B1788" s="4" t="s">
        <v>2094</v>
      </c>
      <c r="C1788" s="4" t="s">
        <v>2095</v>
      </c>
    </row>
    <row r="1789" customFormat="false" ht="12.8" hidden="false" customHeight="false" outlineLevel="0" collapsed="false">
      <c r="A1789" s="3" t="n">
        <f aca="false">DATE(1999,3,19)</f>
        <v>36238</v>
      </c>
      <c r="B1789" s="4" t="s">
        <v>2096</v>
      </c>
      <c r="C1789" s="4" t="s">
        <v>560</v>
      </c>
    </row>
    <row r="1790" customFormat="false" ht="12.8" hidden="false" customHeight="false" outlineLevel="0" collapsed="false">
      <c r="A1790" s="3" t="n">
        <f aca="false">DATE(1999,3,31)</f>
        <v>36250</v>
      </c>
      <c r="B1790" s="4" t="s">
        <v>2097</v>
      </c>
      <c r="C1790" s="4" t="s">
        <v>560</v>
      </c>
    </row>
    <row r="1791" customFormat="false" ht="12.8" hidden="false" customHeight="false" outlineLevel="0" collapsed="false">
      <c r="A1791" s="3" t="n">
        <f aca="false">DATE(1999,4,1)</f>
        <v>36251</v>
      </c>
      <c r="B1791" s="4" t="s">
        <v>2098</v>
      </c>
      <c r="C1791" s="4" t="s">
        <v>60</v>
      </c>
    </row>
    <row r="1792" customFormat="false" ht="12.8" hidden="false" customHeight="false" outlineLevel="0" collapsed="false">
      <c r="A1792" s="3" t="n">
        <f aca="false">DATE(1999,4,6)</f>
        <v>36256</v>
      </c>
      <c r="B1792" s="4" t="s">
        <v>1996</v>
      </c>
      <c r="C1792" s="4" t="s">
        <v>634</v>
      </c>
    </row>
    <row r="1793" customFormat="false" ht="12.8" hidden="false" customHeight="false" outlineLevel="0" collapsed="false">
      <c r="A1793" s="3" t="n">
        <f aca="false">DATE(1999,4,6)</f>
        <v>36256</v>
      </c>
      <c r="B1793" s="4" t="s">
        <v>2099</v>
      </c>
      <c r="C1793" s="4" t="s">
        <v>1614</v>
      </c>
    </row>
    <row r="1794" customFormat="false" ht="12.8" hidden="false" customHeight="false" outlineLevel="0" collapsed="false">
      <c r="A1794" s="3" t="n">
        <f aca="false">DATE(1999,4,6)</f>
        <v>36256</v>
      </c>
      <c r="B1794" s="4" t="s">
        <v>2100</v>
      </c>
      <c r="C1794" s="4" t="s">
        <v>1808</v>
      </c>
    </row>
    <row r="1795" customFormat="false" ht="12.8" hidden="false" customHeight="false" outlineLevel="0" collapsed="false">
      <c r="A1795" s="3" t="n">
        <f aca="false">DATE(1999,4,12)</f>
        <v>36262</v>
      </c>
      <c r="B1795" s="4" t="s">
        <v>2101</v>
      </c>
      <c r="C1795" s="4" t="s">
        <v>2071</v>
      </c>
    </row>
    <row r="1796" customFormat="false" ht="12.8" hidden="false" customHeight="false" outlineLevel="0" collapsed="false">
      <c r="A1796" s="3" t="n">
        <f aca="false">DATE(1999,4,19)</f>
        <v>36269</v>
      </c>
      <c r="B1796" s="4" t="s">
        <v>2102</v>
      </c>
      <c r="C1796" s="4" t="s">
        <v>1846</v>
      </c>
    </row>
    <row r="1797" customFormat="false" ht="12.8" hidden="false" customHeight="false" outlineLevel="0" collapsed="false">
      <c r="A1797" s="3" t="n">
        <f aca="false">DATE(1999,4,19)</f>
        <v>36269</v>
      </c>
      <c r="B1797" s="4" t="s">
        <v>927</v>
      </c>
      <c r="C1797" s="4" t="s">
        <v>112</v>
      </c>
    </row>
    <row r="1798" customFormat="false" ht="12.8" hidden="false" customHeight="false" outlineLevel="0" collapsed="false">
      <c r="A1798" s="3" t="n">
        <f aca="false">DATE(1999,4,20)</f>
        <v>36270</v>
      </c>
      <c r="B1798" s="4" t="s">
        <v>2103</v>
      </c>
      <c r="C1798" s="4" t="s">
        <v>1614</v>
      </c>
    </row>
    <row r="1799" customFormat="false" ht="12.8" hidden="false" customHeight="false" outlineLevel="0" collapsed="false">
      <c r="A1799" s="3" t="n">
        <f aca="false">DATE(1999,4,22)</f>
        <v>36272</v>
      </c>
      <c r="B1799" s="4" t="s">
        <v>2104</v>
      </c>
      <c r="C1799" s="4" t="s">
        <v>1740</v>
      </c>
    </row>
    <row r="1800" customFormat="false" ht="12.8" hidden="false" customHeight="false" outlineLevel="0" collapsed="false">
      <c r="A1800" s="3" t="n">
        <f aca="false">DATE(1999,4,23)</f>
        <v>36273</v>
      </c>
      <c r="B1800" s="4" t="s">
        <v>2105</v>
      </c>
      <c r="C1800" s="4" t="s">
        <v>47</v>
      </c>
    </row>
    <row r="1801" customFormat="false" ht="12.8" hidden="false" customHeight="false" outlineLevel="0" collapsed="false">
      <c r="A1801" s="3" t="n">
        <f aca="false">DATE(1999,4,28)</f>
        <v>36278</v>
      </c>
      <c r="B1801" s="4" t="s">
        <v>2106</v>
      </c>
      <c r="C1801" s="4" t="s">
        <v>987</v>
      </c>
    </row>
    <row r="1802" customFormat="false" ht="12.8" hidden="false" customHeight="false" outlineLevel="0" collapsed="false">
      <c r="A1802" s="3" t="n">
        <f aca="false">DATE(1999,5,3)</f>
        <v>36283</v>
      </c>
      <c r="B1802" s="4" t="s">
        <v>2107</v>
      </c>
      <c r="C1802" s="4" t="s">
        <v>1518</v>
      </c>
    </row>
    <row r="1803" customFormat="false" ht="12.8" hidden="false" customHeight="false" outlineLevel="0" collapsed="false">
      <c r="A1803" s="3" t="n">
        <f aca="false">DATE(1999,5,7)</f>
        <v>36287</v>
      </c>
      <c r="B1803" s="4" t="s">
        <v>2108</v>
      </c>
      <c r="C1803" s="4" t="s">
        <v>987</v>
      </c>
    </row>
    <row r="1804" customFormat="false" ht="12.8" hidden="false" customHeight="false" outlineLevel="0" collapsed="false">
      <c r="A1804" s="3" t="n">
        <f aca="false">DATE(1999,5,10)</f>
        <v>36290</v>
      </c>
      <c r="B1804" s="4" t="s">
        <v>2109</v>
      </c>
      <c r="C1804" s="4" t="s">
        <v>696</v>
      </c>
    </row>
    <row r="1805" customFormat="false" ht="12.8" hidden="false" customHeight="false" outlineLevel="0" collapsed="false">
      <c r="A1805" s="3" t="n">
        <f aca="false">DATE(1999,5,13)</f>
        <v>36293</v>
      </c>
      <c r="B1805" s="4" t="s">
        <v>1789</v>
      </c>
      <c r="C1805" s="4" t="s">
        <v>2110</v>
      </c>
    </row>
    <row r="1806" customFormat="false" ht="12.8" hidden="false" customHeight="false" outlineLevel="0" collapsed="false">
      <c r="A1806" s="3" t="n">
        <f aca="false">DATE(1999,5,19)</f>
        <v>36299</v>
      </c>
      <c r="B1806" s="4" t="s">
        <v>2111</v>
      </c>
      <c r="C1806" s="4" t="s">
        <v>684</v>
      </c>
    </row>
    <row r="1807" customFormat="false" ht="12.8" hidden="false" customHeight="false" outlineLevel="0" collapsed="false">
      <c r="A1807" s="3" t="n">
        <f aca="false">DATE(1999,5,19)</f>
        <v>36299</v>
      </c>
      <c r="B1807" s="4" t="s">
        <v>1664</v>
      </c>
      <c r="C1807" s="4" t="s">
        <v>1654</v>
      </c>
    </row>
    <row r="1808" customFormat="false" ht="12.8" hidden="false" customHeight="false" outlineLevel="0" collapsed="false">
      <c r="A1808" s="3" t="n">
        <f aca="false">DATE(1999,5,28)</f>
        <v>36308</v>
      </c>
      <c r="B1808" s="4" t="s">
        <v>2112</v>
      </c>
      <c r="C1808" s="4" t="s">
        <v>2113</v>
      </c>
    </row>
    <row r="1809" customFormat="false" ht="12.8" hidden="false" customHeight="false" outlineLevel="0" collapsed="false">
      <c r="A1809" s="3" t="n">
        <f aca="false">DATE(1999,5,31)</f>
        <v>36311</v>
      </c>
      <c r="B1809" s="4" t="s">
        <v>180</v>
      </c>
      <c r="C1809" s="4" t="s">
        <v>122</v>
      </c>
    </row>
    <row r="1810" customFormat="false" ht="12.8" hidden="false" customHeight="false" outlineLevel="0" collapsed="false">
      <c r="A1810" s="3" t="n">
        <f aca="false">DATE(1999,6,1)</f>
        <v>36312</v>
      </c>
      <c r="B1810" s="4" t="s">
        <v>2114</v>
      </c>
      <c r="C1810" s="4" t="s">
        <v>2115</v>
      </c>
    </row>
    <row r="1811" customFormat="false" ht="12.8" hidden="false" customHeight="false" outlineLevel="0" collapsed="false">
      <c r="A1811" s="3" t="n">
        <f aca="false">DATE(1999,6,2)</f>
        <v>36313</v>
      </c>
      <c r="B1811" s="4" t="s">
        <v>118</v>
      </c>
      <c r="C1811" s="4" t="s">
        <v>487</v>
      </c>
    </row>
    <row r="1812" customFormat="false" ht="12.8" hidden="false" customHeight="false" outlineLevel="0" collapsed="false">
      <c r="A1812" s="3" t="n">
        <f aca="false">DATE(1999,6,4)</f>
        <v>36315</v>
      </c>
      <c r="B1812" s="4" t="s">
        <v>2116</v>
      </c>
      <c r="C1812" s="4" t="s">
        <v>588</v>
      </c>
    </row>
    <row r="1813" customFormat="false" ht="12.8" hidden="false" customHeight="false" outlineLevel="0" collapsed="false">
      <c r="A1813" s="3" t="n">
        <f aca="false">DATE(1999,6,6)</f>
        <v>36317</v>
      </c>
      <c r="B1813" s="4" t="s">
        <v>673</v>
      </c>
      <c r="C1813" s="4" t="s">
        <v>987</v>
      </c>
    </row>
    <row r="1814" customFormat="false" ht="12.8" hidden="false" customHeight="false" outlineLevel="0" collapsed="false">
      <c r="A1814" s="3" t="n">
        <f aca="false">DATE(1999,6,7)</f>
        <v>36318</v>
      </c>
      <c r="B1814" s="4" t="s">
        <v>2117</v>
      </c>
      <c r="C1814" s="4" t="s">
        <v>2045</v>
      </c>
    </row>
    <row r="1815" customFormat="false" ht="12.8" hidden="false" customHeight="false" outlineLevel="0" collapsed="false">
      <c r="A1815" s="3" t="n">
        <f aca="false">DATE(1999,6,16)</f>
        <v>36327</v>
      </c>
      <c r="B1815" s="4" t="s">
        <v>641</v>
      </c>
      <c r="C1815" s="4" t="s">
        <v>105</v>
      </c>
    </row>
    <row r="1816" customFormat="false" ht="12.8" hidden="false" customHeight="false" outlineLevel="0" collapsed="false">
      <c r="A1816" s="3" t="n">
        <f aca="false">DATE(1999,6,16)</f>
        <v>36327</v>
      </c>
      <c r="B1816" s="4" t="s">
        <v>2118</v>
      </c>
      <c r="C1816" s="4" t="s">
        <v>935</v>
      </c>
    </row>
    <row r="1817" customFormat="false" ht="12.8" hidden="false" customHeight="false" outlineLevel="0" collapsed="false">
      <c r="A1817" s="3" t="n">
        <f aca="false">DATE(1999,6,21)</f>
        <v>36332</v>
      </c>
      <c r="B1817" s="4" t="s">
        <v>2119</v>
      </c>
      <c r="C1817" s="4" t="s">
        <v>2120</v>
      </c>
    </row>
    <row r="1818" customFormat="false" ht="12.8" hidden="false" customHeight="false" outlineLevel="0" collapsed="false">
      <c r="A1818" s="3" t="n">
        <f aca="false">DATE(1999,6,29)</f>
        <v>36340</v>
      </c>
      <c r="B1818" s="4" t="s">
        <v>2121</v>
      </c>
      <c r="C1818" s="4" t="s">
        <v>847</v>
      </c>
    </row>
    <row r="1819" customFormat="false" ht="12.8" hidden="false" customHeight="false" outlineLevel="0" collapsed="false">
      <c r="A1819" s="3" t="n">
        <f aca="false">DATE(1999,6,30)</f>
        <v>36341</v>
      </c>
      <c r="B1819" s="4" t="s">
        <v>2122</v>
      </c>
      <c r="C1819" s="4" t="s">
        <v>2123</v>
      </c>
    </row>
    <row r="1820" customFormat="false" ht="12.8" hidden="false" customHeight="false" outlineLevel="0" collapsed="false">
      <c r="A1820" s="3" t="n">
        <f aca="false">DATE(1999,7,8)</f>
        <v>36349</v>
      </c>
      <c r="B1820" s="4" t="s">
        <v>2124</v>
      </c>
      <c r="C1820" s="4" t="s">
        <v>1044</v>
      </c>
    </row>
    <row r="1821" customFormat="false" ht="12.8" hidden="false" customHeight="false" outlineLevel="0" collapsed="false">
      <c r="A1821" s="3" t="n">
        <f aca="false">DATE(1999,7,9)</f>
        <v>36350</v>
      </c>
      <c r="B1821" s="4" t="s">
        <v>2125</v>
      </c>
      <c r="C1821" s="4" t="s">
        <v>105</v>
      </c>
    </row>
    <row r="1822" customFormat="false" ht="12.8" hidden="false" customHeight="false" outlineLevel="0" collapsed="false">
      <c r="A1822" s="3" t="n">
        <f aca="false">DATE(1999,7,15)</f>
        <v>36356</v>
      </c>
      <c r="B1822" s="4" t="s">
        <v>2126</v>
      </c>
      <c r="C1822" s="4" t="s">
        <v>1044</v>
      </c>
    </row>
    <row r="1823" customFormat="false" ht="12.8" hidden="false" customHeight="false" outlineLevel="0" collapsed="false">
      <c r="A1823" s="3" t="n">
        <f aca="false">DATE(1999,7,26)</f>
        <v>36367</v>
      </c>
      <c r="B1823" s="4" t="s">
        <v>2127</v>
      </c>
      <c r="C1823" s="4" t="s">
        <v>935</v>
      </c>
    </row>
    <row r="1824" customFormat="false" ht="12.8" hidden="false" customHeight="false" outlineLevel="0" collapsed="false">
      <c r="A1824" s="3" t="n">
        <f aca="false">DATE(1999,7,27)</f>
        <v>36368</v>
      </c>
      <c r="B1824" s="4" t="s">
        <v>2128</v>
      </c>
      <c r="C1824" s="4" t="s">
        <v>2129</v>
      </c>
    </row>
    <row r="1825" customFormat="false" ht="12.8" hidden="false" customHeight="false" outlineLevel="0" collapsed="false">
      <c r="A1825" s="3" t="n">
        <f aca="false">DATE(1999,7,28)</f>
        <v>36369</v>
      </c>
      <c r="B1825" s="4" t="s">
        <v>1614</v>
      </c>
      <c r="C1825" s="4" t="s">
        <v>2066</v>
      </c>
    </row>
    <row r="1826" customFormat="false" ht="12.8" hidden="false" customHeight="false" outlineLevel="0" collapsed="false">
      <c r="A1826" s="3" t="n">
        <f aca="false">DATE(1999,7,29)</f>
        <v>36370</v>
      </c>
      <c r="B1826" s="4" t="s">
        <v>2024</v>
      </c>
      <c r="C1826" s="4" t="s">
        <v>225</v>
      </c>
    </row>
    <row r="1827" customFormat="false" ht="12.8" hidden="false" customHeight="false" outlineLevel="0" collapsed="false">
      <c r="A1827" s="3" t="n">
        <f aca="false">DATE(1999,7,29)</f>
        <v>36370</v>
      </c>
      <c r="B1827" s="4" t="s">
        <v>1324</v>
      </c>
      <c r="C1827" s="4" t="s">
        <v>169</v>
      </c>
    </row>
    <row r="1828" customFormat="false" ht="12.8" hidden="false" customHeight="false" outlineLevel="0" collapsed="false">
      <c r="A1828" s="3" t="n">
        <f aca="false">DATE(1999,7,30)</f>
        <v>36371</v>
      </c>
      <c r="B1828" s="4" t="s">
        <v>2130</v>
      </c>
      <c r="C1828" s="4" t="s">
        <v>2131</v>
      </c>
    </row>
    <row r="1829" customFormat="false" ht="12.8" hidden="false" customHeight="false" outlineLevel="0" collapsed="false">
      <c r="A1829" s="3" t="n">
        <f aca="false">DATE(1999,8,5)</f>
        <v>36377</v>
      </c>
      <c r="B1829" s="4" t="s">
        <v>2132</v>
      </c>
      <c r="C1829" s="4" t="s">
        <v>1174</v>
      </c>
    </row>
    <row r="1830" customFormat="false" ht="12.8" hidden="false" customHeight="false" outlineLevel="0" collapsed="false">
      <c r="A1830" s="3" t="n">
        <f aca="false">DATE(1999,8,9)</f>
        <v>36381</v>
      </c>
      <c r="B1830" s="4" t="s">
        <v>1484</v>
      </c>
      <c r="C1830" s="4" t="s">
        <v>1659</v>
      </c>
    </row>
    <row r="1831" customFormat="false" ht="12.8" hidden="false" customHeight="false" outlineLevel="0" collapsed="false">
      <c r="A1831" s="3" t="n">
        <f aca="false">DATE(1999,8,16)</f>
        <v>36388</v>
      </c>
      <c r="B1831" s="4" t="s">
        <v>2133</v>
      </c>
      <c r="C1831" s="4" t="s">
        <v>400</v>
      </c>
    </row>
    <row r="1832" customFormat="false" ht="12.8" hidden="false" customHeight="false" outlineLevel="0" collapsed="false">
      <c r="A1832" s="3" t="n">
        <f aca="false">DATE(1999,8,16)</f>
        <v>36388</v>
      </c>
      <c r="B1832" s="4" t="s">
        <v>2134</v>
      </c>
      <c r="C1832" s="4" t="s">
        <v>789</v>
      </c>
    </row>
    <row r="1833" customFormat="false" ht="12.8" hidden="false" customHeight="false" outlineLevel="0" collapsed="false">
      <c r="A1833" s="3" t="n">
        <f aca="false">DATE(1999,8,19)</f>
        <v>36391</v>
      </c>
      <c r="B1833" s="4" t="s">
        <v>2135</v>
      </c>
      <c r="C1833" s="4" t="s">
        <v>2136</v>
      </c>
    </row>
    <row r="1834" customFormat="false" ht="12.8" hidden="false" customHeight="false" outlineLevel="0" collapsed="false">
      <c r="A1834" s="3" t="n">
        <f aca="false">DATE(1999,8,20)</f>
        <v>36392</v>
      </c>
      <c r="B1834" s="4" t="s">
        <v>2137</v>
      </c>
      <c r="C1834" s="4" t="s">
        <v>560</v>
      </c>
    </row>
    <row r="1835" customFormat="false" ht="12.8" hidden="false" customHeight="false" outlineLevel="0" collapsed="false">
      <c r="A1835" s="3" t="n">
        <f aca="false">DATE(1999,8,20)</f>
        <v>36392</v>
      </c>
      <c r="B1835" s="4" t="s">
        <v>1203</v>
      </c>
      <c r="C1835" s="4" t="s">
        <v>1241</v>
      </c>
    </row>
    <row r="1836" customFormat="false" ht="12.8" hidden="false" customHeight="false" outlineLevel="0" collapsed="false">
      <c r="A1836" s="3" t="n">
        <f aca="false">DATE(1999,8,27)</f>
        <v>36399</v>
      </c>
      <c r="B1836" s="4" t="s">
        <v>2138</v>
      </c>
      <c r="C1836" s="4" t="s">
        <v>1174</v>
      </c>
    </row>
    <row r="1837" customFormat="false" ht="12.8" hidden="false" customHeight="false" outlineLevel="0" collapsed="false">
      <c r="A1837" s="3" t="n">
        <f aca="false">DATE(1999,8,29)</f>
        <v>36401</v>
      </c>
      <c r="B1837" s="4" t="s">
        <v>2139</v>
      </c>
      <c r="C1837" s="4" t="s">
        <v>1079</v>
      </c>
    </row>
    <row r="1838" customFormat="false" ht="12.8" hidden="false" customHeight="false" outlineLevel="0" collapsed="false">
      <c r="A1838" s="3" t="n">
        <f aca="false">DATE(1999,8,30)</f>
        <v>36402</v>
      </c>
      <c r="B1838" s="4" t="s">
        <v>1668</v>
      </c>
      <c r="C1838" s="4" t="s">
        <v>400</v>
      </c>
    </row>
    <row r="1839" customFormat="false" ht="12.8" hidden="false" customHeight="false" outlineLevel="0" collapsed="false">
      <c r="A1839" s="3" t="n">
        <f aca="false">DATE(1999,8,31)</f>
        <v>36403</v>
      </c>
      <c r="B1839" s="4" t="s">
        <v>2140</v>
      </c>
      <c r="C1839" s="4" t="s">
        <v>2086</v>
      </c>
    </row>
    <row r="1840" customFormat="false" ht="12.8" hidden="false" customHeight="false" outlineLevel="0" collapsed="false">
      <c r="A1840" s="3" t="n">
        <f aca="false">DATE(1999,9,1)</f>
        <v>36404</v>
      </c>
      <c r="B1840" s="4" t="s">
        <v>907</v>
      </c>
      <c r="C1840" s="4" t="s">
        <v>1654</v>
      </c>
    </row>
    <row r="1841" customFormat="false" ht="12.8" hidden="false" customHeight="false" outlineLevel="0" collapsed="false">
      <c r="A1841" s="3" t="n">
        <f aca="false">DATE(1999,9,7)</f>
        <v>36410</v>
      </c>
      <c r="B1841" s="4" t="s">
        <v>1013</v>
      </c>
      <c r="C1841" s="4" t="s">
        <v>1659</v>
      </c>
    </row>
    <row r="1842" customFormat="false" ht="12.8" hidden="false" customHeight="false" outlineLevel="0" collapsed="false">
      <c r="A1842" s="3" t="n">
        <f aca="false">DATE(1999,9,7)</f>
        <v>36410</v>
      </c>
      <c r="B1842" s="4" t="s">
        <v>2141</v>
      </c>
      <c r="C1842" s="4" t="s">
        <v>1490</v>
      </c>
    </row>
    <row r="1843" customFormat="false" ht="12.8" hidden="false" customHeight="false" outlineLevel="0" collapsed="false">
      <c r="A1843" s="3" t="n">
        <f aca="false">DATE(1999,9,8)</f>
        <v>36411</v>
      </c>
      <c r="B1843" s="4" t="s">
        <v>2142</v>
      </c>
      <c r="C1843" s="4" t="s">
        <v>2143</v>
      </c>
    </row>
    <row r="1844" customFormat="false" ht="12.8" hidden="false" customHeight="false" outlineLevel="0" collapsed="false">
      <c r="A1844" s="3" t="n">
        <f aca="false">DATE(1999,9,10)</f>
        <v>36413</v>
      </c>
      <c r="B1844" s="4" t="s">
        <v>2144</v>
      </c>
      <c r="C1844" s="4" t="s">
        <v>169</v>
      </c>
    </row>
    <row r="1845" customFormat="false" ht="12.8" hidden="false" customHeight="false" outlineLevel="0" collapsed="false">
      <c r="A1845" s="3" t="n">
        <f aca="false">DATE(1999,9,10)</f>
        <v>36413</v>
      </c>
      <c r="B1845" s="4" t="s">
        <v>663</v>
      </c>
      <c r="C1845" s="4" t="s">
        <v>225</v>
      </c>
    </row>
    <row r="1846" customFormat="false" ht="12.8" hidden="false" customHeight="false" outlineLevel="0" collapsed="false">
      <c r="A1846" s="3" t="n">
        <f aca="false">DATE(1999,9,15)</f>
        <v>36418</v>
      </c>
      <c r="B1846" s="4" t="s">
        <v>2145</v>
      </c>
      <c r="C1846" s="4" t="s">
        <v>1518</v>
      </c>
    </row>
    <row r="1847" customFormat="false" ht="12.8" hidden="false" customHeight="false" outlineLevel="0" collapsed="false">
      <c r="A1847" s="3" t="n">
        <f aca="false">DATE(1999,9,15)</f>
        <v>36418</v>
      </c>
      <c r="B1847" s="4" t="s">
        <v>2146</v>
      </c>
      <c r="C1847" s="4" t="s">
        <v>1941</v>
      </c>
    </row>
    <row r="1848" customFormat="false" ht="12.8" hidden="false" customHeight="false" outlineLevel="0" collapsed="false">
      <c r="A1848" s="3" t="n">
        <f aca="false">DATE(1999,9,22)</f>
        <v>36425</v>
      </c>
      <c r="B1848" s="4" t="s">
        <v>1287</v>
      </c>
      <c r="C1848" s="4" t="s">
        <v>588</v>
      </c>
    </row>
    <row r="1849" customFormat="false" ht="12.8" hidden="false" customHeight="false" outlineLevel="0" collapsed="false">
      <c r="A1849" s="3" t="n">
        <f aca="false">DATE(1999,9,28)</f>
        <v>36431</v>
      </c>
      <c r="B1849" s="4" t="s">
        <v>1000</v>
      </c>
      <c r="C1849" s="4" t="s">
        <v>2147</v>
      </c>
    </row>
    <row r="1850" customFormat="false" ht="12.8" hidden="false" customHeight="false" outlineLevel="0" collapsed="false">
      <c r="A1850" s="3" t="n">
        <f aca="false">DATE(1999,9,30)</f>
        <v>36433</v>
      </c>
      <c r="B1850" s="4" t="s">
        <v>2148</v>
      </c>
      <c r="C1850" s="4" t="s">
        <v>2149</v>
      </c>
    </row>
    <row r="1851" customFormat="false" ht="12.8" hidden="false" customHeight="false" outlineLevel="0" collapsed="false">
      <c r="A1851" s="3" t="n">
        <f aca="false">DATE(1999,10,4)</f>
        <v>36437</v>
      </c>
      <c r="B1851" s="4" t="s">
        <v>2150</v>
      </c>
      <c r="C1851" s="4" t="s">
        <v>2151</v>
      </c>
    </row>
    <row r="1852" customFormat="false" ht="12.8" hidden="false" customHeight="false" outlineLevel="0" collapsed="false">
      <c r="A1852" s="3" t="n">
        <f aca="false">DATE(1999,10,4)</f>
        <v>36437</v>
      </c>
      <c r="B1852" s="4" t="s">
        <v>2152</v>
      </c>
      <c r="C1852" s="4" t="s">
        <v>1511</v>
      </c>
    </row>
    <row r="1853" customFormat="false" ht="12.8" hidden="false" customHeight="false" outlineLevel="0" collapsed="false">
      <c r="A1853" s="3" t="n">
        <f aca="false">DATE(1999,10,4)</f>
        <v>36437</v>
      </c>
      <c r="B1853" s="4" t="s">
        <v>1789</v>
      </c>
      <c r="C1853" s="4" t="s">
        <v>2153</v>
      </c>
    </row>
    <row r="1854" customFormat="false" ht="12.8" hidden="false" customHeight="false" outlineLevel="0" collapsed="false">
      <c r="A1854" s="3" t="n">
        <f aca="false">DATE(1999,10,6)</f>
        <v>36439</v>
      </c>
      <c r="B1854" s="4" t="s">
        <v>2154</v>
      </c>
      <c r="C1854" s="4" t="s">
        <v>2155</v>
      </c>
    </row>
    <row r="1855" customFormat="false" ht="12.8" hidden="false" customHeight="false" outlineLevel="0" collapsed="false">
      <c r="A1855" s="3" t="n">
        <f aca="false">DATE(1999,10,6)</f>
        <v>36439</v>
      </c>
      <c r="B1855" s="4" t="s">
        <v>2156</v>
      </c>
      <c r="C1855" s="4" t="s">
        <v>611</v>
      </c>
    </row>
    <row r="1856" customFormat="false" ht="12.8" hidden="false" customHeight="false" outlineLevel="0" collapsed="false">
      <c r="A1856" s="3" t="n">
        <f aca="false">DATE(1999,10,7)</f>
        <v>36440</v>
      </c>
      <c r="B1856" s="4" t="s">
        <v>2157</v>
      </c>
      <c r="C1856" s="4" t="s">
        <v>80</v>
      </c>
    </row>
    <row r="1857" customFormat="false" ht="12.8" hidden="false" customHeight="false" outlineLevel="0" collapsed="false">
      <c r="A1857" s="3" t="n">
        <f aca="false">DATE(1999,10,18)</f>
        <v>36451</v>
      </c>
      <c r="B1857" s="4" t="s">
        <v>2158</v>
      </c>
      <c r="C1857" s="4" t="s">
        <v>1887</v>
      </c>
    </row>
    <row r="1858" customFormat="false" ht="12.8" hidden="false" customHeight="false" outlineLevel="0" collapsed="false">
      <c r="A1858" s="3" t="n">
        <f aca="false">DATE(1999,10,21)</f>
        <v>36454</v>
      </c>
      <c r="B1858" s="4" t="s">
        <v>2159</v>
      </c>
      <c r="C1858" s="4" t="s">
        <v>2160</v>
      </c>
    </row>
    <row r="1859" customFormat="false" ht="12.8" hidden="false" customHeight="false" outlineLevel="0" collapsed="false">
      <c r="A1859" s="3" t="n">
        <f aca="false">DATE(1999,10,25)</f>
        <v>36458</v>
      </c>
      <c r="B1859" s="4" t="s">
        <v>2161</v>
      </c>
      <c r="C1859" s="4" t="s">
        <v>1659</v>
      </c>
    </row>
    <row r="1860" customFormat="false" ht="12.8" hidden="false" customHeight="false" outlineLevel="0" collapsed="false">
      <c r="A1860" s="3" t="n">
        <f aca="false">DATE(1999,10,25)</f>
        <v>36458</v>
      </c>
      <c r="B1860" s="4" t="s">
        <v>2162</v>
      </c>
      <c r="C1860" s="4" t="s">
        <v>1377</v>
      </c>
    </row>
    <row r="1861" customFormat="false" ht="12.8" hidden="false" customHeight="false" outlineLevel="0" collapsed="false">
      <c r="A1861" s="3" t="n">
        <f aca="false">DATE(1999,11,3)</f>
        <v>36467</v>
      </c>
      <c r="B1861" s="4" t="s">
        <v>964</v>
      </c>
      <c r="C1861" s="4" t="s">
        <v>1946</v>
      </c>
    </row>
    <row r="1862" customFormat="false" ht="12.8" hidden="false" customHeight="false" outlineLevel="0" collapsed="false">
      <c r="A1862" s="3" t="n">
        <f aca="false">DATE(1999,11,5)</f>
        <v>36469</v>
      </c>
      <c r="B1862" s="4" t="s">
        <v>2163</v>
      </c>
      <c r="C1862" s="4" t="s">
        <v>935</v>
      </c>
    </row>
    <row r="1863" customFormat="false" ht="12.8" hidden="false" customHeight="false" outlineLevel="0" collapsed="false">
      <c r="A1863" s="3" t="n">
        <f aca="false">DATE(1999,11,8)</f>
        <v>36472</v>
      </c>
      <c r="B1863" s="4" t="s">
        <v>1685</v>
      </c>
      <c r="C1863" s="4" t="s">
        <v>1387</v>
      </c>
    </row>
    <row r="1864" customFormat="false" ht="12.8" hidden="false" customHeight="false" outlineLevel="0" collapsed="false">
      <c r="A1864" s="3" t="n">
        <f aca="false">DATE(1999,11,17)</f>
        <v>36481</v>
      </c>
      <c r="B1864" s="4" t="s">
        <v>2164</v>
      </c>
      <c r="C1864" s="4" t="s">
        <v>1401</v>
      </c>
    </row>
    <row r="1865" customFormat="false" ht="12.8" hidden="false" customHeight="false" outlineLevel="0" collapsed="false">
      <c r="A1865" s="3" t="n">
        <f aca="false">DATE(1999,11,17)</f>
        <v>36481</v>
      </c>
      <c r="B1865" s="4" t="s">
        <v>2165</v>
      </c>
      <c r="C1865" s="4" t="s">
        <v>2066</v>
      </c>
    </row>
    <row r="1866" customFormat="false" ht="12.8" hidden="false" customHeight="false" outlineLevel="0" collapsed="false">
      <c r="A1866" s="3" t="n">
        <f aca="false">DATE(1999,11,19)</f>
        <v>36483</v>
      </c>
      <c r="B1866" s="4" t="s">
        <v>2166</v>
      </c>
      <c r="C1866" s="4" t="s">
        <v>1946</v>
      </c>
    </row>
    <row r="1867" customFormat="false" ht="12.8" hidden="false" customHeight="false" outlineLevel="0" collapsed="false">
      <c r="A1867" s="3" t="n">
        <f aca="false">DATE(1999,12,7)</f>
        <v>36501</v>
      </c>
      <c r="B1867" s="4" t="s">
        <v>2167</v>
      </c>
      <c r="C1867" s="4" t="s">
        <v>789</v>
      </c>
    </row>
    <row r="1868" customFormat="false" ht="12.8" hidden="false" customHeight="false" outlineLevel="0" collapsed="false">
      <c r="A1868" s="3" t="n">
        <f aca="false">DATE(1999,12,9)</f>
        <v>36503</v>
      </c>
      <c r="B1868" s="4" t="s">
        <v>2168</v>
      </c>
      <c r="C1868" s="4" t="s">
        <v>2169</v>
      </c>
    </row>
    <row r="1869" customFormat="false" ht="12.8" hidden="false" customHeight="false" outlineLevel="0" collapsed="false">
      <c r="A1869" s="3" t="n">
        <f aca="false">DATE(1999,12,14)</f>
        <v>36508</v>
      </c>
      <c r="B1869" s="4" t="s">
        <v>2170</v>
      </c>
      <c r="C1869" s="4" t="s">
        <v>1582</v>
      </c>
    </row>
    <row r="1870" customFormat="false" ht="12.8" hidden="false" customHeight="false" outlineLevel="0" collapsed="false">
      <c r="A1870" s="3" t="n">
        <f aca="false">DATE(1999,12,15)</f>
        <v>36509</v>
      </c>
      <c r="B1870" s="4" t="s">
        <v>2171</v>
      </c>
      <c r="C1870" s="4" t="s">
        <v>1518</v>
      </c>
    </row>
    <row r="1871" customFormat="false" ht="12.8" hidden="false" customHeight="false" outlineLevel="0" collapsed="false">
      <c r="A1871" s="3" t="n">
        <f aca="false">DATE(1999,12,15)</f>
        <v>36509</v>
      </c>
      <c r="B1871" s="4" t="s">
        <v>2026</v>
      </c>
      <c r="C1871" s="4" t="s">
        <v>2066</v>
      </c>
    </row>
    <row r="1872" customFormat="false" ht="12.8" hidden="false" customHeight="false" outlineLevel="0" collapsed="false">
      <c r="A1872" s="3" t="n">
        <f aca="false">DATE(1999,12,16)</f>
        <v>36510</v>
      </c>
      <c r="B1872" s="4" t="s">
        <v>2172</v>
      </c>
      <c r="C1872" s="4" t="s">
        <v>1019</v>
      </c>
    </row>
    <row r="1873" customFormat="false" ht="12.8" hidden="false" customHeight="false" outlineLevel="0" collapsed="false">
      <c r="A1873" s="3" t="n">
        <f aca="false">DATE(1999,12,20)</f>
        <v>36514</v>
      </c>
      <c r="B1873" s="4" t="s">
        <v>2173</v>
      </c>
      <c r="C1873" s="4" t="s">
        <v>225</v>
      </c>
    </row>
    <row r="1874" customFormat="false" ht="12.8" hidden="false" customHeight="false" outlineLevel="0" collapsed="false">
      <c r="A1874" s="3" t="n">
        <f aca="false">DATE(1999,12,21)</f>
        <v>36515</v>
      </c>
      <c r="B1874" s="4" t="s">
        <v>2174</v>
      </c>
      <c r="C1874" s="4" t="s">
        <v>1946</v>
      </c>
    </row>
    <row r="1875" customFormat="false" ht="12.8" hidden="false" customHeight="false" outlineLevel="0" collapsed="false">
      <c r="A1875" s="3" t="n">
        <f aca="false">DATE(1999,12,27)</f>
        <v>36521</v>
      </c>
      <c r="B1875" s="4" t="s">
        <v>2175</v>
      </c>
      <c r="C1875" s="4" t="s">
        <v>1937</v>
      </c>
    </row>
    <row r="1876" customFormat="false" ht="12.8" hidden="false" customHeight="false" outlineLevel="0" collapsed="false">
      <c r="A1876" s="3" t="n">
        <f aca="false">DATE(1999,12,27)</f>
        <v>36521</v>
      </c>
      <c r="B1876" s="4" t="s">
        <v>2176</v>
      </c>
      <c r="C1876" s="4" t="s">
        <v>2177</v>
      </c>
    </row>
    <row r="1877" customFormat="false" ht="12.8" hidden="false" customHeight="false" outlineLevel="0" collapsed="false">
      <c r="A1877" s="3" t="n">
        <f aca="false">DATE(1999,12,28)</f>
        <v>36522</v>
      </c>
      <c r="B1877" s="4" t="s">
        <v>2178</v>
      </c>
      <c r="C1877" s="4" t="s">
        <v>920</v>
      </c>
    </row>
    <row r="1878" customFormat="false" ht="12.8" hidden="false" customHeight="false" outlineLevel="0" collapsed="false">
      <c r="A1878" s="3" t="n">
        <f aca="false">DATE(1999,12,29)</f>
        <v>36523</v>
      </c>
      <c r="B1878" s="4" t="s">
        <v>2179</v>
      </c>
      <c r="C1878" s="4" t="s">
        <v>1023</v>
      </c>
    </row>
    <row r="1879" customFormat="false" ht="12.8" hidden="false" customHeight="false" outlineLevel="0" collapsed="false">
      <c r="A1879" s="3" t="n">
        <f aca="false">DATE(2000,1,6)</f>
        <v>36531</v>
      </c>
      <c r="B1879" s="4" t="s">
        <v>2180</v>
      </c>
      <c r="C1879" s="4" t="s">
        <v>2181</v>
      </c>
    </row>
    <row r="1880" customFormat="false" ht="12.8" hidden="false" customHeight="false" outlineLevel="0" collapsed="false">
      <c r="A1880" s="3" t="n">
        <f aca="false">DATE(2000,1,10)</f>
        <v>36535</v>
      </c>
      <c r="B1880" s="4" t="s">
        <v>1893</v>
      </c>
      <c r="C1880" s="4" t="s">
        <v>1227</v>
      </c>
    </row>
    <row r="1881" customFormat="false" ht="12.8" hidden="false" customHeight="false" outlineLevel="0" collapsed="false">
      <c r="A1881" s="3" t="n">
        <f aca="false">DATE(2000,1,21)</f>
        <v>36546</v>
      </c>
      <c r="B1881" s="4" t="s">
        <v>2182</v>
      </c>
      <c r="C1881" s="4" t="s">
        <v>309</v>
      </c>
    </row>
    <row r="1882" customFormat="false" ht="12.8" hidden="false" customHeight="false" outlineLevel="0" collapsed="false">
      <c r="A1882" s="3" t="n">
        <f aca="false">DATE(2000,1,26)</f>
        <v>36551</v>
      </c>
      <c r="B1882" s="4" t="s">
        <v>2183</v>
      </c>
      <c r="C1882" s="4" t="s">
        <v>1852</v>
      </c>
    </row>
    <row r="1883" customFormat="false" ht="12.8" hidden="false" customHeight="false" outlineLevel="0" collapsed="false">
      <c r="A1883" s="3" t="n">
        <f aca="false">DATE(2000,1,27)</f>
        <v>36552</v>
      </c>
      <c r="B1883" s="4" t="s">
        <v>2184</v>
      </c>
      <c r="C1883" s="4" t="s">
        <v>1518</v>
      </c>
    </row>
    <row r="1884" customFormat="false" ht="12.8" hidden="false" customHeight="false" outlineLevel="0" collapsed="false">
      <c r="A1884" s="3" t="n">
        <f aca="false">DATE(2000,1,27)</f>
        <v>36552</v>
      </c>
      <c r="B1884" s="4" t="s">
        <v>2185</v>
      </c>
      <c r="C1884" s="4" t="s">
        <v>597</v>
      </c>
    </row>
    <row r="1885" customFormat="false" ht="12.8" hidden="false" customHeight="false" outlineLevel="0" collapsed="false">
      <c r="A1885" s="3" t="n">
        <f aca="false">DATE(2000,2,2)</f>
        <v>36558</v>
      </c>
      <c r="B1885" s="4" t="s">
        <v>1070</v>
      </c>
      <c r="C1885" s="4" t="s">
        <v>1946</v>
      </c>
    </row>
    <row r="1886" customFormat="false" ht="12.8" hidden="false" customHeight="false" outlineLevel="0" collapsed="false">
      <c r="A1886" s="3" t="n">
        <f aca="false">DATE(2000,2,4)</f>
        <v>36560</v>
      </c>
      <c r="B1886" s="4" t="s">
        <v>2186</v>
      </c>
      <c r="C1886" s="4" t="s">
        <v>1946</v>
      </c>
    </row>
    <row r="1887" customFormat="false" ht="12.8" hidden="false" customHeight="false" outlineLevel="0" collapsed="false">
      <c r="A1887" s="3" t="n">
        <f aca="false">DATE(2000,2,7)</f>
        <v>36563</v>
      </c>
      <c r="B1887" s="4" t="s">
        <v>2187</v>
      </c>
      <c r="C1887" s="4" t="s">
        <v>124</v>
      </c>
    </row>
    <row r="1888" customFormat="false" ht="12.8" hidden="false" customHeight="false" outlineLevel="0" collapsed="false">
      <c r="A1888" s="3" t="n">
        <f aca="false">DATE(2000,2,7)</f>
        <v>36563</v>
      </c>
      <c r="B1888" s="4" t="s">
        <v>1455</v>
      </c>
      <c r="C1888" s="4" t="s">
        <v>2066</v>
      </c>
    </row>
    <row r="1889" customFormat="false" ht="12.8" hidden="false" customHeight="false" outlineLevel="0" collapsed="false">
      <c r="A1889" s="3" t="n">
        <f aca="false">DATE(2000,2,9)</f>
        <v>36565</v>
      </c>
      <c r="B1889" s="4" t="s">
        <v>2188</v>
      </c>
      <c r="C1889" s="4" t="s">
        <v>1114</v>
      </c>
    </row>
    <row r="1890" customFormat="false" ht="12.8" hidden="false" customHeight="false" outlineLevel="0" collapsed="false">
      <c r="A1890" s="3" t="n">
        <f aca="false">DATE(2000,2,15)</f>
        <v>36571</v>
      </c>
      <c r="B1890" s="4" t="s">
        <v>2189</v>
      </c>
      <c r="C1890" s="4" t="s">
        <v>931</v>
      </c>
    </row>
    <row r="1891" customFormat="false" ht="12.8" hidden="false" customHeight="false" outlineLevel="0" collapsed="false">
      <c r="A1891" s="3" t="n">
        <f aca="false">DATE(2000,2,23)</f>
        <v>36579</v>
      </c>
      <c r="B1891" s="4" t="s">
        <v>2190</v>
      </c>
      <c r="C1891" s="4" t="s">
        <v>381</v>
      </c>
    </row>
    <row r="1892" customFormat="false" ht="12.8" hidden="false" customHeight="false" outlineLevel="0" collapsed="false">
      <c r="A1892" s="3" t="n">
        <f aca="false">DATE(2000,3,4)</f>
        <v>36589</v>
      </c>
      <c r="B1892" s="4" t="s">
        <v>2191</v>
      </c>
      <c r="C1892" s="4" t="s">
        <v>80</v>
      </c>
    </row>
    <row r="1893" customFormat="false" ht="12.8" hidden="false" customHeight="false" outlineLevel="0" collapsed="false">
      <c r="A1893" s="3" t="n">
        <f aca="false">DATE(2000,3,6)</f>
        <v>36591</v>
      </c>
      <c r="B1893" s="4" t="s">
        <v>2192</v>
      </c>
      <c r="C1893" s="4" t="s">
        <v>1960</v>
      </c>
    </row>
    <row r="1894" customFormat="false" ht="12.8" hidden="false" customHeight="false" outlineLevel="0" collapsed="false">
      <c r="A1894" s="3" t="n">
        <f aca="false">DATE(2000,3,15)</f>
        <v>36600</v>
      </c>
      <c r="B1894" s="4" t="s">
        <v>2193</v>
      </c>
      <c r="C1894" s="4" t="s">
        <v>1172</v>
      </c>
    </row>
    <row r="1895" customFormat="false" ht="12.8" hidden="false" customHeight="false" outlineLevel="0" collapsed="false">
      <c r="A1895" s="3" t="n">
        <f aca="false">DATE(2000,3,20)</f>
        <v>36605</v>
      </c>
      <c r="B1895" s="4" t="s">
        <v>2194</v>
      </c>
      <c r="C1895" s="4" t="s">
        <v>920</v>
      </c>
    </row>
    <row r="1896" customFormat="false" ht="12.8" hidden="false" customHeight="false" outlineLevel="0" collapsed="false">
      <c r="A1896" s="3" t="n">
        <f aca="false">DATE(2000,3,21)</f>
        <v>36606</v>
      </c>
      <c r="B1896" s="4" t="s">
        <v>2195</v>
      </c>
      <c r="C1896" s="4" t="s">
        <v>1518</v>
      </c>
    </row>
    <row r="1897" customFormat="false" ht="12.8" hidden="false" customHeight="false" outlineLevel="0" collapsed="false">
      <c r="A1897" s="3" t="n">
        <f aca="false">DATE(2000,3,22)</f>
        <v>36607</v>
      </c>
      <c r="B1897" s="4" t="s">
        <v>2196</v>
      </c>
      <c r="C1897" s="4" t="s">
        <v>2197</v>
      </c>
    </row>
    <row r="1898" customFormat="false" ht="12.8" hidden="false" customHeight="false" outlineLevel="0" collapsed="false">
      <c r="A1898" s="3" t="n">
        <f aca="false">DATE(2000,3,24)</f>
        <v>36609</v>
      </c>
      <c r="B1898" s="4" t="s">
        <v>2198</v>
      </c>
      <c r="C1898" s="4" t="s">
        <v>1042</v>
      </c>
    </row>
    <row r="1899" customFormat="false" ht="12.8" hidden="false" customHeight="false" outlineLevel="0" collapsed="false">
      <c r="A1899" s="3" t="n">
        <f aca="false">DATE(2000,3,24)</f>
        <v>36609</v>
      </c>
      <c r="B1899" s="4" t="s">
        <v>2199</v>
      </c>
      <c r="C1899" s="4" t="s">
        <v>1529</v>
      </c>
    </row>
    <row r="1900" customFormat="false" ht="12.8" hidden="false" customHeight="false" outlineLevel="0" collapsed="false">
      <c r="A1900" s="3" t="n">
        <f aca="false">DATE(2000,3,24)</f>
        <v>36609</v>
      </c>
      <c r="B1900" s="4" t="s">
        <v>1656</v>
      </c>
      <c r="C1900" s="4" t="s">
        <v>1537</v>
      </c>
    </row>
    <row r="1901" customFormat="false" ht="12.8" hidden="false" customHeight="false" outlineLevel="0" collapsed="false">
      <c r="A1901" s="3" t="n">
        <f aca="false">DATE(2000,3,28)</f>
        <v>36613</v>
      </c>
      <c r="B1901" s="4" t="s">
        <v>2200</v>
      </c>
      <c r="C1901" s="4" t="s">
        <v>2201</v>
      </c>
    </row>
    <row r="1902" customFormat="false" ht="12.8" hidden="false" customHeight="false" outlineLevel="0" collapsed="false">
      <c r="A1902" s="3" t="n">
        <f aca="false">DATE(2000,4,4)</f>
        <v>36620</v>
      </c>
      <c r="B1902" s="4" t="s">
        <v>2202</v>
      </c>
      <c r="C1902" s="4" t="s">
        <v>1044</v>
      </c>
    </row>
    <row r="1903" customFormat="false" ht="12.8" hidden="false" customHeight="false" outlineLevel="0" collapsed="false">
      <c r="A1903" s="3" t="n">
        <f aca="false">DATE(2000,4,10)</f>
        <v>36626</v>
      </c>
      <c r="B1903" s="4" t="s">
        <v>673</v>
      </c>
      <c r="C1903" s="4" t="s">
        <v>1946</v>
      </c>
    </row>
    <row r="1904" customFormat="false" ht="12.8" hidden="false" customHeight="false" outlineLevel="0" collapsed="false">
      <c r="A1904" s="3" t="n">
        <f aca="false">DATE(2000,4,10)</f>
        <v>36626</v>
      </c>
      <c r="B1904" s="4" t="s">
        <v>2203</v>
      </c>
      <c r="C1904" s="4" t="s">
        <v>1044</v>
      </c>
    </row>
    <row r="1905" customFormat="false" ht="12.8" hidden="false" customHeight="false" outlineLevel="0" collapsed="false">
      <c r="A1905" s="3" t="n">
        <f aca="false">DATE(2000,4,17)</f>
        <v>36633</v>
      </c>
      <c r="B1905" s="4" t="s">
        <v>418</v>
      </c>
      <c r="C1905" s="4" t="s">
        <v>1290</v>
      </c>
    </row>
    <row r="1906" customFormat="false" ht="12.8" hidden="false" customHeight="false" outlineLevel="0" collapsed="false">
      <c r="A1906" s="3" t="n">
        <f aca="false">DATE(2000,4,18)</f>
        <v>36634</v>
      </c>
      <c r="B1906" s="4" t="s">
        <v>2204</v>
      </c>
      <c r="C1906" s="4" t="s">
        <v>2205</v>
      </c>
    </row>
    <row r="1907" customFormat="false" ht="12.8" hidden="false" customHeight="false" outlineLevel="0" collapsed="false">
      <c r="A1907" s="3" t="n">
        <f aca="false">DATE(2000,4,19)</f>
        <v>36635</v>
      </c>
      <c r="B1907" s="4" t="s">
        <v>2206</v>
      </c>
      <c r="C1907" s="4" t="s">
        <v>2207</v>
      </c>
    </row>
    <row r="1908" customFormat="false" ht="12.8" hidden="false" customHeight="false" outlineLevel="0" collapsed="false">
      <c r="A1908" s="3" t="n">
        <f aca="false">DATE(2000,4,21)</f>
        <v>36637</v>
      </c>
      <c r="B1908" s="4" t="s">
        <v>2063</v>
      </c>
      <c r="C1908" s="4" t="s">
        <v>789</v>
      </c>
    </row>
    <row r="1909" customFormat="false" ht="12.8" hidden="false" customHeight="false" outlineLevel="0" collapsed="false">
      <c r="A1909" s="3" t="n">
        <f aca="false">DATE(2000,4,24)</f>
        <v>36640</v>
      </c>
      <c r="B1909" s="4" t="s">
        <v>2208</v>
      </c>
      <c r="C1909" s="4" t="s">
        <v>2209</v>
      </c>
    </row>
    <row r="1910" customFormat="false" ht="12.8" hidden="false" customHeight="false" outlineLevel="0" collapsed="false">
      <c r="A1910" s="3" t="n">
        <f aca="false">DATE(2000,4,25)</f>
        <v>36641</v>
      </c>
      <c r="B1910" s="4" t="s">
        <v>2146</v>
      </c>
      <c r="C1910" s="4" t="s">
        <v>1941</v>
      </c>
    </row>
    <row r="1911" customFormat="false" ht="12.8" hidden="false" customHeight="false" outlineLevel="0" collapsed="false">
      <c r="A1911" s="3" t="n">
        <f aca="false">DATE(2000,5,4)</f>
        <v>36650</v>
      </c>
      <c r="B1911" s="4" t="s">
        <v>2210</v>
      </c>
      <c r="C1911" s="4" t="s">
        <v>2211</v>
      </c>
    </row>
    <row r="1912" customFormat="false" ht="12.8" hidden="false" customHeight="false" outlineLevel="0" collapsed="false">
      <c r="A1912" s="3" t="n">
        <f aca="false">DATE(2000,5,4)</f>
        <v>36650</v>
      </c>
      <c r="B1912" s="4" t="s">
        <v>2212</v>
      </c>
      <c r="C1912" s="4" t="s">
        <v>1030</v>
      </c>
    </row>
    <row r="1913" customFormat="false" ht="12.8" hidden="false" customHeight="false" outlineLevel="0" collapsed="false">
      <c r="A1913" s="3" t="n">
        <f aca="false">DATE(2000,5,9)</f>
        <v>36655</v>
      </c>
      <c r="B1913" s="4" t="s">
        <v>2213</v>
      </c>
      <c r="C1913" s="4" t="s">
        <v>2214</v>
      </c>
    </row>
    <row r="1914" customFormat="false" ht="12.8" hidden="false" customHeight="false" outlineLevel="0" collapsed="false">
      <c r="A1914" s="3" t="n">
        <f aca="false">DATE(2000,5,16)</f>
        <v>36662</v>
      </c>
      <c r="B1914" s="4" t="s">
        <v>2215</v>
      </c>
      <c r="C1914" s="4" t="s">
        <v>2216</v>
      </c>
    </row>
    <row r="1915" customFormat="false" ht="12.8" hidden="false" customHeight="false" outlineLevel="0" collapsed="false">
      <c r="A1915" s="3" t="n">
        <f aca="false">DATE(2000,5,17)</f>
        <v>36663</v>
      </c>
      <c r="B1915" s="4" t="s">
        <v>202</v>
      </c>
      <c r="C1915" s="4" t="s">
        <v>2043</v>
      </c>
    </row>
    <row r="1916" customFormat="false" ht="12.8" hidden="false" customHeight="false" outlineLevel="0" collapsed="false">
      <c r="A1916" s="3" t="n">
        <f aca="false">DATE(2000,5,25)</f>
        <v>36671</v>
      </c>
      <c r="B1916" s="4" t="s">
        <v>2217</v>
      </c>
      <c r="C1916" s="4" t="s">
        <v>976</v>
      </c>
    </row>
    <row r="1917" customFormat="false" ht="12.8" hidden="false" customHeight="false" outlineLevel="0" collapsed="false">
      <c r="A1917" s="3" t="n">
        <f aca="false">DATE(2000,5,26)</f>
        <v>36672</v>
      </c>
      <c r="B1917" s="4" t="s">
        <v>2218</v>
      </c>
      <c r="C1917" s="4" t="s">
        <v>2219</v>
      </c>
    </row>
    <row r="1918" customFormat="false" ht="12.8" hidden="false" customHeight="false" outlineLevel="0" collapsed="false">
      <c r="A1918" s="3" t="n">
        <f aca="false">DATE(2000,6,8)</f>
        <v>36685</v>
      </c>
      <c r="B1918" s="4" t="s">
        <v>2220</v>
      </c>
      <c r="C1918" s="4" t="s">
        <v>2221</v>
      </c>
    </row>
    <row r="1919" customFormat="false" ht="12.8" hidden="false" customHeight="false" outlineLevel="0" collapsed="false">
      <c r="A1919" s="3" t="n">
        <f aca="false">DATE(2000,6,16)</f>
        <v>36693</v>
      </c>
      <c r="B1919" s="4" t="s">
        <v>707</v>
      </c>
      <c r="C1919" s="4" t="s">
        <v>169</v>
      </c>
    </row>
    <row r="1920" customFormat="false" ht="12.8" hidden="false" customHeight="false" outlineLevel="0" collapsed="false">
      <c r="A1920" s="3" t="n">
        <f aca="false">DATE(2000,6,26)</f>
        <v>36703</v>
      </c>
      <c r="B1920" s="4" t="s">
        <v>2222</v>
      </c>
      <c r="C1920" s="4" t="s">
        <v>2223</v>
      </c>
    </row>
    <row r="1921" customFormat="false" ht="12.8" hidden="false" customHeight="false" outlineLevel="0" collapsed="false">
      <c r="A1921" s="3" t="n">
        <f aca="false">DATE(2000,6,28)</f>
        <v>36705</v>
      </c>
      <c r="B1921" s="4" t="s">
        <v>2224</v>
      </c>
      <c r="C1921" s="4" t="s">
        <v>2225</v>
      </c>
    </row>
    <row r="1922" customFormat="false" ht="12.8" hidden="false" customHeight="false" outlineLevel="0" collapsed="false">
      <c r="A1922" s="3" t="n">
        <f aca="false">DATE(2000,6,28)</f>
        <v>36705</v>
      </c>
      <c r="B1922" s="4" t="s">
        <v>2226</v>
      </c>
      <c r="C1922" s="4" t="s">
        <v>1525</v>
      </c>
    </row>
    <row r="1923" customFormat="false" ht="12.8" hidden="false" customHeight="false" outlineLevel="0" collapsed="false">
      <c r="A1923" s="3" t="n">
        <f aca="false">DATE(2000,6,29)</f>
        <v>36706</v>
      </c>
      <c r="B1923" s="4" t="s">
        <v>2227</v>
      </c>
      <c r="C1923" s="4" t="s">
        <v>1525</v>
      </c>
    </row>
    <row r="1924" customFormat="false" ht="12.8" hidden="false" customHeight="false" outlineLevel="0" collapsed="false">
      <c r="A1924" s="3" t="n">
        <f aca="false">DATE(2000,7,5)</f>
        <v>36712</v>
      </c>
      <c r="B1924" s="4" t="s">
        <v>2228</v>
      </c>
      <c r="C1924" s="4" t="s">
        <v>2229</v>
      </c>
    </row>
    <row r="1925" customFormat="false" ht="12.8" hidden="false" customHeight="false" outlineLevel="0" collapsed="false">
      <c r="A1925" s="3" t="n">
        <f aca="false">DATE(2000,7,6)</f>
        <v>36713</v>
      </c>
      <c r="B1925" s="4" t="s">
        <v>2230</v>
      </c>
      <c r="C1925" s="4" t="s">
        <v>611</v>
      </c>
    </row>
    <row r="1926" customFormat="false" ht="12.8" hidden="false" customHeight="false" outlineLevel="0" collapsed="false">
      <c r="A1926" s="3" t="n">
        <f aca="false">DATE(2000,7,7)</f>
        <v>36714</v>
      </c>
      <c r="B1926" s="4" t="s">
        <v>2231</v>
      </c>
      <c r="C1926" s="4" t="s">
        <v>1946</v>
      </c>
    </row>
    <row r="1927" customFormat="false" ht="12.8" hidden="false" customHeight="false" outlineLevel="0" collapsed="false">
      <c r="A1927" s="3" t="n">
        <f aca="false">DATE(2000,7,10)</f>
        <v>36717</v>
      </c>
      <c r="B1927" s="4" t="s">
        <v>2232</v>
      </c>
      <c r="C1927" s="4" t="s">
        <v>2043</v>
      </c>
    </row>
    <row r="1928" customFormat="false" ht="12.8" hidden="false" customHeight="false" outlineLevel="0" collapsed="false">
      <c r="A1928" s="3" t="n">
        <f aca="false">DATE(2000,7,11)</f>
        <v>36718</v>
      </c>
      <c r="B1928" s="4" t="s">
        <v>2233</v>
      </c>
      <c r="C1928" s="4" t="s">
        <v>2234</v>
      </c>
    </row>
    <row r="1929" customFormat="false" ht="12.8" hidden="false" customHeight="false" outlineLevel="0" collapsed="false">
      <c r="A1929" s="3" t="n">
        <f aca="false">DATE(2000,7,24)</f>
        <v>36731</v>
      </c>
      <c r="B1929" s="4" t="s">
        <v>2235</v>
      </c>
      <c r="C1929" s="4" t="s">
        <v>931</v>
      </c>
    </row>
    <row r="1930" customFormat="false" ht="12.8" hidden="false" customHeight="false" outlineLevel="0" collapsed="false">
      <c r="A1930" s="3" t="n">
        <f aca="false">DATE(2000,7,26)</f>
        <v>36733</v>
      </c>
      <c r="B1930" s="4" t="s">
        <v>2236</v>
      </c>
      <c r="C1930" s="4" t="s">
        <v>2237</v>
      </c>
    </row>
    <row r="1931" customFormat="false" ht="12.8" hidden="false" customHeight="false" outlineLevel="0" collapsed="false">
      <c r="A1931" s="3" t="n">
        <f aca="false">DATE(2000,7,27)</f>
        <v>36734</v>
      </c>
      <c r="B1931" s="4" t="s">
        <v>1221</v>
      </c>
      <c r="C1931" s="4" t="s">
        <v>2066</v>
      </c>
    </row>
    <row r="1932" customFormat="false" ht="12.8" hidden="false" customHeight="false" outlineLevel="0" collapsed="false">
      <c r="A1932" s="3" t="n">
        <f aca="false">DATE(2000,8,8)</f>
        <v>36746</v>
      </c>
      <c r="B1932" s="4" t="s">
        <v>2238</v>
      </c>
      <c r="C1932" s="4" t="s">
        <v>2234</v>
      </c>
    </row>
    <row r="1933" customFormat="false" ht="12.8" hidden="false" customHeight="false" outlineLevel="0" collapsed="false">
      <c r="A1933" s="3" t="n">
        <f aca="false">DATE(2000,8,21)</f>
        <v>36759</v>
      </c>
      <c r="B1933" s="4" t="s">
        <v>2098</v>
      </c>
      <c r="C1933" s="4" t="s">
        <v>849</v>
      </c>
    </row>
    <row r="1934" customFormat="false" ht="12.8" hidden="false" customHeight="false" outlineLevel="0" collapsed="false">
      <c r="A1934" s="3" t="n">
        <f aca="false">DATE(2000,8,22)</f>
        <v>36760</v>
      </c>
      <c r="B1934" s="4" t="s">
        <v>1585</v>
      </c>
      <c r="C1934" s="4" t="s">
        <v>475</v>
      </c>
    </row>
    <row r="1935" customFormat="false" ht="12.8" hidden="false" customHeight="false" outlineLevel="0" collapsed="false">
      <c r="A1935" s="3" t="n">
        <f aca="false">DATE(2000,8,23)</f>
        <v>36761</v>
      </c>
      <c r="B1935" s="4" t="s">
        <v>2239</v>
      </c>
      <c r="C1935" s="4" t="s">
        <v>2066</v>
      </c>
    </row>
    <row r="1936" customFormat="false" ht="12.8" hidden="false" customHeight="false" outlineLevel="0" collapsed="false">
      <c r="A1936" s="3" t="n">
        <f aca="false">DATE(2000,8,24)</f>
        <v>36762</v>
      </c>
      <c r="B1936" s="4" t="s">
        <v>2240</v>
      </c>
      <c r="C1936" s="4" t="s">
        <v>1525</v>
      </c>
    </row>
    <row r="1937" customFormat="false" ht="12.8" hidden="false" customHeight="false" outlineLevel="0" collapsed="false">
      <c r="A1937" s="3" t="n">
        <f aca="false">DATE(2000,8,25)</f>
        <v>36763</v>
      </c>
      <c r="B1937" s="4" t="s">
        <v>2241</v>
      </c>
      <c r="C1937" s="4" t="s">
        <v>611</v>
      </c>
    </row>
    <row r="1938" customFormat="false" ht="12.8" hidden="false" customHeight="false" outlineLevel="0" collapsed="false">
      <c r="A1938" s="3" t="n">
        <f aca="false">DATE(2000,9,5)</f>
        <v>36774</v>
      </c>
      <c r="B1938" s="4" t="s">
        <v>2242</v>
      </c>
      <c r="C1938" s="4" t="s">
        <v>935</v>
      </c>
    </row>
    <row r="1939" customFormat="false" ht="12.8" hidden="false" customHeight="false" outlineLevel="0" collapsed="false">
      <c r="A1939" s="3" t="n">
        <f aca="false">DATE(2000,9,6)</f>
        <v>36775</v>
      </c>
      <c r="B1939" s="4" t="s">
        <v>2243</v>
      </c>
      <c r="C1939" s="4" t="s">
        <v>553</v>
      </c>
    </row>
    <row r="1940" customFormat="false" ht="12.8" hidden="false" customHeight="false" outlineLevel="0" collapsed="false">
      <c r="A1940" s="3" t="n">
        <f aca="false">DATE(2000,9,13)</f>
        <v>36782</v>
      </c>
      <c r="B1940" s="4" t="s">
        <v>2244</v>
      </c>
      <c r="C1940" s="4" t="s">
        <v>1269</v>
      </c>
    </row>
    <row r="1941" customFormat="false" ht="12.8" hidden="false" customHeight="false" outlineLevel="0" collapsed="false">
      <c r="A1941" s="3" t="n">
        <f aca="false">DATE(2000,9,19)</f>
        <v>36788</v>
      </c>
      <c r="B1941" s="4" t="s">
        <v>2245</v>
      </c>
      <c r="C1941" s="4" t="s">
        <v>1112</v>
      </c>
    </row>
    <row r="1942" customFormat="false" ht="12.8" hidden="false" customHeight="false" outlineLevel="0" collapsed="false">
      <c r="A1942" s="3" t="n">
        <f aca="false">DATE(2000,9,20)</f>
        <v>36789</v>
      </c>
      <c r="B1942" s="4" t="s">
        <v>2246</v>
      </c>
      <c r="C1942" s="4" t="s">
        <v>1401</v>
      </c>
    </row>
    <row r="1943" customFormat="false" ht="12.8" hidden="false" customHeight="false" outlineLevel="0" collapsed="false">
      <c r="A1943" s="3" t="n">
        <f aca="false">DATE(2000,9,21)</f>
        <v>36790</v>
      </c>
      <c r="B1943" s="4" t="s">
        <v>2247</v>
      </c>
      <c r="C1943" s="4" t="s">
        <v>2110</v>
      </c>
    </row>
    <row r="1944" customFormat="false" ht="12.8" hidden="false" customHeight="false" outlineLevel="0" collapsed="false">
      <c r="A1944" s="3" t="n">
        <f aca="false">DATE(2000,9,22)</f>
        <v>36791</v>
      </c>
      <c r="B1944" s="4" t="s">
        <v>2248</v>
      </c>
      <c r="C1944" s="4" t="s">
        <v>1525</v>
      </c>
    </row>
    <row r="1945" customFormat="false" ht="12.8" hidden="false" customHeight="false" outlineLevel="0" collapsed="false">
      <c r="A1945" s="3" t="n">
        <f aca="false">DATE(2000,9,26)</f>
        <v>36795</v>
      </c>
      <c r="B1945" s="4" t="s">
        <v>2249</v>
      </c>
      <c r="C1945" s="4" t="s">
        <v>2073</v>
      </c>
    </row>
    <row r="1946" customFormat="false" ht="12.8" hidden="false" customHeight="false" outlineLevel="0" collapsed="false">
      <c r="A1946" s="3" t="n">
        <f aca="false">DATE(2000,10,1)</f>
        <v>36800</v>
      </c>
      <c r="B1946" s="4" t="s">
        <v>2250</v>
      </c>
      <c r="C1946" s="4" t="s">
        <v>2251</v>
      </c>
    </row>
    <row r="1947" customFormat="false" ht="12.8" hidden="false" customHeight="false" outlineLevel="0" collapsed="false">
      <c r="A1947" s="3" t="n">
        <f aca="false">DATE(2000,10,2)</f>
        <v>36801</v>
      </c>
      <c r="B1947" s="4" t="s">
        <v>2252</v>
      </c>
      <c r="C1947" s="4" t="s">
        <v>830</v>
      </c>
    </row>
    <row r="1948" customFormat="false" ht="12.8" hidden="false" customHeight="false" outlineLevel="0" collapsed="false">
      <c r="A1948" s="3" t="n">
        <f aca="false">DATE(2000,10,2)</f>
        <v>36801</v>
      </c>
      <c r="B1948" s="4" t="s">
        <v>1511</v>
      </c>
      <c r="C1948" s="4" t="s">
        <v>2253</v>
      </c>
    </row>
    <row r="1949" customFormat="false" ht="12.8" hidden="false" customHeight="false" outlineLevel="0" collapsed="false">
      <c r="A1949" s="3" t="n">
        <f aca="false">DATE(2000,10,6)</f>
        <v>36805</v>
      </c>
      <c r="B1949" s="4" t="s">
        <v>2254</v>
      </c>
      <c r="C1949" s="4" t="s">
        <v>2255</v>
      </c>
    </row>
    <row r="1950" customFormat="false" ht="12.8" hidden="false" customHeight="false" outlineLevel="0" collapsed="false">
      <c r="A1950" s="3" t="n">
        <f aca="false">DATE(2000,10,17)</f>
        <v>36816</v>
      </c>
      <c r="B1950" s="4" t="s">
        <v>2256</v>
      </c>
      <c r="C1950" s="4" t="s">
        <v>1662</v>
      </c>
    </row>
    <row r="1951" customFormat="false" ht="12.8" hidden="false" customHeight="false" outlineLevel="0" collapsed="false">
      <c r="A1951" s="3" t="n">
        <f aca="false">DATE(2000,10,17)</f>
        <v>36816</v>
      </c>
      <c r="B1951" s="4" t="s">
        <v>2257</v>
      </c>
      <c r="C1951" s="4" t="s">
        <v>2258</v>
      </c>
    </row>
    <row r="1952" customFormat="false" ht="12.8" hidden="false" customHeight="false" outlineLevel="0" collapsed="false">
      <c r="A1952" s="3" t="n">
        <f aca="false">DATE(2000,10,24)</f>
        <v>36823</v>
      </c>
      <c r="B1952" s="4" t="s">
        <v>2259</v>
      </c>
      <c r="C1952" s="4" t="s">
        <v>2260</v>
      </c>
    </row>
    <row r="1953" customFormat="false" ht="12.8" hidden="false" customHeight="false" outlineLevel="0" collapsed="false">
      <c r="A1953" s="3" t="n">
        <f aca="false">DATE(2000,10,25)</f>
        <v>36824</v>
      </c>
      <c r="B1953" s="4" t="s">
        <v>2261</v>
      </c>
      <c r="C1953" s="4" t="s">
        <v>953</v>
      </c>
    </row>
    <row r="1954" customFormat="false" ht="12.8" hidden="false" customHeight="false" outlineLevel="0" collapsed="false">
      <c r="A1954" s="3" t="n">
        <f aca="false">DATE(2000,10,25)</f>
        <v>36824</v>
      </c>
      <c r="B1954" s="4" t="s">
        <v>2262</v>
      </c>
      <c r="C1954" s="4" t="s">
        <v>1983</v>
      </c>
    </row>
    <row r="1955" customFormat="false" ht="12.8" hidden="false" customHeight="false" outlineLevel="0" collapsed="false">
      <c r="A1955" s="3" t="n">
        <f aca="false">DATE(2000,10,26)</f>
        <v>36825</v>
      </c>
      <c r="B1955" s="4" t="s">
        <v>2263</v>
      </c>
      <c r="C1955" s="4" t="s">
        <v>105</v>
      </c>
    </row>
    <row r="1956" customFormat="false" ht="12.8" hidden="false" customHeight="false" outlineLevel="0" collapsed="false">
      <c r="A1956" s="3" t="n">
        <f aca="false">DATE(2000,11,1)</f>
        <v>36831</v>
      </c>
      <c r="B1956" s="4" t="s">
        <v>2264</v>
      </c>
      <c r="C1956" s="4" t="s">
        <v>44</v>
      </c>
    </row>
    <row r="1957" customFormat="false" ht="12.8" hidden="false" customHeight="false" outlineLevel="0" collapsed="false">
      <c r="A1957" s="3" t="n">
        <f aca="false">DATE(2000,11,2)</f>
        <v>36832</v>
      </c>
      <c r="B1957" s="4" t="s">
        <v>2265</v>
      </c>
      <c r="C1957" s="4" t="s">
        <v>2266</v>
      </c>
    </row>
    <row r="1958" customFormat="false" ht="12.8" hidden="false" customHeight="false" outlineLevel="0" collapsed="false">
      <c r="A1958" s="3" t="n">
        <f aca="false">DATE(2000,11,3)</f>
        <v>36833</v>
      </c>
      <c r="B1958" s="4" t="s">
        <v>2267</v>
      </c>
      <c r="C1958" s="4" t="s">
        <v>2070</v>
      </c>
    </row>
    <row r="1959" customFormat="false" ht="12.8" hidden="false" customHeight="false" outlineLevel="0" collapsed="false">
      <c r="A1959" s="3" t="n">
        <f aca="false">DATE(2000,11,20)</f>
        <v>36850</v>
      </c>
      <c r="B1959" s="4" t="s">
        <v>169</v>
      </c>
      <c r="C1959" s="4" t="s">
        <v>105</v>
      </c>
    </row>
    <row r="1960" customFormat="false" ht="12.8" hidden="false" customHeight="false" outlineLevel="0" collapsed="false">
      <c r="A1960" s="3" t="n">
        <f aca="false">DATE(2000,11,21)</f>
        <v>36851</v>
      </c>
      <c r="B1960" s="4" t="s">
        <v>1477</v>
      </c>
      <c r="C1960" s="4" t="s">
        <v>1582</v>
      </c>
    </row>
    <row r="1961" customFormat="false" ht="12.8" hidden="false" customHeight="false" outlineLevel="0" collapsed="false">
      <c r="A1961" s="3" t="n">
        <f aca="false">DATE(2000,11,24)</f>
        <v>36854</v>
      </c>
      <c r="B1961" s="4" t="s">
        <v>1770</v>
      </c>
      <c r="C1961" s="4" t="s">
        <v>660</v>
      </c>
    </row>
    <row r="1962" customFormat="false" ht="12.8" hidden="false" customHeight="false" outlineLevel="0" collapsed="false">
      <c r="A1962" s="3" t="n">
        <f aca="false">DATE(2000,11,29)</f>
        <v>36859</v>
      </c>
      <c r="B1962" s="4" t="s">
        <v>2268</v>
      </c>
      <c r="C1962" s="4" t="s">
        <v>1269</v>
      </c>
    </row>
    <row r="1963" customFormat="false" ht="12.8" hidden="false" customHeight="false" outlineLevel="0" collapsed="false">
      <c r="A1963" s="3" t="n">
        <f aca="false">DATE(2000,12,4)</f>
        <v>36864</v>
      </c>
      <c r="B1963" s="4" t="s">
        <v>2269</v>
      </c>
      <c r="C1963" s="4" t="s">
        <v>1433</v>
      </c>
    </row>
    <row r="1964" customFormat="false" ht="12.8" hidden="false" customHeight="false" outlineLevel="0" collapsed="false">
      <c r="A1964" s="3" t="n">
        <f aca="false">DATE(2000,12,5)</f>
        <v>36865</v>
      </c>
      <c r="B1964" s="4" t="s">
        <v>1174</v>
      </c>
      <c r="C1964" s="4" t="s">
        <v>2066</v>
      </c>
    </row>
    <row r="1965" customFormat="false" ht="12.8" hidden="false" customHeight="false" outlineLevel="0" collapsed="false">
      <c r="A1965" s="3" t="n">
        <f aca="false">DATE(2000,12,12)</f>
        <v>36872</v>
      </c>
      <c r="B1965" s="4" t="s">
        <v>1799</v>
      </c>
      <c r="C1965" s="4" t="s">
        <v>60</v>
      </c>
    </row>
    <row r="1966" customFormat="false" ht="12.8" hidden="false" customHeight="false" outlineLevel="0" collapsed="false">
      <c r="A1966" s="3" t="n">
        <f aca="false">DATE(2000,12,15)</f>
        <v>36875</v>
      </c>
      <c r="B1966" s="4" t="s">
        <v>2009</v>
      </c>
      <c r="C1966" s="4" t="s">
        <v>987</v>
      </c>
    </row>
    <row r="1967" customFormat="false" ht="12.8" hidden="false" customHeight="false" outlineLevel="0" collapsed="false">
      <c r="A1967" s="3" t="n">
        <f aca="false">DATE(2000,12,15)</f>
        <v>36875</v>
      </c>
      <c r="B1967" s="4" t="s">
        <v>361</v>
      </c>
      <c r="C1967" s="4" t="s">
        <v>2270</v>
      </c>
    </row>
    <row r="1968" customFormat="false" ht="12.8" hidden="false" customHeight="false" outlineLevel="0" collapsed="false">
      <c r="A1968" s="3" t="n">
        <f aca="false">DATE(2000,12,18)</f>
        <v>36878</v>
      </c>
      <c r="B1968" s="4" t="s">
        <v>2271</v>
      </c>
      <c r="C1968" s="4" t="s">
        <v>1459</v>
      </c>
    </row>
    <row r="1969" customFormat="false" ht="12.8" hidden="false" customHeight="false" outlineLevel="0" collapsed="false">
      <c r="A1969" s="3" t="n">
        <f aca="false">DATE(2000,12,27)</f>
        <v>36887</v>
      </c>
      <c r="B1969" s="4" t="s">
        <v>2272</v>
      </c>
      <c r="C1969" s="4" t="s">
        <v>381</v>
      </c>
    </row>
    <row r="1970" customFormat="false" ht="12.8" hidden="false" customHeight="false" outlineLevel="0" collapsed="false">
      <c r="A1970" s="3" t="n">
        <f aca="false">DATE(2001,1,2)</f>
        <v>36893</v>
      </c>
      <c r="B1970" s="4" t="s">
        <v>59</v>
      </c>
      <c r="C1970" s="4" t="s">
        <v>789</v>
      </c>
    </row>
    <row r="1971" customFormat="false" ht="12.8" hidden="false" customHeight="false" outlineLevel="0" collapsed="false">
      <c r="A1971" s="3" t="n">
        <f aca="false">DATE(2001,1,16)</f>
        <v>36907</v>
      </c>
      <c r="B1971" s="4" t="s">
        <v>2273</v>
      </c>
      <c r="C1971" s="4" t="s">
        <v>2274</v>
      </c>
    </row>
    <row r="1972" customFormat="false" ht="12.8" hidden="false" customHeight="false" outlineLevel="0" collapsed="false">
      <c r="A1972" s="3" t="n">
        <f aca="false">DATE(2001,1,16)</f>
        <v>36907</v>
      </c>
      <c r="B1972" s="4" t="s">
        <v>2275</v>
      </c>
      <c r="C1972" s="4" t="s">
        <v>2276</v>
      </c>
    </row>
    <row r="1973" customFormat="false" ht="12.8" hidden="false" customHeight="false" outlineLevel="0" collapsed="false">
      <c r="A1973" s="3" t="n">
        <f aca="false">DATE(2001,1,17)</f>
        <v>36908</v>
      </c>
      <c r="B1973" s="4" t="s">
        <v>1805</v>
      </c>
      <c r="C1973" s="4" t="s">
        <v>872</v>
      </c>
    </row>
    <row r="1974" customFormat="false" ht="12.8" hidden="false" customHeight="false" outlineLevel="0" collapsed="false">
      <c r="A1974" s="3" t="n">
        <f aca="false">DATE(2001,1,24)</f>
        <v>36915</v>
      </c>
      <c r="B1974" s="4" t="s">
        <v>611</v>
      </c>
      <c r="C1974" s="4" t="s">
        <v>2066</v>
      </c>
    </row>
    <row r="1975" customFormat="false" ht="12.8" hidden="false" customHeight="false" outlineLevel="0" collapsed="false">
      <c r="A1975" s="3" t="n">
        <f aca="false">DATE(2001,1,26)</f>
        <v>36917</v>
      </c>
      <c r="B1975" s="4" t="s">
        <v>2277</v>
      </c>
      <c r="C1975" s="4" t="s">
        <v>835</v>
      </c>
    </row>
    <row r="1976" customFormat="false" ht="12.8" hidden="false" customHeight="false" outlineLevel="0" collapsed="false">
      <c r="A1976" s="3" t="n">
        <f aca="false">DATE(2001,1,31)</f>
        <v>36922</v>
      </c>
      <c r="B1976" s="4" t="s">
        <v>2278</v>
      </c>
      <c r="C1976" s="4" t="s">
        <v>1164</v>
      </c>
    </row>
    <row r="1977" customFormat="false" ht="12.8" hidden="false" customHeight="false" outlineLevel="0" collapsed="false">
      <c r="A1977" s="3" t="n">
        <f aca="false">DATE(2001,2,1)</f>
        <v>36923</v>
      </c>
      <c r="B1977" s="4" t="s">
        <v>2279</v>
      </c>
      <c r="C1977" s="4" t="s">
        <v>2280</v>
      </c>
    </row>
    <row r="1978" customFormat="false" ht="12.8" hidden="false" customHeight="false" outlineLevel="0" collapsed="false">
      <c r="A1978" s="3" t="n">
        <f aca="false">DATE(2001,2,2)</f>
        <v>36924</v>
      </c>
      <c r="B1978" s="4" t="s">
        <v>2281</v>
      </c>
      <c r="C1978" s="4" t="s">
        <v>2282</v>
      </c>
    </row>
    <row r="1979" customFormat="false" ht="12.8" hidden="false" customHeight="false" outlineLevel="0" collapsed="false">
      <c r="A1979" s="3" t="n">
        <f aca="false">DATE(2001,2,9)</f>
        <v>36931</v>
      </c>
      <c r="B1979" s="4" t="s">
        <v>2283</v>
      </c>
      <c r="C1979" s="4" t="s">
        <v>2284</v>
      </c>
    </row>
    <row r="1980" customFormat="false" ht="12.8" hidden="false" customHeight="false" outlineLevel="0" collapsed="false">
      <c r="A1980" s="3" t="n">
        <f aca="false">DATE(2001,2,12)</f>
        <v>36934</v>
      </c>
      <c r="B1980" s="4" t="s">
        <v>2285</v>
      </c>
      <c r="C1980" s="4" t="s">
        <v>2286</v>
      </c>
    </row>
    <row r="1981" customFormat="false" ht="12.8" hidden="false" customHeight="false" outlineLevel="0" collapsed="false">
      <c r="A1981" s="3" t="n">
        <f aca="false">DATE(2001,2,13)</f>
        <v>36935</v>
      </c>
      <c r="B1981" s="4" t="s">
        <v>1508</v>
      </c>
      <c r="C1981" s="4" t="s">
        <v>400</v>
      </c>
    </row>
    <row r="1982" customFormat="false" ht="12.8" hidden="false" customHeight="false" outlineLevel="0" collapsed="false">
      <c r="A1982" s="3" t="n">
        <f aca="false">DATE(2001,2,21)</f>
        <v>36943</v>
      </c>
      <c r="B1982" s="4" t="s">
        <v>2287</v>
      </c>
      <c r="C1982" s="4" t="s">
        <v>1433</v>
      </c>
    </row>
    <row r="1983" customFormat="false" ht="12.8" hidden="false" customHeight="false" outlineLevel="0" collapsed="false">
      <c r="A1983" s="3" t="n">
        <f aca="false">DATE(2001,2,22)</f>
        <v>36944</v>
      </c>
      <c r="B1983" s="4" t="s">
        <v>687</v>
      </c>
      <c r="C1983" s="4" t="s">
        <v>660</v>
      </c>
    </row>
    <row r="1984" customFormat="false" ht="12.8" hidden="false" customHeight="false" outlineLevel="0" collapsed="false">
      <c r="A1984" s="3" t="n">
        <f aca="false">DATE(2001,2,26)</f>
        <v>36948</v>
      </c>
      <c r="B1984" s="4" t="s">
        <v>2288</v>
      </c>
      <c r="C1984" s="4" t="s">
        <v>2289</v>
      </c>
    </row>
    <row r="1985" customFormat="false" ht="12.8" hidden="false" customHeight="false" outlineLevel="0" collapsed="false">
      <c r="A1985" s="3" t="n">
        <f aca="false">DATE(2001,3,1)</f>
        <v>36951</v>
      </c>
      <c r="B1985" s="4" t="s">
        <v>2290</v>
      </c>
      <c r="C1985" s="4" t="s">
        <v>953</v>
      </c>
    </row>
    <row r="1986" customFormat="false" ht="12.8" hidden="false" customHeight="false" outlineLevel="0" collapsed="false">
      <c r="A1986" s="3" t="n">
        <f aca="false">DATE(2001,3,5)</f>
        <v>36955</v>
      </c>
      <c r="B1986" s="4" t="s">
        <v>1357</v>
      </c>
      <c r="C1986" s="4" t="s">
        <v>20</v>
      </c>
    </row>
    <row r="1987" customFormat="false" ht="12.8" hidden="false" customHeight="false" outlineLevel="0" collapsed="false">
      <c r="A1987" s="3" t="n">
        <f aca="false">DATE(2001,3,7)</f>
        <v>36957</v>
      </c>
      <c r="B1987" s="4" t="s">
        <v>2291</v>
      </c>
      <c r="C1987" s="4" t="s">
        <v>2292</v>
      </c>
    </row>
    <row r="1988" customFormat="false" ht="12.8" hidden="false" customHeight="false" outlineLevel="0" collapsed="false">
      <c r="A1988" s="3" t="n">
        <f aca="false">DATE(2001,3,16)</f>
        <v>36966</v>
      </c>
      <c r="B1988" s="4" t="s">
        <v>2293</v>
      </c>
      <c r="C1988" s="4" t="s">
        <v>2294</v>
      </c>
    </row>
    <row r="1989" customFormat="false" ht="12.8" hidden="false" customHeight="false" outlineLevel="0" collapsed="false">
      <c r="A1989" s="3" t="n">
        <f aca="false">DATE(2001,4,13)</f>
        <v>36994</v>
      </c>
      <c r="B1989" s="4" t="s">
        <v>2295</v>
      </c>
      <c r="C1989" s="4" t="s">
        <v>1397</v>
      </c>
    </row>
    <row r="1990" customFormat="false" ht="12.8" hidden="false" customHeight="false" outlineLevel="0" collapsed="false">
      <c r="A1990" s="3" t="n">
        <f aca="false">DATE(2001,4,16)</f>
        <v>36997</v>
      </c>
      <c r="B1990" s="4" t="s">
        <v>80</v>
      </c>
      <c r="C1990" s="4" t="s">
        <v>58</v>
      </c>
    </row>
    <row r="1991" customFormat="false" ht="12.8" hidden="false" customHeight="false" outlineLevel="0" collapsed="false">
      <c r="A1991" s="3" t="n">
        <f aca="false">DATE(2001,4,30)</f>
        <v>37011</v>
      </c>
      <c r="B1991" s="4" t="s">
        <v>824</v>
      </c>
      <c r="C1991" s="4" t="s">
        <v>2296</v>
      </c>
    </row>
    <row r="1992" customFormat="false" ht="12.8" hidden="false" customHeight="false" outlineLevel="0" collapsed="false">
      <c r="A1992" s="3" t="n">
        <f aca="false">DATE(2001,5,1)</f>
        <v>37012</v>
      </c>
      <c r="B1992" s="4" t="s">
        <v>1874</v>
      </c>
      <c r="C1992" s="4" t="s">
        <v>2297</v>
      </c>
    </row>
    <row r="1993" customFormat="false" ht="12.8" hidden="false" customHeight="false" outlineLevel="0" collapsed="false">
      <c r="A1993" s="3" t="n">
        <f aca="false">DATE(2001,5,7)</f>
        <v>37018</v>
      </c>
      <c r="B1993" s="4" t="s">
        <v>2298</v>
      </c>
      <c r="C1993" s="4" t="s">
        <v>2120</v>
      </c>
    </row>
    <row r="1994" customFormat="false" ht="12.8" hidden="false" customHeight="false" outlineLevel="0" collapsed="false">
      <c r="A1994" s="3" t="n">
        <f aca="false">DATE(2001,5,8)</f>
        <v>37019</v>
      </c>
      <c r="B1994" s="4" t="s">
        <v>2299</v>
      </c>
      <c r="C1994" s="4" t="s">
        <v>2155</v>
      </c>
    </row>
    <row r="1995" customFormat="false" ht="12.8" hidden="false" customHeight="false" outlineLevel="0" collapsed="false">
      <c r="A1995" s="3" t="n">
        <f aca="false">DATE(2001,5,9)</f>
        <v>37020</v>
      </c>
      <c r="B1995" s="4" t="s">
        <v>2300</v>
      </c>
      <c r="C1995" s="4" t="s">
        <v>2301</v>
      </c>
    </row>
    <row r="1996" customFormat="false" ht="12.8" hidden="false" customHeight="false" outlineLevel="0" collapsed="false">
      <c r="A1996" s="3" t="n">
        <f aca="false">DATE(2001,5,14)</f>
        <v>37025</v>
      </c>
      <c r="B1996" s="4" t="s">
        <v>80</v>
      </c>
      <c r="C1996" s="4" t="s">
        <v>269</v>
      </c>
    </row>
    <row r="1997" customFormat="false" ht="12.8" hidden="false" customHeight="false" outlineLevel="0" collapsed="false">
      <c r="A1997" s="3" t="n">
        <f aca="false">DATE(2001,5,21)</f>
        <v>37032</v>
      </c>
      <c r="B1997" s="4" t="s">
        <v>2302</v>
      </c>
      <c r="C1997" s="4" t="s">
        <v>2303</v>
      </c>
    </row>
    <row r="1998" customFormat="false" ht="12.8" hidden="false" customHeight="false" outlineLevel="0" collapsed="false">
      <c r="A1998" s="3" t="n">
        <f aca="false">DATE(2001,5,21)</f>
        <v>37032</v>
      </c>
      <c r="B1998" s="4" t="s">
        <v>2304</v>
      </c>
      <c r="C1998" s="4" t="s">
        <v>2305</v>
      </c>
    </row>
    <row r="1999" customFormat="false" ht="12.8" hidden="false" customHeight="false" outlineLevel="0" collapsed="false">
      <c r="A1999" s="3" t="n">
        <f aca="false">DATE(2001,5,22)</f>
        <v>37033</v>
      </c>
      <c r="B1999" s="4" t="s">
        <v>2306</v>
      </c>
      <c r="C1999" s="4" t="s">
        <v>784</v>
      </c>
    </row>
    <row r="2000" customFormat="false" ht="12.8" hidden="false" customHeight="false" outlineLevel="0" collapsed="false">
      <c r="A2000" s="3" t="n">
        <f aca="false">DATE(2001,5,25)</f>
        <v>37036</v>
      </c>
      <c r="B2000" s="4" t="s">
        <v>2307</v>
      </c>
      <c r="C2000" s="4" t="s">
        <v>1525</v>
      </c>
    </row>
    <row r="2001" customFormat="false" ht="12.8" hidden="false" customHeight="false" outlineLevel="0" collapsed="false">
      <c r="A2001" s="3" t="n">
        <f aca="false">DATE(2001,5,31)</f>
        <v>37042</v>
      </c>
      <c r="B2001" s="4" t="s">
        <v>2308</v>
      </c>
      <c r="C2001" s="4" t="s">
        <v>2309</v>
      </c>
    </row>
    <row r="2002" customFormat="false" ht="12.8" hidden="false" customHeight="false" outlineLevel="0" collapsed="false">
      <c r="A2002" s="3" t="n">
        <f aca="false">DATE(2001,6,8)</f>
        <v>37050</v>
      </c>
      <c r="B2002" s="4" t="s">
        <v>2310</v>
      </c>
      <c r="C2002" s="4" t="s">
        <v>1269</v>
      </c>
    </row>
    <row r="2003" customFormat="false" ht="12.8" hidden="false" customHeight="false" outlineLevel="0" collapsed="false">
      <c r="A2003" s="3" t="n">
        <f aca="false">DATE(2001,6,11)</f>
        <v>37053</v>
      </c>
      <c r="B2003" s="4" t="s">
        <v>597</v>
      </c>
      <c r="C2003" s="4" t="s">
        <v>2311</v>
      </c>
    </row>
    <row r="2004" customFormat="false" ht="12.8" hidden="false" customHeight="false" outlineLevel="0" collapsed="false">
      <c r="A2004" s="3" t="n">
        <f aca="false">DATE(2001,6,11)</f>
        <v>37053</v>
      </c>
      <c r="B2004" s="4" t="s">
        <v>2312</v>
      </c>
      <c r="C2004" s="4" t="s">
        <v>2311</v>
      </c>
    </row>
    <row r="2005" customFormat="false" ht="12.8" hidden="false" customHeight="false" outlineLevel="0" collapsed="false">
      <c r="A2005" s="3" t="n">
        <f aca="false">DATE(2001,6,12)</f>
        <v>37054</v>
      </c>
      <c r="B2005" s="4" t="s">
        <v>2313</v>
      </c>
      <c r="C2005" s="4" t="s">
        <v>2314</v>
      </c>
    </row>
    <row r="2006" customFormat="false" ht="12.8" hidden="false" customHeight="false" outlineLevel="0" collapsed="false">
      <c r="A2006" s="3" t="n">
        <f aca="false">DATE(2001,6,13)</f>
        <v>37055</v>
      </c>
      <c r="B2006" s="4" t="s">
        <v>1899</v>
      </c>
      <c r="C2006" s="4" t="s">
        <v>2315</v>
      </c>
    </row>
    <row r="2007" customFormat="false" ht="12.8" hidden="false" customHeight="false" outlineLevel="0" collapsed="false">
      <c r="A2007" s="3" t="n">
        <f aca="false">DATE(2001,6,14)</f>
        <v>37056</v>
      </c>
      <c r="B2007" s="4" t="s">
        <v>2294</v>
      </c>
      <c r="C2007" s="4" t="s">
        <v>1459</v>
      </c>
    </row>
    <row r="2008" customFormat="false" ht="12.8" hidden="false" customHeight="false" outlineLevel="0" collapsed="false">
      <c r="A2008" s="3" t="n">
        <f aca="false">DATE(2001,6,17)</f>
        <v>37059</v>
      </c>
      <c r="B2008" s="4" t="s">
        <v>2316</v>
      </c>
      <c r="C2008" s="4" t="s">
        <v>2317</v>
      </c>
    </row>
    <row r="2009" customFormat="false" ht="12.8" hidden="false" customHeight="false" outlineLevel="0" collapsed="false">
      <c r="A2009" s="3" t="n">
        <f aca="false">DATE(2001,6,18)</f>
        <v>37060</v>
      </c>
      <c r="B2009" s="4" t="s">
        <v>2318</v>
      </c>
      <c r="C2009" s="4" t="s">
        <v>955</v>
      </c>
    </row>
    <row r="2010" customFormat="false" ht="12.8" hidden="false" customHeight="false" outlineLevel="0" collapsed="false">
      <c r="A2010" s="3" t="n">
        <f aca="false">DATE(2001,6,19)</f>
        <v>37061</v>
      </c>
      <c r="B2010" s="4" t="s">
        <v>2319</v>
      </c>
      <c r="C2010" s="4" t="s">
        <v>789</v>
      </c>
    </row>
    <row r="2011" customFormat="false" ht="12.8" hidden="false" customHeight="false" outlineLevel="0" collapsed="false">
      <c r="A2011" s="3" t="n">
        <f aca="false">DATE(2001,6,22)</f>
        <v>37064</v>
      </c>
      <c r="B2011" s="4" t="s">
        <v>1842</v>
      </c>
      <c r="C2011" s="4" t="s">
        <v>1525</v>
      </c>
    </row>
    <row r="2012" customFormat="false" ht="12.8" hidden="false" customHeight="false" outlineLevel="0" collapsed="false">
      <c r="A2012" s="3" t="n">
        <f aca="false">DATE(2001,6,26)</f>
        <v>37068</v>
      </c>
      <c r="B2012" s="4" t="s">
        <v>1079</v>
      </c>
      <c r="C2012" s="4" t="s">
        <v>1518</v>
      </c>
    </row>
    <row r="2013" customFormat="false" ht="12.8" hidden="false" customHeight="false" outlineLevel="0" collapsed="false">
      <c r="A2013" s="3" t="n">
        <f aca="false">DATE(2001,6,27)</f>
        <v>37069</v>
      </c>
      <c r="B2013" s="4" t="s">
        <v>2320</v>
      </c>
      <c r="C2013" s="4" t="s">
        <v>1044</v>
      </c>
    </row>
    <row r="2014" customFormat="false" ht="12.8" hidden="false" customHeight="false" outlineLevel="0" collapsed="false">
      <c r="A2014" s="3" t="n">
        <f aca="false">DATE(2001,6,28)</f>
        <v>37070</v>
      </c>
      <c r="B2014" s="4" t="s">
        <v>2321</v>
      </c>
      <c r="C2014" s="4" t="s">
        <v>2322</v>
      </c>
    </row>
    <row r="2015" customFormat="false" ht="12.8" hidden="false" customHeight="false" outlineLevel="0" collapsed="false">
      <c r="A2015" s="3" t="n">
        <f aca="false">DATE(2001,6,29)</f>
        <v>37071</v>
      </c>
      <c r="B2015" s="4" t="s">
        <v>1612</v>
      </c>
      <c r="C2015" s="4" t="s">
        <v>60</v>
      </c>
    </row>
    <row r="2016" customFormat="false" ht="12.8" hidden="false" customHeight="false" outlineLevel="0" collapsed="false">
      <c r="A2016" s="3" t="n">
        <f aca="false">DATE(2001,6,29)</f>
        <v>37071</v>
      </c>
      <c r="B2016" s="4" t="s">
        <v>2323</v>
      </c>
      <c r="C2016" s="4" t="s">
        <v>560</v>
      </c>
    </row>
    <row r="2017" customFormat="false" ht="12.8" hidden="false" customHeight="false" outlineLevel="0" collapsed="false">
      <c r="A2017" s="3" t="n">
        <f aca="false">DATE(2001,7,2)</f>
        <v>37074</v>
      </c>
      <c r="B2017" s="4" t="s">
        <v>2324</v>
      </c>
      <c r="C2017" s="4" t="s">
        <v>2325</v>
      </c>
    </row>
    <row r="2018" customFormat="false" ht="12.8" hidden="false" customHeight="false" outlineLevel="0" collapsed="false">
      <c r="A2018" s="3" t="n">
        <f aca="false">DATE(2001,7,5)</f>
        <v>37077</v>
      </c>
      <c r="B2018" s="4" t="s">
        <v>2326</v>
      </c>
      <c r="C2018" s="4" t="s">
        <v>2327</v>
      </c>
    </row>
    <row r="2019" customFormat="false" ht="12.8" hidden="false" customHeight="false" outlineLevel="0" collapsed="false">
      <c r="A2019" s="3" t="n">
        <f aca="false">DATE(2001,7,20)</f>
        <v>37092</v>
      </c>
      <c r="B2019" s="4" t="s">
        <v>2328</v>
      </c>
      <c r="C2019" s="4" t="s">
        <v>2329</v>
      </c>
    </row>
    <row r="2020" customFormat="false" ht="12.8" hidden="false" customHeight="false" outlineLevel="0" collapsed="false">
      <c r="A2020" s="3" t="n">
        <f aca="false">DATE(2001,7,20)</f>
        <v>37092</v>
      </c>
      <c r="B2020" s="4" t="s">
        <v>2330</v>
      </c>
      <c r="C2020" s="4" t="s">
        <v>1042</v>
      </c>
    </row>
    <row r="2021" customFormat="false" ht="12.8" hidden="false" customHeight="false" outlineLevel="0" collapsed="false">
      <c r="A2021" s="3" t="n">
        <f aca="false">DATE(2001,7,23)</f>
        <v>37095</v>
      </c>
      <c r="B2021" s="4" t="s">
        <v>2331</v>
      </c>
      <c r="C2021" s="4" t="s">
        <v>1889</v>
      </c>
    </row>
    <row r="2022" customFormat="false" ht="12.8" hidden="false" customHeight="false" outlineLevel="0" collapsed="false">
      <c r="A2022" s="3" t="n">
        <f aca="false">DATE(2001,7,31)</f>
        <v>37103</v>
      </c>
      <c r="B2022" s="4" t="s">
        <v>138</v>
      </c>
      <c r="C2022" s="4" t="s">
        <v>2332</v>
      </c>
    </row>
    <row r="2023" customFormat="false" ht="12.8" hidden="false" customHeight="false" outlineLevel="0" collapsed="false">
      <c r="A2023" s="3" t="n">
        <f aca="false">DATE(2001,8,1)</f>
        <v>37104</v>
      </c>
      <c r="B2023" s="4" t="s">
        <v>2333</v>
      </c>
      <c r="C2023" s="4" t="s">
        <v>2234</v>
      </c>
    </row>
    <row r="2024" customFormat="false" ht="12.8" hidden="false" customHeight="false" outlineLevel="0" collapsed="false">
      <c r="A2024" s="3" t="n">
        <f aca="false">DATE(2001,8,2)</f>
        <v>37105</v>
      </c>
      <c r="B2024" s="4" t="s">
        <v>2334</v>
      </c>
      <c r="C2024" s="4" t="s">
        <v>1042</v>
      </c>
    </row>
    <row r="2025" customFormat="false" ht="12.8" hidden="false" customHeight="false" outlineLevel="0" collapsed="false">
      <c r="A2025" s="3" t="n">
        <f aca="false">DATE(2001,8,2)</f>
        <v>37105</v>
      </c>
      <c r="B2025" s="4" t="s">
        <v>314</v>
      </c>
      <c r="C2025" s="4" t="s">
        <v>2335</v>
      </c>
    </row>
    <row r="2026" customFormat="false" ht="12.8" hidden="false" customHeight="false" outlineLevel="0" collapsed="false">
      <c r="A2026" s="3" t="n">
        <f aca="false">DATE(2001,8,13)</f>
        <v>37116</v>
      </c>
      <c r="B2026" s="4" t="s">
        <v>2336</v>
      </c>
      <c r="C2026" s="4" t="s">
        <v>1044</v>
      </c>
    </row>
    <row r="2027" customFormat="false" ht="12.8" hidden="false" customHeight="false" outlineLevel="0" collapsed="false">
      <c r="A2027" s="3" t="n">
        <f aca="false">DATE(2001,8,16)</f>
        <v>37119</v>
      </c>
      <c r="B2027" s="4" t="s">
        <v>2337</v>
      </c>
      <c r="C2027" s="4" t="s">
        <v>2338</v>
      </c>
    </row>
    <row r="2028" customFormat="false" ht="12.8" hidden="false" customHeight="false" outlineLevel="0" collapsed="false">
      <c r="A2028" s="3" t="n">
        <f aca="false">DATE(2001,8,22)</f>
        <v>37125</v>
      </c>
      <c r="B2028" s="4" t="s">
        <v>2339</v>
      </c>
      <c r="C2028" s="4" t="s">
        <v>784</v>
      </c>
    </row>
    <row r="2029" customFormat="false" ht="12.8" hidden="false" customHeight="false" outlineLevel="0" collapsed="false">
      <c r="A2029" s="3" t="n">
        <f aca="false">DATE(2001,8,23)</f>
        <v>37126</v>
      </c>
      <c r="B2029" s="4" t="s">
        <v>2340</v>
      </c>
      <c r="C2029" s="4" t="s">
        <v>2341</v>
      </c>
    </row>
    <row r="2030" customFormat="false" ht="12.8" hidden="false" customHeight="false" outlineLevel="0" collapsed="false">
      <c r="A2030" s="3" t="n">
        <f aca="false">DATE(2001,8,28)</f>
        <v>37131</v>
      </c>
      <c r="B2030" s="4" t="s">
        <v>2342</v>
      </c>
      <c r="C2030" s="4" t="s">
        <v>2343</v>
      </c>
    </row>
    <row r="2031" customFormat="false" ht="12.8" hidden="false" customHeight="false" outlineLevel="0" collapsed="false">
      <c r="A2031" s="3" t="n">
        <f aca="false">DATE(2001,8,31)</f>
        <v>37134</v>
      </c>
      <c r="B2031" s="4" t="s">
        <v>2344</v>
      </c>
      <c r="C2031" s="4" t="s">
        <v>60</v>
      </c>
    </row>
    <row r="2032" customFormat="false" ht="12.8" hidden="false" customHeight="false" outlineLevel="0" collapsed="false">
      <c r="A2032" s="3" t="n">
        <f aca="false">DATE(2001,9,6)</f>
        <v>37140</v>
      </c>
      <c r="B2032" s="4" t="s">
        <v>1264</v>
      </c>
      <c r="C2032" s="4" t="s">
        <v>2345</v>
      </c>
    </row>
    <row r="2033" customFormat="false" ht="12.8" hidden="false" customHeight="false" outlineLevel="0" collapsed="false">
      <c r="A2033" s="3" t="n">
        <f aca="false">DATE(2001,9,6)</f>
        <v>37140</v>
      </c>
      <c r="B2033" s="4" t="s">
        <v>2346</v>
      </c>
      <c r="C2033" s="4" t="s">
        <v>1341</v>
      </c>
    </row>
    <row r="2034" customFormat="false" ht="12.8" hidden="false" customHeight="false" outlineLevel="0" collapsed="false">
      <c r="A2034" s="3" t="n">
        <f aca="false">DATE(2001,9,7)</f>
        <v>37141</v>
      </c>
      <c r="B2034" s="4" t="s">
        <v>2347</v>
      </c>
      <c r="C2034" s="4" t="s">
        <v>1094</v>
      </c>
    </row>
    <row r="2035" customFormat="false" ht="12.8" hidden="false" customHeight="false" outlineLevel="0" collapsed="false">
      <c r="A2035" s="3" t="n">
        <f aca="false">DATE(2001,9,10)</f>
        <v>37144</v>
      </c>
      <c r="B2035" s="4" t="s">
        <v>2348</v>
      </c>
      <c r="C2035" s="4" t="s">
        <v>682</v>
      </c>
    </row>
    <row r="2036" customFormat="false" ht="12.8" hidden="false" customHeight="false" outlineLevel="0" collapsed="false">
      <c r="A2036" s="3" t="n">
        <f aca="false">DATE(2001,9,18)</f>
        <v>37152</v>
      </c>
      <c r="B2036" s="4" t="s">
        <v>2349</v>
      </c>
      <c r="C2036" s="4" t="s">
        <v>1740</v>
      </c>
    </row>
    <row r="2037" customFormat="false" ht="12.8" hidden="false" customHeight="false" outlineLevel="0" collapsed="false">
      <c r="A2037" s="3" t="n">
        <f aca="false">DATE(2001,9,26)</f>
        <v>37160</v>
      </c>
      <c r="B2037" s="4" t="s">
        <v>2350</v>
      </c>
      <c r="C2037" s="4" t="s">
        <v>269</v>
      </c>
    </row>
    <row r="2038" customFormat="false" ht="12.8" hidden="false" customHeight="false" outlineLevel="0" collapsed="false">
      <c r="A2038" s="3" t="n">
        <f aca="false">DATE(2001,9,26)</f>
        <v>37160</v>
      </c>
      <c r="B2038" s="4" t="s">
        <v>2351</v>
      </c>
      <c r="C2038" s="4" t="s">
        <v>2352</v>
      </c>
    </row>
    <row r="2039" customFormat="false" ht="12.8" hidden="false" customHeight="false" outlineLevel="0" collapsed="false">
      <c r="A2039" s="3" t="n">
        <f aca="false">DATE(2001,10,5)</f>
        <v>37169</v>
      </c>
      <c r="B2039" s="4" t="s">
        <v>2353</v>
      </c>
      <c r="C2039" s="4" t="s">
        <v>835</v>
      </c>
    </row>
    <row r="2040" customFormat="false" ht="12.8" hidden="false" customHeight="false" outlineLevel="0" collapsed="false">
      <c r="A2040" s="3" t="n">
        <f aca="false">DATE(2001,10,10)</f>
        <v>37174</v>
      </c>
      <c r="B2040" s="4" t="s">
        <v>2354</v>
      </c>
      <c r="C2040" s="4" t="s">
        <v>2355</v>
      </c>
    </row>
    <row r="2041" customFormat="false" ht="12.8" hidden="false" customHeight="false" outlineLevel="0" collapsed="false">
      <c r="A2041" s="3" t="n">
        <f aca="false">DATE(2001,10,11)</f>
        <v>37175</v>
      </c>
      <c r="B2041" s="4" t="s">
        <v>2356</v>
      </c>
      <c r="C2041" s="4" t="s">
        <v>1072</v>
      </c>
    </row>
    <row r="2042" customFormat="false" ht="12.8" hidden="false" customHeight="false" outlineLevel="0" collapsed="false">
      <c r="A2042" s="3" t="n">
        <f aca="false">DATE(2001,10,15)</f>
        <v>37179</v>
      </c>
      <c r="B2042" s="4" t="s">
        <v>2357</v>
      </c>
      <c r="C2042" s="4" t="s">
        <v>634</v>
      </c>
    </row>
    <row r="2043" customFormat="false" ht="12.8" hidden="false" customHeight="false" outlineLevel="0" collapsed="false">
      <c r="A2043" s="3" t="n">
        <f aca="false">DATE(2001,10,23)</f>
        <v>37187</v>
      </c>
      <c r="B2043" s="4" t="s">
        <v>2358</v>
      </c>
      <c r="C2043" s="4" t="s">
        <v>2359</v>
      </c>
    </row>
    <row r="2044" customFormat="false" ht="12.8" hidden="false" customHeight="false" outlineLevel="0" collapsed="false">
      <c r="A2044" s="3" t="n">
        <f aca="false">DATE(2001,11,5)</f>
        <v>37200</v>
      </c>
      <c r="B2044" s="4" t="s">
        <v>2360</v>
      </c>
      <c r="C2044" s="4" t="s">
        <v>872</v>
      </c>
    </row>
    <row r="2045" customFormat="false" ht="12.8" hidden="false" customHeight="false" outlineLevel="0" collapsed="false">
      <c r="A2045" s="3" t="n">
        <f aca="false">DATE(2001,11,8)</f>
        <v>37203</v>
      </c>
      <c r="B2045" s="4" t="s">
        <v>1666</v>
      </c>
      <c r="C2045" s="4" t="s">
        <v>2066</v>
      </c>
    </row>
    <row r="2046" customFormat="false" ht="12.8" hidden="false" customHeight="false" outlineLevel="0" collapsed="false">
      <c r="A2046" s="3" t="n">
        <f aca="false">DATE(2001,11,8)</f>
        <v>37203</v>
      </c>
      <c r="B2046" s="4" t="s">
        <v>2361</v>
      </c>
      <c r="C2046" s="4" t="s">
        <v>2066</v>
      </c>
    </row>
    <row r="2047" customFormat="false" ht="12.8" hidden="false" customHeight="false" outlineLevel="0" collapsed="false">
      <c r="A2047" s="3" t="n">
        <f aca="false">DATE(2001,11,13)</f>
        <v>37208</v>
      </c>
      <c r="B2047" s="4" t="s">
        <v>2020</v>
      </c>
      <c r="C2047" s="4" t="s">
        <v>1238</v>
      </c>
    </row>
    <row r="2048" customFormat="false" ht="12.8" hidden="false" customHeight="false" outlineLevel="0" collapsed="false">
      <c r="A2048" s="3" t="n">
        <f aca="false">DATE(2001,11,14)</f>
        <v>37209</v>
      </c>
      <c r="B2048" s="4" t="s">
        <v>2221</v>
      </c>
      <c r="C2048" s="4" t="s">
        <v>2223</v>
      </c>
    </row>
    <row r="2049" customFormat="false" ht="12.8" hidden="false" customHeight="false" outlineLevel="0" collapsed="false">
      <c r="A2049" s="3" t="n">
        <f aca="false">DATE(2001,11,19)</f>
        <v>37214</v>
      </c>
      <c r="B2049" s="4" t="s">
        <v>2362</v>
      </c>
      <c r="C2049" s="4" t="s">
        <v>588</v>
      </c>
    </row>
    <row r="2050" customFormat="false" ht="12.8" hidden="false" customHeight="false" outlineLevel="0" collapsed="false">
      <c r="A2050" s="3" t="n">
        <f aca="false">DATE(2001,11,19)</f>
        <v>37214</v>
      </c>
      <c r="B2050" s="4" t="s">
        <v>2363</v>
      </c>
      <c r="C2050" s="4" t="s">
        <v>2296</v>
      </c>
    </row>
    <row r="2051" customFormat="false" ht="12.8" hidden="false" customHeight="false" outlineLevel="0" collapsed="false">
      <c r="A2051" s="3" t="n">
        <f aca="false">DATE(2001,11,20)</f>
        <v>37215</v>
      </c>
      <c r="B2051" s="4" t="s">
        <v>2364</v>
      </c>
      <c r="C2051" s="4" t="s">
        <v>1293</v>
      </c>
    </row>
    <row r="2052" customFormat="false" ht="12.8" hidden="false" customHeight="false" outlineLevel="0" collapsed="false">
      <c r="A2052" s="3" t="n">
        <f aca="false">DATE(2001,11,21)</f>
        <v>37216</v>
      </c>
      <c r="B2052" s="4" t="s">
        <v>2365</v>
      </c>
      <c r="C2052" s="4" t="s">
        <v>2366</v>
      </c>
    </row>
    <row r="2053" customFormat="false" ht="12.8" hidden="false" customHeight="false" outlineLevel="0" collapsed="false">
      <c r="A2053" s="3" t="n">
        <f aca="false">DATE(2001,11,21)</f>
        <v>37216</v>
      </c>
      <c r="B2053" s="4" t="s">
        <v>2367</v>
      </c>
      <c r="C2053" s="4" t="s">
        <v>2368</v>
      </c>
    </row>
    <row r="2054" customFormat="false" ht="12.8" hidden="false" customHeight="false" outlineLevel="0" collapsed="false">
      <c r="A2054" s="3" t="n">
        <f aca="false">DATE(2001,11,27)</f>
        <v>37222</v>
      </c>
      <c r="B2054" s="4" t="s">
        <v>2369</v>
      </c>
      <c r="C2054" s="4" t="s">
        <v>2370</v>
      </c>
    </row>
    <row r="2055" customFormat="false" ht="12.8" hidden="false" customHeight="false" outlineLevel="0" collapsed="false">
      <c r="A2055" s="3" t="n">
        <f aca="false">DATE(2001,12,3)</f>
        <v>37228</v>
      </c>
      <c r="B2055" s="4" t="s">
        <v>2371</v>
      </c>
      <c r="C2055" s="4" t="s">
        <v>955</v>
      </c>
    </row>
    <row r="2056" customFormat="false" ht="12.8" hidden="false" customHeight="false" outlineLevel="0" collapsed="false">
      <c r="A2056" s="3" t="n">
        <f aca="false">DATE(2001,12,4)</f>
        <v>37229</v>
      </c>
      <c r="B2056" s="4" t="s">
        <v>2372</v>
      </c>
      <c r="C2056" s="4" t="s">
        <v>2296</v>
      </c>
    </row>
    <row r="2057" customFormat="false" ht="12.8" hidden="false" customHeight="false" outlineLevel="0" collapsed="false">
      <c r="A2057" s="3" t="n">
        <f aca="false">DATE(2001,12,13)</f>
        <v>37238</v>
      </c>
      <c r="B2057" s="4" t="s">
        <v>2373</v>
      </c>
      <c r="C2057" s="4" t="s">
        <v>1946</v>
      </c>
    </row>
    <row r="2058" customFormat="false" ht="12.8" hidden="false" customHeight="false" outlineLevel="0" collapsed="false">
      <c r="A2058" s="3" t="n">
        <f aca="false">DATE(2001,12,14)</f>
        <v>37239</v>
      </c>
      <c r="B2058" s="4" t="s">
        <v>2374</v>
      </c>
      <c r="C2058" s="4" t="s">
        <v>1044</v>
      </c>
    </row>
    <row r="2059" customFormat="false" ht="12.8" hidden="false" customHeight="false" outlineLevel="0" collapsed="false">
      <c r="A2059" s="3" t="n">
        <f aca="false">DATE(2001,12,19)</f>
        <v>37244</v>
      </c>
      <c r="B2059" s="4" t="s">
        <v>2375</v>
      </c>
      <c r="C2059" s="4" t="s">
        <v>2376</v>
      </c>
    </row>
    <row r="2060" customFormat="false" ht="12.8" hidden="false" customHeight="false" outlineLevel="0" collapsed="false">
      <c r="A2060" s="3" t="n">
        <f aca="false">DATE(2001,12,19)</f>
        <v>37244</v>
      </c>
      <c r="B2060" s="4" t="s">
        <v>2377</v>
      </c>
      <c r="C2060" s="4" t="s">
        <v>2378</v>
      </c>
    </row>
    <row r="2061" customFormat="false" ht="12.8" hidden="false" customHeight="false" outlineLevel="0" collapsed="false">
      <c r="A2061" s="3" t="n">
        <f aca="false">DATE(2001,12,26)</f>
        <v>37251</v>
      </c>
      <c r="B2061" s="4" t="s">
        <v>2379</v>
      </c>
      <c r="C2061" s="4" t="s">
        <v>1044</v>
      </c>
    </row>
    <row r="2062" customFormat="false" ht="12.8" hidden="false" customHeight="false" outlineLevel="0" collapsed="false">
      <c r="A2062" s="3" t="n">
        <f aca="false">DATE(2002,1,4)</f>
        <v>37260</v>
      </c>
      <c r="B2062" s="4" t="s">
        <v>636</v>
      </c>
      <c r="C2062" s="4" t="s">
        <v>830</v>
      </c>
    </row>
    <row r="2063" customFormat="false" ht="12.8" hidden="false" customHeight="false" outlineLevel="0" collapsed="false">
      <c r="A2063" s="3" t="n">
        <f aca="false">DATE(2002,1,11)</f>
        <v>37267</v>
      </c>
      <c r="B2063" s="4" t="s">
        <v>2380</v>
      </c>
      <c r="C2063" s="4" t="s">
        <v>2381</v>
      </c>
    </row>
    <row r="2064" customFormat="false" ht="12.8" hidden="false" customHeight="false" outlineLevel="0" collapsed="false">
      <c r="A2064" s="3" t="n">
        <f aca="false">DATE(2002,1,18)</f>
        <v>37274</v>
      </c>
      <c r="B2064" s="4" t="s">
        <v>2382</v>
      </c>
      <c r="C2064" s="4" t="s">
        <v>684</v>
      </c>
    </row>
    <row r="2065" customFormat="false" ht="12.8" hidden="false" customHeight="false" outlineLevel="0" collapsed="false">
      <c r="A2065" s="3" t="n">
        <f aca="false">DATE(2002,1,31)</f>
        <v>37287</v>
      </c>
      <c r="B2065" s="4" t="s">
        <v>2383</v>
      </c>
      <c r="C2065" s="4" t="s">
        <v>2282</v>
      </c>
    </row>
    <row r="2066" customFormat="false" ht="12.8" hidden="false" customHeight="false" outlineLevel="0" collapsed="false">
      <c r="A2066" s="3" t="n">
        <f aca="false">DATE(2002,2,22)</f>
        <v>37309</v>
      </c>
      <c r="B2066" s="4" t="s">
        <v>2384</v>
      </c>
      <c r="C2066" s="4" t="s">
        <v>2120</v>
      </c>
    </row>
    <row r="2067" customFormat="false" ht="12.8" hidden="false" customHeight="false" outlineLevel="0" collapsed="false">
      <c r="A2067" s="3" t="n">
        <f aca="false">DATE(2002,2,25)</f>
        <v>37312</v>
      </c>
      <c r="B2067" s="4" t="s">
        <v>2385</v>
      </c>
      <c r="C2067" s="4" t="s">
        <v>1887</v>
      </c>
    </row>
    <row r="2068" customFormat="false" ht="12.8" hidden="false" customHeight="false" outlineLevel="0" collapsed="false">
      <c r="A2068" s="3" t="n">
        <f aca="false">DATE(2002,2,27)</f>
        <v>37314</v>
      </c>
      <c r="B2068" s="4" t="s">
        <v>2386</v>
      </c>
      <c r="C2068" s="4" t="s">
        <v>2311</v>
      </c>
    </row>
    <row r="2069" customFormat="false" ht="12.8" hidden="false" customHeight="false" outlineLevel="0" collapsed="false">
      <c r="A2069" s="3" t="n">
        <f aca="false">DATE(2002,2,27)</f>
        <v>37314</v>
      </c>
      <c r="B2069" s="4" t="s">
        <v>2387</v>
      </c>
      <c r="C2069" s="4" t="s">
        <v>2388</v>
      </c>
    </row>
    <row r="2070" customFormat="false" ht="12.8" hidden="false" customHeight="false" outlineLevel="0" collapsed="false">
      <c r="A2070" s="3" t="n">
        <f aca="false">DATE(2002,3,20)</f>
        <v>37335</v>
      </c>
      <c r="B2070" s="4" t="s">
        <v>2389</v>
      </c>
      <c r="C2070" s="4" t="s">
        <v>1593</v>
      </c>
    </row>
    <row r="2071" customFormat="false" ht="12.8" hidden="false" customHeight="false" outlineLevel="0" collapsed="false">
      <c r="A2071" s="3" t="n">
        <f aca="false">DATE(2002,3,21)</f>
        <v>37336</v>
      </c>
      <c r="B2071" s="4" t="s">
        <v>2390</v>
      </c>
      <c r="C2071" s="4" t="s">
        <v>2391</v>
      </c>
    </row>
    <row r="2072" customFormat="false" ht="12.8" hidden="false" customHeight="false" outlineLevel="0" collapsed="false">
      <c r="A2072" s="3" t="n">
        <f aca="false">DATE(2002,4,1)</f>
        <v>37347</v>
      </c>
      <c r="B2072" s="4" t="s">
        <v>2392</v>
      </c>
      <c r="C2072" s="4" t="s">
        <v>1937</v>
      </c>
    </row>
    <row r="2073" customFormat="false" ht="12.8" hidden="false" customHeight="false" outlineLevel="0" collapsed="false">
      <c r="A2073" s="3" t="n">
        <f aca="false">DATE(2002,4,11)</f>
        <v>37357</v>
      </c>
      <c r="B2073" s="4" t="s">
        <v>2393</v>
      </c>
      <c r="C2073" s="4" t="s">
        <v>2311</v>
      </c>
    </row>
    <row r="2074" customFormat="false" ht="12.8" hidden="false" customHeight="false" outlineLevel="0" collapsed="false">
      <c r="A2074" s="3" t="n">
        <f aca="false">DATE(2002,4,16)</f>
        <v>37362</v>
      </c>
      <c r="B2074" s="4" t="s">
        <v>2394</v>
      </c>
      <c r="C2074" s="4" t="s">
        <v>2395</v>
      </c>
    </row>
    <row r="2075" customFormat="false" ht="12.8" hidden="false" customHeight="false" outlineLevel="0" collapsed="false">
      <c r="A2075" s="3" t="n">
        <f aca="false">DATE(2002,4,29)</f>
        <v>37375</v>
      </c>
      <c r="B2075" s="4" t="s">
        <v>2396</v>
      </c>
      <c r="C2075" s="4" t="s">
        <v>560</v>
      </c>
    </row>
    <row r="2076" customFormat="false" ht="12.8" hidden="false" customHeight="false" outlineLevel="0" collapsed="false">
      <c r="A2076" s="3" t="n">
        <f aca="false">DATE(2002,4,29)</f>
        <v>37375</v>
      </c>
      <c r="B2076" s="4" t="s">
        <v>2397</v>
      </c>
      <c r="C2076" s="4" t="s">
        <v>784</v>
      </c>
    </row>
    <row r="2077" customFormat="false" ht="12.8" hidden="false" customHeight="false" outlineLevel="0" collapsed="false">
      <c r="A2077" s="3" t="n">
        <f aca="false">DATE(2002,5,1)</f>
        <v>37377</v>
      </c>
      <c r="B2077" s="4" t="s">
        <v>2398</v>
      </c>
      <c r="C2077" s="4" t="s">
        <v>2399</v>
      </c>
    </row>
    <row r="2078" customFormat="false" ht="12.8" hidden="false" customHeight="false" outlineLevel="0" collapsed="false">
      <c r="A2078" s="3" t="n">
        <f aca="false">DATE(2002,5,2)</f>
        <v>37378</v>
      </c>
      <c r="B2078" s="4" t="s">
        <v>2400</v>
      </c>
      <c r="C2078" s="4" t="s">
        <v>2120</v>
      </c>
    </row>
    <row r="2079" customFormat="false" ht="12.8" hidden="false" customHeight="false" outlineLevel="0" collapsed="false">
      <c r="A2079" s="3" t="n">
        <f aca="false">DATE(2002,5,7)</f>
        <v>37383</v>
      </c>
      <c r="B2079" s="4" t="s">
        <v>2280</v>
      </c>
      <c r="C2079" s="4" t="s">
        <v>2045</v>
      </c>
    </row>
    <row r="2080" customFormat="false" ht="12.8" hidden="false" customHeight="false" outlineLevel="0" collapsed="false">
      <c r="A2080" s="3" t="n">
        <f aca="false">DATE(2002,5,14)</f>
        <v>37390</v>
      </c>
      <c r="B2080" s="4" t="s">
        <v>2401</v>
      </c>
      <c r="C2080" s="4" t="s">
        <v>784</v>
      </c>
    </row>
    <row r="2081" customFormat="false" ht="12.8" hidden="false" customHeight="false" outlineLevel="0" collapsed="false">
      <c r="A2081" s="3" t="n">
        <f aca="false">DATE(2002,5,16)</f>
        <v>37392</v>
      </c>
      <c r="B2081" s="4" t="s">
        <v>371</v>
      </c>
      <c r="C2081" s="4" t="s">
        <v>2402</v>
      </c>
    </row>
    <row r="2082" customFormat="false" ht="12.8" hidden="false" customHeight="false" outlineLevel="0" collapsed="false">
      <c r="A2082" s="3" t="n">
        <f aca="false">DATE(2002,5,17)</f>
        <v>37393</v>
      </c>
      <c r="B2082" s="4" t="s">
        <v>2403</v>
      </c>
      <c r="C2082" s="4" t="s">
        <v>1937</v>
      </c>
    </row>
    <row r="2083" customFormat="false" ht="12.8" hidden="false" customHeight="false" outlineLevel="0" collapsed="false">
      <c r="A2083" s="3" t="n">
        <f aca="false">DATE(2002,5,22)</f>
        <v>37398</v>
      </c>
      <c r="B2083" s="4" t="s">
        <v>2404</v>
      </c>
      <c r="C2083" s="4" t="s">
        <v>953</v>
      </c>
    </row>
    <row r="2084" customFormat="false" ht="12.8" hidden="false" customHeight="false" outlineLevel="0" collapsed="false">
      <c r="A2084" s="3" t="n">
        <f aca="false">DATE(2002,5,22)</f>
        <v>37398</v>
      </c>
      <c r="B2084" s="4" t="s">
        <v>2405</v>
      </c>
      <c r="C2084" s="4" t="s">
        <v>2225</v>
      </c>
    </row>
    <row r="2085" customFormat="false" ht="12.8" hidden="false" customHeight="false" outlineLevel="0" collapsed="false">
      <c r="A2085" s="3" t="n">
        <f aca="false">DATE(2002,5,23)</f>
        <v>37399</v>
      </c>
      <c r="B2085" s="4" t="s">
        <v>2406</v>
      </c>
      <c r="C2085" s="4" t="s">
        <v>1273</v>
      </c>
    </row>
    <row r="2086" customFormat="false" ht="12.8" hidden="false" customHeight="false" outlineLevel="0" collapsed="false">
      <c r="A2086" s="3" t="n">
        <f aca="false">DATE(2002,5,28)</f>
        <v>37404</v>
      </c>
      <c r="B2086" s="4" t="s">
        <v>2407</v>
      </c>
      <c r="C2086" s="4" t="s">
        <v>955</v>
      </c>
    </row>
    <row r="2087" customFormat="false" ht="12.8" hidden="false" customHeight="false" outlineLevel="0" collapsed="false">
      <c r="A2087" s="3" t="n">
        <f aca="false">DATE(2002,5,31)</f>
        <v>37407</v>
      </c>
      <c r="B2087" s="4" t="s">
        <v>2408</v>
      </c>
      <c r="C2087" s="4" t="s">
        <v>2409</v>
      </c>
    </row>
    <row r="2088" customFormat="false" ht="12.8" hidden="false" customHeight="false" outlineLevel="0" collapsed="false">
      <c r="A2088" s="3" t="n">
        <f aca="false">DATE(2002,5,31)</f>
        <v>37407</v>
      </c>
      <c r="B2088" s="4" t="s">
        <v>2410</v>
      </c>
      <c r="C2088" s="4" t="s">
        <v>2343</v>
      </c>
    </row>
    <row r="2089" customFormat="false" ht="12.8" hidden="false" customHeight="false" outlineLevel="0" collapsed="false">
      <c r="A2089" s="3" t="n">
        <f aca="false">DATE(2002,6,3)</f>
        <v>37410</v>
      </c>
      <c r="B2089" s="4" t="s">
        <v>2411</v>
      </c>
      <c r="C2089" s="4" t="s">
        <v>2274</v>
      </c>
    </row>
    <row r="2090" customFormat="false" ht="12.8" hidden="false" customHeight="false" outlineLevel="0" collapsed="false">
      <c r="A2090" s="3" t="n">
        <f aca="false">DATE(2002,6,4)</f>
        <v>37411</v>
      </c>
      <c r="B2090" s="4" t="s">
        <v>2412</v>
      </c>
      <c r="C2090" s="4" t="s">
        <v>2413</v>
      </c>
    </row>
    <row r="2091" customFormat="false" ht="12.8" hidden="false" customHeight="false" outlineLevel="0" collapsed="false">
      <c r="A2091" s="3" t="n">
        <f aca="false">DATE(2002,6,17)</f>
        <v>37424</v>
      </c>
      <c r="B2091" s="4" t="s">
        <v>2414</v>
      </c>
      <c r="C2091" s="4" t="s">
        <v>2296</v>
      </c>
    </row>
    <row r="2092" customFormat="false" ht="12.8" hidden="false" customHeight="false" outlineLevel="0" collapsed="false">
      <c r="A2092" s="3" t="n">
        <f aca="false">DATE(2002,6,21)</f>
        <v>37428</v>
      </c>
      <c r="B2092" s="4" t="s">
        <v>2415</v>
      </c>
      <c r="C2092" s="4" t="s">
        <v>2343</v>
      </c>
    </row>
    <row r="2093" customFormat="false" ht="12.8" hidden="false" customHeight="false" outlineLevel="0" collapsed="false">
      <c r="A2093" s="3" t="n">
        <f aca="false">DATE(2002,7,2)</f>
        <v>37439</v>
      </c>
      <c r="B2093" s="4" t="s">
        <v>2416</v>
      </c>
      <c r="C2093" s="4" t="s">
        <v>1740</v>
      </c>
    </row>
    <row r="2094" customFormat="false" ht="12.8" hidden="false" customHeight="false" outlineLevel="0" collapsed="false">
      <c r="A2094" s="3" t="n">
        <f aca="false">DATE(2002,7,4)</f>
        <v>37441</v>
      </c>
      <c r="B2094" s="4" t="s">
        <v>2417</v>
      </c>
      <c r="C2094" s="4" t="s">
        <v>2418</v>
      </c>
    </row>
    <row r="2095" customFormat="false" ht="12.8" hidden="false" customHeight="false" outlineLevel="0" collapsed="false">
      <c r="A2095" s="3" t="n">
        <f aca="false">DATE(2002,7,10)</f>
        <v>37447</v>
      </c>
      <c r="B2095" s="4" t="s">
        <v>2419</v>
      </c>
      <c r="C2095" s="4" t="s">
        <v>2420</v>
      </c>
    </row>
    <row r="2096" customFormat="false" ht="12.8" hidden="false" customHeight="false" outlineLevel="0" collapsed="false">
      <c r="A2096" s="3" t="n">
        <f aca="false">DATE(2002,7,15)</f>
        <v>37452</v>
      </c>
      <c r="B2096" s="4" t="s">
        <v>2421</v>
      </c>
      <c r="C2096" s="4" t="s">
        <v>2120</v>
      </c>
    </row>
    <row r="2097" customFormat="false" ht="12.8" hidden="false" customHeight="false" outlineLevel="0" collapsed="false">
      <c r="A2097" s="3" t="n">
        <f aca="false">DATE(2002,7,16)</f>
        <v>37453</v>
      </c>
      <c r="B2097" s="4" t="s">
        <v>2422</v>
      </c>
      <c r="C2097" s="4" t="s">
        <v>1019</v>
      </c>
    </row>
    <row r="2098" customFormat="false" ht="12.8" hidden="false" customHeight="false" outlineLevel="0" collapsed="false">
      <c r="A2098" s="3" t="n">
        <f aca="false">DATE(2002,7,17)</f>
        <v>37454</v>
      </c>
      <c r="B2098" s="4" t="s">
        <v>2423</v>
      </c>
      <c r="C2098" s="4" t="s">
        <v>1774</v>
      </c>
    </row>
    <row r="2099" customFormat="false" ht="12.8" hidden="false" customHeight="false" outlineLevel="0" collapsed="false">
      <c r="A2099" s="3" t="n">
        <f aca="false">DATE(2002,7,22)</f>
        <v>37459</v>
      </c>
      <c r="B2099" s="4" t="s">
        <v>2424</v>
      </c>
      <c r="C2099" s="4" t="s">
        <v>2425</v>
      </c>
    </row>
    <row r="2100" customFormat="false" ht="12.8" hidden="false" customHeight="false" outlineLevel="0" collapsed="false">
      <c r="A2100" s="3" t="n">
        <f aca="false">DATE(2002,7,23)</f>
        <v>37460</v>
      </c>
      <c r="B2100" s="4" t="s">
        <v>2426</v>
      </c>
      <c r="C2100" s="4" t="s">
        <v>1654</v>
      </c>
    </row>
    <row r="2101" customFormat="false" ht="12.8" hidden="false" customHeight="false" outlineLevel="0" collapsed="false">
      <c r="A2101" s="3" t="n">
        <f aca="false">DATE(2002,7,23)</f>
        <v>37460</v>
      </c>
      <c r="B2101" s="4" t="s">
        <v>2427</v>
      </c>
      <c r="C2101" s="4" t="s">
        <v>105</v>
      </c>
    </row>
    <row r="2102" customFormat="false" ht="12.8" hidden="false" customHeight="false" outlineLevel="0" collapsed="false">
      <c r="A2102" s="3" t="n">
        <f aca="false">DATE(2002,7,23)</f>
        <v>37460</v>
      </c>
      <c r="B2102" s="4" t="s">
        <v>2428</v>
      </c>
      <c r="C2102" s="4" t="s">
        <v>2343</v>
      </c>
    </row>
    <row r="2103" customFormat="false" ht="12.8" hidden="false" customHeight="false" outlineLevel="0" collapsed="false">
      <c r="A2103" s="3" t="n">
        <f aca="false">DATE(2002,8,6)</f>
        <v>37474</v>
      </c>
      <c r="B2103" s="4" t="s">
        <v>2429</v>
      </c>
      <c r="C2103" s="4" t="s">
        <v>752</v>
      </c>
    </row>
    <row r="2104" customFormat="false" ht="12.8" hidden="false" customHeight="false" outlineLevel="0" collapsed="false">
      <c r="A2104" s="3" t="n">
        <f aca="false">DATE(2002,8,6)</f>
        <v>37474</v>
      </c>
      <c r="B2104" s="4" t="s">
        <v>2430</v>
      </c>
      <c r="C2104" s="4" t="s">
        <v>2376</v>
      </c>
    </row>
    <row r="2105" customFormat="false" ht="12.8" hidden="false" customHeight="false" outlineLevel="0" collapsed="false">
      <c r="A2105" s="3" t="n">
        <f aca="false">DATE(2002,8,8)</f>
        <v>37476</v>
      </c>
      <c r="B2105" s="4" t="s">
        <v>2431</v>
      </c>
      <c r="C2105" s="4" t="s">
        <v>2311</v>
      </c>
    </row>
    <row r="2106" customFormat="false" ht="12.8" hidden="false" customHeight="false" outlineLevel="0" collapsed="false">
      <c r="A2106" s="3" t="n">
        <f aca="false">DATE(2002,8,14)</f>
        <v>37482</v>
      </c>
      <c r="B2106" s="4" t="s">
        <v>2432</v>
      </c>
      <c r="C2106" s="4" t="s">
        <v>2433</v>
      </c>
    </row>
    <row r="2107" customFormat="false" ht="12.8" hidden="false" customHeight="false" outlineLevel="0" collapsed="false">
      <c r="A2107" s="3" t="n">
        <f aca="false">DATE(2002,8,15)</f>
        <v>37483</v>
      </c>
      <c r="B2107" s="4" t="s">
        <v>1207</v>
      </c>
      <c r="C2107" s="4" t="s">
        <v>2120</v>
      </c>
    </row>
    <row r="2108" customFormat="false" ht="12.8" hidden="false" customHeight="false" outlineLevel="0" collapsed="false">
      <c r="A2108" s="3" t="n">
        <f aca="false">DATE(2002,8,28)</f>
        <v>37496</v>
      </c>
      <c r="B2108" s="4" t="s">
        <v>2434</v>
      </c>
      <c r="C2108" s="4" t="s">
        <v>634</v>
      </c>
    </row>
    <row r="2109" customFormat="false" ht="12.8" hidden="false" customHeight="false" outlineLevel="0" collapsed="false">
      <c r="A2109" s="3" t="n">
        <f aca="false">DATE(2002,9,4)</f>
        <v>37503</v>
      </c>
      <c r="B2109" s="4" t="s">
        <v>2435</v>
      </c>
      <c r="C2109" s="4" t="s">
        <v>248</v>
      </c>
    </row>
    <row r="2110" customFormat="false" ht="12.8" hidden="false" customHeight="false" outlineLevel="0" collapsed="false">
      <c r="A2110" s="3" t="n">
        <f aca="false">DATE(2002,9,18)</f>
        <v>37517</v>
      </c>
      <c r="B2110" s="4" t="s">
        <v>2436</v>
      </c>
      <c r="C2110" s="4" t="s">
        <v>1042</v>
      </c>
    </row>
    <row r="2111" customFormat="false" ht="12.8" hidden="false" customHeight="false" outlineLevel="0" collapsed="false">
      <c r="A2111" s="3" t="n">
        <f aca="false">DATE(2002,9,20)</f>
        <v>37519</v>
      </c>
      <c r="B2111" s="4" t="s">
        <v>2437</v>
      </c>
      <c r="C2111" s="4" t="s">
        <v>784</v>
      </c>
    </row>
    <row r="2112" customFormat="false" ht="12.8" hidden="false" customHeight="false" outlineLevel="0" collapsed="false">
      <c r="A2112" s="3" t="n">
        <f aca="false">DATE(2002,9,23)</f>
        <v>37522</v>
      </c>
      <c r="B2112" s="4" t="s">
        <v>2438</v>
      </c>
      <c r="C2112" s="4" t="s">
        <v>2439</v>
      </c>
    </row>
    <row r="2113" customFormat="false" ht="12.8" hidden="false" customHeight="false" outlineLevel="0" collapsed="false">
      <c r="A2113" s="3" t="n">
        <f aca="false">DATE(2002,9,24)</f>
        <v>37523</v>
      </c>
      <c r="B2113" s="4" t="s">
        <v>2440</v>
      </c>
      <c r="C2113" s="4" t="s">
        <v>931</v>
      </c>
    </row>
    <row r="2114" customFormat="false" ht="12.8" hidden="false" customHeight="false" outlineLevel="0" collapsed="false">
      <c r="A2114" s="3" t="n">
        <f aca="false">DATE(2002,9,25)</f>
        <v>37524</v>
      </c>
      <c r="B2114" s="4" t="s">
        <v>1484</v>
      </c>
      <c r="C2114" s="4" t="s">
        <v>1152</v>
      </c>
    </row>
    <row r="2115" customFormat="false" ht="12.8" hidden="false" customHeight="false" outlineLevel="0" collapsed="false">
      <c r="A2115" s="3" t="n">
        <f aca="false">DATE(2002,9,25)</f>
        <v>37524</v>
      </c>
      <c r="B2115" s="4" t="s">
        <v>2255</v>
      </c>
      <c r="C2115" s="4" t="s">
        <v>560</v>
      </c>
    </row>
    <row r="2116" customFormat="false" ht="12.8" hidden="false" customHeight="false" outlineLevel="0" collapsed="false">
      <c r="A2116" s="3" t="n">
        <f aca="false">DATE(2002,9,26)</f>
        <v>37525</v>
      </c>
      <c r="B2116" s="4" t="s">
        <v>2441</v>
      </c>
      <c r="C2116" s="4" t="s">
        <v>2043</v>
      </c>
    </row>
    <row r="2117" customFormat="false" ht="12.8" hidden="false" customHeight="false" outlineLevel="0" collapsed="false">
      <c r="A2117" s="3" t="n">
        <f aca="false">DATE(2002,10,3)</f>
        <v>37532</v>
      </c>
      <c r="B2117" s="4" t="s">
        <v>2442</v>
      </c>
      <c r="C2117" s="4" t="s">
        <v>2391</v>
      </c>
    </row>
    <row r="2118" customFormat="false" ht="12.8" hidden="false" customHeight="false" outlineLevel="0" collapsed="false">
      <c r="A2118" s="3" t="n">
        <f aca="false">DATE(2002,10,7)</f>
        <v>37536</v>
      </c>
      <c r="B2118" s="4" t="s">
        <v>2443</v>
      </c>
      <c r="C2118" s="4" t="s">
        <v>1010</v>
      </c>
    </row>
    <row r="2119" customFormat="false" ht="12.8" hidden="false" customHeight="false" outlineLevel="0" collapsed="false">
      <c r="A2119" s="3" t="n">
        <f aca="false">DATE(2002,10,10)</f>
        <v>37539</v>
      </c>
      <c r="B2119" s="4" t="s">
        <v>137</v>
      </c>
      <c r="C2119" s="4" t="s">
        <v>1740</v>
      </c>
    </row>
    <row r="2120" customFormat="false" ht="12.8" hidden="false" customHeight="false" outlineLevel="0" collapsed="false">
      <c r="A2120" s="3" t="n">
        <f aca="false">DATE(2002,10,14)</f>
        <v>37543</v>
      </c>
      <c r="B2120" s="4" t="s">
        <v>2444</v>
      </c>
      <c r="C2120" s="4" t="s">
        <v>2445</v>
      </c>
    </row>
    <row r="2121" customFormat="false" ht="12.8" hidden="false" customHeight="false" outlineLevel="0" collapsed="false">
      <c r="A2121" s="3" t="n">
        <f aca="false">DATE(2002,10,21)</f>
        <v>37550</v>
      </c>
      <c r="B2121" s="4" t="s">
        <v>2446</v>
      </c>
      <c r="C2121" s="4" t="s">
        <v>2447</v>
      </c>
    </row>
    <row r="2122" customFormat="false" ht="12.8" hidden="false" customHeight="false" outlineLevel="0" collapsed="false">
      <c r="A2122" s="3" t="n">
        <f aca="false">DATE(2002,11,1)</f>
        <v>37561</v>
      </c>
      <c r="B2122" s="4" t="s">
        <v>2448</v>
      </c>
      <c r="C2122" s="4" t="s">
        <v>2425</v>
      </c>
    </row>
    <row r="2123" customFormat="false" ht="12.8" hidden="false" customHeight="false" outlineLevel="0" collapsed="false">
      <c r="A2123" s="3" t="n">
        <f aca="false">DATE(2002,11,18)</f>
        <v>37578</v>
      </c>
      <c r="B2123" s="4" t="s">
        <v>2449</v>
      </c>
      <c r="C2123" s="4" t="s">
        <v>2450</v>
      </c>
    </row>
    <row r="2124" customFormat="false" ht="12.8" hidden="false" customHeight="false" outlineLevel="0" collapsed="false">
      <c r="A2124" s="3" t="n">
        <f aca="false">DATE(2002,11,20)</f>
        <v>37580</v>
      </c>
      <c r="B2124" s="4" t="s">
        <v>2451</v>
      </c>
      <c r="C2124" s="4" t="s">
        <v>2452</v>
      </c>
    </row>
    <row r="2125" customFormat="false" ht="12.8" hidden="false" customHeight="false" outlineLevel="0" collapsed="false">
      <c r="A2125" s="3" t="n">
        <f aca="false">DATE(2002,12,2)</f>
        <v>37592</v>
      </c>
      <c r="B2125" s="4" t="s">
        <v>2453</v>
      </c>
      <c r="C2125" s="4" t="s">
        <v>830</v>
      </c>
    </row>
    <row r="2126" customFormat="false" ht="12.8" hidden="false" customHeight="false" outlineLevel="0" collapsed="false">
      <c r="A2126" s="3" t="n">
        <f aca="false">DATE(2002,12,12)</f>
        <v>37602</v>
      </c>
      <c r="B2126" s="4" t="s">
        <v>2454</v>
      </c>
      <c r="C2126" s="4" t="s">
        <v>2455</v>
      </c>
    </row>
    <row r="2127" customFormat="false" ht="12.8" hidden="false" customHeight="false" outlineLevel="0" collapsed="false">
      <c r="A2127" s="3" t="n">
        <f aca="false">DATE(2002,12,18)</f>
        <v>37608</v>
      </c>
      <c r="B2127" s="4" t="s">
        <v>2456</v>
      </c>
      <c r="C2127" s="4" t="s">
        <v>1541</v>
      </c>
    </row>
    <row r="2128" customFormat="false" ht="12.8" hidden="false" customHeight="false" outlineLevel="0" collapsed="false">
      <c r="A2128" s="3" t="n">
        <f aca="false">DATE(2003,1,6)</f>
        <v>37627</v>
      </c>
      <c r="B2128" s="4" t="s">
        <v>2457</v>
      </c>
      <c r="C2128" s="4" t="s">
        <v>2070</v>
      </c>
    </row>
    <row r="2129" customFormat="false" ht="12.8" hidden="false" customHeight="false" outlineLevel="0" collapsed="false">
      <c r="A2129" s="3" t="n">
        <f aca="false">DATE(2003,1,8)</f>
        <v>37629</v>
      </c>
      <c r="B2129" s="4" t="s">
        <v>2458</v>
      </c>
      <c r="C2129" s="4" t="s">
        <v>1114</v>
      </c>
    </row>
    <row r="2130" customFormat="false" ht="12.8" hidden="false" customHeight="false" outlineLevel="0" collapsed="false">
      <c r="A2130" s="3" t="n">
        <f aca="false">DATE(2003,1,10)</f>
        <v>37631</v>
      </c>
      <c r="B2130" s="4" t="s">
        <v>2459</v>
      </c>
      <c r="C2130" s="4" t="s">
        <v>2460</v>
      </c>
    </row>
    <row r="2131" customFormat="false" ht="12.8" hidden="false" customHeight="false" outlineLevel="0" collapsed="false">
      <c r="A2131" s="3" t="n">
        <f aca="false">DATE(2003,1,16)</f>
        <v>37637</v>
      </c>
      <c r="B2131" s="4" t="s">
        <v>2461</v>
      </c>
      <c r="C2131" s="4" t="s">
        <v>381</v>
      </c>
    </row>
    <row r="2132" customFormat="false" ht="12.8" hidden="false" customHeight="false" outlineLevel="0" collapsed="false">
      <c r="A2132" s="3" t="n">
        <f aca="false">DATE(2003,1,21)</f>
        <v>37642</v>
      </c>
      <c r="B2132" s="4" t="s">
        <v>20</v>
      </c>
      <c r="C2132" s="4" t="s">
        <v>2066</v>
      </c>
    </row>
    <row r="2133" customFormat="false" ht="12.8" hidden="false" customHeight="false" outlineLevel="0" collapsed="false">
      <c r="A2133" s="3" t="n">
        <f aca="false">DATE(2003,1,29)</f>
        <v>37650</v>
      </c>
      <c r="B2133" s="4" t="s">
        <v>2462</v>
      </c>
      <c r="C2133" s="4" t="s">
        <v>1341</v>
      </c>
    </row>
    <row r="2134" customFormat="false" ht="12.8" hidden="false" customHeight="false" outlineLevel="0" collapsed="false">
      <c r="A2134" s="3" t="n">
        <f aca="false">DATE(2003,2,3)</f>
        <v>37655</v>
      </c>
      <c r="B2134" s="4" t="s">
        <v>2463</v>
      </c>
      <c r="C2134" s="4" t="s">
        <v>2120</v>
      </c>
    </row>
    <row r="2135" customFormat="false" ht="12.8" hidden="false" customHeight="false" outlineLevel="0" collapsed="false">
      <c r="A2135" s="3" t="n">
        <f aca="false">DATE(2003,2,13)</f>
        <v>37665</v>
      </c>
      <c r="B2135" s="4" t="s">
        <v>2464</v>
      </c>
      <c r="C2135" s="4" t="s">
        <v>883</v>
      </c>
    </row>
    <row r="2136" customFormat="false" ht="12.8" hidden="false" customHeight="false" outlineLevel="0" collapsed="false">
      <c r="A2136" s="3" t="n">
        <f aca="false">DATE(2003,3,5)</f>
        <v>37685</v>
      </c>
      <c r="B2136" s="4" t="s">
        <v>2465</v>
      </c>
      <c r="C2136" s="4" t="s">
        <v>2120</v>
      </c>
    </row>
    <row r="2137" customFormat="false" ht="12.8" hidden="false" customHeight="false" outlineLevel="0" collapsed="false">
      <c r="A2137" s="3" t="n">
        <f aca="false">DATE(2003,3,10)</f>
        <v>37690</v>
      </c>
      <c r="B2137" s="4" t="s">
        <v>2466</v>
      </c>
      <c r="C2137" s="4" t="s">
        <v>1662</v>
      </c>
    </row>
    <row r="2138" customFormat="false" ht="12.8" hidden="false" customHeight="false" outlineLevel="0" collapsed="false">
      <c r="A2138" s="3" t="n">
        <f aca="false">DATE(2003,3,11)</f>
        <v>37691</v>
      </c>
      <c r="B2138" s="4" t="s">
        <v>2467</v>
      </c>
      <c r="C2138" s="4" t="s">
        <v>1796</v>
      </c>
    </row>
    <row r="2139" customFormat="false" ht="12.8" hidden="false" customHeight="false" outlineLevel="0" collapsed="false">
      <c r="A2139" s="3" t="n">
        <f aca="false">DATE(2003,3,13)</f>
        <v>37693</v>
      </c>
      <c r="B2139" s="4" t="s">
        <v>2468</v>
      </c>
      <c r="C2139" s="4" t="s">
        <v>1937</v>
      </c>
    </row>
    <row r="2140" customFormat="false" ht="12.8" hidden="false" customHeight="false" outlineLevel="0" collapsed="false">
      <c r="A2140" s="3" t="n">
        <f aca="false">DATE(2003,3,13)</f>
        <v>37693</v>
      </c>
      <c r="B2140" s="4" t="s">
        <v>1490</v>
      </c>
      <c r="C2140" s="4" t="s">
        <v>309</v>
      </c>
    </row>
    <row r="2141" customFormat="false" ht="12.8" hidden="false" customHeight="false" outlineLevel="0" collapsed="false">
      <c r="A2141" s="3" t="n">
        <f aca="false">DATE(2003,3,31)</f>
        <v>37711</v>
      </c>
      <c r="B2141" s="4" t="s">
        <v>2469</v>
      </c>
      <c r="C2141" s="4" t="s">
        <v>1751</v>
      </c>
    </row>
    <row r="2142" customFormat="false" ht="12.8" hidden="false" customHeight="false" outlineLevel="0" collapsed="false">
      <c r="A2142" s="3" t="n">
        <f aca="false">DATE(2003,4,3)</f>
        <v>37714</v>
      </c>
      <c r="B2142" s="4" t="s">
        <v>2470</v>
      </c>
      <c r="C2142" s="4" t="s">
        <v>2418</v>
      </c>
    </row>
    <row r="2143" customFormat="false" ht="12.8" hidden="false" customHeight="false" outlineLevel="0" collapsed="false">
      <c r="A2143" s="3" t="n">
        <f aca="false">DATE(2003,4,7)</f>
        <v>37718</v>
      </c>
      <c r="B2143" s="4" t="s">
        <v>2471</v>
      </c>
      <c r="C2143" s="4" t="s">
        <v>2376</v>
      </c>
    </row>
    <row r="2144" customFormat="false" ht="12.8" hidden="false" customHeight="false" outlineLevel="0" collapsed="false">
      <c r="A2144" s="3" t="n">
        <f aca="false">DATE(2003,4,7)</f>
        <v>37718</v>
      </c>
      <c r="B2144" s="4" t="s">
        <v>2472</v>
      </c>
      <c r="C2144" s="4" t="s">
        <v>367</v>
      </c>
    </row>
    <row r="2145" customFormat="false" ht="12.8" hidden="false" customHeight="false" outlineLevel="0" collapsed="false">
      <c r="A2145" s="3" t="n">
        <f aca="false">DATE(2003,4,16)</f>
        <v>37727</v>
      </c>
      <c r="B2145" s="4" t="s">
        <v>2473</v>
      </c>
      <c r="C2145" s="4" t="s">
        <v>2474</v>
      </c>
    </row>
    <row r="2146" customFormat="false" ht="12.8" hidden="false" customHeight="false" outlineLevel="0" collapsed="false">
      <c r="A2146" s="3" t="n">
        <f aca="false">DATE(2003,4,24)</f>
        <v>37735</v>
      </c>
      <c r="B2146" s="4" t="s">
        <v>2475</v>
      </c>
      <c r="C2146" s="4" t="s">
        <v>726</v>
      </c>
    </row>
    <row r="2147" customFormat="false" ht="12.8" hidden="false" customHeight="false" outlineLevel="0" collapsed="false">
      <c r="A2147" s="3" t="n">
        <f aca="false">DATE(2003,4,24)</f>
        <v>37735</v>
      </c>
      <c r="B2147" s="4" t="s">
        <v>2476</v>
      </c>
      <c r="C2147" s="4" t="s">
        <v>2274</v>
      </c>
    </row>
    <row r="2148" customFormat="false" ht="12.8" hidden="false" customHeight="false" outlineLevel="0" collapsed="false">
      <c r="A2148" s="3" t="n">
        <f aca="false">DATE(2003,4,24)</f>
        <v>37735</v>
      </c>
      <c r="B2148" s="4" t="s">
        <v>2477</v>
      </c>
      <c r="C2148" s="4" t="s">
        <v>2274</v>
      </c>
    </row>
    <row r="2149" customFormat="false" ht="12.8" hidden="false" customHeight="false" outlineLevel="0" collapsed="false">
      <c r="A2149" s="3" t="n">
        <f aca="false">DATE(2003,4,25)</f>
        <v>37736</v>
      </c>
      <c r="B2149" s="4" t="s">
        <v>2478</v>
      </c>
      <c r="C2149" s="4" t="s">
        <v>2479</v>
      </c>
    </row>
    <row r="2150" customFormat="false" ht="12.8" hidden="false" customHeight="false" outlineLevel="0" collapsed="false">
      <c r="A2150" s="3" t="n">
        <f aca="false">DATE(2003,5,7)</f>
        <v>37748</v>
      </c>
      <c r="B2150" s="4" t="s">
        <v>1072</v>
      </c>
      <c r="C2150" s="4" t="s">
        <v>1513</v>
      </c>
    </row>
    <row r="2151" customFormat="false" ht="12.8" hidden="false" customHeight="false" outlineLevel="0" collapsed="false">
      <c r="A2151" s="3" t="n">
        <f aca="false">DATE(2003,5,7)</f>
        <v>37748</v>
      </c>
      <c r="B2151" s="4" t="s">
        <v>2480</v>
      </c>
      <c r="C2151" s="4" t="s">
        <v>1269</v>
      </c>
    </row>
    <row r="2152" customFormat="false" ht="12.8" hidden="false" customHeight="false" outlineLevel="0" collapsed="false">
      <c r="A2152" s="3" t="n">
        <f aca="false">DATE(2003,5,12)</f>
        <v>37753</v>
      </c>
      <c r="B2152" s="4" t="s">
        <v>2481</v>
      </c>
      <c r="C2152" s="4" t="s">
        <v>684</v>
      </c>
    </row>
    <row r="2153" customFormat="false" ht="12.8" hidden="false" customHeight="false" outlineLevel="0" collapsed="false">
      <c r="A2153" s="3" t="n">
        <f aca="false">DATE(2003,5,14)</f>
        <v>37755</v>
      </c>
      <c r="B2153" s="4" t="s">
        <v>2343</v>
      </c>
      <c r="C2153" s="4" t="s">
        <v>2391</v>
      </c>
    </row>
    <row r="2154" customFormat="false" ht="12.8" hidden="false" customHeight="false" outlineLevel="0" collapsed="false">
      <c r="A2154" s="3" t="n">
        <f aca="false">DATE(2003,5,28)</f>
        <v>37769</v>
      </c>
      <c r="B2154" s="4" t="s">
        <v>2482</v>
      </c>
      <c r="C2154" s="4" t="s">
        <v>2483</v>
      </c>
    </row>
    <row r="2155" customFormat="false" ht="12.8" hidden="false" customHeight="false" outlineLevel="0" collapsed="false">
      <c r="A2155" s="3" t="n">
        <f aca="false">DATE(2003,5,28)</f>
        <v>37769</v>
      </c>
      <c r="B2155" s="4" t="s">
        <v>2484</v>
      </c>
      <c r="C2155" s="4" t="s">
        <v>2485</v>
      </c>
    </row>
    <row r="2156" customFormat="false" ht="12.8" hidden="false" customHeight="false" outlineLevel="0" collapsed="false">
      <c r="A2156" s="3" t="n">
        <f aca="false">DATE(2003,6,9)</f>
        <v>37781</v>
      </c>
      <c r="B2156" s="4" t="s">
        <v>2486</v>
      </c>
      <c r="C2156" s="4" t="s">
        <v>1269</v>
      </c>
    </row>
    <row r="2157" customFormat="false" ht="12.8" hidden="false" customHeight="false" outlineLevel="0" collapsed="false">
      <c r="A2157" s="3" t="n">
        <f aca="false">DATE(2003,6,11)</f>
        <v>37783</v>
      </c>
      <c r="B2157" s="4" t="s">
        <v>2487</v>
      </c>
      <c r="C2157" s="4" t="s">
        <v>2488</v>
      </c>
    </row>
    <row r="2158" customFormat="false" ht="12.8" hidden="false" customHeight="false" outlineLevel="0" collapsed="false">
      <c r="A2158" s="3" t="n">
        <f aca="false">DATE(2003,6,18)</f>
        <v>37790</v>
      </c>
      <c r="B2158" s="4" t="s">
        <v>2489</v>
      </c>
      <c r="C2158" s="4" t="s">
        <v>369</v>
      </c>
    </row>
    <row r="2159" customFormat="false" ht="12.8" hidden="false" customHeight="false" outlineLevel="0" collapsed="false">
      <c r="A2159" s="3" t="n">
        <f aca="false">DATE(2003,6,20)</f>
        <v>37792</v>
      </c>
      <c r="B2159" s="4" t="s">
        <v>2490</v>
      </c>
      <c r="C2159" s="4" t="s">
        <v>702</v>
      </c>
    </row>
    <row r="2160" customFormat="false" ht="12.8" hidden="false" customHeight="false" outlineLevel="0" collapsed="false">
      <c r="A2160" s="3" t="n">
        <f aca="false">DATE(2003,6,26)</f>
        <v>37798</v>
      </c>
      <c r="B2160" s="4" t="s">
        <v>2491</v>
      </c>
      <c r="C2160" s="4" t="s">
        <v>955</v>
      </c>
    </row>
    <row r="2161" customFormat="false" ht="12.8" hidden="false" customHeight="false" outlineLevel="0" collapsed="false">
      <c r="A2161" s="3" t="n">
        <f aca="false">DATE(2003,7,2)</f>
        <v>37804</v>
      </c>
      <c r="B2161" s="4" t="s">
        <v>2492</v>
      </c>
      <c r="C2161" s="4" t="s">
        <v>2493</v>
      </c>
    </row>
    <row r="2162" customFormat="false" ht="12.8" hidden="false" customHeight="false" outlineLevel="0" collapsed="false">
      <c r="A2162" s="3" t="n">
        <f aca="false">DATE(2003,7,10)</f>
        <v>37812</v>
      </c>
      <c r="B2162" s="4" t="s">
        <v>2494</v>
      </c>
      <c r="C2162" s="4" t="s">
        <v>849</v>
      </c>
    </row>
    <row r="2163" customFormat="false" ht="12.8" hidden="false" customHeight="false" outlineLevel="0" collapsed="false">
      <c r="A2163" s="3" t="n">
        <f aca="false">DATE(2003,7,10)</f>
        <v>37812</v>
      </c>
      <c r="B2163" s="4" t="s">
        <v>2495</v>
      </c>
      <c r="C2163" s="4" t="s">
        <v>2322</v>
      </c>
    </row>
    <row r="2164" customFormat="false" ht="12.8" hidden="false" customHeight="false" outlineLevel="0" collapsed="false">
      <c r="A2164" s="3" t="n">
        <f aca="false">DATE(2003,7,16)</f>
        <v>37818</v>
      </c>
      <c r="B2164" s="4" t="s">
        <v>2038</v>
      </c>
      <c r="C2164" s="4" t="s">
        <v>2045</v>
      </c>
    </row>
    <row r="2165" customFormat="false" ht="12.8" hidden="false" customHeight="false" outlineLevel="0" collapsed="false">
      <c r="A2165" s="3" t="n">
        <f aca="false">DATE(2003,7,21)</f>
        <v>37823</v>
      </c>
      <c r="B2165" s="4" t="s">
        <v>2496</v>
      </c>
      <c r="C2165" s="4" t="s">
        <v>2120</v>
      </c>
    </row>
    <row r="2166" customFormat="false" ht="12.8" hidden="false" customHeight="false" outlineLevel="0" collapsed="false">
      <c r="A2166" s="3" t="n">
        <f aca="false">DATE(2003,7,30)</f>
        <v>37832</v>
      </c>
      <c r="B2166" s="4" t="s">
        <v>2497</v>
      </c>
      <c r="C2166" s="4" t="s">
        <v>2498</v>
      </c>
    </row>
    <row r="2167" customFormat="false" ht="12.8" hidden="false" customHeight="false" outlineLevel="0" collapsed="false">
      <c r="A2167" s="3" t="n">
        <f aca="false">DATE(2003,7,31)</f>
        <v>37833</v>
      </c>
      <c r="B2167" s="4" t="s">
        <v>2499</v>
      </c>
      <c r="C2167" s="4" t="s">
        <v>2500</v>
      </c>
    </row>
    <row r="2168" customFormat="false" ht="12.8" hidden="false" customHeight="false" outlineLevel="0" collapsed="false">
      <c r="A2168" s="3" t="n">
        <f aca="false">DATE(2003,8,7)</f>
        <v>37840</v>
      </c>
      <c r="B2168" s="4" t="s">
        <v>2501</v>
      </c>
      <c r="C2168" s="4" t="s">
        <v>2493</v>
      </c>
    </row>
    <row r="2169" customFormat="false" ht="12.8" hidden="false" customHeight="false" outlineLevel="0" collapsed="false">
      <c r="A2169" s="3" t="n">
        <f aca="false">DATE(2003,8,11)</f>
        <v>37844</v>
      </c>
      <c r="B2169" s="4" t="s">
        <v>2221</v>
      </c>
      <c r="C2169" s="4" t="s">
        <v>2502</v>
      </c>
    </row>
    <row r="2170" customFormat="false" ht="12.8" hidden="false" customHeight="false" outlineLevel="0" collapsed="false">
      <c r="A2170" s="3" t="n">
        <f aca="false">DATE(2003,8,12)</f>
        <v>37845</v>
      </c>
      <c r="B2170" s="4" t="s">
        <v>2503</v>
      </c>
      <c r="C2170" s="4" t="s">
        <v>2110</v>
      </c>
    </row>
    <row r="2171" customFormat="false" ht="12.8" hidden="false" customHeight="false" outlineLevel="0" collapsed="false">
      <c r="A2171" s="3" t="n">
        <f aca="false">DATE(2003,8,19)</f>
        <v>37852</v>
      </c>
      <c r="B2171" s="4" t="s">
        <v>2504</v>
      </c>
      <c r="C2171" s="4" t="s">
        <v>2505</v>
      </c>
    </row>
    <row r="2172" customFormat="false" ht="12.8" hidden="false" customHeight="false" outlineLevel="0" collapsed="false">
      <c r="A2172" s="3" t="n">
        <f aca="false">DATE(2003,8,21)</f>
        <v>37854</v>
      </c>
      <c r="B2172" s="4" t="s">
        <v>2506</v>
      </c>
      <c r="C2172" s="4" t="s">
        <v>1937</v>
      </c>
    </row>
    <row r="2173" customFormat="false" ht="12.8" hidden="false" customHeight="false" outlineLevel="0" collapsed="false">
      <c r="A2173" s="3" t="n">
        <f aca="false">DATE(2003,8,21)</f>
        <v>37854</v>
      </c>
      <c r="B2173" s="4" t="s">
        <v>1293</v>
      </c>
      <c r="C2173" s="4" t="s">
        <v>2507</v>
      </c>
    </row>
    <row r="2174" customFormat="false" ht="12.8" hidden="false" customHeight="false" outlineLevel="0" collapsed="false">
      <c r="A2174" s="3" t="n">
        <f aca="false">DATE(2003,8,25)</f>
        <v>37858</v>
      </c>
      <c r="B2174" s="4" t="s">
        <v>2508</v>
      </c>
      <c r="C2174" s="4" t="s">
        <v>381</v>
      </c>
    </row>
    <row r="2175" customFormat="false" ht="12.8" hidden="false" customHeight="false" outlineLevel="0" collapsed="false">
      <c r="A2175" s="3" t="n">
        <f aca="false">DATE(2003,9,3)</f>
        <v>37867</v>
      </c>
      <c r="B2175" s="4" t="s">
        <v>2509</v>
      </c>
      <c r="C2175" s="4" t="s">
        <v>2311</v>
      </c>
    </row>
    <row r="2176" customFormat="false" ht="12.8" hidden="false" customHeight="false" outlineLevel="0" collapsed="false">
      <c r="A2176" s="3" t="n">
        <f aca="false">DATE(2003,9,11)</f>
        <v>37875</v>
      </c>
      <c r="B2176" s="4" t="s">
        <v>2448</v>
      </c>
      <c r="C2176" s="4" t="s">
        <v>602</v>
      </c>
    </row>
    <row r="2177" customFormat="false" ht="12.8" hidden="false" customHeight="false" outlineLevel="0" collapsed="false">
      <c r="A2177" s="3" t="n">
        <f aca="false">DATE(2003,9,11)</f>
        <v>37875</v>
      </c>
      <c r="B2177" s="4" t="s">
        <v>2510</v>
      </c>
      <c r="C2177" s="4" t="s">
        <v>2511</v>
      </c>
    </row>
    <row r="2178" customFormat="false" ht="12.8" hidden="false" customHeight="false" outlineLevel="0" collapsed="false">
      <c r="A2178" s="3" t="n">
        <f aca="false">DATE(2003,9,15)</f>
        <v>37879</v>
      </c>
      <c r="B2178" s="4" t="s">
        <v>2512</v>
      </c>
      <c r="C2178" s="4" t="s">
        <v>1740</v>
      </c>
    </row>
    <row r="2179" customFormat="false" ht="12.8" hidden="false" customHeight="false" outlineLevel="0" collapsed="false">
      <c r="A2179" s="3" t="n">
        <f aca="false">DATE(2003,9,16)</f>
        <v>37880</v>
      </c>
      <c r="B2179" s="4" t="s">
        <v>2403</v>
      </c>
      <c r="C2179" s="4" t="s">
        <v>2258</v>
      </c>
    </row>
    <row r="2180" customFormat="false" ht="12.8" hidden="false" customHeight="false" outlineLevel="0" collapsed="false">
      <c r="A2180" s="3" t="n">
        <f aca="false">DATE(2003,9,24)</f>
        <v>37888</v>
      </c>
      <c r="B2180" s="4" t="s">
        <v>2513</v>
      </c>
      <c r="C2180" s="4" t="s">
        <v>2233</v>
      </c>
    </row>
    <row r="2181" customFormat="false" ht="12.8" hidden="false" customHeight="false" outlineLevel="0" collapsed="false">
      <c r="A2181" s="3" t="n">
        <f aca="false">DATE(2003,9,25)</f>
        <v>37889</v>
      </c>
      <c r="B2181" s="4" t="s">
        <v>2514</v>
      </c>
      <c r="C2181" s="4" t="s">
        <v>475</v>
      </c>
    </row>
    <row r="2182" customFormat="false" ht="12.8" hidden="false" customHeight="false" outlineLevel="0" collapsed="false">
      <c r="A2182" s="3" t="n">
        <f aca="false">DATE(2003,9,26)</f>
        <v>37890</v>
      </c>
      <c r="B2182" s="4" t="s">
        <v>2338</v>
      </c>
      <c r="C2182" s="4" t="s">
        <v>2376</v>
      </c>
    </row>
    <row r="2183" customFormat="false" ht="12.8" hidden="false" customHeight="false" outlineLevel="0" collapsed="false">
      <c r="A2183" s="3" t="n">
        <f aca="false">DATE(2003,10,6)</f>
        <v>37900</v>
      </c>
      <c r="B2183" s="4" t="s">
        <v>2515</v>
      </c>
      <c r="C2183" s="4" t="s">
        <v>2120</v>
      </c>
    </row>
    <row r="2184" customFormat="false" ht="12.8" hidden="false" customHeight="false" outlineLevel="0" collapsed="false">
      <c r="A2184" s="3" t="n">
        <f aca="false">DATE(2003,10,7)</f>
        <v>37901</v>
      </c>
      <c r="B2184" s="4" t="s">
        <v>2516</v>
      </c>
      <c r="C2184" s="4" t="s">
        <v>1248</v>
      </c>
    </row>
    <row r="2185" customFormat="false" ht="12.8" hidden="false" customHeight="false" outlineLevel="0" collapsed="false">
      <c r="A2185" s="3" t="n">
        <f aca="false">DATE(2003,10,14)</f>
        <v>37908</v>
      </c>
      <c r="B2185" s="4" t="s">
        <v>2517</v>
      </c>
      <c r="C2185" s="4" t="s">
        <v>2518</v>
      </c>
    </row>
    <row r="2186" customFormat="false" ht="12.8" hidden="false" customHeight="false" outlineLevel="0" collapsed="false">
      <c r="A2186" s="3" t="n">
        <f aca="false">DATE(2003,10,15)</f>
        <v>37909</v>
      </c>
      <c r="B2186" s="4" t="s">
        <v>2519</v>
      </c>
      <c r="C2186" s="4" t="s">
        <v>1341</v>
      </c>
    </row>
    <row r="2187" customFormat="false" ht="12.8" hidden="false" customHeight="false" outlineLevel="0" collapsed="false">
      <c r="A2187" s="3" t="n">
        <f aca="false">DATE(2003,10,15)</f>
        <v>37909</v>
      </c>
      <c r="B2187" s="4" t="s">
        <v>2520</v>
      </c>
      <c r="C2187" s="4" t="s">
        <v>1023</v>
      </c>
    </row>
    <row r="2188" customFormat="false" ht="12.8" hidden="false" customHeight="false" outlineLevel="0" collapsed="false">
      <c r="A2188" s="3" t="n">
        <f aca="false">DATE(2003,10,16)</f>
        <v>37910</v>
      </c>
      <c r="B2188" s="4" t="s">
        <v>2521</v>
      </c>
      <c r="C2188" s="4" t="s">
        <v>1537</v>
      </c>
    </row>
    <row r="2189" customFormat="false" ht="12.8" hidden="false" customHeight="false" outlineLevel="0" collapsed="false">
      <c r="A2189" s="3" t="n">
        <f aca="false">DATE(2003,10,22)</f>
        <v>37916</v>
      </c>
      <c r="B2189" s="4" t="s">
        <v>2522</v>
      </c>
      <c r="C2189" s="4" t="s">
        <v>1341</v>
      </c>
    </row>
    <row r="2190" customFormat="false" ht="12.8" hidden="false" customHeight="false" outlineLevel="0" collapsed="false">
      <c r="A2190" s="3" t="n">
        <f aca="false">DATE(2003,10,25)</f>
        <v>37919</v>
      </c>
      <c r="B2190" s="4" t="s">
        <v>2523</v>
      </c>
      <c r="C2190" s="4" t="s">
        <v>2524</v>
      </c>
    </row>
    <row r="2191" customFormat="false" ht="12.8" hidden="false" customHeight="false" outlineLevel="0" collapsed="false">
      <c r="A2191" s="3" t="n">
        <f aca="false">DATE(2003,10,27)</f>
        <v>37921</v>
      </c>
      <c r="B2191" s="4" t="s">
        <v>2253</v>
      </c>
      <c r="C2191" s="4" t="s">
        <v>2525</v>
      </c>
    </row>
    <row r="2192" customFormat="false" ht="12.8" hidden="false" customHeight="false" outlineLevel="0" collapsed="false">
      <c r="A2192" s="3" t="n">
        <f aca="false">DATE(2003,10,27)</f>
        <v>37921</v>
      </c>
      <c r="B2192" s="4" t="s">
        <v>2526</v>
      </c>
      <c r="C2192" s="4" t="s">
        <v>1751</v>
      </c>
    </row>
    <row r="2193" customFormat="false" ht="12.8" hidden="false" customHeight="false" outlineLevel="0" collapsed="false">
      <c r="A2193" s="3" t="n">
        <f aca="false">DATE(2003,10,27)</f>
        <v>37921</v>
      </c>
      <c r="B2193" s="4" t="s">
        <v>2527</v>
      </c>
      <c r="C2193" s="4" t="s">
        <v>1662</v>
      </c>
    </row>
    <row r="2194" customFormat="false" ht="12.8" hidden="false" customHeight="false" outlineLevel="0" collapsed="false">
      <c r="A2194" s="3" t="n">
        <f aca="false">DATE(2003,10,31)</f>
        <v>37925</v>
      </c>
      <c r="B2194" s="4" t="s">
        <v>2528</v>
      </c>
      <c r="C2194" s="4" t="s">
        <v>2529</v>
      </c>
    </row>
    <row r="2195" customFormat="false" ht="12.8" hidden="false" customHeight="false" outlineLevel="0" collapsed="false">
      <c r="A2195" s="3" t="n">
        <f aca="false">DATE(2003,11,3)</f>
        <v>37928</v>
      </c>
      <c r="B2195" s="4" t="s">
        <v>2093</v>
      </c>
      <c r="C2195" s="4" t="s">
        <v>1030</v>
      </c>
    </row>
    <row r="2196" customFormat="false" ht="12.8" hidden="false" customHeight="false" outlineLevel="0" collapsed="false">
      <c r="A2196" s="3" t="n">
        <f aca="false">DATE(2003,11,5)</f>
        <v>37930</v>
      </c>
      <c r="B2196" s="4" t="s">
        <v>2530</v>
      </c>
      <c r="C2196" s="4" t="s">
        <v>2531</v>
      </c>
    </row>
    <row r="2197" customFormat="false" ht="12.8" hidden="false" customHeight="false" outlineLevel="0" collapsed="false">
      <c r="A2197" s="3" t="n">
        <f aca="false">DATE(2003,11,12)</f>
        <v>37937</v>
      </c>
      <c r="B2197" s="4" t="s">
        <v>2532</v>
      </c>
      <c r="C2197" s="4" t="s">
        <v>2237</v>
      </c>
    </row>
    <row r="2198" customFormat="false" ht="12.8" hidden="false" customHeight="false" outlineLevel="0" collapsed="false">
      <c r="A2198" s="3" t="n">
        <f aca="false">DATE(2003,11,17)</f>
        <v>37942</v>
      </c>
      <c r="B2198" s="4" t="s">
        <v>2533</v>
      </c>
      <c r="C2198" s="4" t="s">
        <v>2439</v>
      </c>
    </row>
    <row r="2199" customFormat="false" ht="12.8" hidden="false" customHeight="false" outlineLevel="0" collapsed="false">
      <c r="A2199" s="3" t="n">
        <f aca="false">DATE(2003,11,18)</f>
        <v>37943</v>
      </c>
      <c r="B2199" s="4" t="s">
        <v>2534</v>
      </c>
      <c r="C2199" s="4" t="s">
        <v>2535</v>
      </c>
    </row>
    <row r="2200" customFormat="false" ht="12.8" hidden="false" customHeight="false" outlineLevel="0" collapsed="false">
      <c r="A2200" s="3" t="n">
        <f aca="false">DATE(2003,11,20)</f>
        <v>37945</v>
      </c>
      <c r="B2200" s="4" t="s">
        <v>2297</v>
      </c>
      <c r="C2200" s="4" t="s">
        <v>664</v>
      </c>
    </row>
    <row r="2201" customFormat="false" ht="12.8" hidden="false" customHeight="false" outlineLevel="0" collapsed="false">
      <c r="A2201" s="3" t="n">
        <f aca="false">DATE(2003,11,24)</f>
        <v>37949</v>
      </c>
      <c r="B2201" s="4" t="s">
        <v>2536</v>
      </c>
      <c r="C2201" s="4" t="s">
        <v>2537</v>
      </c>
    </row>
    <row r="2202" customFormat="false" ht="12.8" hidden="false" customHeight="false" outlineLevel="0" collapsed="false">
      <c r="A2202" s="3" t="n">
        <f aca="false">DATE(2003,11,25)</f>
        <v>37950</v>
      </c>
      <c r="B2202" s="4" t="s">
        <v>2538</v>
      </c>
      <c r="C2202" s="4" t="s">
        <v>2311</v>
      </c>
    </row>
    <row r="2203" customFormat="false" ht="12.8" hidden="false" customHeight="false" outlineLevel="0" collapsed="false">
      <c r="A2203" s="3" t="n">
        <f aca="false">DATE(2003,12,1)</f>
        <v>37956</v>
      </c>
      <c r="B2203" s="4" t="s">
        <v>2539</v>
      </c>
      <c r="C2203" s="4" t="s">
        <v>779</v>
      </c>
    </row>
    <row r="2204" customFormat="false" ht="12.8" hidden="false" customHeight="false" outlineLevel="0" collapsed="false">
      <c r="A2204" s="3" t="n">
        <f aca="false">DATE(2003,12,2)</f>
        <v>37957</v>
      </c>
      <c r="B2204" s="4" t="s">
        <v>1857</v>
      </c>
      <c r="C2204" s="4" t="s">
        <v>2066</v>
      </c>
    </row>
    <row r="2205" customFormat="false" ht="12.8" hidden="false" customHeight="false" outlineLevel="0" collapsed="false">
      <c r="A2205" s="3" t="n">
        <f aca="false">DATE(2003,12,9)</f>
        <v>37964</v>
      </c>
      <c r="B2205" s="4" t="s">
        <v>2540</v>
      </c>
      <c r="C2205" s="4" t="s">
        <v>2311</v>
      </c>
    </row>
    <row r="2206" customFormat="false" ht="12.8" hidden="false" customHeight="false" outlineLevel="0" collapsed="false">
      <c r="A2206" s="3" t="n">
        <f aca="false">DATE(2003,12,11)</f>
        <v>37966</v>
      </c>
      <c r="B2206" s="4" t="s">
        <v>2541</v>
      </c>
      <c r="C2206" s="4" t="s">
        <v>1978</v>
      </c>
    </row>
    <row r="2207" customFormat="false" ht="12.8" hidden="false" customHeight="false" outlineLevel="0" collapsed="false">
      <c r="A2207" s="3" t="n">
        <f aca="false">DATE(2003,12,11)</f>
        <v>37966</v>
      </c>
      <c r="B2207" s="4" t="s">
        <v>1979</v>
      </c>
      <c r="C2207" s="4" t="s">
        <v>459</v>
      </c>
    </row>
    <row r="2208" customFormat="false" ht="12.8" hidden="false" customHeight="false" outlineLevel="0" collapsed="false">
      <c r="A2208" s="3" t="n">
        <f aca="false">DATE(2003,12,12)</f>
        <v>37967</v>
      </c>
      <c r="B2208" s="4" t="s">
        <v>2542</v>
      </c>
      <c r="C2208" s="4" t="s">
        <v>816</v>
      </c>
    </row>
    <row r="2209" customFormat="false" ht="12.8" hidden="false" customHeight="false" outlineLevel="0" collapsed="false">
      <c r="A2209" s="3" t="n">
        <f aca="false">DATE(2003,12,16)</f>
        <v>37971</v>
      </c>
      <c r="B2209" s="4" t="s">
        <v>2543</v>
      </c>
      <c r="C2209" s="4" t="s">
        <v>400</v>
      </c>
    </row>
    <row r="2210" customFormat="false" ht="12.8" hidden="false" customHeight="false" outlineLevel="0" collapsed="false">
      <c r="A2210" s="3" t="n">
        <f aca="false">DATE(2003,12,17)</f>
        <v>37972</v>
      </c>
      <c r="B2210" s="4" t="s">
        <v>2544</v>
      </c>
      <c r="C2210" s="4" t="s">
        <v>2452</v>
      </c>
    </row>
    <row r="2211" customFormat="false" ht="12.8" hidden="false" customHeight="false" outlineLevel="0" collapsed="false">
      <c r="A2211" s="3" t="n">
        <f aca="false">DATE(2003,12,18)</f>
        <v>37973</v>
      </c>
      <c r="B2211" s="4" t="s">
        <v>2545</v>
      </c>
      <c r="C2211" s="4" t="s">
        <v>2546</v>
      </c>
    </row>
    <row r="2212" customFormat="false" ht="12.8" hidden="false" customHeight="false" outlineLevel="0" collapsed="false">
      <c r="A2212" s="3" t="n">
        <f aca="false">DATE(2003,12,18)</f>
        <v>37973</v>
      </c>
      <c r="B2212" s="4" t="s">
        <v>2547</v>
      </c>
      <c r="C2212" s="4" t="s">
        <v>931</v>
      </c>
    </row>
    <row r="2213" customFormat="false" ht="12.8" hidden="false" customHeight="false" outlineLevel="0" collapsed="false">
      <c r="A2213" s="3" t="n">
        <f aca="false">DATE(2003,12,19)</f>
        <v>37974</v>
      </c>
      <c r="B2213" s="4" t="s">
        <v>2548</v>
      </c>
      <c r="C2213" s="4" t="s">
        <v>1871</v>
      </c>
    </row>
    <row r="2214" customFormat="false" ht="12.8" hidden="false" customHeight="false" outlineLevel="0" collapsed="false">
      <c r="A2214" s="3" t="n">
        <f aca="false">DATE(2003,12,22)</f>
        <v>37977</v>
      </c>
      <c r="B2214" s="4" t="s">
        <v>2549</v>
      </c>
      <c r="C2214" s="4" t="s">
        <v>955</v>
      </c>
    </row>
    <row r="2215" customFormat="false" ht="12.8" hidden="false" customHeight="false" outlineLevel="0" collapsed="false">
      <c r="A2215" s="3" t="n">
        <f aca="false">DATE(2003,12,22)</f>
        <v>37977</v>
      </c>
      <c r="B2215" s="4" t="s">
        <v>2550</v>
      </c>
      <c r="C2215" s="4" t="s">
        <v>2301</v>
      </c>
    </row>
    <row r="2216" customFormat="false" ht="12.8" hidden="false" customHeight="false" outlineLevel="0" collapsed="false">
      <c r="A2216" s="3" t="n">
        <f aca="false">DATE(2003,12,24)</f>
        <v>37979</v>
      </c>
      <c r="B2216" s="4" t="s">
        <v>2063</v>
      </c>
      <c r="C2216" s="4" t="s">
        <v>2433</v>
      </c>
    </row>
    <row r="2217" customFormat="false" ht="12.8" hidden="false" customHeight="false" outlineLevel="0" collapsed="false">
      <c r="A2217" s="3" t="n">
        <f aca="false">DATE(2003,12,31)</f>
        <v>37986</v>
      </c>
      <c r="B2217" s="4" t="s">
        <v>2551</v>
      </c>
      <c r="C2217" s="4" t="s">
        <v>2225</v>
      </c>
    </row>
    <row r="2218" customFormat="false" ht="12.8" hidden="false" customHeight="false" outlineLevel="0" collapsed="false">
      <c r="A2218" s="3" t="n">
        <f aca="false">DATE(2004,1,6)</f>
        <v>37992</v>
      </c>
      <c r="B2218" s="4" t="s">
        <v>2552</v>
      </c>
      <c r="C2218" s="4" t="s">
        <v>2123</v>
      </c>
    </row>
    <row r="2219" customFormat="false" ht="12.8" hidden="false" customHeight="false" outlineLevel="0" collapsed="false">
      <c r="A2219" s="3" t="n">
        <f aca="false">DATE(2004,1,6)</f>
        <v>37992</v>
      </c>
      <c r="B2219" s="4" t="s">
        <v>2553</v>
      </c>
      <c r="C2219" s="4" t="s">
        <v>1269</v>
      </c>
    </row>
    <row r="2220" customFormat="false" ht="12.8" hidden="false" customHeight="false" outlineLevel="0" collapsed="false">
      <c r="A2220" s="3" t="n">
        <f aca="false">DATE(2004,1,8)</f>
        <v>37994</v>
      </c>
      <c r="B2220" s="4" t="s">
        <v>2554</v>
      </c>
      <c r="C2220" s="4" t="s">
        <v>2073</v>
      </c>
    </row>
    <row r="2221" customFormat="false" ht="12.8" hidden="false" customHeight="false" outlineLevel="0" collapsed="false">
      <c r="A2221" s="3" t="n">
        <f aca="false">DATE(2004,1,8)</f>
        <v>37994</v>
      </c>
      <c r="B2221" s="4" t="s">
        <v>1889</v>
      </c>
      <c r="C2221" s="4" t="s">
        <v>2045</v>
      </c>
    </row>
    <row r="2222" customFormat="false" ht="12.8" hidden="false" customHeight="false" outlineLevel="0" collapsed="false">
      <c r="A2222" s="3" t="n">
        <f aca="false">DATE(2004,1,14)</f>
        <v>38000</v>
      </c>
      <c r="B2222" s="4" t="s">
        <v>2555</v>
      </c>
      <c r="C2222" s="4" t="s">
        <v>779</v>
      </c>
    </row>
    <row r="2223" customFormat="false" ht="12.8" hidden="false" customHeight="false" outlineLevel="0" collapsed="false">
      <c r="A2223" s="3" t="n">
        <f aca="false">DATE(2004,1,14)</f>
        <v>38000</v>
      </c>
      <c r="B2223" s="4" t="s">
        <v>2556</v>
      </c>
      <c r="C2223" s="4" t="s">
        <v>2557</v>
      </c>
    </row>
    <row r="2224" customFormat="false" ht="12.8" hidden="false" customHeight="false" outlineLevel="0" collapsed="false">
      <c r="A2224" s="3" t="n">
        <f aca="false">DATE(2004,1,21)</f>
        <v>38007</v>
      </c>
      <c r="B2224" s="4" t="s">
        <v>2558</v>
      </c>
      <c r="C2224" s="4" t="s">
        <v>2391</v>
      </c>
    </row>
    <row r="2225" customFormat="false" ht="12.8" hidden="false" customHeight="false" outlineLevel="0" collapsed="false">
      <c r="A2225" s="3" t="n">
        <f aca="false">DATE(2004,1,22)</f>
        <v>38008</v>
      </c>
      <c r="B2225" s="4" t="s">
        <v>1774</v>
      </c>
      <c r="C2225" s="4" t="s">
        <v>2332</v>
      </c>
    </row>
    <row r="2226" customFormat="false" ht="12.8" hidden="false" customHeight="false" outlineLevel="0" collapsed="false">
      <c r="A2226" s="3" t="n">
        <f aca="false">DATE(2004,1,23)</f>
        <v>38009</v>
      </c>
      <c r="B2226" s="4" t="s">
        <v>2559</v>
      </c>
      <c r="C2226" s="4" t="s">
        <v>2560</v>
      </c>
    </row>
    <row r="2227" customFormat="false" ht="12.8" hidden="false" customHeight="false" outlineLevel="0" collapsed="false">
      <c r="A2227" s="3" t="n">
        <f aca="false">DATE(2004,1,23)</f>
        <v>38009</v>
      </c>
      <c r="B2227" s="4" t="s">
        <v>440</v>
      </c>
      <c r="C2227" s="4" t="s">
        <v>2561</v>
      </c>
    </row>
    <row r="2228" customFormat="false" ht="12.8" hidden="false" customHeight="false" outlineLevel="0" collapsed="false">
      <c r="A2228" s="3" t="n">
        <f aca="false">DATE(2004,1,27)</f>
        <v>38013</v>
      </c>
      <c r="B2228" s="4" t="s">
        <v>2562</v>
      </c>
      <c r="C2228" s="4" t="s">
        <v>124</v>
      </c>
    </row>
    <row r="2229" customFormat="false" ht="12.8" hidden="false" customHeight="false" outlineLevel="0" collapsed="false">
      <c r="A2229" s="3" t="n">
        <f aca="false">DATE(2004,2,5)</f>
        <v>38022</v>
      </c>
      <c r="B2229" s="4" t="s">
        <v>1469</v>
      </c>
      <c r="C2229" s="4" t="s">
        <v>2563</v>
      </c>
    </row>
    <row r="2230" customFormat="false" ht="12.8" hidden="false" customHeight="false" outlineLevel="0" collapsed="false">
      <c r="A2230" s="3" t="n">
        <f aca="false">DATE(2004,2,5)</f>
        <v>38022</v>
      </c>
      <c r="B2230" s="4" t="s">
        <v>2564</v>
      </c>
      <c r="C2230" s="4" t="s">
        <v>1457</v>
      </c>
    </row>
    <row r="2231" customFormat="false" ht="12.8" hidden="false" customHeight="false" outlineLevel="0" collapsed="false">
      <c r="A2231" s="3" t="n">
        <f aca="false">DATE(2004,2,6)</f>
        <v>38023</v>
      </c>
      <c r="B2231" s="4" t="s">
        <v>2565</v>
      </c>
      <c r="C2231" s="4" t="s">
        <v>2566</v>
      </c>
    </row>
    <row r="2232" customFormat="false" ht="12.8" hidden="false" customHeight="false" outlineLevel="0" collapsed="false">
      <c r="A2232" s="3" t="n">
        <f aca="false">DATE(2004,2,11)</f>
        <v>38028</v>
      </c>
      <c r="B2232" s="4" t="s">
        <v>2567</v>
      </c>
      <c r="C2232" s="4" t="s">
        <v>1639</v>
      </c>
    </row>
    <row r="2233" customFormat="false" ht="12.8" hidden="false" customHeight="false" outlineLevel="0" collapsed="false">
      <c r="A2233" s="3" t="n">
        <f aca="false">DATE(2004,2,13)</f>
        <v>38030</v>
      </c>
      <c r="B2233" s="4" t="s">
        <v>2568</v>
      </c>
      <c r="C2233" s="4" t="s">
        <v>2569</v>
      </c>
    </row>
    <row r="2234" customFormat="false" ht="12.8" hidden="false" customHeight="false" outlineLevel="0" collapsed="false">
      <c r="A2234" s="3" t="n">
        <f aca="false">DATE(2004,2,16)</f>
        <v>38033</v>
      </c>
      <c r="B2234" s="4" t="s">
        <v>2570</v>
      </c>
      <c r="C2234" s="4" t="s">
        <v>400</v>
      </c>
    </row>
    <row r="2235" customFormat="false" ht="12.8" hidden="false" customHeight="false" outlineLevel="0" collapsed="false">
      <c r="A2235" s="3" t="n">
        <f aca="false">DATE(2004,2,17)</f>
        <v>38034</v>
      </c>
      <c r="B2235" s="4" t="s">
        <v>1674</v>
      </c>
      <c r="C2235" s="4" t="s">
        <v>664</v>
      </c>
    </row>
    <row r="2236" customFormat="false" ht="12.8" hidden="false" customHeight="false" outlineLevel="0" collapsed="false">
      <c r="A2236" s="3" t="n">
        <f aca="false">DATE(2004,2,17)</f>
        <v>38034</v>
      </c>
      <c r="B2236" s="4" t="s">
        <v>2571</v>
      </c>
      <c r="C2236" s="4" t="s">
        <v>814</v>
      </c>
    </row>
    <row r="2237" customFormat="false" ht="12.8" hidden="false" customHeight="false" outlineLevel="0" collapsed="false">
      <c r="A2237" s="3" t="n">
        <f aca="false">DATE(2004,2,27)</f>
        <v>38044</v>
      </c>
      <c r="B2237" s="4" t="s">
        <v>2572</v>
      </c>
      <c r="C2237" s="4" t="s">
        <v>2573</v>
      </c>
    </row>
    <row r="2238" customFormat="false" ht="12.8" hidden="false" customHeight="false" outlineLevel="0" collapsed="false">
      <c r="A2238" s="3" t="n">
        <f aca="false">DATE(2004,3,4)</f>
        <v>38050</v>
      </c>
      <c r="B2238" s="4" t="s">
        <v>2574</v>
      </c>
      <c r="C2238" s="4" t="s">
        <v>2575</v>
      </c>
    </row>
    <row r="2239" customFormat="false" ht="12.8" hidden="false" customHeight="false" outlineLevel="0" collapsed="false">
      <c r="A2239" s="3" t="n">
        <f aca="false">DATE(2004,3,4)</f>
        <v>38050</v>
      </c>
      <c r="B2239" s="4" t="s">
        <v>2576</v>
      </c>
      <c r="C2239" s="4" t="s">
        <v>1397</v>
      </c>
    </row>
    <row r="2240" customFormat="false" ht="12.8" hidden="false" customHeight="false" outlineLevel="0" collapsed="false">
      <c r="A2240" s="3" t="n">
        <f aca="false">DATE(2004,3,5)</f>
        <v>38051</v>
      </c>
      <c r="B2240" s="4" t="s">
        <v>2577</v>
      </c>
      <c r="C2240" s="4" t="s">
        <v>1457</v>
      </c>
    </row>
    <row r="2241" customFormat="false" ht="12.8" hidden="false" customHeight="false" outlineLevel="0" collapsed="false">
      <c r="A2241" s="3" t="n">
        <f aca="false">DATE(2004,3,11)</f>
        <v>38057</v>
      </c>
      <c r="B2241" s="4" t="s">
        <v>2578</v>
      </c>
      <c r="C2241" s="4" t="s">
        <v>2579</v>
      </c>
    </row>
    <row r="2242" customFormat="false" ht="12.8" hidden="false" customHeight="false" outlineLevel="0" collapsed="false">
      <c r="A2242" s="3" t="n">
        <f aca="false">DATE(2004,3,16)</f>
        <v>38062</v>
      </c>
      <c r="B2242" s="4" t="s">
        <v>2580</v>
      </c>
      <c r="C2242" s="4" t="s">
        <v>1114</v>
      </c>
    </row>
    <row r="2243" customFormat="false" ht="12.8" hidden="false" customHeight="false" outlineLevel="0" collapsed="false">
      <c r="A2243" s="3" t="n">
        <f aca="false">DATE(2004,3,17)</f>
        <v>38063</v>
      </c>
      <c r="B2243" s="4" t="s">
        <v>1987</v>
      </c>
      <c r="C2243" s="4" t="s">
        <v>2391</v>
      </c>
    </row>
    <row r="2244" customFormat="false" ht="12.8" hidden="false" customHeight="false" outlineLevel="0" collapsed="false">
      <c r="A2244" s="3" t="n">
        <f aca="false">DATE(2004,3,19)</f>
        <v>38065</v>
      </c>
      <c r="B2244" s="4" t="s">
        <v>2581</v>
      </c>
      <c r="C2244" s="4" t="s">
        <v>1401</v>
      </c>
    </row>
    <row r="2245" customFormat="false" ht="12.8" hidden="false" customHeight="false" outlineLevel="0" collapsed="false">
      <c r="A2245" s="3" t="n">
        <f aca="false">DATE(2004,3,22)</f>
        <v>38068</v>
      </c>
      <c r="B2245" s="4" t="s">
        <v>2582</v>
      </c>
      <c r="C2245" s="4" t="s">
        <v>2583</v>
      </c>
    </row>
    <row r="2246" customFormat="false" ht="12.8" hidden="false" customHeight="false" outlineLevel="0" collapsed="false">
      <c r="A2246" s="3" t="n">
        <f aca="false">DATE(2004,3,31)</f>
        <v>38077</v>
      </c>
      <c r="B2246" s="4" t="s">
        <v>2584</v>
      </c>
      <c r="C2246" s="4" t="s">
        <v>1341</v>
      </c>
    </row>
    <row r="2247" customFormat="false" ht="12.8" hidden="false" customHeight="false" outlineLevel="0" collapsed="false">
      <c r="A2247" s="3" t="n">
        <f aca="false">DATE(2004,3,31)</f>
        <v>38077</v>
      </c>
      <c r="B2247" s="4" t="s">
        <v>2585</v>
      </c>
      <c r="C2247" s="4" t="s">
        <v>2586</v>
      </c>
    </row>
    <row r="2248" customFormat="false" ht="12.8" hidden="false" customHeight="false" outlineLevel="0" collapsed="false">
      <c r="A2248" s="3" t="n">
        <f aca="false">DATE(2004,4,2)</f>
        <v>38079</v>
      </c>
      <c r="B2248" s="4" t="s">
        <v>2222</v>
      </c>
      <c r="C2248" s="4" t="s">
        <v>2502</v>
      </c>
    </row>
    <row r="2249" customFormat="false" ht="12.8" hidden="false" customHeight="false" outlineLevel="0" collapsed="false">
      <c r="A2249" s="3" t="n">
        <f aca="false">DATE(2004,4,16)</f>
        <v>38093</v>
      </c>
      <c r="B2249" s="4" t="s">
        <v>2587</v>
      </c>
      <c r="C2249" s="4" t="s">
        <v>2588</v>
      </c>
    </row>
    <row r="2250" customFormat="false" ht="12.8" hidden="false" customHeight="false" outlineLevel="0" collapsed="false">
      <c r="A2250" s="3" t="n">
        <f aca="false">DATE(2004,4,20)</f>
        <v>38097</v>
      </c>
      <c r="B2250" s="4" t="s">
        <v>2276</v>
      </c>
      <c r="C2250" s="4" t="s">
        <v>972</v>
      </c>
    </row>
    <row r="2251" customFormat="false" ht="12.8" hidden="false" customHeight="false" outlineLevel="0" collapsed="false">
      <c r="A2251" s="3" t="n">
        <f aca="false">DATE(2004,4,26)</f>
        <v>38103</v>
      </c>
      <c r="B2251" s="4" t="s">
        <v>2589</v>
      </c>
      <c r="C2251" s="4" t="s">
        <v>2120</v>
      </c>
    </row>
    <row r="2252" customFormat="false" ht="12.8" hidden="false" customHeight="false" outlineLevel="0" collapsed="false">
      <c r="A2252" s="3" t="n">
        <f aca="false">DATE(2004,4,26)</f>
        <v>38103</v>
      </c>
      <c r="B2252" s="4" t="s">
        <v>2590</v>
      </c>
      <c r="C2252" s="4" t="s">
        <v>2153</v>
      </c>
    </row>
    <row r="2253" customFormat="false" ht="12.8" hidden="false" customHeight="false" outlineLevel="0" collapsed="false">
      <c r="A2253" s="3" t="n">
        <f aca="false">DATE(2004,4,29)</f>
        <v>38106</v>
      </c>
      <c r="B2253" s="4" t="s">
        <v>2591</v>
      </c>
      <c r="C2253" s="4" t="s">
        <v>2592</v>
      </c>
    </row>
    <row r="2254" customFormat="false" ht="12.8" hidden="false" customHeight="false" outlineLevel="0" collapsed="false">
      <c r="A2254" s="3" t="n">
        <f aca="false">DATE(2004,5,3)</f>
        <v>38110</v>
      </c>
      <c r="B2254" s="4" t="s">
        <v>2593</v>
      </c>
      <c r="C2254" s="4" t="s">
        <v>2592</v>
      </c>
    </row>
    <row r="2255" customFormat="false" ht="12.8" hidden="false" customHeight="false" outlineLevel="0" collapsed="false">
      <c r="A2255" s="3" t="n">
        <f aca="false">DATE(2004,5,6)</f>
        <v>38113</v>
      </c>
      <c r="B2255" s="4" t="s">
        <v>2594</v>
      </c>
      <c r="C2255" s="4" t="s">
        <v>2595</v>
      </c>
    </row>
    <row r="2256" customFormat="false" ht="12.8" hidden="false" customHeight="false" outlineLevel="0" collapsed="false">
      <c r="A2256" s="3" t="n">
        <f aca="false">DATE(2004,5,9)</f>
        <v>38116</v>
      </c>
      <c r="B2256" s="4" t="s">
        <v>2596</v>
      </c>
      <c r="C2256" s="4" t="s">
        <v>269</v>
      </c>
    </row>
    <row r="2257" customFormat="false" ht="12.8" hidden="false" customHeight="false" outlineLevel="0" collapsed="false">
      <c r="A2257" s="3" t="n">
        <f aca="false">DATE(2004,5,10)</f>
        <v>38117</v>
      </c>
      <c r="B2257" s="4" t="s">
        <v>2597</v>
      </c>
      <c r="C2257" s="4" t="s">
        <v>2493</v>
      </c>
    </row>
    <row r="2258" customFormat="false" ht="12.8" hidden="false" customHeight="false" outlineLevel="0" collapsed="false">
      <c r="A2258" s="3" t="n">
        <f aca="false">DATE(2004,5,13)</f>
        <v>38120</v>
      </c>
      <c r="B2258" s="4" t="s">
        <v>2103</v>
      </c>
      <c r="C2258" s="4" t="s">
        <v>2073</v>
      </c>
    </row>
    <row r="2259" customFormat="false" ht="12.8" hidden="false" customHeight="false" outlineLevel="0" collapsed="false">
      <c r="A2259" s="3" t="n">
        <f aca="false">DATE(2004,5,18)</f>
        <v>38125</v>
      </c>
      <c r="B2259" s="4" t="s">
        <v>2598</v>
      </c>
      <c r="C2259" s="4" t="s">
        <v>1433</v>
      </c>
    </row>
    <row r="2260" customFormat="false" ht="12.8" hidden="false" customHeight="false" outlineLevel="0" collapsed="false">
      <c r="A2260" s="3" t="n">
        <f aca="false">DATE(2004,5,20)</f>
        <v>38127</v>
      </c>
      <c r="B2260" s="4" t="s">
        <v>2599</v>
      </c>
      <c r="C2260" s="4" t="s">
        <v>1662</v>
      </c>
    </row>
    <row r="2261" customFormat="false" ht="12.8" hidden="false" customHeight="false" outlineLevel="0" collapsed="false">
      <c r="A2261" s="3" t="n">
        <f aca="false">DATE(2004,5,27)</f>
        <v>38134</v>
      </c>
      <c r="B2261" s="4" t="s">
        <v>2600</v>
      </c>
      <c r="C2261" s="4" t="s">
        <v>1280</v>
      </c>
    </row>
    <row r="2262" customFormat="false" ht="12.8" hidden="false" customHeight="false" outlineLevel="0" collapsed="false">
      <c r="A2262" s="3" t="n">
        <f aca="false">DATE(2004,6,3)</f>
        <v>38141</v>
      </c>
      <c r="B2262" s="4" t="s">
        <v>2601</v>
      </c>
      <c r="C2262" s="4" t="s">
        <v>2070</v>
      </c>
    </row>
    <row r="2263" customFormat="false" ht="12.8" hidden="false" customHeight="false" outlineLevel="0" collapsed="false">
      <c r="A2263" s="3" t="n">
        <f aca="false">DATE(2004,6,4)</f>
        <v>38142</v>
      </c>
      <c r="B2263" s="4" t="s">
        <v>1764</v>
      </c>
      <c r="C2263" s="4" t="s">
        <v>664</v>
      </c>
    </row>
    <row r="2264" customFormat="false" ht="12.8" hidden="false" customHeight="false" outlineLevel="0" collapsed="false">
      <c r="A2264" s="3" t="n">
        <f aca="false">DATE(2004,6,7)</f>
        <v>38145</v>
      </c>
      <c r="B2264" s="4" t="s">
        <v>2602</v>
      </c>
      <c r="C2264" s="4" t="s">
        <v>818</v>
      </c>
    </row>
    <row r="2265" customFormat="false" ht="12.8" hidden="false" customHeight="false" outlineLevel="0" collapsed="false">
      <c r="A2265" s="3" t="n">
        <f aca="false">DATE(2004,6,14)</f>
        <v>38152</v>
      </c>
      <c r="B2265" s="4" t="s">
        <v>2603</v>
      </c>
      <c r="C2265" s="4" t="s">
        <v>381</v>
      </c>
    </row>
    <row r="2266" customFormat="false" ht="12.8" hidden="false" customHeight="false" outlineLevel="0" collapsed="false">
      <c r="A2266" s="3" t="n">
        <f aca="false">DATE(2004,6,14)</f>
        <v>38152</v>
      </c>
      <c r="B2266" s="4" t="s">
        <v>2604</v>
      </c>
      <c r="C2266" s="4" t="s">
        <v>1852</v>
      </c>
    </row>
    <row r="2267" customFormat="false" ht="12.8" hidden="false" customHeight="false" outlineLevel="0" collapsed="false">
      <c r="A2267" s="3" t="n">
        <f aca="false">DATE(2004,6,14)</f>
        <v>38152</v>
      </c>
      <c r="B2267" s="4" t="s">
        <v>2605</v>
      </c>
      <c r="C2267" s="4" t="s">
        <v>2493</v>
      </c>
    </row>
    <row r="2268" customFormat="false" ht="12.8" hidden="false" customHeight="false" outlineLevel="0" collapsed="false">
      <c r="A2268" s="3" t="n">
        <f aca="false">DATE(2004,6,15)</f>
        <v>38153</v>
      </c>
      <c r="B2268" s="4" t="s">
        <v>2606</v>
      </c>
      <c r="C2268" s="4" t="s">
        <v>2322</v>
      </c>
    </row>
    <row r="2269" customFormat="false" ht="12.8" hidden="false" customHeight="false" outlineLevel="0" collapsed="false">
      <c r="A2269" s="3" t="n">
        <f aca="false">DATE(2004,6,17)</f>
        <v>38155</v>
      </c>
      <c r="B2269" s="4" t="s">
        <v>2607</v>
      </c>
      <c r="C2269" s="4" t="s">
        <v>2608</v>
      </c>
    </row>
    <row r="2270" customFormat="false" ht="12.8" hidden="false" customHeight="false" outlineLevel="0" collapsed="false">
      <c r="A2270" s="3" t="n">
        <f aca="false">DATE(2004,6,21)</f>
        <v>38159</v>
      </c>
      <c r="B2270" s="4" t="s">
        <v>1565</v>
      </c>
      <c r="C2270" s="4" t="s">
        <v>2311</v>
      </c>
    </row>
    <row r="2271" customFormat="false" ht="12.8" hidden="false" customHeight="false" outlineLevel="0" collapsed="false">
      <c r="A2271" s="3" t="n">
        <f aca="false">DATE(2004,6,21)</f>
        <v>38159</v>
      </c>
      <c r="B2271" s="4" t="s">
        <v>60</v>
      </c>
      <c r="C2271" s="4" t="s">
        <v>2609</v>
      </c>
    </row>
    <row r="2272" customFormat="false" ht="12.8" hidden="false" customHeight="false" outlineLevel="0" collapsed="false">
      <c r="A2272" s="3" t="n">
        <f aca="false">DATE(2004,6,28)</f>
        <v>38166</v>
      </c>
      <c r="B2272" s="4" t="s">
        <v>2610</v>
      </c>
      <c r="C2272" s="4" t="s">
        <v>2611</v>
      </c>
    </row>
    <row r="2273" customFormat="false" ht="12.8" hidden="false" customHeight="false" outlineLevel="0" collapsed="false">
      <c r="A2273" s="3" t="n">
        <f aca="false">DATE(2004,6,30)</f>
        <v>38168</v>
      </c>
      <c r="B2273" s="4" t="s">
        <v>2612</v>
      </c>
      <c r="C2273" s="4" t="s">
        <v>2613</v>
      </c>
    </row>
    <row r="2274" customFormat="false" ht="12.8" hidden="false" customHeight="false" outlineLevel="0" collapsed="false">
      <c r="A2274" s="3" t="n">
        <f aca="false">DATE(2004,7,2)</f>
        <v>38170</v>
      </c>
      <c r="B2274" s="4" t="s">
        <v>2614</v>
      </c>
      <c r="C2274" s="4" t="s">
        <v>2376</v>
      </c>
    </row>
    <row r="2275" customFormat="false" ht="12.8" hidden="false" customHeight="false" outlineLevel="0" collapsed="false">
      <c r="A2275" s="3" t="n">
        <f aca="false">DATE(2004,7,7)</f>
        <v>38175</v>
      </c>
      <c r="B2275" s="4" t="s">
        <v>2615</v>
      </c>
      <c r="C2275" s="4" t="s">
        <v>2616</v>
      </c>
    </row>
    <row r="2276" customFormat="false" ht="12.8" hidden="false" customHeight="false" outlineLevel="0" collapsed="false">
      <c r="A2276" s="3" t="n">
        <f aca="false">DATE(2004,7,9)</f>
        <v>38177</v>
      </c>
      <c r="B2276" s="4" t="s">
        <v>2617</v>
      </c>
      <c r="C2276" s="4" t="s">
        <v>2618</v>
      </c>
    </row>
    <row r="2277" customFormat="false" ht="12.8" hidden="false" customHeight="false" outlineLevel="0" collapsed="false">
      <c r="A2277" s="3" t="n">
        <f aca="false">DATE(2004,7,15)</f>
        <v>38183</v>
      </c>
      <c r="B2277" s="4" t="s">
        <v>2619</v>
      </c>
      <c r="C2277" s="4" t="s">
        <v>814</v>
      </c>
    </row>
    <row r="2278" customFormat="false" ht="12.8" hidden="false" customHeight="false" outlineLevel="0" collapsed="false">
      <c r="A2278" s="3" t="n">
        <f aca="false">DATE(2004,7,16)</f>
        <v>38184</v>
      </c>
      <c r="B2278" s="4" t="s">
        <v>2620</v>
      </c>
      <c r="C2278" s="4" t="s">
        <v>2621</v>
      </c>
    </row>
    <row r="2279" customFormat="false" ht="12.8" hidden="false" customHeight="false" outlineLevel="0" collapsed="false">
      <c r="A2279" s="3" t="n">
        <f aca="false">DATE(2004,7,16)</f>
        <v>38184</v>
      </c>
      <c r="B2279" s="4" t="s">
        <v>231</v>
      </c>
      <c r="C2279" s="4" t="s">
        <v>2507</v>
      </c>
    </row>
    <row r="2280" customFormat="false" ht="12.8" hidden="false" customHeight="false" outlineLevel="0" collapsed="false">
      <c r="A2280" s="3" t="n">
        <f aca="false">DATE(2004,7,19)</f>
        <v>38187</v>
      </c>
      <c r="B2280" s="4" t="s">
        <v>2622</v>
      </c>
      <c r="C2280" s="4" t="s">
        <v>2623</v>
      </c>
    </row>
    <row r="2281" customFormat="false" ht="12.8" hidden="false" customHeight="false" outlineLevel="0" collapsed="false">
      <c r="A2281" s="3" t="n">
        <f aca="false">DATE(2004,7,19)</f>
        <v>38187</v>
      </c>
      <c r="B2281" s="4" t="s">
        <v>2624</v>
      </c>
      <c r="C2281" s="4" t="s">
        <v>2625</v>
      </c>
    </row>
    <row r="2282" customFormat="false" ht="12.8" hidden="false" customHeight="false" outlineLevel="0" collapsed="false">
      <c r="A2282" s="3" t="n">
        <f aca="false">DATE(2004,7,20)</f>
        <v>38188</v>
      </c>
      <c r="B2282" s="4" t="s">
        <v>2626</v>
      </c>
      <c r="C2282" s="4" t="s">
        <v>2627</v>
      </c>
    </row>
    <row r="2283" customFormat="false" ht="12.8" hidden="false" customHeight="false" outlineLevel="0" collapsed="false">
      <c r="A2283" s="3" t="n">
        <f aca="false">DATE(2004,7,25)</f>
        <v>38193</v>
      </c>
      <c r="B2283" s="4" t="s">
        <v>2628</v>
      </c>
      <c r="C2283" s="4" t="s">
        <v>2629</v>
      </c>
    </row>
    <row r="2284" customFormat="false" ht="12.8" hidden="false" customHeight="false" outlineLevel="0" collapsed="false">
      <c r="A2284" s="3" t="n">
        <f aca="false">DATE(2004,8,2)</f>
        <v>38201</v>
      </c>
      <c r="B2284" s="4" t="s">
        <v>2583</v>
      </c>
      <c r="C2284" s="4" t="s">
        <v>105</v>
      </c>
    </row>
    <row r="2285" customFormat="false" ht="12.8" hidden="false" customHeight="false" outlineLevel="0" collapsed="false">
      <c r="A2285" s="3" t="n">
        <f aca="false">DATE(2004,8,10)</f>
        <v>38209</v>
      </c>
      <c r="B2285" s="4" t="s">
        <v>2630</v>
      </c>
      <c r="C2285" s="4" t="s">
        <v>1467</v>
      </c>
    </row>
    <row r="2286" customFormat="false" ht="12.8" hidden="false" customHeight="false" outlineLevel="0" collapsed="false">
      <c r="A2286" s="3" t="n">
        <f aca="false">DATE(2004,8,12)</f>
        <v>38211</v>
      </c>
      <c r="B2286" s="4" t="s">
        <v>2631</v>
      </c>
      <c r="C2286" s="4" t="s">
        <v>2632</v>
      </c>
    </row>
    <row r="2287" customFormat="false" ht="12.8" hidden="false" customHeight="false" outlineLevel="0" collapsed="false">
      <c r="A2287" s="3" t="n">
        <f aca="false">DATE(2004,8,25)</f>
        <v>38224</v>
      </c>
      <c r="B2287" s="4" t="s">
        <v>2633</v>
      </c>
      <c r="C2287" s="4" t="s">
        <v>1172</v>
      </c>
    </row>
    <row r="2288" customFormat="false" ht="12.8" hidden="false" customHeight="false" outlineLevel="0" collapsed="false">
      <c r="A2288" s="3" t="n">
        <f aca="false">DATE(2004,8,26)</f>
        <v>38225</v>
      </c>
      <c r="B2288" s="4" t="s">
        <v>2634</v>
      </c>
      <c r="C2288" s="4" t="s">
        <v>2635</v>
      </c>
    </row>
    <row r="2289" customFormat="false" ht="12.8" hidden="false" customHeight="false" outlineLevel="0" collapsed="false">
      <c r="A2289" s="3" t="n">
        <f aca="false">DATE(2004,8,26)</f>
        <v>38225</v>
      </c>
      <c r="B2289" s="4" t="s">
        <v>2636</v>
      </c>
      <c r="C2289" s="4" t="s">
        <v>1114</v>
      </c>
    </row>
    <row r="2290" customFormat="false" ht="12.8" hidden="false" customHeight="false" outlineLevel="0" collapsed="false">
      <c r="A2290" s="3" t="n">
        <f aca="false">DATE(2004,9,2)</f>
        <v>38232</v>
      </c>
      <c r="B2290" s="4" t="s">
        <v>2637</v>
      </c>
      <c r="C2290" s="4" t="s">
        <v>1946</v>
      </c>
    </row>
    <row r="2291" customFormat="false" ht="12.8" hidden="false" customHeight="false" outlineLevel="0" collapsed="false">
      <c r="A2291" s="3" t="n">
        <f aca="false">DATE(2004,9,7)</f>
        <v>38237</v>
      </c>
      <c r="B2291" s="4" t="s">
        <v>2638</v>
      </c>
      <c r="C2291" s="4" t="s">
        <v>2625</v>
      </c>
    </row>
    <row r="2292" customFormat="false" ht="12.8" hidden="false" customHeight="false" outlineLevel="0" collapsed="false">
      <c r="A2292" s="3" t="n">
        <f aca="false">DATE(2004,9,7)</f>
        <v>38237</v>
      </c>
      <c r="B2292" s="4" t="s">
        <v>2639</v>
      </c>
      <c r="C2292" s="4" t="s">
        <v>1397</v>
      </c>
    </row>
    <row r="2293" customFormat="false" ht="12.8" hidden="false" customHeight="false" outlineLevel="0" collapsed="false">
      <c r="A2293" s="3" t="n">
        <f aca="false">DATE(2004,9,8)</f>
        <v>38238</v>
      </c>
      <c r="B2293" s="4" t="s">
        <v>2640</v>
      </c>
      <c r="C2293" s="4" t="s">
        <v>2641</v>
      </c>
    </row>
    <row r="2294" customFormat="false" ht="12.8" hidden="false" customHeight="false" outlineLevel="0" collapsed="false">
      <c r="A2294" s="3" t="n">
        <f aca="false">DATE(2004,9,10)</f>
        <v>38240</v>
      </c>
      <c r="B2294" s="4" t="s">
        <v>2642</v>
      </c>
      <c r="C2294" s="4" t="s">
        <v>830</v>
      </c>
    </row>
    <row r="2295" customFormat="false" ht="12.8" hidden="false" customHeight="false" outlineLevel="0" collapsed="false">
      <c r="A2295" s="3" t="n">
        <f aca="false">DATE(2004,9,15)</f>
        <v>38245</v>
      </c>
      <c r="B2295" s="4" t="s">
        <v>2643</v>
      </c>
      <c r="C2295" s="4" t="s">
        <v>2045</v>
      </c>
    </row>
    <row r="2296" customFormat="false" ht="12.8" hidden="false" customHeight="false" outlineLevel="0" collapsed="false">
      <c r="A2296" s="3" t="n">
        <f aca="false">DATE(2004,9,22)</f>
        <v>38252</v>
      </c>
      <c r="B2296" s="4" t="s">
        <v>2644</v>
      </c>
      <c r="C2296" s="4" t="s">
        <v>2645</v>
      </c>
    </row>
    <row r="2297" customFormat="false" ht="12.8" hidden="false" customHeight="false" outlineLevel="0" collapsed="false">
      <c r="A2297" s="3" t="n">
        <f aca="false">DATE(2004,9,24)</f>
        <v>38254</v>
      </c>
      <c r="B2297" s="4" t="s">
        <v>2646</v>
      </c>
      <c r="C2297" s="4" t="s">
        <v>1582</v>
      </c>
    </row>
    <row r="2298" customFormat="false" ht="12.8" hidden="false" customHeight="false" outlineLevel="0" collapsed="false">
      <c r="A2298" s="3" t="n">
        <f aca="false">DATE(2004,9,28)</f>
        <v>38258</v>
      </c>
      <c r="B2298" s="4" t="s">
        <v>2647</v>
      </c>
      <c r="C2298" s="4" t="s">
        <v>955</v>
      </c>
    </row>
    <row r="2299" customFormat="false" ht="12.8" hidden="false" customHeight="false" outlineLevel="0" collapsed="false">
      <c r="A2299" s="3" t="n">
        <f aca="false">DATE(2004,9,29)</f>
        <v>38259</v>
      </c>
      <c r="B2299" s="4" t="s">
        <v>2648</v>
      </c>
      <c r="C2299" s="4" t="s">
        <v>2439</v>
      </c>
    </row>
    <row r="2300" customFormat="false" ht="12.8" hidden="false" customHeight="false" outlineLevel="0" collapsed="false">
      <c r="A2300" s="3" t="n">
        <f aca="false">DATE(2004,10,4)</f>
        <v>38264</v>
      </c>
      <c r="B2300" s="4" t="s">
        <v>2649</v>
      </c>
      <c r="C2300" s="4" t="s">
        <v>2282</v>
      </c>
    </row>
    <row r="2301" customFormat="false" ht="12.8" hidden="false" customHeight="false" outlineLevel="0" collapsed="false">
      <c r="A2301" s="3" t="n">
        <f aca="false">DATE(2004,10,15)</f>
        <v>38275</v>
      </c>
      <c r="B2301" s="4" t="s">
        <v>2650</v>
      </c>
      <c r="C2301" s="4" t="s">
        <v>2493</v>
      </c>
    </row>
    <row r="2302" customFormat="false" ht="12.8" hidden="false" customHeight="false" outlineLevel="0" collapsed="false">
      <c r="A2302" s="3" t="n">
        <f aca="false">DATE(2004,10,15)</f>
        <v>38275</v>
      </c>
      <c r="B2302" s="4" t="s">
        <v>2651</v>
      </c>
      <c r="C2302" s="4" t="s">
        <v>2595</v>
      </c>
    </row>
    <row r="2303" customFormat="false" ht="12.8" hidden="false" customHeight="false" outlineLevel="0" collapsed="false">
      <c r="A2303" s="3" t="n">
        <f aca="false">DATE(2004,10,25)</f>
        <v>38285</v>
      </c>
      <c r="B2303" s="4" t="s">
        <v>2652</v>
      </c>
      <c r="C2303" s="4" t="s">
        <v>1397</v>
      </c>
    </row>
    <row r="2304" customFormat="false" ht="12.8" hidden="false" customHeight="false" outlineLevel="0" collapsed="false">
      <c r="A2304" s="3" t="n">
        <f aca="false">DATE(2004,10,26)</f>
        <v>38286</v>
      </c>
      <c r="B2304" s="4" t="s">
        <v>2653</v>
      </c>
      <c r="C2304" s="4" t="s">
        <v>2120</v>
      </c>
    </row>
    <row r="2305" customFormat="false" ht="12.8" hidden="false" customHeight="false" outlineLevel="0" collapsed="false">
      <c r="A2305" s="3" t="n">
        <f aca="false">DATE(2004,10,27)</f>
        <v>38287</v>
      </c>
      <c r="B2305" s="4" t="s">
        <v>2654</v>
      </c>
      <c r="C2305" s="4" t="s">
        <v>2391</v>
      </c>
    </row>
    <row r="2306" customFormat="false" ht="12.8" hidden="false" customHeight="false" outlineLevel="0" collapsed="false">
      <c r="A2306" s="3" t="n">
        <f aca="false">DATE(2004,11,9)</f>
        <v>38300</v>
      </c>
      <c r="B2306" s="4" t="s">
        <v>2655</v>
      </c>
      <c r="C2306" s="4" t="s">
        <v>553</v>
      </c>
    </row>
    <row r="2307" customFormat="false" ht="12.8" hidden="false" customHeight="false" outlineLevel="0" collapsed="false">
      <c r="A2307" s="3" t="n">
        <f aca="false">DATE(2004,11,16)</f>
        <v>38307</v>
      </c>
      <c r="B2307" s="4" t="s">
        <v>2656</v>
      </c>
      <c r="C2307" s="4" t="s">
        <v>2657</v>
      </c>
    </row>
    <row r="2308" customFormat="false" ht="12.8" hidden="false" customHeight="false" outlineLevel="0" collapsed="false">
      <c r="A2308" s="3" t="n">
        <f aca="false">DATE(2004,11,17)</f>
        <v>38308</v>
      </c>
      <c r="B2308" s="4" t="s">
        <v>2658</v>
      </c>
      <c r="C2308" s="4" t="s">
        <v>2493</v>
      </c>
    </row>
    <row r="2309" customFormat="false" ht="12.8" hidden="false" customHeight="false" outlineLevel="0" collapsed="false">
      <c r="A2309" s="3" t="n">
        <f aca="false">DATE(2004,11,19)</f>
        <v>38310</v>
      </c>
      <c r="B2309" s="4" t="s">
        <v>2659</v>
      </c>
      <c r="C2309" s="4" t="s">
        <v>1937</v>
      </c>
    </row>
    <row r="2310" customFormat="false" ht="12.8" hidden="false" customHeight="false" outlineLevel="0" collapsed="false">
      <c r="A2310" s="3" t="n">
        <f aca="false">DATE(2004,11,22)</f>
        <v>38313</v>
      </c>
      <c r="B2310" s="4" t="s">
        <v>2660</v>
      </c>
      <c r="C2310" s="4" t="s">
        <v>726</v>
      </c>
    </row>
    <row r="2311" customFormat="false" ht="12.8" hidden="false" customHeight="false" outlineLevel="0" collapsed="false">
      <c r="A2311" s="3" t="n">
        <f aca="false">DATE(2004,11,30)</f>
        <v>38321</v>
      </c>
      <c r="B2311" s="4" t="s">
        <v>2661</v>
      </c>
      <c r="C2311" s="4" t="s">
        <v>1631</v>
      </c>
    </row>
    <row r="2312" customFormat="false" ht="12.8" hidden="false" customHeight="false" outlineLevel="0" collapsed="false">
      <c r="A2312" s="3" t="n">
        <f aca="false">DATE(2004,12,2)</f>
        <v>38323</v>
      </c>
      <c r="B2312" s="4" t="s">
        <v>2662</v>
      </c>
      <c r="C2312" s="4" t="s">
        <v>553</v>
      </c>
    </row>
    <row r="2313" customFormat="false" ht="12.8" hidden="false" customHeight="false" outlineLevel="0" collapsed="false">
      <c r="A2313" s="3" t="n">
        <f aca="false">DATE(2004,12,9)</f>
        <v>38330</v>
      </c>
      <c r="B2313" s="4" t="s">
        <v>2663</v>
      </c>
      <c r="C2313" s="4" t="s">
        <v>2664</v>
      </c>
    </row>
    <row r="2314" customFormat="false" ht="12.8" hidden="false" customHeight="false" outlineLevel="0" collapsed="false">
      <c r="A2314" s="3" t="n">
        <f aca="false">DATE(2004,12,15)</f>
        <v>38336</v>
      </c>
      <c r="B2314" s="4" t="s">
        <v>2665</v>
      </c>
      <c r="C2314" s="4" t="s">
        <v>726</v>
      </c>
    </row>
    <row r="2315" customFormat="false" ht="12.8" hidden="false" customHeight="false" outlineLevel="0" collapsed="false">
      <c r="A2315" s="3" t="n">
        <f aca="false">DATE(2004,12,17)</f>
        <v>38338</v>
      </c>
      <c r="B2315" s="4" t="s">
        <v>2666</v>
      </c>
      <c r="C2315" s="4" t="s">
        <v>2341</v>
      </c>
    </row>
    <row r="2316" customFormat="false" ht="12.8" hidden="false" customHeight="false" outlineLevel="0" collapsed="false">
      <c r="A2316" s="3" t="n">
        <f aca="false">DATE(2004,12,17)</f>
        <v>38338</v>
      </c>
      <c r="B2316" s="4" t="s">
        <v>2667</v>
      </c>
      <c r="C2316" s="4" t="s">
        <v>2668</v>
      </c>
    </row>
    <row r="2317" customFormat="false" ht="12.8" hidden="false" customHeight="false" outlineLevel="0" collapsed="false">
      <c r="A2317" s="3" t="n">
        <f aca="false">DATE(2004,12,17)</f>
        <v>38338</v>
      </c>
      <c r="B2317" s="4" t="s">
        <v>2669</v>
      </c>
      <c r="C2317" s="4" t="s">
        <v>2670</v>
      </c>
    </row>
    <row r="2318" customFormat="false" ht="12.8" hidden="false" customHeight="false" outlineLevel="0" collapsed="false">
      <c r="A2318" s="3" t="n">
        <f aca="false">DATE(2004,12,21)</f>
        <v>38342</v>
      </c>
      <c r="B2318" s="4" t="s">
        <v>2671</v>
      </c>
      <c r="C2318" s="4" t="s">
        <v>849</v>
      </c>
    </row>
    <row r="2319" customFormat="false" ht="12.8" hidden="false" customHeight="false" outlineLevel="0" collapsed="false">
      <c r="A2319" s="3" t="n">
        <f aca="false">DATE(2004,12,22)</f>
        <v>38343</v>
      </c>
      <c r="B2319" s="4" t="s">
        <v>2672</v>
      </c>
      <c r="C2319" s="4" t="s">
        <v>2045</v>
      </c>
    </row>
    <row r="2320" customFormat="false" ht="12.8" hidden="false" customHeight="false" outlineLevel="0" collapsed="false">
      <c r="A2320" s="3" t="n">
        <f aca="false">DATE(2004,12,24)</f>
        <v>38345</v>
      </c>
      <c r="B2320" s="4" t="s">
        <v>2673</v>
      </c>
      <c r="C2320" s="4" t="s">
        <v>2674</v>
      </c>
    </row>
    <row r="2321" customFormat="false" ht="12.8" hidden="false" customHeight="false" outlineLevel="0" collapsed="false">
      <c r="A2321" s="3" t="n">
        <f aca="false">DATE(2004,12,29)</f>
        <v>38350</v>
      </c>
      <c r="B2321" s="4" t="s">
        <v>2675</v>
      </c>
      <c r="C2321" s="4" t="s">
        <v>1353</v>
      </c>
    </row>
    <row r="2322" customFormat="false" ht="12.8" hidden="false" customHeight="false" outlineLevel="0" collapsed="false">
      <c r="A2322" s="3" t="n">
        <f aca="false">DATE(2005,1,11)</f>
        <v>38363</v>
      </c>
      <c r="B2322" s="4" t="s">
        <v>2676</v>
      </c>
      <c r="C2322" s="4" t="s">
        <v>381</v>
      </c>
    </row>
    <row r="2323" customFormat="false" ht="12.8" hidden="false" customHeight="false" outlineLevel="0" collapsed="false">
      <c r="A2323" s="3" t="n">
        <f aca="false">DATE(2005,1,19)</f>
        <v>38371</v>
      </c>
      <c r="B2323" s="4" t="s">
        <v>2677</v>
      </c>
      <c r="C2323" s="4" t="s">
        <v>2678</v>
      </c>
    </row>
    <row r="2324" customFormat="false" ht="12.8" hidden="false" customHeight="false" outlineLevel="0" collapsed="false">
      <c r="A2324" s="3" t="n">
        <f aca="false">DATE(2005,1,25)</f>
        <v>38377</v>
      </c>
      <c r="B2324" s="4" t="s">
        <v>2679</v>
      </c>
      <c r="C2324" s="4" t="s">
        <v>309</v>
      </c>
    </row>
    <row r="2325" customFormat="false" ht="12.8" hidden="false" customHeight="false" outlineLevel="0" collapsed="false">
      <c r="A2325" s="3" t="n">
        <f aca="false">DATE(2005,2,2)</f>
        <v>38385</v>
      </c>
      <c r="B2325" s="4" t="s">
        <v>2680</v>
      </c>
      <c r="C2325" s="4" t="s">
        <v>2681</v>
      </c>
    </row>
    <row r="2326" customFormat="false" ht="12.8" hidden="false" customHeight="false" outlineLevel="0" collapsed="false">
      <c r="A2326" s="3" t="n">
        <f aca="false">DATE(2005,2,4)</f>
        <v>38387</v>
      </c>
      <c r="B2326" s="4" t="s">
        <v>2682</v>
      </c>
      <c r="C2326" s="4" t="s">
        <v>2073</v>
      </c>
    </row>
    <row r="2327" customFormat="false" ht="12.8" hidden="false" customHeight="false" outlineLevel="0" collapsed="false">
      <c r="A2327" s="3" t="n">
        <f aca="false">DATE(2005,2,22)</f>
        <v>38405</v>
      </c>
      <c r="B2327" s="4" t="s">
        <v>2683</v>
      </c>
      <c r="C2327" s="4" t="s">
        <v>2684</v>
      </c>
    </row>
    <row r="2328" customFormat="false" ht="12.8" hidden="false" customHeight="false" outlineLevel="0" collapsed="false">
      <c r="A2328" s="3" t="n">
        <f aca="false">DATE(2005,2,24)</f>
        <v>38407</v>
      </c>
      <c r="B2328" s="4" t="s">
        <v>2685</v>
      </c>
      <c r="C2328" s="4" t="s">
        <v>2123</v>
      </c>
    </row>
    <row r="2329" customFormat="false" ht="12.8" hidden="false" customHeight="false" outlineLevel="0" collapsed="false">
      <c r="A2329" s="3" t="n">
        <f aca="false">DATE(2005,2,25)</f>
        <v>38408</v>
      </c>
      <c r="B2329" s="4" t="s">
        <v>2686</v>
      </c>
      <c r="C2329" s="4" t="s">
        <v>2687</v>
      </c>
    </row>
    <row r="2330" customFormat="false" ht="12.8" hidden="false" customHeight="false" outlineLevel="0" collapsed="false">
      <c r="A2330" s="3" t="n">
        <f aca="false">DATE(2005,2,28)</f>
        <v>38411</v>
      </c>
      <c r="B2330" s="4" t="s">
        <v>2688</v>
      </c>
      <c r="C2330" s="4" t="s">
        <v>2211</v>
      </c>
    </row>
    <row r="2331" customFormat="false" ht="12.8" hidden="false" customHeight="false" outlineLevel="0" collapsed="false">
      <c r="A2331" s="3" t="n">
        <f aca="false">DATE(2005,2,28)</f>
        <v>38411</v>
      </c>
      <c r="B2331" s="4" t="s">
        <v>2689</v>
      </c>
      <c r="C2331" s="4" t="s">
        <v>1537</v>
      </c>
    </row>
    <row r="2332" customFormat="false" ht="12.8" hidden="false" customHeight="false" outlineLevel="0" collapsed="false">
      <c r="A2332" s="3" t="n">
        <f aca="false">DATE(2005,3,6)</f>
        <v>38417</v>
      </c>
      <c r="B2332" s="4" t="s">
        <v>86</v>
      </c>
      <c r="C2332" s="4" t="s">
        <v>2690</v>
      </c>
    </row>
    <row r="2333" customFormat="false" ht="12.8" hidden="false" customHeight="false" outlineLevel="0" collapsed="false">
      <c r="A2333" s="3" t="n">
        <f aca="false">DATE(2005,3,7)</f>
        <v>38418</v>
      </c>
      <c r="B2333" s="4" t="s">
        <v>2691</v>
      </c>
      <c r="C2333" s="4" t="s">
        <v>2692</v>
      </c>
    </row>
    <row r="2334" customFormat="false" ht="12.8" hidden="false" customHeight="false" outlineLevel="0" collapsed="false">
      <c r="A2334" s="3" t="n">
        <f aca="false">DATE(2005,3,15)</f>
        <v>38426</v>
      </c>
      <c r="B2334" s="4" t="s">
        <v>2693</v>
      </c>
      <c r="C2334" s="4" t="s">
        <v>1819</v>
      </c>
    </row>
    <row r="2335" customFormat="false" ht="12.8" hidden="false" customHeight="false" outlineLevel="0" collapsed="false">
      <c r="A2335" s="3" t="n">
        <f aca="false">DATE(2005,3,15)</f>
        <v>38426</v>
      </c>
      <c r="B2335" s="4" t="s">
        <v>2694</v>
      </c>
      <c r="C2335" s="4" t="s">
        <v>2695</v>
      </c>
    </row>
    <row r="2336" customFormat="false" ht="12.8" hidden="false" customHeight="false" outlineLevel="0" collapsed="false">
      <c r="A2336" s="3" t="n">
        <f aca="false">DATE(2005,3,21)</f>
        <v>38432</v>
      </c>
      <c r="B2336" s="4" t="s">
        <v>702</v>
      </c>
      <c r="C2336" s="4" t="s">
        <v>682</v>
      </c>
    </row>
    <row r="2337" customFormat="false" ht="12.8" hidden="false" customHeight="false" outlineLevel="0" collapsed="false">
      <c r="A2337" s="3" t="n">
        <f aca="false">DATE(2005,4,6)</f>
        <v>38448</v>
      </c>
      <c r="B2337" s="4" t="s">
        <v>2696</v>
      </c>
      <c r="C2337" s="4" t="s">
        <v>2697</v>
      </c>
    </row>
    <row r="2338" customFormat="false" ht="12.8" hidden="false" customHeight="false" outlineLevel="0" collapsed="false">
      <c r="A2338" s="3" t="n">
        <f aca="false">DATE(2005,4,13)</f>
        <v>38455</v>
      </c>
      <c r="B2338" s="4" t="s">
        <v>2698</v>
      </c>
      <c r="C2338" s="4" t="s">
        <v>2699</v>
      </c>
    </row>
    <row r="2339" customFormat="false" ht="12.8" hidden="false" customHeight="false" outlineLevel="0" collapsed="false">
      <c r="A2339" s="3" t="n">
        <f aca="false">DATE(2005,4,13)</f>
        <v>38455</v>
      </c>
      <c r="B2339" s="4" t="s">
        <v>2700</v>
      </c>
      <c r="C2339" s="4" t="s">
        <v>2701</v>
      </c>
    </row>
    <row r="2340" customFormat="false" ht="12.8" hidden="false" customHeight="false" outlineLevel="0" collapsed="false">
      <c r="A2340" s="3" t="n">
        <f aca="false">DATE(2005,4,13)</f>
        <v>38455</v>
      </c>
      <c r="B2340" s="4" t="s">
        <v>2702</v>
      </c>
      <c r="C2340" s="4" t="s">
        <v>779</v>
      </c>
    </row>
    <row r="2341" customFormat="false" ht="12.8" hidden="false" customHeight="false" outlineLevel="0" collapsed="false">
      <c r="A2341" s="3" t="n">
        <f aca="false">DATE(2005,4,15)</f>
        <v>38457</v>
      </c>
      <c r="B2341" s="4" t="s">
        <v>2703</v>
      </c>
      <c r="C2341" s="4" t="s">
        <v>2704</v>
      </c>
    </row>
    <row r="2342" customFormat="false" ht="12.8" hidden="false" customHeight="false" outlineLevel="0" collapsed="false">
      <c r="A2342" s="3" t="n">
        <f aca="false">DATE(2005,4,19)</f>
        <v>38461</v>
      </c>
      <c r="B2342" s="4" t="s">
        <v>2705</v>
      </c>
      <c r="C2342" s="4" t="s">
        <v>2322</v>
      </c>
    </row>
    <row r="2343" customFormat="false" ht="12.8" hidden="false" customHeight="false" outlineLevel="0" collapsed="false">
      <c r="A2343" s="3" t="n">
        <f aca="false">DATE(2005,4,20)</f>
        <v>38462</v>
      </c>
      <c r="B2343" s="4" t="s">
        <v>2706</v>
      </c>
      <c r="C2343" s="4" t="s">
        <v>9</v>
      </c>
    </row>
    <row r="2344" customFormat="false" ht="12.8" hidden="false" customHeight="false" outlineLevel="0" collapsed="false">
      <c r="A2344" s="3" t="n">
        <f aca="false">DATE(2005,4,22)</f>
        <v>38464</v>
      </c>
      <c r="B2344" s="4" t="s">
        <v>2707</v>
      </c>
      <c r="C2344" s="4" t="s">
        <v>2611</v>
      </c>
    </row>
    <row r="2345" customFormat="false" ht="12.8" hidden="false" customHeight="false" outlineLevel="0" collapsed="false">
      <c r="A2345" s="3" t="n">
        <f aca="false">DATE(2005,4,22)</f>
        <v>38464</v>
      </c>
      <c r="B2345" s="4" t="s">
        <v>2708</v>
      </c>
      <c r="C2345" s="4" t="s">
        <v>2709</v>
      </c>
    </row>
    <row r="2346" customFormat="false" ht="12.8" hidden="false" customHeight="false" outlineLevel="0" collapsed="false">
      <c r="A2346" s="3" t="n">
        <f aca="false">DATE(2005,5,2)</f>
        <v>38474</v>
      </c>
      <c r="B2346" s="4" t="s">
        <v>2710</v>
      </c>
      <c r="C2346" s="4" t="s">
        <v>2592</v>
      </c>
    </row>
    <row r="2347" customFormat="false" ht="12.8" hidden="false" customHeight="false" outlineLevel="0" collapsed="false">
      <c r="A2347" s="3" t="n">
        <f aca="false">DATE(2005,5,4)</f>
        <v>38476</v>
      </c>
      <c r="B2347" s="4" t="s">
        <v>2555</v>
      </c>
      <c r="C2347" s="4" t="s">
        <v>1941</v>
      </c>
    </row>
    <row r="2348" customFormat="false" ht="12.8" hidden="false" customHeight="false" outlineLevel="0" collapsed="false">
      <c r="A2348" s="3" t="n">
        <f aca="false">DATE(2005,5,4)</f>
        <v>38476</v>
      </c>
      <c r="B2348" s="4" t="s">
        <v>2711</v>
      </c>
      <c r="C2348" s="4" t="s">
        <v>2341</v>
      </c>
    </row>
    <row r="2349" customFormat="false" ht="12.8" hidden="false" customHeight="false" outlineLevel="0" collapsed="false">
      <c r="A2349" s="3" t="n">
        <f aca="false">DATE(2005,5,10)</f>
        <v>38482</v>
      </c>
      <c r="B2349" s="4" t="s">
        <v>2712</v>
      </c>
      <c r="C2349" s="4" t="s">
        <v>1887</v>
      </c>
    </row>
    <row r="2350" customFormat="false" ht="12.8" hidden="false" customHeight="false" outlineLevel="0" collapsed="false">
      <c r="A2350" s="3" t="n">
        <f aca="false">DATE(2005,5,12)</f>
        <v>38484</v>
      </c>
      <c r="B2350" s="4" t="s">
        <v>2713</v>
      </c>
      <c r="C2350" s="4" t="s">
        <v>1629</v>
      </c>
    </row>
    <row r="2351" customFormat="false" ht="12.8" hidden="false" customHeight="false" outlineLevel="0" collapsed="false">
      <c r="A2351" s="3" t="n">
        <f aca="false">DATE(2005,5,19)</f>
        <v>38491</v>
      </c>
      <c r="B2351" s="4" t="s">
        <v>2714</v>
      </c>
      <c r="C2351" s="4" t="s">
        <v>2715</v>
      </c>
    </row>
    <row r="2352" customFormat="false" ht="12.8" hidden="false" customHeight="false" outlineLevel="0" collapsed="false">
      <c r="A2352" s="3" t="n">
        <f aca="false">DATE(2005,5,23)</f>
        <v>38495</v>
      </c>
      <c r="B2352" s="4" t="s">
        <v>2716</v>
      </c>
      <c r="C2352" s="4" t="s">
        <v>2418</v>
      </c>
    </row>
    <row r="2353" customFormat="false" ht="12.8" hidden="false" customHeight="false" outlineLevel="0" collapsed="false">
      <c r="A2353" s="3" t="n">
        <f aca="false">DATE(2005,5,25)</f>
        <v>38497</v>
      </c>
      <c r="B2353" s="4" t="s">
        <v>2717</v>
      </c>
      <c r="C2353" s="4" t="s">
        <v>2718</v>
      </c>
    </row>
    <row r="2354" customFormat="false" ht="12.8" hidden="false" customHeight="false" outlineLevel="0" collapsed="false">
      <c r="A2354" s="3" t="n">
        <f aca="false">DATE(2005,6,8)</f>
        <v>38511</v>
      </c>
      <c r="B2354" s="4" t="s">
        <v>2719</v>
      </c>
      <c r="C2354" s="4" t="s">
        <v>2720</v>
      </c>
    </row>
    <row r="2355" customFormat="false" ht="12.8" hidden="false" customHeight="false" outlineLevel="0" collapsed="false">
      <c r="A2355" s="3" t="n">
        <f aca="false">DATE(2005,6,9)</f>
        <v>38512</v>
      </c>
      <c r="B2355" s="4" t="s">
        <v>2721</v>
      </c>
      <c r="C2355" s="4" t="s">
        <v>2722</v>
      </c>
    </row>
    <row r="2356" customFormat="false" ht="12.8" hidden="false" customHeight="false" outlineLevel="0" collapsed="false">
      <c r="A2356" s="3" t="n">
        <f aca="false">DATE(2005,6,9)</f>
        <v>38512</v>
      </c>
      <c r="B2356" s="4" t="s">
        <v>2723</v>
      </c>
      <c r="C2356" s="4" t="s">
        <v>784</v>
      </c>
    </row>
    <row r="2357" customFormat="false" ht="12.8" hidden="false" customHeight="false" outlineLevel="0" collapsed="false">
      <c r="A2357" s="3" t="n">
        <f aca="false">DATE(2005,6,14)</f>
        <v>38517</v>
      </c>
      <c r="B2357" s="4" t="s">
        <v>2115</v>
      </c>
      <c r="C2357" s="4" t="s">
        <v>789</v>
      </c>
    </row>
    <row r="2358" customFormat="false" ht="12.8" hidden="false" customHeight="false" outlineLevel="0" collapsed="false">
      <c r="A2358" s="3" t="n">
        <f aca="false">DATE(2005,6,21)</f>
        <v>38524</v>
      </c>
      <c r="B2358" s="4" t="s">
        <v>2724</v>
      </c>
      <c r="C2358" s="4" t="s">
        <v>2045</v>
      </c>
    </row>
    <row r="2359" customFormat="false" ht="12.8" hidden="false" customHeight="false" outlineLevel="0" collapsed="false">
      <c r="A2359" s="3" t="n">
        <f aca="false">DATE(2005,6,24)</f>
        <v>38527</v>
      </c>
      <c r="B2359" s="4" t="s">
        <v>2725</v>
      </c>
      <c r="C2359" s="4" t="s">
        <v>2450</v>
      </c>
    </row>
    <row r="2360" customFormat="false" ht="12.8" hidden="false" customHeight="false" outlineLevel="0" collapsed="false">
      <c r="A2360" s="3" t="n">
        <f aca="false">DATE(2005,6,29)</f>
        <v>38532</v>
      </c>
      <c r="B2360" s="4" t="s">
        <v>2726</v>
      </c>
      <c r="C2360" s="4" t="s">
        <v>2399</v>
      </c>
    </row>
    <row r="2361" customFormat="false" ht="12.8" hidden="false" customHeight="false" outlineLevel="0" collapsed="false">
      <c r="A2361" s="3" t="n">
        <f aca="false">DATE(2005,6,30)</f>
        <v>38533</v>
      </c>
      <c r="B2361" s="4" t="s">
        <v>2727</v>
      </c>
      <c r="C2361" s="4" t="s">
        <v>2327</v>
      </c>
    </row>
    <row r="2362" customFormat="false" ht="12.8" hidden="false" customHeight="false" outlineLevel="0" collapsed="false">
      <c r="A2362" s="3" t="n">
        <f aca="false">DATE(2005,6,30)</f>
        <v>38533</v>
      </c>
      <c r="B2362" s="4" t="s">
        <v>2728</v>
      </c>
      <c r="C2362" s="4" t="s">
        <v>2525</v>
      </c>
    </row>
    <row r="2363" customFormat="false" ht="12.8" hidden="false" customHeight="false" outlineLevel="0" collapsed="false">
      <c r="A2363" s="3" t="n">
        <f aca="false">DATE(2005,6,30)</f>
        <v>38533</v>
      </c>
      <c r="B2363" s="4" t="s">
        <v>2729</v>
      </c>
      <c r="C2363" s="4" t="s">
        <v>2070</v>
      </c>
    </row>
    <row r="2364" customFormat="false" ht="12.8" hidden="false" customHeight="false" outlineLevel="0" collapsed="false">
      <c r="A2364" s="3" t="n">
        <f aca="false">DATE(2005,7,1)</f>
        <v>38534</v>
      </c>
      <c r="B2364" s="4" t="s">
        <v>2730</v>
      </c>
      <c r="C2364" s="4" t="s">
        <v>2569</v>
      </c>
    </row>
    <row r="2365" customFormat="false" ht="12.8" hidden="false" customHeight="false" outlineLevel="0" collapsed="false">
      <c r="A2365" s="3" t="n">
        <f aca="false">DATE(2005,7,1)</f>
        <v>38534</v>
      </c>
      <c r="B2365" s="4" t="s">
        <v>2731</v>
      </c>
      <c r="C2365" s="4" t="s">
        <v>1433</v>
      </c>
    </row>
    <row r="2366" customFormat="false" ht="12.8" hidden="false" customHeight="false" outlineLevel="0" collapsed="false">
      <c r="A2366" s="3" t="n">
        <f aca="false">DATE(2005,7,6)</f>
        <v>38539</v>
      </c>
      <c r="B2366" s="4" t="s">
        <v>2732</v>
      </c>
      <c r="C2366" s="4" t="s">
        <v>987</v>
      </c>
    </row>
    <row r="2367" customFormat="false" ht="12.8" hidden="false" customHeight="false" outlineLevel="0" collapsed="false">
      <c r="A2367" s="3" t="n">
        <f aca="false">DATE(2005,7,7)</f>
        <v>38540</v>
      </c>
      <c r="B2367" s="4" t="s">
        <v>2733</v>
      </c>
      <c r="C2367" s="4" t="s">
        <v>953</v>
      </c>
    </row>
    <row r="2368" customFormat="false" ht="12.8" hidden="false" customHeight="false" outlineLevel="0" collapsed="false">
      <c r="A2368" s="3" t="n">
        <f aca="false">DATE(2005,7,12)</f>
        <v>38545</v>
      </c>
      <c r="B2368" s="4" t="s">
        <v>847</v>
      </c>
      <c r="C2368" s="4" t="s">
        <v>2734</v>
      </c>
    </row>
    <row r="2369" customFormat="false" ht="12.8" hidden="false" customHeight="false" outlineLevel="0" collapsed="false">
      <c r="A2369" s="3" t="n">
        <f aca="false">DATE(2005,7,14)</f>
        <v>38547</v>
      </c>
      <c r="B2369" s="4" t="s">
        <v>2735</v>
      </c>
      <c r="C2369" s="4" t="s">
        <v>726</v>
      </c>
    </row>
    <row r="2370" customFormat="false" ht="12.8" hidden="false" customHeight="false" outlineLevel="0" collapsed="false">
      <c r="A2370" s="3" t="n">
        <f aca="false">DATE(2005,7,22)</f>
        <v>38555</v>
      </c>
      <c r="B2370" s="4" t="s">
        <v>2736</v>
      </c>
      <c r="C2370" s="4" t="s">
        <v>2668</v>
      </c>
    </row>
    <row r="2371" customFormat="false" ht="12.8" hidden="false" customHeight="false" outlineLevel="0" collapsed="false">
      <c r="A2371" s="3" t="n">
        <f aca="false">DATE(2005,7,25)</f>
        <v>38558</v>
      </c>
      <c r="B2371" s="4" t="s">
        <v>2737</v>
      </c>
      <c r="C2371" s="4" t="s">
        <v>2738</v>
      </c>
    </row>
    <row r="2372" customFormat="false" ht="12.8" hidden="false" customHeight="false" outlineLevel="0" collapsed="false">
      <c r="A2372" s="3" t="n">
        <f aca="false">DATE(2005,7,25)</f>
        <v>38558</v>
      </c>
      <c r="B2372" s="4" t="s">
        <v>2739</v>
      </c>
      <c r="C2372" s="4" t="s">
        <v>1579</v>
      </c>
    </row>
    <row r="2373" customFormat="false" ht="12.8" hidden="false" customHeight="false" outlineLevel="0" collapsed="false">
      <c r="A2373" s="3" t="n">
        <f aca="false">DATE(2005,7,26)</f>
        <v>38559</v>
      </c>
      <c r="B2373" s="4" t="s">
        <v>2147</v>
      </c>
      <c r="C2373" s="4" t="s">
        <v>381</v>
      </c>
    </row>
    <row r="2374" customFormat="false" ht="12.8" hidden="false" customHeight="false" outlineLevel="0" collapsed="false">
      <c r="A2374" s="3" t="n">
        <f aca="false">DATE(2005,7,27)</f>
        <v>38560</v>
      </c>
      <c r="B2374" s="4" t="s">
        <v>2740</v>
      </c>
      <c r="C2374" s="4" t="s">
        <v>1401</v>
      </c>
    </row>
    <row r="2375" customFormat="false" ht="12.8" hidden="false" customHeight="false" outlineLevel="0" collapsed="false">
      <c r="A2375" s="3" t="n">
        <f aca="false">DATE(2005,8,1)</f>
        <v>38565</v>
      </c>
      <c r="B2375" s="4" t="s">
        <v>2741</v>
      </c>
      <c r="C2375" s="4" t="s">
        <v>2742</v>
      </c>
    </row>
    <row r="2376" customFormat="false" ht="12.8" hidden="false" customHeight="false" outlineLevel="0" collapsed="false">
      <c r="A2376" s="3" t="n">
        <f aca="false">DATE(2005,8,1)</f>
        <v>38565</v>
      </c>
      <c r="B2376" s="4" t="s">
        <v>2743</v>
      </c>
      <c r="C2376" s="4" t="s">
        <v>2744</v>
      </c>
    </row>
    <row r="2377" customFormat="false" ht="12.8" hidden="false" customHeight="false" outlineLevel="0" collapsed="false">
      <c r="A2377" s="3" t="n">
        <f aca="false">DATE(2005,8,3)</f>
        <v>38567</v>
      </c>
      <c r="B2377" s="4" t="s">
        <v>2745</v>
      </c>
      <c r="C2377" s="4" t="s">
        <v>2418</v>
      </c>
    </row>
    <row r="2378" customFormat="false" ht="12.8" hidden="false" customHeight="false" outlineLevel="0" collapsed="false">
      <c r="A2378" s="3" t="n">
        <f aca="false">DATE(2005,8,9)</f>
        <v>38573</v>
      </c>
      <c r="B2378" s="4" t="s">
        <v>2746</v>
      </c>
      <c r="C2378" s="4" t="s">
        <v>1397</v>
      </c>
    </row>
    <row r="2379" customFormat="false" ht="12.8" hidden="false" customHeight="false" outlineLevel="0" collapsed="false">
      <c r="A2379" s="3" t="n">
        <f aca="false">DATE(2005,8,17)</f>
        <v>38581</v>
      </c>
      <c r="B2379" s="4" t="s">
        <v>2747</v>
      </c>
      <c r="C2379" s="4" t="s">
        <v>2748</v>
      </c>
    </row>
    <row r="2380" customFormat="false" ht="12.8" hidden="false" customHeight="false" outlineLevel="0" collapsed="false">
      <c r="A2380" s="3" t="n">
        <f aca="false">DATE(2005,8,17)</f>
        <v>38581</v>
      </c>
      <c r="B2380" s="4" t="s">
        <v>2749</v>
      </c>
      <c r="C2380" s="4" t="s">
        <v>2750</v>
      </c>
    </row>
    <row r="2381" customFormat="false" ht="12.8" hidden="false" customHeight="false" outlineLevel="0" collapsed="false">
      <c r="A2381" s="3" t="n">
        <f aca="false">DATE(2005,8,25)</f>
        <v>38589</v>
      </c>
      <c r="B2381" s="4" t="s">
        <v>2751</v>
      </c>
      <c r="C2381" s="4" t="s">
        <v>2752</v>
      </c>
    </row>
    <row r="2382" customFormat="false" ht="12.8" hidden="false" customHeight="false" outlineLevel="0" collapsed="false">
      <c r="A2382" s="3" t="n">
        <f aca="false">DATE(2005,8,31)</f>
        <v>38595</v>
      </c>
      <c r="B2382" s="4" t="s">
        <v>2753</v>
      </c>
      <c r="C2382" s="4" t="s">
        <v>1273</v>
      </c>
    </row>
    <row r="2383" customFormat="false" ht="12.8" hidden="false" customHeight="false" outlineLevel="0" collapsed="false">
      <c r="A2383" s="3" t="n">
        <f aca="false">DATE(2005,9,1)</f>
        <v>38596</v>
      </c>
      <c r="B2383" s="4" t="s">
        <v>2754</v>
      </c>
      <c r="C2383" s="4" t="s">
        <v>9</v>
      </c>
    </row>
    <row r="2384" customFormat="false" ht="12.8" hidden="false" customHeight="false" outlineLevel="0" collapsed="false">
      <c r="A2384" s="3" t="n">
        <f aca="false">DATE(2005,9,6)</f>
        <v>38601</v>
      </c>
      <c r="B2384" s="4" t="s">
        <v>2755</v>
      </c>
      <c r="C2384" s="4" t="s">
        <v>2756</v>
      </c>
    </row>
    <row r="2385" customFormat="false" ht="12.8" hidden="false" customHeight="false" outlineLevel="0" collapsed="false">
      <c r="A2385" s="3" t="n">
        <f aca="false">DATE(2005,9,6)</f>
        <v>38601</v>
      </c>
      <c r="B2385" s="4" t="s">
        <v>2757</v>
      </c>
      <c r="C2385" s="4" t="s">
        <v>560</v>
      </c>
    </row>
    <row r="2386" customFormat="false" ht="12.8" hidden="false" customHeight="false" outlineLevel="0" collapsed="false">
      <c r="A2386" s="3" t="n">
        <f aca="false">DATE(2005,9,7)</f>
        <v>38602</v>
      </c>
      <c r="B2386" s="4" t="s">
        <v>2758</v>
      </c>
      <c r="C2386" s="4" t="s">
        <v>2759</v>
      </c>
    </row>
    <row r="2387" customFormat="false" ht="12.8" hidden="false" customHeight="false" outlineLevel="0" collapsed="false">
      <c r="A2387" s="3" t="n">
        <f aca="false">DATE(2005,9,9)</f>
        <v>38604</v>
      </c>
      <c r="B2387" s="4" t="s">
        <v>2760</v>
      </c>
      <c r="C2387" s="4" t="s">
        <v>2678</v>
      </c>
    </row>
    <row r="2388" customFormat="false" ht="12.8" hidden="false" customHeight="false" outlineLevel="0" collapsed="false">
      <c r="A2388" s="3" t="n">
        <f aca="false">DATE(2005,9,12)</f>
        <v>38607</v>
      </c>
      <c r="B2388" s="4" t="s">
        <v>2761</v>
      </c>
      <c r="C2388" s="4" t="s">
        <v>1983</v>
      </c>
    </row>
    <row r="2389" customFormat="false" ht="12.8" hidden="false" customHeight="false" outlineLevel="0" collapsed="false">
      <c r="A2389" s="3" t="n">
        <f aca="false">DATE(2005,9,13)</f>
        <v>38608</v>
      </c>
      <c r="B2389" s="4" t="s">
        <v>2762</v>
      </c>
      <c r="C2389" s="4" t="s">
        <v>784</v>
      </c>
    </row>
    <row r="2390" customFormat="false" ht="12.8" hidden="false" customHeight="false" outlineLevel="0" collapsed="false">
      <c r="A2390" s="3" t="n">
        <f aca="false">DATE(2005,9,19)</f>
        <v>38614</v>
      </c>
      <c r="B2390" s="4" t="s">
        <v>2763</v>
      </c>
      <c r="C2390" s="4" t="s">
        <v>1887</v>
      </c>
    </row>
    <row r="2391" customFormat="false" ht="12.8" hidden="false" customHeight="false" outlineLevel="0" collapsed="false">
      <c r="A2391" s="3" t="n">
        <f aca="false">DATE(2005,9,19)</f>
        <v>38614</v>
      </c>
      <c r="B2391" s="4" t="s">
        <v>2764</v>
      </c>
      <c r="C2391" s="4" t="s">
        <v>935</v>
      </c>
    </row>
    <row r="2392" customFormat="false" ht="12.8" hidden="false" customHeight="false" outlineLevel="0" collapsed="false">
      <c r="A2392" s="3" t="n">
        <f aca="false">DATE(2005,9,21)</f>
        <v>38616</v>
      </c>
      <c r="B2392" s="4" t="s">
        <v>2765</v>
      </c>
      <c r="C2392" s="4" t="s">
        <v>2766</v>
      </c>
    </row>
    <row r="2393" customFormat="false" ht="12.8" hidden="false" customHeight="false" outlineLevel="0" collapsed="false">
      <c r="A2393" s="3" t="n">
        <f aca="false">DATE(2005,9,21)</f>
        <v>38616</v>
      </c>
      <c r="B2393" s="4" t="s">
        <v>2767</v>
      </c>
      <c r="C2393" s="4" t="s">
        <v>2609</v>
      </c>
    </row>
    <row r="2394" customFormat="false" ht="12.8" hidden="false" customHeight="false" outlineLevel="0" collapsed="false">
      <c r="A2394" s="3" t="n">
        <f aca="false">DATE(2005,9,28)</f>
        <v>38623</v>
      </c>
      <c r="B2394" s="4" t="s">
        <v>2768</v>
      </c>
      <c r="C2394" s="4" t="s">
        <v>2452</v>
      </c>
    </row>
    <row r="2395" customFormat="false" ht="12.8" hidden="false" customHeight="false" outlineLevel="0" collapsed="false">
      <c r="A2395" s="3" t="n">
        <f aca="false">DATE(2005,9,30)</f>
        <v>38625</v>
      </c>
      <c r="B2395" s="4" t="s">
        <v>2769</v>
      </c>
      <c r="C2395" s="4" t="s">
        <v>2770</v>
      </c>
    </row>
    <row r="2396" customFormat="false" ht="12.8" hidden="false" customHeight="false" outlineLevel="0" collapsed="false">
      <c r="A2396" s="3" t="n">
        <f aca="false">DATE(2005,10,10)</f>
        <v>38635</v>
      </c>
      <c r="B2396" s="4" t="s">
        <v>2771</v>
      </c>
      <c r="C2396" s="4" t="s">
        <v>2744</v>
      </c>
    </row>
    <row r="2397" customFormat="false" ht="12.8" hidden="false" customHeight="false" outlineLevel="0" collapsed="false">
      <c r="A2397" s="3" t="n">
        <f aca="false">DATE(2005,10,12)</f>
        <v>38637</v>
      </c>
      <c r="B2397" s="4" t="s">
        <v>2772</v>
      </c>
      <c r="C2397" s="4" t="s">
        <v>2007</v>
      </c>
    </row>
    <row r="2398" customFormat="false" ht="12.8" hidden="false" customHeight="false" outlineLevel="0" collapsed="false">
      <c r="A2398" s="3" t="n">
        <f aca="false">DATE(2005,10,12)</f>
        <v>38637</v>
      </c>
      <c r="B2398" s="4" t="s">
        <v>2773</v>
      </c>
      <c r="C2398" s="4" t="s">
        <v>2007</v>
      </c>
    </row>
    <row r="2399" customFormat="false" ht="12.8" hidden="false" customHeight="false" outlineLevel="0" collapsed="false">
      <c r="A2399" s="3" t="n">
        <f aca="false">DATE(2005,10,13)</f>
        <v>38638</v>
      </c>
      <c r="B2399" s="4" t="s">
        <v>2755</v>
      </c>
      <c r="C2399" s="4" t="s">
        <v>2418</v>
      </c>
    </row>
    <row r="2400" customFormat="false" ht="12.8" hidden="false" customHeight="false" outlineLevel="0" collapsed="false">
      <c r="A2400" s="3" t="n">
        <f aca="false">DATE(2005,10,19)</f>
        <v>38644</v>
      </c>
      <c r="B2400" s="4" t="s">
        <v>2774</v>
      </c>
      <c r="C2400" s="4" t="s">
        <v>2775</v>
      </c>
    </row>
    <row r="2401" customFormat="false" ht="12.8" hidden="false" customHeight="false" outlineLevel="0" collapsed="false">
      <c r="A2401" s="3" t="n">
        <f aca="false">DATE(2005,10,20)</f>
        <v>38645</v>
      </c>
      <c r="B2401" s="4" t="s">
        <v>2776</v>
      </c>
      <c r="C2401" s="4" t="s">
        <v>2777</v>
      </c>
    </row>
    <row r="2402" customFormat="false" ht="12.8" hidden="false" customHeight="false" outlineLevel="0" collapsed="false">
      <c r="A2402" s="3" t="n">
        <f aca="false">DATE(2005,10,26)</f>
        <v>38651</v>
      </c>
      <c r="B2402" s="4" t="s">
        <v>2778</v>
      </c>
      <c r="C2402" s="4" t="s">
        <v>2592</v>
      </c>
    </row>
    <row r="2403" customFormat="false" ht="12.8" hidden="false" customHeight="false" outlineLevel="0" collapsed="false">
      <c r="A2403" s="3" t="n">
        <f aca="false">DATE(2005,10,26)</f>
        <v>38651</v>
      </c>
      <c r="B2403" s="4" t="s">
        <v>2779</v>
      </c>
      <c r="C2403" s="4" t="s">
        <v>2780</v>
      </c>
    </row>
    <row r="2404" customFormat="false" ht="12.8" hidden="false" customHeight="false" outlineLevel="0" collapsed="false">
      <c r="A2404" s="3" t="n">
        <f aca="false">DATE(2005,10,26)</f>
        <v>38651</v>
      </c>
      <c r="B2404" s="4" t="s">
        <v>2781</v>
      </c>
      <c r="C2404" s="4" t="s">
        <v>2452</v>
      </c>
    </row>
    <row r="2405" customFormat="false" ht="12.8" hidden="false" customHeight="false" outlineLevel="0" collapsed="false">
      <c r="A2405" s="3" t="n">
        <f aca="false">DATE(2005,10,27)</f>
        <v>38652</v>
      </c>
      <c r="B2405" s="4" t="s">
        <v>2782</v>
      </c>
      <c r="C2405" s="4" t="s">
        <v>1341</v>
      </c>
    </row>
    <row r="2406" customFormat="false" ht="12.8" hidden="false" customHeight="false" outlineLevel="0" collapsed="false">
      <c r="A2406" s="3" t="n">
        <f aca="false">DATE(2005,10,27)</f>
        <v>38652</v>
      </c>
      <c r="B2406" s="4" t="s">
        <v>2783</v>
      </c>
      <c r="C2406" s="4" t="s">
        <v>1529</v>
      </c>
    </row>
    <row r="2407" customFormat="false" ht="12.8" hidden="false" customHeight="false" outlineLevel="0" collapsed="false">
      <c r="A2407" s="3" t="n">
        <f aca="false">DATE(2005,10,31)</f>
        <v>38656</v>
      </c>
      <c r="B2407" s="4" t="s">
        <v>2784</v>
      </c>
      <c r="C2407" s="4" t="s">
        <v>560</v>
      </c>
    </row>
    <row r="2408" customFormat="false" ht="12.8" hidden="false" customHeight="false" outlineLevel="0" collapsed="false">
      <c r="A2408" s="3" t="n">
        <f aca="false">DATE(2005,10,31)</f>
        <v>38656</v>
      </c>
      <c r="B2408" s="4" t="s">
        <v>2785</v>
      </c>
      <c r="C2408" s="4" t="s">
        <v>1871</v>
      </c>
    </row>
    <row r="2409" customFormat="false" ht="12.8" hidden="false" customHeight="false" outlineLevel="0" collapsed="false">
      <c r="A2409" s="3" t="n">
        <f aca="false">DATE(2005,11,1)</f>
        <v>38657</v>
      </c>
      <c r="B2409" s="4" t="s">
        <v>2786</v>
      </c>
      <c r="C2409" s="4" t="s">
        <v>2341</v>
      </c>
    </row>
    <row r="2410" customFormat="false" ht="12.8" hidden="false" customHeight="false" outlineLevel="0" collapsed="false">
      <c r="A2410" s="3" t="n">
        <f aca="false">DATE(2005,11,9)</f>
        <v>38665</v>
      </c>
      <c r="B2410" s="4" t="s">
        <v>2787</v>
      </c>
      <c r="C2410" s="4" t="s">
        <v>9</v>
      </c>
    </row>
    <row r="2411" customFormat="false" ht="12.8" hidden="false" customHeight="false" outlineLevel="0" collapsed="false">
      <c r="A2411" s="3" t="n">
        <f aca="false">DATE(2005,11,9)</f>
        <v>38665</v>
      </c>
      <c r="B2411" s="4" t="s">
        <v>1659</v>
      </c>
      <c r="C2411" s="4" t="s">
        <v>2296</v>
      </c>
    </row>
    <row r="2412" customFormat="false" ht="12.8" hidden="false" customHeight="false" outlineLevel="0" collapsed="false">
      <c r="A2412" s="3" t="n">
        <f aca="false">DATE(2005,11,14)</f>
        <v>38670</v>
      </c>
      <c r="B2412" s="4" t="s">
        <v>2788</v>
      </c>
      <c r="C2412" s="4" t="s">
        <v>2718</v>
      </c>
    </row>
    <row r="2413" customFormat="false" ht="12.8" hidden="false" customHeight="false" outlineLevel="0" collapsed="false">
      <c r="A2413" s="3" t="n">
        <f aca="false">DATE(2005,11,14)</f>
        <v>38670</v>
      </c>
      <c r="B2413" s="4" t="s">
        <v>2789</v>
      </c>
      <c r="C2413" s="4" t="s">
        <v>459</v>
      </c>
    </row>
    <row r="2414" customFormat="false" ht="12.8" hidden="false" customHeight="false" outlineLevel="0" collapsed="false">
      <c r="A2414" s="3" t="n">
        <f aca="false">DATE(2005,11,16)</f>
        <v>38672</v>
      </c>
      <c r="B2414" s="4" t="s">
        <v>2790</v>
      </c>
      <c r="C2414" s="4" t="s">
        <v>2120</v>
      </c>
    </row>
    <row r="2415" customFormat="false" ht="12.8" hidden="false" customHeight="false" outlineLevel="0" collapsed="false">
      <c r="A2415" s="3" t="n">
        <f aca="false">DATE(2005,11,21)</f>
        <v>38677</v>
      </c>
      <c r="B2415" s="4" t="s">
        <v>2791</v>
      </c>
      <c r="C2415" s="4" t="s">
        <v>2792</v>
      </c>
    </row>
    <row r="2416" customFormat="false" ht="12.8" hidden="false" customHeight="false" outlineLevel="0" collapsed="false">
      <c r="A2416" s="3" t="n">
        <f aca="false">DATE(2005,11,22)</f>
        <v>38678</v>
      </c>
      <c r="B2416" s="4" t="s">
        <v>2793</v>
      </c>
      <c r="C2416" s="4" t="s">
        <v>1631</v>
      </c>
    </row>
    <row r="2417" customFormat="false" ht="12.8" hidden="false" customHeight="false" outlineLevel="0" collapsed="false">
      <c r="A2417" s="3" t="n">
        <f aca="false">DATE(2005,11,22)</f>
        <v>38678</v>
      </c>
      <c r="B2417" s="4" t="s">
        <v>2794</v>
      </c>
      <c r="C2417" s="4" t="s">
        <v>2678</v>
      </c>
    </row>
    <row r="2418" customFormat="false" ht="12.8" hidden="false" customHeight="false" outlineLevel="0" collapsed="false">
      <c r="A2418" s="3" t="n">
        <f aca="false">DATE(2005,11,23)</f>
        <v>38679</v>
      </c>
      <c r="B2418" s="4" t="s">
        <v>1925</v>
      </c>
      <c r="C2418" s="4" t="s">
        <v>2592</v>
      </c>
    </row>
    <row r="2419" customFormat="false" ht="12.8" hidden="false" customHeight="false" outlineLevel="0" collapsed="false">
      <c r="A2419" s="3" t="n">
        <f aca="false">DATE(2005,11,29)</f>
        <v>38685</v>
      </c>
      <c r="B2419" s="4" t="s">
        <v>2795</v>
      </c>
      <c r="C2419" s="4" t="s">
        <v>2796</v>
      </c>
    </row>
    <row r="2420" customFormat="false" ht="12.8" hidden="false" customHeight="false" outlineLevel="0" collapsed="false">
      <c r="A2420" s="3" t="n">
        <f aca="false">DATE(2005,11,29)</f>
        <v>38685</v>
      </c>
      <c r="B2420" s="4" t="s">
        <v>2797</v>
      </c>
      <c r="C2420" s="4" t="s">
        <v>2305</v>
      </c>
    </row>
    <row r="2421" customFormat="false" ht="12.8" hidden="false" customHeight="false" outlineLevel="0" collapsed="false">
      <c r="A2421" s="3" t="n">
        <f aca="false">DATE(2005,11,29)</f>
        <v>38685</v>
      </c>
      <c r="B2421" s="4" t="s">
        <v>2798</v>
      </c>
      <c r="C2421" s="4" t="s">
        <v>1654</v>
      </c>
    </row>
    <row r="2422" customFormat="false" ht="12.8" hidden="false" customHeight="false" outlineLevel="0" collapsed="false">
      <c r="A2422" s="3" t="n">
        <f aca="false">DATE(2005,12,5)</f>
        <v>38691</v>
      </c>
      <c r="B2422" s="4" t="s">
        <v>2799</v>
      </c>
      <c r="C2422" s="4" t="s">
        <v>2223</v>
      </c>
    </row>
    <row r="2423" customFormat="false" ht="12.8" hidden="false" customHeight="false" outlineLevel="0" collapsed="false">
      <c r="A2423" s="3" t="n">
        <f aca="false">DATE(2005,12,5)</f>
        <v>38691</v>
      </c>
      <c r="B2423" s="4" t="s">
        <v>2800</v>
      </c>
      <c r="C2423" s="4" t="s">
        <v>2493</v>
      </c>
    </row>
    <row r="2424" customFormat="false" ht="12.8" hidden="false" customHeight="false" outlineLevel="0" collapsed="false">
      <c r="A2424" s="3" t="n">
        <f aca="false">DATE(2005,12,8)</f>
        <v>38694</v>
      </c>
      <c r="B2424" s="4" t="s">
        <v>2801</v>
      </c>
      <c r="C2424" s="4" t="s">
        <v>2802</v>
      </c>
    </row>
    <row r="2425" customFormat="false" ht="12.8" hidden="false" customHeight="false" outlineLevel="0" collapsed="false">
      <c r="A2425" s="3" t="n">
        <f aca="false">DATE(2005,12,8)</f>
        <v>38694</v>
      </c>
      <c r="B2425" s="4" t="s">
        <v>2803</v>
      </c>
      <c r="C2425" s="4" t="s">
        <v>2804</v>
      </c>
    </row>
    <row r="2426" customFormat="false" ht="12.8" hidden="false" customHeight="false" outlineLevel="0" collapsed="false">
      <c r="A2426" s="3" t="n">
        <f aca="false">DATE(2005,12,12)</f>
        <v>38698</v>
      </c>
      <c r="B2426" s="4" t="s">
        <v>2805</v>
      </c>
      <c r="C2426" s="4" t="s">
        <v>602</v>
      </c>
    </row>
    <row r="2427" customFormat="false" ht="12.8" hidden="false" customHeight="false" outlineLevel="0" collapsed="false">
      <c r="A2427" s="3" t="n">
        <f aca="false">DATE(2005,12,15)</f>
        <v>38701</v>
      </c>
      <c r="B2427" s="4" t="s">
        <v>683</v>
      </c>
      <c r="C2427" s="4" t="s">
        <v>784</v>
      </c>
    </row>
    <row r="2428" customFormat="false" ht="12.8" hidden="false" customHeight="false" outlineLevel="0" collapsed="false">
      <c r="A2428" s="3" t="n">
        <f aca="false">DATE(2005,12,15)</f>
        <v>38701</v>
      </c>
      <c r="B2428" s="4" t="s">
        <v>2455</v>
      </c>
      <c r="C2428" s="4" t="s">
        <v>2066</v>
      </c>
    </row>
    <row r="2429" customFormat="false" ht="12.8" hidden="false" customHeight="false" outlineLevel="0" collapsed="false">
      <c r="A2429" s="3" t="n">
        <f aca="false">DATE(2005,12,21)</f>
        <v>38707</v>
      </c>
      <c r="B2429" s="4" t="s">
        <v>2806</v>
      </c>
      <c r="C2429" s="4" t="s">
        <v>2807</v>
      </c>
    </row>
    <row r="2430" customFormat="false" ht="12.8" hidden="false" customHeight="false" outlineLevel="0" collapsed="false">
      <c r="A2430" s="3" t="n">
        <f aca="false">DATE(2005,12,21)</f>
        <v>38707</v>
      </c>
      <c r="B2430" s="4" t="s">
        <v>2420</v>
      </c>
      <c r="C2430" s="4" t="s">
        <v>2595</v>
      </c>
    </row>
    <row r="2431" customFormat="false" ht="12.8" hidden="false" customHeight="false" outlineLevel="0" collapsed="false">
      <c r="A2431" s="3" t="n">
        <f aca="false">DATE(2005,12,21)</f>
        <v>38707</v>
      </c>
      <c r="B2431" s="4" t="s">
        <v>2808</v>
      </c>
      <c r="C2431" s="4" t="s">
        <v>2296</v>
      </c>
    </row>
    <row r="2432" customFormat="false" ht="12.8" hidden="false" customHeight="false" outlineLevel="0" collapsed="false">
      <c r="A2432" s="3" t="n">
        <f aca="false">DATE(2005,12,27)</f>
        <v>38713</v>
      </c>
      <c r="B2432" s="4" t="s">
        <v>2809</v>
      </c>
      <c r="C2432" s="4" t="s">
        <v>2500</v>
      </c>
    </row>
    <row r="2433" customFormat="false" ht="12.8" hidden="false" customHeight="false" outlineLevel="0" collapsed="false">
      <c r="A2433" s="3" t="n">
        <f aca="false">DATE(2005,12,28)</f>
        <v>38714</v>
      </c>
      <c r="B2433" s="4" t="s">
        <v>2810</v>
      </c>
      <c r="C2433" s="4" t="s">
        <v>2070</v>
      </c>
    </row>
    <row r="2434" customFormat="false" ht="12.8" hidden="false" customHeight="false" outlineLevel="0" collapsed="false">
      <c r="A2434" s="3" t="n">
        <f aca="false">DATE(2005,12,29)</f>
        <v>38715</v>
      </c>
      <c r="B2434" s="4" t="s">
        <v>2811</v>
      </c>
      <c r="C2434" s="4" t="s">
        <v>2812</v>
      </c>
    </row>
    <row r="2435" customFormat="false" ht="12.8" hidden="false" customHeight="false" outlineLevel="0" collapsed="false">
      <c r="A2435" s="3" t="n">
        <f aca="false">DATE(2005,12,31)</f>
        <v>38717</v>
      </c>
      <c r="B2435" s="4" t="s">
        <v>2813</v>
      </c>
      <c r="C2435" s="4" t="s">
        <v>2814</v>
      </c>
    </row>
    <row r="2436" customFormat="false" ht="12.8" hidden="false" customHeight="false" outlineLevel="0" collapsed="false">
      <c r="A2436" s="3" t="n">
        <f aca="false">DATE(2006,1,12)</f>
        <v>38729</v>
      </c>
      <c r="B2436" s="4" t="s">
        <v>2815</v>
      </c>
      <c r="C2436" s="4" t="s">
        <v>2566</v>
      </c>
    </row>
    <row r="2437" customFormat="false" ht="12.8" hidden="false" customHeight="false" outlineLevel="0" collapsed="false">
      <c r="A2437" s="3" t="n">
        <f aca="false">DATE(2006,1,12)</f>
        <v>38729</v>
      </c>
      <c r="B2437" s="4" t="s">
        <v>769</v>
      </c>
      <c r="C2437" s="4" t="s">
        <v>2066</v>
      </c>
    </row>
    <row r="2438" customFormat="false" ht="12.8" hidden="false" customHeight="false" outlineLevel="0" collapsed="false">
      <c r="A2438" s="3" t="n">
        <f aca="false">DATE(2006,1,13)</f>
        <v>38730</v>
      </c>
      <c r="B2438" s="4" t="s">
        <v>2721</v>
      </c>
      <c r="C2438" s="4" t="s">
        <v>2816</v>
      </c>
    </row>
    <row r="2439" customFormat="false" ht="12.8" hidden="false" customHeight="false" outlineLevel="0" collapsed="false">
      <c r="A2439" s="3" t="n">
        <f aca="false">DATE(2006,1,23)</f>
        <v>38740</v>
      </c>
      <c r="B2439" s="4" t="s">
        <v>2817</v>
      </c>
      <c r="C2439" s="4" t="s">
        <v>2818</v>
      </c>
    </row>
    <row r="2440" customFormat="false" ht="12.8" hidden="false" customHeight="false" outlineLevel="0" collapsed="false">
      <c r="A2440" s="3" t="n">
        <f aca="false">DATE(2006,1,25)</f>
        <v>38742</v>
      </c>
      <c r="B2440" s="4" t="s">
        <v>2819</v>
      </c>
      <c r="C2440" s="4" t="s">
        <v>1076</v>
      </c>
    </row>
    <row r="2441" customFormat="false" ht="12.8" hidden="false" customHeight="false" outlineLevel="0" collapsed="false">
      <c r="A2441" s="3" t="n">
        <f aca="false">DATE(2006,2,1)</f>
        <v>38749</v>
      </c>
      <c r="B2441" s="4" t="s">
        <v>2820</v>
      </c>
      <c r="C2441" s="4" t="s">
        <v>904</v>
      </c>
    </row>
    <row r="2442" customFormat="false" ht="12.8" hidden="false" customHeight="false" outlineLevel="0" collapsed="false">
      <c r="A2442" s="3" t="n">
        <f aca="false">DATE(2006,2,6)</f>
        <v>38754</v>
      </c>
      <c r="B2442" s="4" t="s">
        <v>2821</v>
      </c>
      <c r="C2442" s="4" t="s">
        <v>2822</v>
      </c>
    </row>
    <row r="2443" customFormat="false" ht="12.8" hidden="false" customHeight="false" outlineLevel="0" collapsed="false">
      <c r="A2443" s="3" t="n">
        <f aca="false">DATE(2006,2,15)</f>
        <v>38763</v>
      </c>
      <c r="B2443" s="4" t="s">
        <v>2823</v>
      </c>
      <c r="C2443" s="4" t="s">
        <v>1817</v>
      </c>
    </row>
    <row r="2444" customFormat="false" ht="12.8" hidden="false" customHeight="false" outlineLevel="0" collapsed="false">
      <c r="A2444" s="3" t="n">
        <f aca="false">DATE(2006,2,15)</f>
        <v>38763</v>
      </c>
      <c r="B2444" s="4" t="s">
        <v>2824</v>
      </c>
      <c r="C2444" s="4" t="s">
        <v>2641</v>
      </c>
    </row>
    <row r="2445" customFormat="false" ht="12.8" hidden="false" customHeight="false" outlineLevel="0" collapsed="false">
      <c r="A2445" s="3" t="n">
        <f aca="false">DATE(2006,2,17)</f>
        <v>38765</v>
      </c>
      <c r="B2445" s="4" t="s">
        <v>2825</v>
      </c>
      <c r="C2445" s="4" t="s">
        <v>2826</v>
      </c>
    </row>
    <row r="2446" customFormat="false" ht="12.8" hidden="false" customHeight="false" outlineLevel="0" collapsed="false">
      <c r="A2446" s="3" t="n">
        <f aca="false">DATE(2006,3,6)</f>
        <v>38782</v>
      </c>
      <c r="B2446" s="4" t="s">
        <v>2827</v>
      </c>
      <c r="C2446" s="4" t="s">
        <v>2034</v>
      </c>
    </row>
    <row r="2447" customFormat="false" ht="12.8" hidden="false" customHeight="false" outlineLevel="0" collapsed="false">
      <c r="A2447" s="3" t="n">
        <f aca="false">DATE(2006,3,7)</f>
        <v>38783</v>
      </c>
      <c r="B2447" s="4" t="s">
        <v>2828</v>
      </c>
      <c r="C2447" s="4" t="s">
        <v>2546</v>
      </c>
    </row>
    <row r="2448" customFormat="false" ht="12.8" hidden="false" customHeight="false" outlineLevel="0" collapsed="false">
      <c r="A2448" s="3" t="n">
        <f aca="false">DATE(2006,3,12)</f>
        <v>38788</v>
      </c>
      <c r="B2448" s="4" t="s">
        <v>400</v>
      </c>
      <c r="C2448" s="4" t="s">
        <v>2690</v>
      </c>
    </row>
    <row r="2449" customFormat="false" ht="12.8" hidden="false" customHeight="false" outlineLevel="0" collapsed="false">
      <c r="A2449" s="3" t="n">
        <f aca="false">DATE(2006,3,16)</f>
        <v>38792</v>
      </c>
      <c r="B2449" s="4" t="s">
        <v>2829</v>
      </c>
      <c r="C2449" s="4" t="s">
        <v>1978</v>
      </c>
    </row>
    <row r="2450" customFormat="false" ht="12.8" hidden="false" customHeight="false" outlineLevel="0" collapsed="false">
      <c r="A2450" s="3" t="n">
        <f aca="false">DATE(2006,3,20)</f>
        <v>38796</v>
      </c>
      <c r="B2450" s="4" t="s">
        <v>2830</v>
      </c>
      <c r="C2450" s="4" t="s">
        <v>2831</v>
      </c>
    </row>
    <row r="2451" customFormat="false" ht="12.8" hidden="false" customHeight="false" outlineLevel="0" collapsed="false">
      <c r="A2451" s="3" t="n">
        <f aca="false">DATE(2006,3,21)</f>
        <v>38797</v>
      </c>
      <c r="B2451" s="4" t="s">
        <v>2832</v>
      </c>
      <c r="C2451" s="4" t="s">
        <v>1978</v>
      </c>
    </row>
    <row r="2452" customFormat="false" ht="12.8" hidden="false" customHeight="false" outlineLevel="0" collapsed="false">
      <c r="A2452" s="3" t="n">
        <f aca="false">DATE(2006,3,23)</f>
        <v>38799</v>
      </c>
      <c r="B2452" s="4" t="s">
        <v>2833</v>
      </c>
      <c r="C2452" s="4" t="s">
        <v>2834</v>
      </c>
    </row>
    <row r="2453" customFormat="false" ht="12.8" hidden="false" customHeight="false" outlineLevel="0" collapsed="false">
      <c r="A2453" s="3" t="n">
        <f aca="false">DATE(2006,3,27)</f>
        <v>38803</v>
      </c>
      <c r="B2453" s="4" t="s">
        <v>2835</v>
      </c>
      <c r="C2453" s="4" t="s">
        <v>309</v>
      </c>
    </row>
    <row r="2454" customFormat="false" ht="12.8" hidden="false" customHeight="false" outlineLevel="0" collapsed="false">
      <c r="A2454" s="3" t="n">
        <f aca="false">DATE(2006,3,31)</f>
        <v>38807</v>
      </c>
      <c r="B2454" s="4" t="s">
        <v>2836</v>
      </c>
      <c r="C2454" s="4" t="s">
        <v>2557</v>
      </c>
    </row>
    <row r="2455" customFormat="false" ht="12.8" hidden="false" customHeight="false" outlineLevel="0" collapsed="false">
      <c r="A2455" s="3" t="n">
        <f aca="false">DATE(2006,3,31)</f>
        <v>38807</v>
      </c>
      <c r="B2455" s="4" t="s">
        <v>2837</v>
      </c>
      <c r="C2455" s="4" t="s">
        <v>1852</v>
      </c>
    </row>
    <row r="2456" customFormat="false" ht="12.8" hidden="false" customHeight="false" outlineLevel="0" collapsed="false">
      <c r="A2456" s="3" t="n">
        <f aca="false">DATE(2006,4,5)</f>
        <v>38812</v>
      </c>
      <c r="B2456" s="4" t="s">
        <v>2838</v>
      </c>
      <c r="C2456" s="4" t="s">
        <v>2839</v>
      </c>
    </row>
    <row r="2457" customFormat="false" ht="12.8" hidden="false" customHeight="false" outlineLevel="0" collapsed="false">
      <c r="A2457" s="3" t="n">
        <f aca="false">DATE(2006,4,6)</f>
        <v>38813</v>
      </c>
      <c r="B2457" s="4" t="s">
        <v>2840</v>
      </c>
      <c r="C2457" s="4" t="s">
        <v>2841</v>
      </c>
    </row>
    <row r="2458" customFormat="false" ht="12.8" hidden="false" customHeight="false" outlineLevel="0" collapsed="false">
      <c r="A2458" s="3" t="n">
        <f aca="false">DATE(2006,4,7)</f>
        <v>38814</v>
      </c>
      <c r="B2458" s="4" t="s">
        <v>2842</v>
      </c>
      <c r="C2458" s="4" t="s">
        <v>2843</v>
      </c>
    </row>
    <row r="2459" customFormat="false" ht="12.8" hidden="false" customHeight="false" outlineLevel="0" collapsed="false">
      <c r="A2459" s="3" t="n">
        <f aca="false">DATE(2006,4,7)</f>
        <v>38814</v>
      </c>
      <c r="B2459" s="4" t="s">
        <v>2844</v>
      </c>
      <c r="C2459" s="4" t="s">
        <v>2814</v>
      </c>
    </row>
    <row r="2460" customFormat="false" ht="12.8" hidden="false" customHeight="false" outlineLevel="0" collapsed="false">
      <c r="A2460" s="3" t="n">
        <f aca="false">DATE(2006,4,12)</f>
        <v>38819</v>
      </c>
      <c r="B2460" s="4" t="s">
        <v>2845</v>
      </c>
      <c r="C2460" s="4" t="s">
        <v>2569</v>
      </c>
    </row>
    <row r="2461" customFormat="false" ht="12.8" hidden="false" customHeight="false" outlineLevel="0" collapsed="false">
      <c r="A2461" s="3" t="n">
        <f aca="false">DATE(2006,4,13)</f>
        <v>38820</v>
      </c>
      <c r="B2461" s="4" t="s">
        <v>2450</v>
      </c>
      <c r="C2461" s="4" t="s">
        <v>2734</v>
      </c>
    </row>
    <row r="2462" customFormat="false" ht="12.8" hidden="false" customHeight="false" outlineLevel="0" collapsed="false">
      <c r="A2462" s="3" t="n">
        <f aca="false">DATE(2006,4,13)</f>
        <v>38820</v>
      </c>
      <c r="B2462" s="4" t="s">
        <v>2846</v>
      </c>
      <c r="C2462" s="4" t="s">
        <v>1094</v>
      </c>
    </row>
    <row r="2463" customFormat="false" ht="12.8" hidden="false" customHeight="false" outlineLevel="0" collapsed="false">
      <c r="A2463" s="3" t="n">
        <f aca="false">DATE(2006,4,13)</f>
        <v>38820</v>
      </c>
      <c r="B2463" s="4" t="s">
        <v>2847</v>
      </c>
      <c r="C2463" s="4" t="s">
        <v>511</v>
      </c>
    </row>
    <row r="2464" customFormat="false" ht="12.8" hidden="false" customHeight="false" outlineLevel="0" collapsed="false">
      <c r="A2464" s="3" t="n">
        <f aca="false">DATE(2006,4,19)</f>
        <v>38826</v>
      </c>
      <c r="B2464" s="4" t="s">
        <v>2848</v>
      </c>
      <c r="C2464" s="4" t="s">
        <v>2678</v>
      </c>
    </row>
    <row r="2465" customFormat="false" ht="12.8" hidden="false" customHeight="false" outlineLevel="0" collapsed="false">
      <c r="A2465" s="3" t="n">
        <f aca="false">DATE(2006,4,20)</f>
        <v>38827</v>
      </c>
      <c r="B2465" s="4" t="s">
        <v>2849</v>
      </c>
      <c r="C2465" s="4" t="s">
        <v>726</v>
      </c>
    </row>
    <row r="2466" customFormat="false" ht="12.8" hidden="false" customHeight="false" outlineLevel="0" collapsed="false">
      <c r="A2466" s="3" t="n">
        <f aca="false">DATE(2006,4,20)</f>
        <v>38827</v>
      </c>
      <c r="B2466" s="4" t="s">
        <v>2850</v>
      </c>
      <c r="C2466" s="4" t="s">
        <v>2851</v>
      </c>
    </row>
    <row r="2467" customFormat="false" ht="12.8" hidden="false" customHeight="false" outlineLevel="0" collapsed="false">
      <c r="A2467" s="3" t="n">
        <f aca="false">DATE(2006,4,21)</f>
        <v>38828</v>
      </c>
      <c r="B2467" s="4" t="s">
        <v>2852</v>
      </c>
      <c r="C2467" s="4" t="s">
        <v>726</v>
      </c>
    </row>
    <row r="2468" customFormat="false" ht="12.8" hidden="false" customHeight="false" outlineLevel="0" collapsed="false">
      <c r="A2468" s="3" t="n">
        <f aca="false">DATE(2006,4,25)</f>
        <v>38832</v>
      </c>
      <c r="B2468" s="4" t="s">
        <v>2853</v>
      </c>
      <c r="C2468" s="4" t="s">
        <v>2854</v>
      </c>
    </row>
    <row r="2469" customFormat="false" ht="12.8" hidden="false" customHeight="false" outlineLevel="0" collapsed="false">
      <c r="A2469" s="3" t="n">
        <f aca="false">DATE(2006,4,27)</f>
        <v>38834</v>
      </c>
      <c r="B2469" s="4" t="s">
        <v>2855</v>
      </c>
      <c r="C2469" s="4" t="s">
        <v>816</v>
      </c>
    </row>
    <row r="2470" customFormat="false" ht="12.8" hidden="false" customHeight="false" outlineLevel="0" collapsed="false">
      <c r="A2470" s="3" t="n">
        <f aca="false">DATE(2006,4,29)</f>
        <v>38836</v>
      </c>
      <c r="B2470" s="4" t="s">
        <v>2856</v>
      </c>
      <c r="C2470" s="4" t="s">
        <v>2034</v>
      </c>
    </row>
    <row r="2471" customFormat="false" ht="12.8" hidden="false" customHeight="false" outlineLevel="0" collapsed="false">
      <c r="A2471" s="3" t="n">
        <f aca="false">DATE(2006,5,5)</f>
        <v>38842</v>
      </c>
      <c r="B2471" s="4" t="s">
        <v>2857</v>
      </c>
      <c r="C2471" s="4" t="s">
        <v>2858</v>
      </c>
    </row>
    <row r="2472" customFormat="false" ht="12.8" hidden="false" customHeight="false" outlineLevel="0" collapsed="false">
      <c r="A2472" s="3" t="n">
        <f aca="false">DATE(2006,5,7)</f>
        <v>38844</v>
      </c>
      <c r="B2472" s="4" t="s">
        <v>2859</v>
      </c>
      <c r="C2472" s="4" t="s">
        <v>2609</v>
      </c>
    </row>
    <row r="2473" customFormat="false" ht="12.8" hidden="false" customHeight="false" outlineLevel="0" collapsed="false">
      <c r="A2473" s="3" t="n">
        <f aca="false">DATE(2006,5,16)</f>
        <v>38853</v>
      </c>
      <c r="B2473" s="4" t="s">
        <v>2611</v>
      </c>
      <c r="C2473" s="4" t="s">
        <v>784</v>
      </c>
    </row>
    <row r="2474" customFormat="false" ht="12.8" hidden="false" customHeight="false" outlineLevel="0" collapsed="false">
      <c r="A2474" s="3" t="n">
        <f aca="false">DATE(2006,5,17)</f>
        <v>38854</v>
      </c>
      <c r="B2474" s="4" t="s">
        <v>2860</v>
      </c>
      <c r="C2474" s="4" t="s">
        <v>2861</v>
      </c>
    </row>
    <row r="2475" customFormat="false" ht="12.8" hidden="false" customHeight="false" outlineLevel="0" collapsed="false">
      <c r="A2475" s="3" t="n">
        <f aca="false">DATE(2006,5,22)</f>
        <v>38859</v>
      </c>
      <c r="B2475" s="4" t="s">
        <v>2862</v>
      </c>
      <c r="C2475" s="4" t="s">
        <v>2863</v>
      </c>
    </row>
    <row r="2476" customFormat="false" ht="12.8" hidden="false" customHeight="false" outlineLevel="0" collapsed="false">
      <c r="A2476" s="3" t="n">
        <f aca="false">DATE(2006,5,24)</f>
        <v>38861</v>
      </c>
      <c r="B2476" s="4" t="s">
        <v>2864</v>
      </c>
      <c r="C2476" s="4" t="s">
        <v>1341</v>
      </c>
    </row>
    <row r="2477" customFormat="false" ht="12.8" hidden="false" customHeight="false" outlineLevel="0" collapsed="false">
      <c r="A2477" s="3" t="n">
        <f aca="false">DATE(2006,5,25)</f>
        <v>38862</v>
      </c>
      <c r="B2477" s="4" t="s">
        <v>122</v>
      </c>
      <c r="C2477" s="4" t="s">
        <v>2561</v>
      </c>
    </row>
    <row r="2478" customFormat="false" ht="12.8" hidden="false" customHeight="false" outlineLevel="0" collapsed="false">
      <c r="A2478" s="3" t="n">
        <f aca="false">DATE(2006,5,31)</f>
        <v>38868</v>
      </c>
      <c r="B2478" s="4" t="s">
        <v>2865</v>
      </c>
      <c r="C2478" s="4" t="s">
        <v>2866</v>
      </c>
    </row>
    <row r="2479" customFormat="false" ht="12.8" hidden="false" customHeight="false" outlineLevel="0" collapsed="false">
      <c r="A2479" s="3" t="n">
        <f aca="false">DATE(2006,6,1)</f>
        <v>38869</v>
      </c>
      <c r="B2479" s="4" t="s">
        <v>2867</v>
      </c>
      <c r="C2479" s="4" t="s">
        <v>726</v>
      </c>
    </row>
    <row r="2480" customFormat="false" ht="12.8" hidden="false" customHeight="false" outlineLevel="0" collapsed="false">
      <c r="A2480" s="3" t="n">
        <f aca="false">DATE(2006,6,1)</f>
        <v>38869</v>
      </c>
      <c r="B2480" s="4" t="s">
        <v>2868</v>
      </c>
      <c r="C2480" s="4" t="s">
        <v>1387</v>
      </c>
    </row>
    <row r="2481" customFormat="false" ht="12.8" hidden="false" customHeight="false" outlineLevel="0" collapsed="false">
      <c r="A2481" s="3" t="n">
        <f aca="false">DATE(2006,6,1)</f>
        <v>38869</v>
      </c>
      <c r="B2481" s="4" t="s">
        <v>2869</v>
      </c>
      <c r="C2481" s="4" t="s">
        <v>2870</v>
      </c>
    </row>
    <row r="2482" customFormat="false" ht="12.8" hidden="false" customHeight="false" outlineLevel="0" collapsed="false">
      <c r="A2482" s="3" t="n">
        <f aca="false">DATE(2006,6,1)</f>
        <v>38869</v>
      </c>
      <c r="B2482" s="4" t="s">
        <v>2871</v>
      </c>
      <c r="C2482" s="4" t="s">
        <v>2872</v>
      </c>
    </row>
    <row r="2483" customFormat="false" ht="12.8" hidden="false" customHeight="false" outlineLevel="0" collapsed="false">
      <c r="A2483" s="3" t="n">
        <f aca="false">DATE(2006,6,1)</f>
        <v>38869</v>
      </c>
      <c r="B2483" s="4" t="s">
        <v>2197</v>
      </c>
      <c r="C2483" s="4" t="s">
        <v>1654</v>
      </c>
    </row>
    <row r="2484" customFormat="false" ht="12.8" hidden="false" customHeight="false" outlineLevel="0" collapsed="false">
      <c r="A2484" s="3" t="n">
        <f aca="false">DATE(2006,6,15)</f>
        <v>38883</v>
      </c>
      <c r="B2484" s="4" t="s">
        <v>2873</v>
      </c>
      <c r="C2484" s="4" t="s">
        <v>2329</v>
      </c>
    </row>
    <row r="2485" customFormat="false" ht="12.8" hidden="false" customHeight="false" outlineLevel="0" collapsed="false">
      <c r="A2485" s="3" t="n">
        <f aca="false">DATE(2006,6,23)</f>
        <v>38891</v>
      </c>
      <c r="B2485" s="4" t="s">
        <v>2874</v>
      </c>
      <c r="C2485" s="4" t="s">
        <v>2875</v>
      </c>
    </row>
    <row r="2486" customFormat="false" ht="12.8" hidden="false" customHeight="false" outlineLevel="0" collapsed="false">
      <c r="A2486" s="3" t="n">
        <f aca="false">DATE(2006,6,27)</f>
        <v>38895</v>
      </c>
      <c r="B2486" s="4" t="s">
        <v>2876</v>
      </c>
      <c r="C2486" s="4" t="s">
        <v>112</v>
      </c>
    </row>
    <row r="2487" customFormat="false" ht="12.8" hidden="false" customHeight="false" outlineLevel="0" collapsed="false">
      <c r="A2487" s="3" t="n">
        <f aca="false">DATE(2006,6,28)</f>
        <v>38896</v>
      </c>
      <c r="B2487" s="4" t="s">
        <v>936</v>
      </c>
      <c r="C2487" s="4" t="s">
        <v>2715</v>
      </c>
    </row>
    <row r="2488" customFormat="false" ht="12.8" hidden="false" customHeight="false" outlineLevel="0" collapsed="false">
      <c r="A2488" s="3" t="n">
        <f aca="false">DATE(2006,7,3)</f>
        <v>38901</v>
      </c>
      <c r="B2488" s="4" t="s">
        <v>2877</v>
      </c>
      <c r="C2488" s="4" t="s">
        <v>9</v>
      </c>
    </row>
    <row r="2489" customFormat="false" ht="12.8" hidden="false" customHeight="false" outlineLevel="0" collapsed="false">
      <c r="A2489" s="3" t="n">
        <f aca="false">DATE(2006,7,6)</f>
        <v>38904</v>
      </c>
      <c r="B2489" s="4" t="s">
        <v>2878</v>
      </c>
      <c r="C2489" s="4" t="s">
        <v>2756</v>
      </c>
    </row>
    <row r="2490" customFormat="false" ht="12.8" hidden="false" customHeight="false" outlineLevel="0" collapsed="false">
      <c r="A2490" s="3" t="n">
        <f aca="false">DATE(2006,7,18)</f>
        <v>38916</v>
      </c>
      <c r="B2490" s="4" t="s">
        <v>2592</v>
      </c>
      <c r="C2490" s="4" t="s">
        <v>2120</v>
      </c>
    </row>
    <row r="2491" customFormat="false" ht="12.8" hidden="false" customHeight="false" outlineLevel="0" collapsed="false">
      <c r="A2491" s="3" t="n">
        <f aca="false">DATE(2006,7,18)</f>
        <v>38916</v>
      </c>
      <c r="B2491" s="4" t="s">
        <v>2879</v>
      </c>
      <c r="C2491" s="4" t="s">
        <v>2699</v>
      </c>
    </row>
    <row r="2492" customFormat="false" ht="12.8" hidden="false" customHeight="false" outlineLevel="0" collapsed="false">
      <c r="A2492" s="3" t="n">
        <f aca="false">DATE(2006,7,21)</f>
        <v>38919</v>
      </c>
      <c r="B2492" s="4" t="s">
        <v>2880</v>
      </c>
      <c r="C2492" s="4" t="s">
        <v>2715</v>
      </c>
    </row>
    <row r="2493" customFormat="false" ht="12.8" hidden="false" customHeight="false" outlineLevel="0" collapsed="false">
      <c r="A2493" s="3" t="n">
        <f aca="false">DATE(2006,7,25)</f>
        <v>38923</v>
      </c>
      <c r="B2493" s="4" t="s">
        <v>2881</v>
      </c>
      <c r="C2493" s="4" t="s">
        <v>953</v>
      </c>
    </row>
    <row r="2494" customFormat="false" ht="12.8" hidden="false" customHeight="false" outlineLevel="0" collapsed="false">
      <c r="A2494" s="3" t="n">
        <f aca="false">DATE(2006,7,27)</f>
        <v>38925</v>
      </c>
      <c r="B2494" s="4" t="s">
        <v>2645</v>
      </c>
      <c r="C2494" s="4" t="s">
        <v>664</v>
      </c>
    </row>
    <row r="2495" customFormat="false" ht="12.8" hidden="false" customHeight="false" outlineLevel="0" collapsed="false">
      <c r="A2495" s="3" t="n">
        <f aca="false">DATE(2006,8,2)</f>
        <v>38931</v>
      </c>
      <c r="B2495" s="4" t="s">
        <v>2882</v>
      </c>
      <c r="C2495" s="4" t="s">
        <v>2151</v>
      </c>
    </row>
    <row r="2496" customFormat="false" ht="12.8" hidden="false" customHeight="false" outlineLevel="0" collapsed="false">
      <c r="A2496" s="3" t="n">
        <f aca="false">DATE(2006,8,3)</f>
        <v>38932</v>
      </c>
      <c r="B2496" s="4" t="s">
        <v>2883</v>
      </c>
      <c r="C2496" s="4" t="s">
        <v>1269</v>
      </c>
    </row>
    <row r="2497" customFormat="false" ht="12.8" hidden="false" customHeight="false" outlineLevel="0" collapsed="false">
      <c r="A2497" s="3" t="n">
        <f aca="false">DATE(2006,8,8)</f>
        <v>38937</v>
      </c>
      <c r="B2497" s="4" t="s">
        <v>2884</v>
      </c>
      <c r="C2497" s="4" t="s">
        <v>2045</v>
      </c>
    </row>
    <row r="2498" customFormat="false" ht="12.8" hidden="false" customHeight="false" outlineLevel="0" collapsed="false">
      <c r="A2498" s="3" t="n">
        <f aca="false">DATE(2006,8,9)</f>
        <v>38938</v>
      </c>
      <c r="B2498" s="4" t="s">
        <v>2885</v>
      </c>
      <c r="C2498" s="4" t="s">
        <v>2439</v>
      </c>
    </row>
    <row r="2499" customFormat="false" ht="12.8" hidden="false" customHeight="false" outlineLevel="0" collapsed="false">
      <c r="A2499" s="3" t="n">
        <f aca="false">DATE(2006,8,11)</f>
        <v>38940</v>
      </c>
      <c r="B2499" s="4" t="s">
        <v>2886</v>
      </c>
      <c r="C2499" s="4" t="s">
        <v>2887</v>
      </c>
    </row>
    <row r="2500" customFormat="false" ht="12.8" hidden="false" customHeight="false" outlineLevel="0" collapsed="false">
      <c r="A2500" s="3" t="n">
        <f aca="false">DATE(2006,8,14)</f>
        <v>38943</v>
      </c>
      <c r="B2500" s="4" t="s">
        <v>2888</v>
      </c>
      <c r="C2500" s="4" t="s">
        <v>1582</v>
      </c>
    </row>
    <row r="2501" customFormat="false" ht="12.8" hidden="false" customHeight="false" outlineLevel="0" collapsed="false">
      <c r="A2501" s="3" t="n">
        <f aca="false">DATE(2006,8,15)</f>
        <v>38944</v>
      </c>
      <c r="B2501" s="4" t="s">
        <v>2889</v>
      </c>
      <c r="C2501" s="4" t="s">
        <v>2890</v>
      </c>
    </row>
    <row r="2502" customFormat="false" ht="12.8" hidden="false" customHeight="false" outlineLevel="0" collapsed="false">
      <c r="A2502" s="3" t="n">
        <f aca="false">DATE(2006,8,28)</f>
        <v>38957</v>
      </c>
      <c r="B2502" s="4" t="s">
        <v>2891</v>
      </c>
      <c r="C2502" s="4" t="s">
        <v>2892</v>
      </c>
    </row>
    <row r="2503" customFormat="false" ht="12.8" hidden="false" customHeight="false" outlineLevel="0" collapsed="false">
      <c r="A2503" s="3" t="n">
        <f aca="false">DATE(2006,8,29)</f>
        <v>38958</v>
      </c>
      <c r="B2503" s="4" t="s">
        <v>2893</v>
      </c>
      <c r="C2503" s="4" t="s">
        <v>2546</v>
      </c>
    </row>
    <row r="2504" customFormat="false" ht="12.8" hidden="false" customHeight="false" outlineLevel="0" collapsed="false">
      <c r="A2504" s="3" t="n">
        <f aca="false">DATE(2006,9,5)</f>
        <v>38965</v>
      </c>
      <c r="B2504" s="4" t="s">
        <v>2894</v>
      </c>
      <c r="C2504" s="4" t="s">
        <v>1114</v>
      </c>
    </row>
    <row r="2505" customFormat="false" ht="12.8" hidden="false" customHeight="false" outlineLevel="0" collapsed="false">
      <c r="A2505" s="3" t="n">
        <f aca="false">DATE(2006,9,6)</f>
        <v>38966</v>
      </c>
      <c r="B2505" s="4" t="s">
        <v>2895</v>
      </c>
      <c r="C2505" s="4" t="s">
        <v>2657</v>
      </c>
    </row>
    <row r="2506" customFormat="false" ht="12.8" hidden="false" customHeight="false" outlineLevel="0" collapsed="false">
      <c r="A2506" s="3" t="n">
        <f aca="false">DATE(2006,9,11)</f>
        <v>38971</v>
      </c>
      <c r="B2506" s="4" t="s">
        <v>2896</v>
      </c>
      <c r="C2506" s="4" t="s">
        <v>987</v>
      </c>
    </row>
    <row r="2507" customFormat="false" ht="12.8" hidden="false" customHeight="false" outlineLevel="0" collapsed="false">
      <c r="A2507" s="3" t="n">
        <f aca="false">DATE(2006,9,12)</f>
        <v>38972</v>
      </c>
      <c r="B2507" s="4" t="s">
        <v>2897</v>
      </c>
      <c r="C2507" s="4" t="s">
        <v>2370</v>
      </c>
    </row>
    <row r="2508" customFormat="false" ht="12.8" hidden="false" customHeight="false" outlineLevel="0" collapsed="false">
      <c r="A2508" s="3" t="n">
        <f aca="false">DATE(2006,9,14)</f>
        <v>38974</v>
      </c>
      <c r="B2508" s="4" t="s">
        <v>2898</v>
      </c>
      <c r="C2508" s="4" t="s">
        <v>2621</v>
      </c>
    </row>
    <row r="2509" customFormat="false" ht="12.8" hidden="false" customHeight="false" outlineLevel="0" collapsed="false">
      <c r="A2509" s="3" t="n">
        <f aca="false">DATE(2006,9,14)</f>
        <v>38974</v>
      </c>
      <c r="B2509" s="4" t="s">
        <v>2573</v>
      </c>
      <c r="C2509" s="4" t="s">
        <v>1582</v>
      </c>
    </row>
    <row r="2510" customFormat="false" ht="12.8" hidden="false" customHeight="false" outlineLevel="0" collapsed="false">
      <c r="A2510" s="3" t="n">
        <f aca="false">DATE(2006,9,18)</f>
        <v>38978</v>
      </c>
      <c r="B2510" s="4" t="s">
        <v>2802</v>
      </c>
      <c r="C2510" s="4" t="s">
        <v>2418</v>
      </c>
    </row>
    <row r="2511" customFormat="false" ht="12.8" hidden="false" customHeight="false" outlineLevel="0" collapsed="false">
      <c r="A2511" s="3" t="n">
        <f aca="false">DATE(2006,9,20)</f>
        <v>38980</v>
      </c>
      <c r="B2511" s="4" t="s">
        <v>2899</v>
      </c>
      <c r="C2511" s="4" t="s">
        <v>2123</v>
      </c>
    </row>
    <row r="2512" customFormat="false" ht="12.8" hidden="false" customHeight="false" outlineLevel="0" collapsed="false">
      <c r="A2512" s="3" t="n">
        <f aca="false">DATE(2006,10,4)</f>
        <v>38994</v>
      </c>
      <c r="B2512" s="4" t="s">
        <v>2900</v>
      </c>
      <c r="C2512" s="4" t="s">
        <v>1273</v>
      </c>
    </row>
    <row r="2513" customFormat="false" ht="12.8" hidden="false" customHeight="false" outlineLevel="0" collapsed="false">
      <c r="A2513" s="3" t="n">
        <f aca="false">DATE(2006,10,5)</f>
        <v>38995</v>
      </c>
      <c r="B2513" s="4" t="s">
        <v>2901</v>
      </c>
      <c r="C2513" s="4" t="s">
        <v>2229</v>
      </c>
    </row>
    <row r="2514" customFormat="false" ht="12.8" hidden="false" customHeight="false" outlineLevel="0" collapsed="false">
      <c r="A2514" s="3" t="n">
        <f aca="false">DATE(2006,10,5)</f>
        <v>38995</v>
      </c>
      <c r="B2514" s="4" t="s">
        <v>2902</v>
      </c>
      <c r="C2514" s="4" t="s">
        <v>1401</v>
      </c>
    </row>
    <row r="2515" customFormat="false" ht="12.8" hidden="false" customHeight="false" outlineLevel="0" collapsed="false">
      <c r="A2515" s="3" t="n">
        <f aca="false">DATE(2006,10,6)</f>
        <v>38996</v>
      </c>
      <c r="B2515" s="4" t="s">
        <v>2903</v>
      </c>
      <c r="C2515" s="4" t="s">
        <v>2904</v>
      </c>
    </row>
    <row r="2516" customFormat="false" ht="12.8" hidden="false" customHeight="false" outlineLevel="0" collapsed="false">
      <c r="A2516" s="3" t="n">
        <f aca="false">DATE(2006,10,9)</f>
        <v>38999</v>
      </c>
      <c r="B2516" s="4" t="s">
        <v>309</v>
      </c>
      <c r="C2516" s="4" t="s">
        <v>2507</v>
      </c>
    </row>
    <row r="2517" customFormat="false" ht="12.8" hidden="false" customHeight="false" outlineLevel="0" collapsed="false">
      <c r="A2517" s="3" t="n">
        <f aca="false">DATE(2006,10,11)</f>
        <v>39001</v>
      </c>
      <c r="B2517" s="4" t="s">
        <v>2905</v>
      </c>
      <c r="C2517" s="4" t="s">
        <v>1495</v>
      </c>
    </row>
    <row r="2518" customFormat="false" ht="12.8" hidden="false" customHeight="false" outlineLevel="0" collapsed="false">
      <c r="A2518" s="3" t="n">
        <f aca="false">DATE(2006,10,19)</f>
        <v>39009</v>
      </c>
      <c r="B2518" s="4" t="s">
        <v>2906</v>
      </c>
      <c r="C2518" s="4" t="s">
        <v>2796</v>
      </c>
    </row>
    <row r="2519" customFormat="false" ht="12.8" hidden="false" customHeight="false" outlineLevel="0" collapsed="false">
      <c r="A2519" s="3" t="n">
        <f aca="false">DATE(2006,10,23)</f>
        <v>39013</v>
      </c>
      <c r="B2519" s="4" t="s">
        <v>2907</v>
      </c>
      <c r="C2519" s="4" t="s">
        <v>225</v>
      </c>
    </row>
    <row r="2520" customFormat="false" ht="12.8" hidden="false" customHeight="false" outlineLevel="0" collapsed="false">
      <c r="A2520" s="3" t="n">
        <f aca="false">DATE(2006,10,31)</f>
        <v>39021</v>
      </c>
      <c r="B2520" s="4" t="s">
        <v>942</v>
      </c>
      <c r="C2520" s="4" t="s">
        <v>1290</v>
      </c>
    </row>
    <row r="2521" customFormat="false" ht="12.8" hidden="false" customHeight="false" outlineLevel="0" collapsed="false">
      <c r="A2521" s="3" t="n">
        <f aca="false">DATE(2006,11,1)</f>
        <v>39022</v>
      </c>
      <c r="B2521" s="4" t="s">
        <v>2908</v>
      </c>
      <c r="C2521" s="4" t="s">
        <v>588</v>
      </c>
    </row>
    <row r="2522" customFormat="false" ht="12.8" hidden="false" customHeight="false" outlineLevel="0" collapsed="false">
      <c r="A2522" s="3" t="n">
        <f aca="false">DATE(2006,11,2)</f>
        <v>39023</v>
      </c>
      <c r="B2522" s="4" t="s">
        <v>2909</v>
      </c>
      <c r="C2522" s="4" t="s">
        <v>2910</v>
      </c>
    </row>
    <row r="2523" customFormat="false" ht="12.8" hidden="false" customHeight="false" outlineLevel="0" collapsed="false">
      <c r="A2523" s="3" t="n">
        <f aca="false">DATE(2006,11,6)</f>
        <v>39027</v>
      </c>
      <c r="B2523" s="4" t="s">
        <v>1702</v>
      </c>
      <c r="C2523" s="4" t="s">
        <v>1654</v>
      </c>
    </row>
    <row r="2524" customFormat="false" ht="12.8" hidden="false" customHeight="false" outlineLevel="0" collapsed="false">
      <c r="A2524" s="3" t="n">
        <f aca="false">DATE(2006,11,13)</f>
        <v>39034</v>
      </c>
      <c r="B2524" s="4" t="s">
        <v>2911</v>
      </c>
      <c r="C2524" s="4" t="s">
        <v>2912</v>
      </c>
    </row>
    <row r="2525" customFormat="false" ht="12.8" hidden="false" customHeight="false" outlineLevel="0" collapsed="false">
      <c r="A2525" s="3" t="n">
        <f aca="false">DATE(2006,11,14)</f>
        <v>39035</v>
      </c>
      <c r="B2525" s="4" t="s">
        <v>2913</v>
      </c>
      <c r="C2525" s="4" t="s">
        <v>2395</v>
      </c>
    </row>
    <row r="2526" customFormat="false" ht="12.8" hidden="false" customHeight="false" outlineLevel="0" collapsed="false">
      <c r="A2526" s="3" t="n">
        <f aca="false">DATE(2006,11,15)</f>
        <v>39036</v>
      </c>
      <c r="B2526" s="4" t="s">
        <v>2914</v>
      </c>
      <c r="C2526" s="4" t="s">
        <v>2915</v>
      </c>
    </row>
    <row r="2527" customFormat="false" ht="12.8" hidden="false" customHeight="false" outlineLevel="0" collapsed="false">
      <c r="A2527" s="3" t="n">
        <f aca="false">DATE(2006,11,21)</f>
        <v>39042</v>
      </c>
      <c r="B2527" s="4" t="s">
        <v>2916</v>
      </c>
      <c r="C2527" s="4" t="s">
        <v>2917</v>
      </c>
    </row>
    <row r="2528" customFormat="false" ht="12.8" hidden="false" customHeight="false" outlineLevel="0" collapsed="false">
      <c r="A2528" s="3" t="n">
        <f aca="false">DATE(2006,11,21)</f>
        <v>39042</v>
      </c>
      <c r="B2528" s="4" t="s">
        <v>2918</v>
      </c>
      <c r="C2528" s="4" t="s">
        <v>2756</v>
      </c>
    </row>
    <row r="2529" customFormat="false" ht="12.8" hidden="false" customHeight="false" outlineLevel="0" collapsed="false">
      <c r="A2529" s="3" t="n">
        <f aca="false">DATE(2006,11,22)</f>
        <v>39043</v>
      </c>
      <c r="B2529" s="4" t="s">
        <v>2919</v>
      </c>
      <c r="C2529" s="4" t="s">
        <v>2834</v>
      </c>
    </row>
    <row r="2530" customFormat="false" ht="12.8" hidden="false" customHeight="false" outlineLevel="0" collapsed="false">
      <c r="A2530" s="3" t="n">
        <f aca="false">DATE(2006,12,1)</f>
        <v>39052</v>
      </c>
      <c r="B2530" s="4" t="s">
        <v>2920</v>
      </c>
      <c r="C2530" s="4" t="s">
        <v>2921</v>
      </c>
    </row>
    <row r="2531" customFormat="false" ht="12.8" hidden="false" customHeight="false" outlineLevel="0" collapsed="false">
      <c r="A2531" s="3" t="n">
        <f aca="false">DATE(2006,12,3)</f>
        <v>39054</v>
      </c>
      <c r="B2531" s="4" t="s">
        <v>2922</v>
      </c>
      <c r="C2531" s="4" t="s">
        <v>273</v>
      </c>
    </row>
    <row r="2532" customFormat="false" ht="12.8" hidden="false" customHeight="false" outlineLevel="0" collapsed="false">
      <c r="A2532" s="3" t="n">
        <f aca="false">DATE(2006,12,4)</f>
        <v>39055</v>
      </c>
      <c r="B2532" s="4" t="s">
        <v>2923</v>
      </c>
      <c r="C2532" s="4" t="s">
        <v>511</v>
      </c>
    </row>
    <row r="2533" customFormat="false" ht="12.8" hidden="false" customHeight="false" outlineLevel="0" collapsed="false">
      <c r="A2533" s="3" t="n">
        <f aca="false">DATE(2006,12,4)</f>
        <v>39055</v>
      </c>
      <c r="B2533" s="4" t="s">
        <v>2924</v>
      </c>
      <c r="C2533" s="4" t="s">
        <v>2296</v>
      </c>
    </row>
    <row r="2534" customFormat="false" ht="12.8" hidden="false" customHeight="false" outlineLevel="0" collapsed="false">
      <c r="A2534" s="3" t="n">
        <f aca="false">DATE(2006,12,11)</f>
        <v>39062</v>
      </c>
      <c r="B2534" s="4" t="s">
        <v>2925</v>
      </c>
      <c r="C2534" s="4" t="s">
        <v>2352</v>
      </c>
    </row>
    <row r="2535" customFormat="false" ht="12.8" hidden="false" customHeight="false" outlineLevel="0" collapsed="false">
      <c r="A2535" s="3" t="n">
        <f aca="false">DATE(2006,12,14)</f>
        <v>39065</v>
      </c>
      <c r="B2535" s="4" t="s">
        <v>2926</v>
      </c>
      <c r="C2535" s="4" t="s">
        <v>1495</v>
      </c>
    </row>
    <row r="2536" customFormat="false" ht="12.8" hidden="false" customHeight="false" outlineLevel="0" collapsed="false">
      <c r="A2536" s="3" t="n">
        <f aca="false">DATE(2006,12,20)</f>
        <v>39071</v>
      </c>
      <c r="B2536" s="4" t="s">
        <v>2045</v>
      </c>
      <c r="C2536" s="4" t="s">
        <v>124</v>
      </c>
    </row>
    <row r="2537" customFormat="false" ht="12.8" hidden="false" customHeight="false" outlineLevel="0" collapsed="false">
      <c r="A2537" s="3" t="n">
        <f aca="false">DATE(2006,12,21)</f>
        <v>39072</v>
      </c>
      <c r="B2537" s="4" t="s">
        <v>2927</v>
      </c>
      <c r="C2537" s="4" t="s">
        <v>2928</v>
      </c>
    </row>
    <row r="2538" customFormat="false" ht="12.8" hidden="false" customHeight="false" outlineLevel="0" collapsed="false">
      <c r="A2538" s="3" t="n">
        <f aca="false">DATE(2007,1,5)</f>
        <v>39087</v>
      </c>
      <c r="B2538" s="4" t="s">
        <v>2058</v>
      </c>
      <c r="C2538" s="4" t="s">
        <v>2718</v>
      </c>
    </row>
    <row r="2539" customFormat="false" ht="12.8" hidden="false" customHeight="false" outlineLevel="0" collapsed="false">
      <c r="A2539" s="3" t="n">
        <f aca="false">DATE(2007,1,9)</f>
        <v>39091</v>
      </c>
      <c r="B2539" s="4" t="s">
        <v>2929</v>
      </c>
      <c r="C2539" s="4" t="s">
        <v>1269</v>
      </c>
    </row>
    <row r="2540" customFormat="false" ht="12.8" hidden="false" customHeight="false" outlineLevel="0" collapsed="false">
      <c r="A2540" s="3" t="n">
        <f aca="false">DATE(2007,1,9)</f>
        <v>39091</v>
      </c>
      <c r="B2540" s="4" t="s">
        <v>2641</v>
      </c>
      <c r="C2540" s="4" t="s">
        <v>1946</v>
      </c>
    </row>
    <row r="2541" customFormat="false" ht="12.8" hidden="false" customHeight="false" outlineLevel="0" collapsed="false">
      <c r="A2541" s="3" t="n">
        <f aca="false">DATE(2007,1,10)</f>
        <v>39092</v>
      </c>
      <c r="B2541" s="4" t="s">
        <v>2930</v>
      </c>
      <c r="C2541" s="4" t="s">
        <v>2931</v>
      </c>
    </row>
    <row r="2542" customFormat="false" ht="12.8" hidden="false" customHeight="false" outlineLevel="0" collapsed="false">
      <c r="A2542" s="3" t="n">
        <f aca="false">DATE(2007,1,11)</f>
        <v>39093</v>
      </c>
      <c r="B2542" s="4" t="s">
        <v>2932</v>
      </c>
      <c r="C2542" s="4" t="s">
        <v>2418</v>
      </c>
    </row>
    <row r="2543" customFormat="false" ht="12.8" hidden="false" customHeight="false" outlineLevel="0" collapsed="false">
      <c r="A2543" s="3" t="n">
        <f aca="false">DATE(2007,1,16)</f>
        <v>39098</v>
      </c>
      <c r="B2543" s="4" t="s">
        <v>2933</v>
      </c>
      <c r="C2543" s="4" t="s">
        <v>2934</v>
      </c>
    </row>
    <row r="2544" customFormat="false" ht="12.8" hidden="false" customHeight="false" outlineLevel="0" collapsed="false">
      <c r="A2544" s="3" t="n">
        <f aca="false">DATE(2007,1,18)</f>
        <v>39100</v>
      </c>
      <c r="B2544" s="4" t="s">
        <v>2935</v>
      </c>
      <c r="C2544" s="4" t="s">
        <v>2936</v>
      </c>
    </row>
    <row r="2545" customFormat="false" ht="12.8" hidden="false" customHeight="false" outlineLevel="0" collapsed="false">
      <c r="A2545" s="3" t="n">
        <f aca="false">DATE(2007,1,19)</f>
        <v>39101</v>
      </c>
      <c r="B2545" s="4" t="s">
        <v>2937</v>
      </c>
      <c r="C2545" s="4" t="s">
        <v>835</v>
      </c>
    </row>
    <row r="2546" customFormat="false" ht="12.8" hidden="false" customHeight="false" outlineLevel="0" collapsed="false">
      <c r="A2546" s="3" t="n">
        <f aca="false">DATE(2007,1,23)</f>
        <v>39105</v>
      </c>
      <c r="B2546" s="4" t="s">
        <v>2938</v>
      </c>
      <c r="C2546" s="4" t="s">
        <v>955</v>
      </c>
    </row>
    <row r="2547" customFormat="false" ht="12.8" hidden="false" customHeight="false" outlineLevel="0" collapsed="false">
      <c r="A2547" s="3" t="n">
        <f aca="false">DATE(2007,1,23)</f>
        <v>39105</v>
      </c>
      <c r="B2547" s="4" t="s">
        <v>2939</v>
      </c>
      <c r="C2547" s="4" t="s">
        <v>2940</v>
      </c>
    </row>
    <row r="2548" customFormat="false" ht="12.8" hidden="false" customHeight="false" outlineLevel="0" collapsed="false">
      <c r="A2548" s="3" t="n">
        <f aca="false">DATE(2007,1,24)</f>
        <v>39106</v>
      </c>
      <c r="B2548" s="4" t="s">
        <v>2941</v>
      </c>
      <c r="C2548" s="4" t="s">
        <v>953</v>
      </c>
    </row>
    <row r="2549" customFormat="false" ht="12.8" hidden="false" customHeight="false" outlineLevel="0" collapsed="false">
      <c r="A2549" s="3" t="n">
        <f aca="false">DATE(2007,1,25)</f>
        <v>39107</v>
      </c>
      <c r="B2549" s="4" t="s">
        <v>2942</v>
      </c>
      <c r="C2549" s="4" t="s">
        <v>369</v>
      </c>
    </row>
    <row r="2550" customFormat="false" ht="12.8" hidden="false" customHeight="false" outlineLevel="0" collapsed="false">
      <c r="A2550" s="3" t="n">
        <f aca="false">DATE(2007,1,26)</f>
        <v>39108</v>
      </c>
      <c r="B2550" s="4" t="s">
        <v>2816</v>
      </c>
      <c r="C2550" s="4" t="s">
        <v>367</v>
      </c>
    </row>
    <row r="2551" customFormat="false" ht="12.8" hidden="false" customHeight="false" outlineLevel="0" collapsed="false">
      <c r="A2551" s="3" t="n">
        <f aca="false">DATE(2007,2,2)</f>
        <v>39115</v>
      </c>
      <c r="B2551" s="4" t="s">
        <v>2943</v>
      </c>
      <c r="C2551" s="4" t="s">
        <v>477</v>
      </c>
    </row>
    <row r="2552" customFormat="false" ht="12.8" hidden="false" customHeight="false" outlineLevel="0" collapsed="false">
      <c r="A2552" s="3" t="n">
        <f aca="false">DATE(2007,2,5)</f>
        <v>39118</v>
      </c>
      <c r="B2552" s="4" t="s">
        <v>2944</v>
      </c>
      <c r="C2552" s="4" t="s">
        <v>2945</v>
      </c>
    </row>
    <row r="2553" customFormat="false" ht="12.8" hidden="false" customHeight="false" outlineLevel="0" collapsed="false">
      <c r="A2553" s="3" t="n">
        <f aca="false">DATE(2007,2,5)</f>
        <v>39118</v>
      </c>
      <c r="B2553" s="4" t="s">
        <v>2946</v>
      </c>
      <c r="C2553" s="4" t="s">
        <v>1114</v>
      </c>
    </row>
    <row r="2554" customFormat="false" ht="12.8" hidden="false" customHeight="false" outlineLevel="0" collapsed="false">
      <c r="A2554" s="3" t="n">
        <f aca="false">DATE(2007,2,8)</f>
        <v>39121</v>
      </c>
      <c r="B2554" s="4" t="s">
        <v>2947</v>
      </c>
      <c r="C2554" s="4" t="s">
        <v>684</v>
      </c>
    </row>
    <row r="2555" customFormat="false" ht="12.8" hidden="false" customHeight="false" outlineLevel="0" collapsed="false">
      <c r="A2555" s="3" t="n">
        <f aca="false">DATE(2007,2,8)</f>
        <v>39121</v>
      </c>
      <c r="B2555" s="4" t="s">
        <v>2948</v>
      </c>
      <c r="C2555" s="4" t="s">
        <v>2866</v>
      </c>
    </row>
    <row r="2556" customFormat="false" ht="12.8" hidden="false" customHeight="false" outlineLevel="0" collapsed="false">
      <c r="A2556" s="3" t="n">
        <f aca="false">DATE(2007,2,9)</f>
        <v>39122</v>
      </c>
      <c r="B2556" s="4" t="s">
        <v>2949</v>
      </c>
      <c r="C2556" s="4" t="s">
        <v>2296</v>
      </c>
    </row>
    <row r="2557" customFormat="false" ht="12.8" hidden="false" customHeight="false" outlineLevel="0" collapsed="false">
      <c r="A2557" s="3" t="n">
        <f aca="false">DATE(2007,2,23)</f>
        <v>39136</v>
      </c>
      <c r="B2557" s="4" t="s">
        <v>2950</v>
      </c>
      <c r="C2557" s="4" t="s">
        <v>2887</v>
      </c>
    </row>
    <row r="2558" customFormat="false" ht="12.8" hidden="false" customHeight="false" outlineLevel="0" collapsed="false">
      <c r="A2558" s="3" t="n">
        <f aca="false">DATE(2007,2,26)</f>
        <v>39139</v>
      </c>
      <c r="B2558" s="4" t="s">
        <v>2113</v>
      </c>
      <c r="C2558" s="4" t="s">
        <v>1617</v>
      </c>
    </row>
    <row r="2559" customFormat="false" ht="12.8" hidden="false" customHeight="false" outlineLevel="0" collapsed="false">
      <c r="A2559" s="3" t="n">
        <f aca="false">DATE(2007,2,28)</f>
        <v>39141</v>
      </c>
      <c r="B2559" s="4" t="s">
        <v>2951</v>
      </c>
      <c r="C2559" s="4" t="s">
        <v>2952</v>
      </c>
    </row>
    <row r="2560" customFormat="false" ht="12.8" hidden="false" customHeight="false" outlineLevel="0" collapsed="false">
      <c r="A2560" s="3" t="n">
        <f aca="false">DATE(2007,3,3)</f>
        <v>39144</v>
      </c>
      <c r="B2560" s="4" t="s">
        <v>2953</v>
      </c>
      <c r="C2560" s="4" t="s">
        <v>2322</v>
      </c>
    </row>
    <row r="2561" customFormat="false" ht="12.8" hidden="false" customHeight="false" outlineLevel="0" collapsed="false">
      <c r="A2561" s="3" t="n">
        <f aca="false">DATE(2007,3,5)</f>
        <v>39146</v>
      </c>
      <c r="B2561" s="4" t="s">
        <v>2954</v>
      </c>
      <c r="C2561" s="4" t="s">
        <v>2955</v>
      </c>
    </row>
    <row r="2562" customFormat="false" ht="12.8" hidden="false" customHeight="false" outlineLevel="0" collapsed="false">
      <c r="A2562" s="3" t="n">
        <f aca="false">DATE(2007,3,9)</f>
        <v>39150</v>
      </c>
      <c r="B2562" s="4" t="s">
        <v>2956</v>
      </c>
      <c r="C2562" s="4" t="s">
        <v>849</v>
      </c>
    </row>
    <row r="2563" customFormat="false" ht="12.8" hidden="false" customHeight="false" outlineLevel="0" collapsed="false">
      <c r="A2563" s="3" t="n">
        <f aca="false">DATE(2007,3,22)</f>
        <v>39163</v>
      </c>
      <c r="B2563" s="4" t="s">
        <v>2957</v>
      </c>
      <c r="C2563" s="4" t="s">
        <v>2425</v>
      </c>
    </row>
    <row r="2564" customFormat="false" ht="12.8" hidden="false" customHeight="false" outlineLevel="0" collapsed="false">
      <c r="A2564" s="3" t="n">
        <f aca="false">DATE(2007,3,28)</f>
        <v>39169</v>
      </c>
      <c r="B2564" s="4" t="s">
        <v>2958</v>
      </c>
      <c r="C2564" s="4" t="s">
        <v>818</v>
      </c>
    </row>
    <row r="2565" customFormat="false" ht="12.8" hidden="false" customHeight="false" outlineLevel="0" collapsed="false">
      <c r="A2565" s="3" t="n">
        <f aca="false">DATE(2007,3,28)</f>
        <v>39169</v>
      </c>
      <c r="B2565" s="4" t="s">
        <v>2959</v>
      </c>
      <c r="C2565" s="4" t="s">
        <v>818</v>
      </c>
    </row>
    <row r="2566" customFormat="false" ht="12.8" hidden="false" customHeight="false" outlineLevel="0" collapsed="false">
      <c r="A2566" s="3" t="n">
        <f aca="false">DATE(2007,4,3)</f>
        <v>39175</v>
      </c>
      <c r="B2566" s="4" t="s">
        <v>2960</v>
      </c>
      <c r="C2566" s="4" t="s">
        <v>511</v>
      </c>
    </row>
    <row r="2567" customFormat="false" ht="12.8" hidden="false" customHeight="false" outlineLevel="0" collapsed="false">
      <c r="A2567" s="3" t="n">
        <f aca="false">DATE(2007,4,9)</f>
        <v>39181</v>
      </c>
      <c r="B2567" s="4" t="s">
        <v>2961</v>
      </c>
      <c r="C2567" s="4" t="s">
        <v>2678</v>
      </c>
    </row>
    <row r="2568" customFormat="false" ht="12.8" hidden="false" customHeight="false" outlineLevel="0" collapsed="false">
      <c r="A2568" s="3" t="n">
        <f aca="false">DATE(2007,4,12)</f>
        <v>39184</v>
      </c>
      <c r="B2568" s="4" t="s">
        <v>2962</v>
      </c>
      <c r="C2568" s="4" t="s">
        <v>2963</v>
      </c>
    </row>
    <row r="2569" customFormat="false" ht="12.8" hidden="false" customHeight="false" outlineLevel="0" collapsed="false">
      <c r="A2569" s="3" t="n">
        <f aca="false">DATE(2007,4,18)</f>
        <v>39190</v>
      </c>
      <c r="B2569" s="4" t="s">
        <v>2964</v>
      </c>
      <c r="C2569" s="4" t="s">
        <v>2965</v>
      </c>
    </row>
    <row r="2570" customFormat="false" ht="12.8" hidden="false" customHeight="false" outlineLevel="0" collapsed="false">
      <c r="A2570" s="3" t="n">
        <f aca="false">DATE(2007,4,23)</f>
        <v>39195</v>
      </c>
      <c r="B2570" s="4" t="s">
        <v>2966</v>
      </c>
      <c r="C2570" s="4" t="s">
        <v>2525</v>
      </c>
    </row>
    <row r="2571" customFormat="false" ht="12.8" hidden="false" customHeight="false" outlineLevel="0" collapsed="false">
      <c r="A2571" s="3" t="n">
        <f aca="false">DATE(2007,4,24)</f>
        <v>39196</v>
      </c>
      <c r="B2571" s="4" t="s">
        <v>2967</v>
      </c>
      <c r="C2571" s="4" t="s">
        <v>2070</v>
      </c>
    </row>
    <row r="2572" customFormat="false" ht="12.8" hidden="false" customHeight="false" outlineLevel="0" collapsed="false">
      <c r="A2572" s="3" t="n">
        <f aca="false">DATE(2007,5,1)</f>
        <v>39203</v>
      </c>
      <c r="B2572" s="4" t="s">
        <v>2657</v>
      </c>
      <c r="C2572" s="4" t="s">
        <v>459</v>
      </c>
    </row>
    <row r="2573" customFormat="false" ht="12.8" hidden="false" customHeight="false" outlineLevel="0" collapsed="false">
      <c r="A2573" s="3" t="n">
        <f aca="false">DATE(2007,5,1)</f>
        <v>39203</v>
      </c>
      <c r="B2573" s="4" t="s">
        <v>2327</v>
      </c>
      <c r="C2573" s="4" t="s">
        <v>664</v>
      </c>
    </row>
    <row r="2574" customFormat="false" ht="12.8" hidden="false" customHeight="false" outlineLevel="0" collapsed="false">
      <c r="A2574" s="3" t="n">
        <f aca="false">DATE(2007,5,1)</f>
        <v>39203</v>
      </c>
      <c r="B2574" s="4" t="s">
        <v>2968</v>
      </c>
      <c r="C2574" s="4" t="s">
        <v>2120</v>
      </c>
    </row>
    <row r="2575" customFormat="false" ht="12.8" hidden="false" customHeight="false" outlineLevel="0" collapsed="false">
      <c r="A2575" s="3" t="n">
        <f aca="false">DATE(2007,5,4)</f>
        <v>39206</v>
      </c>
      <c r="B2575" s="4" t="s">
        <v>1518</v>
      </c>
      <c r="C2575" s="4" t="s">
        <v>1946</v>
      </c>
    </row>
    <row r="2576" customFormat="false" ht="12.8" hidden="false" customHeight="false" outlineLevel="0" collapsed="false">
      <c r="A2576" s="3" t="n">
        <f aca="false">DATE(2007,5,11)</f>
        <v>39213</v>
      </c>
      <c r="B2576" s="4" t="s">
        <v>2969</v>
      </c>
      <c r="C2576" s="4" t="s">
        <v>2970</v>
      </c>
    </row>
    <row r="2577" customFormat="false" ht="12.8" hidden="false" customHeight="false" outlineLevel="0" collapsed="false">
      <c r="A2577" s="3" t="n">
        <f aca="false">DATE(2007,5,14)</f>
        <v>39216</v>
      </c>
      <c r="B2577" s="4" t="s">
        <v>2445</v>
      </c>
      <c r="C2577" s="4" t="s">
        <v>2744</v>
      </c>
    </row>
    <row r="2578" customFormat="false" ht="12.8" hidden="false" customHeight="false" outlineLevel="0" collapsed="false">
      <c r="A2578" s="3" t="n">
        <f aca="false">DATE(2007,5,15)</f>
        <v>39217</v>
      </c>
      <c r="B2578" s="4" t="s">
        <v>2971</v>
      </c>
      <c r="C2578" s="4" t="s">
        <v>2972</v>
      </c>
    </row>
    <row r="2579" customFormat="false" ht="12.8" hidden="false" customHeight="false" outlineLevel="0" collapsed="false">
      <c r="A2579" s="3" t="n">
        <f aca="false">DATE(2007,5,15)</f>
        <v>39217</v>
      </c>
      <c r="B2579" s="4" t="s">
        <v>2973</v>
      </c>
      <c r="C2579" s="4" t="s">
        <v>2974</v>
      </c>
    </row>
    <row r="2580" customFormat="false" ht="12.8" hidden="false" customHeight="false" outlineLevel="0" collapsed="false">
      <c r="A2580" s="3" t="n">
        <f aca="false">DATE(2007,5,16)</f>
        <v>39218</v>
      </c>
      <c r="B2580" s="4" t="s">
        <v>2975</v>
      </c>
      <c r="C2580" s="4" t="s">
        <v>1023</v>
      </c>
    </row>
    <row r="2581" customFormat="false" ht="12.8" hidden="false" customHeight="false" outlineLevel="0" collapsed="false">
      <c r="A2581" s="3" t="n">
        <f aca="false">DATE(2007,5,17)</f>
        <v>39219</v>
      </c>
      <c r="B2581" s="4" t="s">
        <v>2976</v>
      </c>
      <c r="C2581" s="4" t="s">
        <v>2977</v>
      </c>
    </row>
    <row r="2582" customFormat="false" ht="12.8" hidden="false" customHeight="false" outlineLevel="0" collapsed="false">
      <c r="A2582" s="3" t="n">
        <f aca="false">DATE(2007,5,21)</f>
        <v>39223</v>
      </c>
      <c r="B2582" s="4" t="s">
        <v>1805</v>
      </c>
      <c r="C2582" s="4" t="s">
        <v>2483</v>
      </c>
    </row>
    <row r="2583" customFormat="false" ht="12.8" hidden="false" customHeight="false" outlineLevel="0" collapsed="false">
      <c r="A2583" s="3" t="n">
        <f aca="false">DATE(2007,5,23)</f>
        <v>39225</v>
      </c>
      <c r="B2583" s="4" t="s">
        <v>622</v>
      </c>
      <c r="C2583" s="4" t="s">
        <v>849</v>
      </c>
    </row>
    <row r="2584" customFormat="false" ht="12.8" hidden="false" customHeight="false" outlineLevel="0" collapsed="false">
      <c r="A2584" s="3" t="n">
        <f aca="false">DATE(2007,5,29)</f>
        <v>39231</v>
      </c>
      <c r="B2584" s="4" t="s">
        <v>2978</v>
      </c>
      <c r="C2584" s="4" t="s">
        <v>2488</v>
      </c>
    </row>
    <row r="2585" customFormat="false" ht="12.8" hidden="false" customHeight="false" outlineLevel="0" collapsed="false">
      <c r="A2585" s="3" t="n">
        <f aca="false">DATE(2007,5,31)</f>
        <v>39233</v>
      </c>
      <c r="B2585" s="4" t="s">
        <v>2979</v>
      </c>
      <c r="C2585" s="4" t="s">
        <v>1819</v>
      </c>
    </row>
    <row r="2586" customFormat="false" ht="12.8" hidden="false" customHeight="false" outlineLevel="0" collapsed="false">
      <c r="A2586" s="3" t="n">
        <f aca="false">DATE(2007,6,4)</f>
        <v>39237</v>
      </c>
      <c r="B2586" s="4" t="s">
        <v>2980</v>
      </c>
      <c r="C2586" s="4" t="s">
        <v>835</v>
      </c>
    </row>
    <row r="2587" customFormat="false" ht="12.8" hidden="false" customHeight="false" outlineLevel="0" collapsed="false">
      <c r="A2587" s="3" t="n">
        <f aca="false">DATE(2007,6,7)</f>
        <v>39240</v>
      </c>
      <c r="B2587" s="4" t="s">
        <v>2981</v>
      </c>
      <c r="C2587" s="4" t="s">
        <v>2575</v>
      </c>
    </row>
    <row r="2588" customFormat="false" ht="12.8" hidden="false" customHeight="false" outlineLevel="0" collapsed="false">
      <c r="A2588" s="3" t="n">
        <f aca="false">DATE(2007,6,7)</f>
        <v>39240</v>
      </c>
      <c r="B2588" s="4" t="s">
        <v>2982</v>
      </c>
      <c r="C2588" s="4" t="s">
        <v>2507</v>
      </c>
    </row>
    <row r="2589" customFormat="false" ht="12.8" hidden="false" customHeight="false" outlineLevel="0" collapsed="false">
      <c r="A2589" s="3" t="n">
        <f aca="false">DATE(2007,6,14)</f>
        <v>39247</v>
      </c>
      <c r="B2589" s="4" t="s">
        <v>2983</v>
      </c>
      <c r="C2589" s="4" t="s">
        <v>2984</v>
      </c>
    </row>
    <row r="2590" customFormat="false" ht="12.8" hidden="false" customHeight="false" outlineLevel="0" collapsed="false">
      <c r="A2590" s="3" t="n">
        <f aca="false">DATE(2007,6,18)</f>
        <v>39251</v>
      </c>
      <c r="B2590" s="4" t="s">
        <v>2985</v>
      </c>
      <c r="C2590" s="4" t="s">
        <v>2986</v>
      </c>
    </row>
    <row r="2591" customFormat="false" ht="12.8" hidden="false" customHeight="false" outlineLevel="0" collapsed="false">
      <c r="A2591" s="3" t="n">
        <f aca="false">DATE(2007,6,25)</f>
        <v>39258</v>
      </c>
      <c r="B2591" s="4" t="s">
        <v>2987</v>
      </c>
      <c r="C2591" s="4" t="s">
        <v>931</v>
      </c>
    </row>
    <row r="2592" customFormat="false" ht="12.8" hidden="false" customHeight="false" outlineLevel="0" collapsed="false">
      <c r="A2592" s="3" t="n">
        <f aca="false">DATE(2007,6,26)</f>
        <v>39259</v>
      </c>
      <c r="B2592" s="4" t="s">
        <v>2988</v>
      </c>
      <c r="C2592" s="4" t="s">
        <v>784</v>
      </c>
    </row>
    <row r="2593" customFormat="false" ht="12.8" hidden="false" customHeight="false" outlineLevel="0" collapsed="false">
      <c r="A2593" s="3" t="n">
        <f aca="false">DATE(2007,6,27)</f>
        <v>39260</v>
      </c>
      <c r="B2593" s="4" t="s">
        <v>2989</v>
      </c>
      <c r="C2593" s="4" t="s">
        <v>2990</v>
      </c>
    </row>
    <row r="2594" customFormat="false" ht="12.8" hidden="false" customHeight="false" outlineLevel="0" collapsed="false">
      <c r="A2594" s="3" t="n">
        <f aca="false">DATE(2007,6,28)</f>
        <v>39261</v>
      </c>
      <c r="B2594" s="4" t="s">
        <v>2991</v>
      </c>
      <c r="C2594" s="4" t="s">
        <v>2352</v>
      </c>
    </row>
    <row r="2595" customFormat="false" ht="12.8" hidden="false" customHeight="false" outlineLevel="0" collapsed="false">
      <c r="A2595" s="3" t="n">
        <f aca="false">DATE(2007,7,2)</f>
        <v>39265</v>
      </c>
      <c r="B2595" s="4" t="s">
        <v>2992</v>
      </c>
      <c r="C2595" s="4" t="s">
        <v>2993</v>
      </c>
    </row>
    <row r="2596" customFormat="false" ht="12.8" hidden="false" customHeight="false" outlineLevel="0" collapsed="false">
      <c r="A2596" s="3" t="n">
        <f aca="false">DATE(2007,7,9)</f>
        <v>39272</v>
      </c>
      <c r="B2596" s="4" t="s">
        <v>248</v>
      </c>
      <c r="C2596" s="4" t="s">
        <v>2296</v>
      </c>
    </row>
    <row r="2597" customFormat="false" ht="12.8" hidden="false" customHeight="false" outlineLevel="0" collapsed="false">
      <c r="A2597" s="3" t="n">
        <f aca="false">DATE(2007,7,12)</f>
        <v>39275</v>
      </c>
      <c r="B2597" s="4" t="s">
        <v>2994</v>
      </c>
      <c r="C2597" s="4" t="s">
        <v>1019</v>
      </c>
    </row>
    <row r="2598" customFormat="false" ht="12.8" hidden="false" customHeight="false" outlineLevel="0" collapsed="false">
      <c r="A2598" s="3" t="n">
        <f aca="false">DATE(2007,7,12)</f>
        <v>39275</v>
      </c>
      <c r="B2598" s="4" t="s">
        <v>2995</v>
      </c>
      <c r="C2598" s="4" t="s">
        <v>2317</v>
      </c>
    </row>
    <row r="2599" customFormat="false" ht="12.8" hidden="false" customHeight="false" outlineLevel="0" collapsed="false">
      <c r="A2599" s="3" t="n">
        <f aca="false">DATE(2007,7,17)</f>
        <v>39280</v>
      </c>
      <c r="B2599" s="4" t="s">
        <v>2996</v>
      </c>
      <c r="C2599" s="4" t="s">
        <v>2997</v>
      </c>
    </row>
    <row r="2600" customFormat="false" ht="12.8" hidden="false" customHeight="false" outlineLevel="0" collapsed="false">
      <c r="A2600" s="3" t="n">
        <f aca="false">DATE(2007,7,18)</f>
        <v>39281</v>
      </c>
      <c r="B2600" s="4" t="s">
        <v>2998</v>
      </c>
      <c r="C2600" s="4" t="s">
        <v>955</v>
      </c>
    </row>
    <row r="2601" customFormat="false" ht="12.8" hidden="false" customHeight="false" outlineLevel="0" collapsed="false">
      <c r="A2601" s="3" t="n">
        <f aca="false">DATE(2007,7,19)</f>
        <v>39282</v>
      </c>
      <c r="B2601" s="4" t="s">
        <v>2999</v>
      </c>
      <c r="C2601" s="4" t="s">
        <v>2286</v>
      </c>
    </row>
    <row r="2602" customFormat="false" ht="12.8" hidden="false" customHeight="false" outlineLevel="0" collapsed="false">
      <c r="A2602" s="3" t="n">
        <f aca="false">DATE(2007,7,19)</f>
        <v>39282</v>
      </c>
      <c r="B2602" s="4" t="s">
        <v>2433</v>
      </c>
      <c r="C2602" s="4" t="s">
        <v>2043</v>
      </c>
    </row>
    <row r="2603" customFormat="false" ht="12.8" hidden="false" customHeight="false" outlineLevel="0" collapsed="false">
      <c r="A2603" s="3" t="n">
        <f aca="false">DATE(2007,7,19)</f>
        <v>39282</v>
      </c>
      <c r="B2603" s="4" t="s">
        <v>1852</v>
      </c>
      <c r="C2603" s="4" t="s">
        <v>2507</v>
      </c>
    </row>
    <row r="2604" customFormat="false" ht="12.8" hidden="false" customHeight="false" outlineLevel="0" collapsed="false">
      <c r="A2604" s="3" t="n">
        <f aca="false">DATE(2007,7,20)</f>
        <v>39283</v>
      </c>
      <c r="B2604" s="4" t="s">
        <v>2627</v>
      </c>
      <c r="C2604" s="4" t="s">
        <v>660</v>
      </c>
    </row>
    <row r="2605" customFormat="false" ht="12.8" hidden="false" customHeight="false" outlineLevel="0" collapsed="false">
      <c r="A2605" s="3" t="n">
        <f aca="false">DATE(2007,7,25)</f>
        <v>39288</v>
      </c>
      <c r="B2605" s="4" t="s">
        <v>3000</v>
      </c>
      <c r="C2605" s="4" t="s">
        <v>1983</v>
      </c>
    </row>
    <row r="2606" customFormat="false" ht="12.8" hidden="false" customHeight="false" outlineLevel="0" collapsed="false">
      <c r="A2606" s="3" t="n">
        <f aca="false">DATE(2007,7,26)</f>
        <v>39289</v>
      </c>
      <c r="B2606" s="4" t="s">
        <v>2234</v>
      </c>
      <c r="C2606" s="4" t="s">
        <v>3001</v>
      </c>
    </row>
    <row r="2607" customFormat="false" ht="12.8" hidden="false" customHeight="false" outlineLevel="0" collapsed="false">
      <c r="A2607" s="3" t="n">
        <f aca="false">DATE(2007,7,27)</f>
        <v>39290</v>
      </c>
      <c r="B2607" s="4" t="s">
        <v>3002</v>
      </c>
      <c r="C2607" s="4" t="s">
        <v>1152</v>
      </c>
    </row>
    <row r="2608" customFormat="false" ht="12.8" hidden="false" customHeight="false" outlineLevel="0" collapsed="false">
      <c r="A2608" s="3" t="n">
        <f aca="false">DATE(2007,8,14)</f>
        <v>39308</v>
      </c>
      <c r="B2608" s="4" t="s">
        <v>3003</v>
      </c>
      <c r="C2608" s="4" t="s">
        <v>3004</v>
      </c>
    </row>
    <row r="2609" customFormat="false" ht="12.8" hidden="false" customHeight="false" outlineLevel="0" collapsed="false">
      <c r="A2609" s="3" t="n">
        <f aca="false">DATE(2007,8,14)</f>
        <v>39308</v>
      </c>
      <c r="B2609" s="4" t="s">
        <v>2201</v>
      </c>
      <c r="C2609" s="4" t="s">
        <v>2129</v>
      </c>
    </row>
    <row r="2610" customFormat="false" ht="12.8" hidden="false" customHeight="false" outlineLevel="0" collapsed="false">
      <c r="A2610" s="3" t="n">
        <f aca="false">DATE(2007,8,15)</f>
        <v>39309</v>
      </c>
      <c r="B2610" s="4" t="s">
        <v>3005</v>
      </c>
      <c r="C2610" s="4" t="s">
        <v>2770</v>
      </c>
    </row>
    <row r="2611" customFormat="false" ht="12.8" hidden="false" customHeight="false" outlineLevel="0" collapsed="false">
      <c r="A2611" s="3" t="n">
        <f aca="false">DATE(2007,8,16)</f>
        <v>39310</v>
      </c>
      <c r="B2611" s="4" t="s">
        <v>1387</v>
      </c>
      <c r="C2611" s="4" t="s">
        <v>105</v>
      </c>
    </row>
    <row r="2612" customFormat="false" ht="12.8" hidden="false" customHeight="false" outlineLevel="0" collapsed="false">
      <c r="A2612" s="3" t="n">
        <f aca="false">DATE(2007,8,21)</f>
        <v>39315</v>
      </c>
      <c r="B2612" s="4" t="s">
        <v>3006</v>
      </c>
      <c r="C2612" s="4" t="s">
        <v>3007</v>
      </c>
    </row>
    <row r="2613" customFormat="false" ht="12.8" hidden="false" customHeight="false" outlineLevel="0" collapsed="false">
      <c r="A2613" s="3" t="n">
        <f aca="false">DATE(2007,8,24)</f>
        <v>39318</v>
      </c>
      <c r="B2613" s="4" t="s">
        <v>3008</v>
      </c>
      <c r="C2613" s="4" t="s">
        <v>3009</v>
      </c>
    </row>
    <row r="2614" customFormat="false" ht="12.8" hidden="false" customHeight="false" outlineLevel="0" collapsed="false">
      <c r="A2614" s="3" t="n">
        <f aca="false">DATE(2007,8,27)</f>
        <v>39321</v>
      </c>
      <c r="B2614" s="4" t="s">
        <v>3010</v>
      </c>
      <c r="C2614" s="4" t="s">
        <v>3011</v>
      </c>
    </row>
    <row r="2615" customFormat="false" ht="12.8" hidden="false" customHeight="false" outlineLevel="0" collapsed="false">
      <c r="A2615" s="3" t="n">
        <f aca="false">DATE(2007,9,7)</f>
        <v>39332</v>
      </c>
      <c r="B2615" s="4" t="s">
        <v>2664</v>
      </c>
      <c r="C2615" s="4" t="s">
        <v>931</v>
      </c>
    </row>
    <row r="2616" customFormat="false" ht="12.8" hidden="false" customHeight="false" outlineLevel="0" collapsed="false">
      <c r="A2616" s="3" t="n">
        <f aca="false">DATE(2007,9,12)</f>
        <v>39337</v>
      </c>
      <c r="B2616" s="4" t="s">
        <v>3012</v>
      </c>
      <c r="C2616" s="4" t="s">
        <v>3013</v>
      </c>
    </row>
    <row r="2617" customFormat="false" ht="12.8" hidden="false" customHeight="false" outlineLevel="0" collapsed="false">
      <c r="A2617" s="3" t="n">
        <f aca="false">DATE(2007,9,12)</f>
        <v>39337</v>
      </c>
      <c r="B2617" s="4" t="s">
        <v>2341</v>
      </c>
      <c r="C2617" s="4" t="s">
        <v>2229</v>
      </c>
    </row>
    <row r="2618" customFormat="false" ht="12.8" hidden="false" customHeight="false" outlineLevel="0" collapsed="false">
      <c r="A2618" s="3" t="n">
        <f aca="false">DATE(2007,9,26)</f>
        <v>39351</v>
      </c>
      <c r="B2618" s="4" t="s">
        <v>3014</v>
      </c>
      <c r="C2618" s="4" t="s">
        <v>1983</v>
      </c>
    </row>
    <row r="2619" customFormat="false" ht="12.8" hidden="false" customHeight="false" outlineLevel="0" collapsed="false">
      <c r="A2619" s="3" t="n">
        <f aca="false">DATE(2007,10,3)</f>
        <v>39358</v>
      </c>
      <c r="B2619" s="4" t="s">
        <v>3015</v>
      </c>
      <c r="C2619" s="4" t="s">
        <v>3016</v>
      </c>
    </row>
    <row r="2620" customFormat="false" ht="12.8" hidden="false" customHeight="false" outlineLevel="0" collapsed="false">
      <c r="A2620" s="3" t="n">
        <f aca="false">DATE(2007,10,11)</f>
        <v>39366</v>
      </c>
      <c r="B2620" s="4" t="s">
        <v>3017</v>
      </c>
      <c r="C2620" s="4" t="s">
        <v>900</v>
      </c>
    </row>
    <row r="2621" customFormat="false" ht="12.8" hidden="false" customHeight="false" outlineLevel="0" collapsed="false">
      <c r="A2621" s="3" t="n">
        <f aca="false">DATE(2007,10,22)</f>
        <v>39377</v>
      </c>
      <c r="B2621" s="4" t="s">
        <v>3018</v>
      </c>
      <c r="C2621" s="4" t="s">
        <v>2258</v>
      </c>
    </row>
    <row r="2622" customFormat="false" ht="12.8" hidden="false" customHeight="false" outlineLevel="0" collapsed="false">
      <c r="A2622" s="3" t="n">
        <f aca="false">DATE(2007,11,2)</f>
        <v>39388</v>
      </c>
      <c r="B2622" s="4" t="s">
        <v>2282</v>
      </c>
      <c r="C2622" s="4" t="s">
        <v>269</v>
      </c>
    </row>
    <row r="2623" customFormat="false" ht="12.8" hidden="false" customHeight="false" outlineLevel="0" collapsed="false">
      <c r="A2623" s="3" t="n">
        <f aca="false">DATE(2007,11,5)</f>
        <v>39391</v>
      </c>
      <c r="B2623" s="4" t="s">
        <v>3019</v>
      </c>
      <c r="C2623" s="4" t="s">
        <v>3020</v>
      </c>
    </row>
    <row r="2624" customFormat="false" ht="12.8" hidden="false" customHeight="false" outlineLevel="0" collapsed="false">
      <c r="A2624" s="3" t="n">
        <f aca="false">DATE(2007,11,9)</f>
        <v>39395</v>
      </c>
      <c r="B2624" s="4" t="s">
        <v>972</v>
      </c>
      <c r="C2624" s="4" t="s">
        <v>2595</v>
      </c>
    </row>
    <row r="2625" customFormat="false" ht="12.8" hidden="false" customHeight="false" outlineLevel="0" collapsed="false">
      <c r="A2625" s="3" t="n">
        <f aca="false">DATE(2007,11,12)</f>
        <v>39398</v>
      </c>
      <c r="B2625" s="4" t="s">
        <v>3021</v>
      </c>
      <c r="C2625" s="4" t="s">
        <v>3022</v>
      </c>
    </row>
    <row r="2626" customFormat="false" ht="12.8" hidden="false" customHeight="false" outlineLevel="0" collapsed="false">
      <c r="A2626" s="3" t="n">
        <f aca="false">DATE(2007,11,14)</f>
        <v>39400</v>
      </c>
      <c r="B2626" s="4" t="s">
        <v>2447</v>
      </c>
      <c r="C2626" s="4" t="s">
        <v>3023</v>
      </c>
    </row>
    <row r="2627" customFormat="false" ht="12.8" hidden="false" customHeight="false" outlineLevel="0" collapsed="false">
      <c r="A2627" s="3" t="n">
        <f aca="false">DATE(2007,11,27)</f>
        <v>39413</v>
      </c>
      <c r="B2627" s="4" t="s">
        <v>3024</v>
      </c>
      <c r="C2627" s="4" t="s">
        <v>1472</v>
      </c>
    </row>
    <row r="2628" customFormat="false" ht="12.8" hidden="false" customHeight="false" outlineLevel="0" collapsed="false">
      <c r="A2628" s="3" t="n">
        <f aca="false">DATE(2007,12,2)</f>
        <v>39418</v>
      </c>
      <c r="B2628" s="4" t="s">
        <v>3025</v>
      </c>
      <c r="C2628" s="4" t="s">
        <v>3026</v>
      </c>
    </row>
    <row r="2629" customFormat="false" ht="12.8" hidden="false" customHeight="false" outlineLevel="0" collapsed="false">
      <c r="A2629" s="3" t="n">
        <f aca="false">DATE(2007,12,3)</f>
        <v>39419</v>
      </c>
      <c r="B2629" s="4" t="s">
        <v>3027</v>
      </c>
      <c r="C2629" s="4" t="s">
        <v>3028</v>
      </c>
    </row>
    <row r="2630" customFormat="false" ht="12.8" hidden="false" customHeight="false" outlineLevel="0" collapsed="false">
      <c r="A2630" s="3" t="n">
        <f aca="false">DATE(2007,12,10)</f>
        <v>39426</v>
      </c>
      <c r="B2630" s="4" t="s">
        <v>3029</v>
      </c>
      <c r="C2630" s="4" t="s">
        <v>3030</v>
      </c>
    </row>
    <row r="2631" customFormat="false" ht="12.8" hidden="false" customHeight="false" outlineLevel="0" collapsed="false">
      <c r="A2631" s="3" t="n">
        <f aca="false">DATE(2007,12,17)</f>
        <v>39433</v>
      </c>
      <c r="B2631" s="4" t="s">
        <v>2209</v>
      </c>
      <c r="C2631" s="4" t="s">
        <v>1593</v>
      </c>
    </row>
    <row r="2632" customFormat="false" ht="12.8" hidden="false" customHeight="false" outlineLevel="0" collapsed="false">
      <c r="A2632" s="3" t="n">
        <f aca="false">DATE(2008,1,7)</f>
        <v>39454</v>
      </c>
      <c r="B2632" s="4" t="s">
        <v>3031</v>
      </c>
      <c r="C2632" s="4" t="s">
        <v>3032</v>
      </c>
    </row>
    <row r="2633" customFormat="false" ht="12.8" hidden="false" customHeight="false" outlineLevel="0" collapsed="false">
      <c r="A2633" s="3" t="n">
        <f aca="false">DATE(2008,1,9)</f>
        <v>39456</v>
      </c>
      <c r="B2633" s="4" t="s">
        <v>3033</v>
      </c>
      <c r="C2633" s="4" t="s">
        <v>3034</v>
      </c>
    </row>
    <row r="2634" customFormat="false" ht="12.8" hidden="false" customHeight="false" outlineLevel="0" collapsed="false">
      <c r="A2634" s="3" t="n">
        <f aca="false">DATE(2008,2,7)</f>
        <v>39485</v>
      </c>
      <c r="B2634" s="4" t="s">
        <v>3035</v>
      </c>
      <c r="C2634" s="4" t="s">
        <v>2120</v>
      </c>
    </row>
    <row r="2635" customFormat="false" ht="12.8" hidden="false" customHeight="false" outlineLevel="0" collapsed="false">
      <c r="A2635" s="3" t="n">
        <f aca="false">DATE(2008,2,15)</f>
        <v>39493</v>
      </c>
      <c r="B2635" s="4" t="s">
        <v>3036</v>
      </c>
      <c r="C2635" s="4" t="s">
        <v>2595</v>
      </c>
    </row>
    <row r="2636" customFormat="false" ht="12.8" hidden="false" customHeight="false" outlineLevel="0" collapsed="false">
      <c r="A2636" s="3" t="n">
        <f aca="false">DATE(2008,2,27)</f>
        <v>39505</v>
      </c>
      <c r="B2636" s="4" t="s">
        <v>3037</v>
      </c>
      <c r="C2636" s="4" t="s">
        <v>2452</v>
      </c>
    </row>
    <row r="2637" customFormat="false" ht="12.8" hidden="false" customHeight="false" outlineLevel="0" collapsed="false">
      <c r="A2637" s="3" t="n">
        <f aca="false">DATE(2008,3,10)</f>
        <v>39517</v>
      </c>
      <c r="B2637" s="4" t="s">
        <v>3038</v>
      </c>
      <c r="C2637" s="4" t="s">
        <v>3039</v>
      </c>
    </row>
    <row r="2638" customFormat="false" ht="12.8" hidden="false" customHeight="false" outlineLevel="0" collapsed="false">
      <c r="A2638" s="3" t="n">
        <f aca="false">DATE(2008,3,19)</f>
        <v>39526</v>
      </c>
      <c r="B2638" s="4" t="s">
        <v>2447</v>
      </c>
      <c r="C2638" s="4" t="s">
        <v>553</v>
      </c>
    </row>
    <row r="2639" customFormat="false" ht="12.8" hidden="false" customHeight="false" outlineLevel="0" collapsed="false">
      <c r="A2639" s="3" t="n">
        <f aca="false">DATE(2008,5,1)</f>
        <v>39569</v>
      </c>
      <c r="B2639" s="4" t="s">
        <v>3040</v>
      </c>
      <c r="C2639" s="4" t="s">
        <v>3041</v>
      </c>
    </row>
    <row r="2640" customFormat="false" ht="12.8" hidden="false" customHeight="false" outlineLevel="0" collapsed="false">
      <c r="A2640" s="3" t="n">
        <f aca="false">DATE(2008,5,14)</f>
        <v>39582</v>
      </c>
      <c r="B2640" s="4" t="s">
        <v>3042</v>
      </c>
      <c r="C2640" s="4" t="s">
        <v>3043</v>
      </c>
    </row>
    <row r="2641" customFormat="false" ht="12.8" hidden="false" customHeight="false" outlineLevel="0" collapsed="false">
      <c r="A2641" s="3" t="n">
        <f aca="false">DATE(2008,5,21)</f>
        <v>39589</v>
      </c>
      <c r="B2641" s="4" t="s">
        <v>3044</v>
      </c>
      <c r="C2641" s="4" t="s">
        <v>1023</v>
      </c>
    </row>
    <row r="2642" customFormat="false" ht="12.8" hidden="false" customHeight="false" outlineLevel="0" collapsed="false">
      <c r="A2642" s="3" t="n">
        <f aca="false">DATE(2008,5,23)</f>
        <v>39591</v>
      </c>
      <c r="B2642" s="4" t="s">
        <v>1183</v>
      </c>
      <c r="C2642" s="4" t="s">
        <v>2701</v>
      </c>
    </row>
    <row r="2643" customFormat="false" ht="12.8" hidden="false" customHeight="false" outlineLevel="0" collapsed="false">
      <c r="A2643" s="3" t="n">
        <f aca="false">DATE(2008,5,28)</f>
        <v>39596</v>
      </c>
      <c r="B2643" s="4" t="s">
        <v>3045</v>
      </c>
      <c r="C2643" s="4" t="s">
        <v>2623</v>
      </c>
    </row>
    <row r="2644" customFormat="false" ht="12.8" hidden="false" customHeight="false" outlineLevel="0" collapsed="false">
      <c r="A2644" s="3" t="n">
        <f aca="false">DATE(2008,6,9)</f>
        <v>39608</v>
      </c>
      <c r="B2644" s="4" t="s">
        <v>3046</v>
      </c>
      <c r="C2644" s="4" t="s">
        <v>3047</v>
      </c>
    </row>
    <row r="2645" customFormat="false" ht="12.8" hidden="false" customHeight="false" outlineLevel="0" collapsed="false">
      <c r="A2645" s="3" t="n">
        <f aca="false">DATE(2008,6,9)</f>
        <v>39608</v>
      </c>
      <c r="B2645" s="4" t="s">
        <v>3048</v>
      </c>
      <c r="C2645" s="4" t="s">
        <v>1401</v>
      </c>
    </row>
    <row r="2646" customFormat="false" ht="12.8" hidden="false" customHeight="false" outlineLevel="0" collapsed="false">
      <c r="A2646" s="3" t="n">
        <f aca="false">DATE(2008,6,18)</f>
        <v>39617</v>
      </c>
      <c r="B2646" s="4" t="s">
        <v>3049</v>
      </c>
      <c r="C2646" s="4" t="s">
        <v>3050</v>
      </c>
    </row>
    <row r="2647" customFormat="false" ht="12.8" hidden="false" customHeight="false" outlineLevel="0" collapsed="false">
      <c r="A2647" s="3" t="n">
        <f aca="false">DATE(2008,7,18)</f>
        <v>39647</v>
      </c>
      <c r="B2647" s="4" t="s">
        <v>2921</v>
      </c>
      <c r="C2647" s="4" t="s">
        <v>3051</v>
      </c>
    </row>
    <row r="2648" customFormat="false" ht="12.8" hidden="false" customHeight="false" outlineLevel="0" collapsed="false">
      <c r="A2648" s="3" t="n">
        <f aca="false">DATE(2008,8,19)</f>
        <v>39679</v>
      </c>
      <c r="B2648" s="4" t="s">
        <v>3052</v>
      </c>
      <c r="C2648" s="4" t="s">
        <v>726</v>
      </c>
    </row>
    <row r="2649" customFormat="false" ht="12.8" hidden="false" customHeight="false" outlineLevel="0" collapsed="false">
      <c r="A2649" s="3" t="n">
        <f aca="false">DATE(2008,8,25)</f>
        <v>39685</v>
      </c>
      <c r="B2649" s="4" t="s">
        <v>3053</v>
      </c>
      <c r="C2649" s="4" t="s">
        <v>3054</v>
      </c>
    </row>
    <row r="2650" customFormat="false" ht="12.8" hidden="false" customHeight="false" outlineLevel="0" collapsed="false">
      <c r="A2650" s="3" t="n">
        <f aca="false">DATE(2008,9,3)</f>
        <v>39694</v>
      </c>
      <c r="B2650" s="4" t="s">
        <v>2579</v>
      </c>
      <c r="C2650" s="4" t="s">
        <v>634</v>
      </c>
    </row>
    <row r="2651" customFormat="false" ht="12.8" hidden="false" customHeight="false" outlineLevel="0" collapsed="false">
      <c r="A2651" s="3" t="n">
        <f aca="false">DATE(2008,9,5)</f>
        <v>39696</v>
      </c>
      <c r="B2651" s="4" t="s">
        <v>3055</v>
      </c>
      <c r="C2651" s="4" t="s">
        <v>1045</v>
      </c>
    </row>
    <row r="2652" customFormat="false" ht="12.8" hidden="false" customHeight="false" outlineLevel="0" collapsed="false">
      <c r="A2652" s="3" t="n">
        <f aca="false">DATE(2008,9,10)</f>
        <v>39701</v>
      </c>
      <c r="B2652" s="4" t="s">
        <v>2531</v>
      </c>
      <c r="C2652" s="4" t="s">
        <v>2984</v>
      </c>
    </row>
    <row r="2653" customFormat="false" ht="12.8" hidden="false" customHeight="false" outlineLevel="0" collapsed="false">
      <c r="A2653" s="3" t="n">
        <f aca="false">DATE(2008,9,19)</f>
        <v>39710</v>
      </c>
      <c r="B2653" s="4" t="s">
        <v>3056</v>
      </c>
      <c r="C2653" s="4" t="s">
        <v>3057</v>
      </c>
    </row>
    <row r="2654" customFormat="false" ht="12.8" hidden="false" customHeight="false" outlineLevel="0" collapsed="false">
      <c r="A2654" s="3" t="n">
        <f aca="false">DATE(2008,9,24)</f>
        <v>39715</v>
      </c>
      <c r="B2654" s="4" t="s">
        <v>2931</v>
      </c>
      <c r="C2654" s="4" t="s">
        <v>3034</v>
      </c>
    </row>
    <row r="2655" customFormat="false" ht="12.8" hidden="false" customHeight="false" outlineLevel="0" collapsed="false">
      <c r="A2655" s="3" t="n">
        <f aca="false">DATE(2008,9,29)</f>
        <v>39720</v>
      </c>
      <c r="B2655" s="4" t="s">
        <v>3058</v>
      </c>
      <c r="C2655" s="4" t="s">
        <v>2286</v>
      </c>
    </row>
    <row r="2656" customFormat="false" ht="12.8" hidden="false" customHeight="false" outlineLevel="0" collapsed="false">
      <c r="A2656" s="3" t="n">
        <f aca="false">DATE(2008,10,3)</f>
        <v>39724</v>
      </c>
      <c r="B2656" s="4" t="s">
        <v>2609</v>
      </c>
      <c r="C2656" s="4" t="s">
        <v>1946</v>
      </c>
    </row>
    <row r="2657" customFormat="false" ht="12.8" hidden="false" customHeight="false" outlineLevel="0" collapsed="false">
      <c r="A2657" s="3" t="n">
        <f aca="false">DATE(2008,10,13)</f>
        <v>39734</v>
      </c>
      <c r="B2657" s="4" t="s">
        <v>3059</v>
      </c>
      <c r="C2657" s="4" t="s">
        <v>2831</v>
      </c>
    </row>
    <row r="2658" customFormat="false" ht="12.8" hidden="false" customHeight="false" outlineLevel="0" collapsed="false">
      <c r="A2658" s="3" t="n">
        <f aca="false">DATE(2008,10,24)</f>
        <v>39745</v>
      </c>
      <c r="B2658" s="4" t="s">
        <v>664</v>
      </c>
      <c r="C2658" s="4" t="s">
        <v>2507</v>
      </c>
    </row>
    <row r="2659" customFormat="false" ht="12.8" hidden="false" customHeight="false" outlineLevel="0" collapsed="false">
      <c r="A2659" s="3" t="n">
        <f aca="false">DATE(2008,11,1)</f>
        <v>39753</v>
      </c>
      <c r="B2659" s="4" t="s">
        <v>3060</v>
      </c>
      <c r="C2659" s="4" t="s">
        <v>105</v>
      </c>
    </row>
    <row r="2660" customFormat="false" ht="12.8" hidden="false" customHeight="false" outlineLevel="0" collapsed="false">
      <c r="A2660" s="3" t="n">
        <f aca="false">DATE(2008,11,10)</f>
        <v>39762</v>
      </c>
      <c r="B2660" s="4" t="s">
        <v>3061</v>
      </c>
      <c r="C2660" s="4" t="s">
        <v>3062</v>
      </c>
    </row>
    <row r="2661" customFormat="false" ht="12.8" hidden="false" customHeight="false" outlineLevel="0" collapsed="false">
      <c r="A2661" s="3" t="n">
        <f aca="false">DATE(2008,11,25)</f>
        <v>39777</v>
      </c>
      <c r="B2661" s="4" t="s">
        <v>3063</v>
      </c>
      <c r="C2661" s="4" t="s">
        <v>225</v>
      </c>
    </row>
    <row r="2662" customFormat="false" ht="12.8" hidden="false" customHeight="false" outlineLevel="0" collapsed="false">
      <c r="A2662" s="3" t="n">
        <f aca="false">DATE(2008,12,3)</f>
        <v>39785</v>
      </c>
      <c r="B2662" s="4" t="s">
        <v>3064</v>
      </c>
      <c r="C2662" s="4" t="s">
        <v>2690</v>
      </c>
    </row>
    <row r="2663" customFormat="false" ht="12.8" hidden="false" customHeight="false" outlineLevel="0" collapsed="false">
      <c r="A2663" s="3" t="n">
        <f aca="false">DATE(2008,12,11)</f>
        <v>39793</v>
      </c>
      <c r="B2663" s="4" t="s">
        <v>3065</v>
      </c>
      <c r="C2663" s="4" t="s">
        <v>2409</v>
      </c>
    </row>
    <row r="2664" customFormat="false" ht="12.8" hidden="false" customHeight="false" outlineLevel="0" collapsed="false">
      <c r="A2664" s="3" t="n">
        <f aca="false">DATE(2008,12,17)</f>
        <v>39799</v>
      </c>
      <c r="B2664" s="4" t="s">
        <v>3066</v>
      </c>
      <c r="C2664" s="4" t="s">
        <v>178</v>
      </c>
    </row>
    <row r="2665" customFormat="false" ht="12.8" hidden="false" customHeight="false" outlineLevel="0" collapsed="false">
      <c r="A2665" s="3" t="n">
        <f aca="false">DATE(2008,12,19)</f>
        <v>39801</v>
      </c>
      <c r="B2665" s="4" t="s">
        <v>1030</v>
      </c>
      <c r="C2665" s="4" t="s">
        <v>2043</v>
      </c>
    </row>
    <row r="2666" customFormat="false" ht="12.8" hidden="false" customHeight="false" outlineLevel="0" collapsed="false">
      <c r="A2666" s="3" t="n">
        <f aca="false">DATE(2008,12,31)</f>
        <v>39813</v>
      </c>
      <c r="B2666" s="4" t="s">
        <v>1691</v>
      </c>
      <c r="C2666" s="4" t="s">
        <v>1472</v>
      </c>
    </row>
    <row r="2667" customFormat="false" ht="12.8" hidden="false" customHeight="false" outlineLevel="0" collapsed="false">
      <c r="A2667" s="3" t="n">
        <f aca="false">DATE(2009,1,8)</f>
        <v>39821</v>
      </c>
      <c r="B2667" s="4" t="s">
        <v>3067</v>
      </c>
      <c r="C2667" s="4" t="s">
        <v>2219</v>
      </c>
    </row>
    <row r="2668" customFormat="false" ht="12.8" hidden="false" customHeight="false" outlineLevel="0" collapsed="false">
      <c r="A2668" s="3" t="n">
        <f aca="false">DATE(2009,1,14)</f>
        <v>39827</v>
      </c>
      <c r="B2668" s="4" t="s">
        <v>3068</v>
      </c>
      <c r="C2668" s="4" t="s">
        <v>2917</v>
      </c>
    </row>
    <row r="2669" customFormat="false" ht="12.8" hidden="false" customHeight="false" outlineLevel="0" collapsed="false">
      <c r="A2669" s="3" t="n">
        <f aca="false">DATE(2009,2,9)</f>
        <v>39853</v>
      </c>
      <c r="B2669" s="4" t="s">
        <v>3069</v>
      </c>
      <c r="C2669" s="4" t="s">
        <v>726</v>
      </c>
    </row>
    <row r="2670" customFormat="false" ht="12.8" hidden="false" customHeight="false" outlineLevel="0" collapsed="false">
      <c r="A2670" s="3" t="n">
        <f aca="false">DATE(2009,2,17)</f>
        <v>39861</v>
      </c>
      <c r="B2670" s="4" t="s">
        <v>3070</v>
      </c>
      <c r="C2670" s="4" t="s">
        <v>3071</v>
      </c>
    </row>
    <row r="2671" customFormat="false" ht="12.8" hidden="false" customHeight="false" outlineLevel="0" collapsed="false">
      <c r="A2671" s="3" t="n">
        <f aca="false">DATE(2009,2,17)</f>
        <v>39861</v>
      </c>
      <c r="B2671" s="4" t="s">
        <v>3072</v>
      </c>
      <c r="C2671" s="4" t="s">
        <v>779</v>
      </c>
    </row>
    <row r="2672" customFormat="false" ht="12.8" hidden="false" customHeight="false" outlineLevel="0" collapsed="false">
      <c r="A2672" s="3" t="n">
        <f aca="false">DATE(2009,3,6)</f>
        <v>39878</v>
      </c>
      <c r="B2672" s="4" t="s">
        <v>3073</v>
      </c>
      <c r="C2672" s="4" t="s">
        <v>3074</v>
      </c>
    </row>
    <row r="2673" customFormat="false" ht="12.8" hidden="false" customHeight="false" outlineLevel="0" collapsed="false">
      <c r="A2673" s="3" t="n">
        <f aca="false">DATE(2009,3,30)</f>
        <v>39902</v>
      </c>
      <c r="B2673" s="4" t="s">
        <v>3075</v>
      </c>
      <c r="C2673" s="4" t="s">
        <v>1871</v>
      </c>
    </row>
    <row r="2674" customFormat="false" ht="12.8" hidden="false" customHeight="false" outlineLevel="0" collapsed="false">
      <c r="A2674" s="3" t="n">
        <f aca="false">DATE(2009,4,2)</f>
        <v>39905</v>
      </c>
      <c r="B2674" s="4" t="s">
        <v>3076</v>
      </c>
      <c r="C2674" s="4" t="s">
        <v>2225</v>
      </c>
    </row>
    <row r="2675" customFormat="false" ht="12.8" hidden="false" customHeight="false" outlineLevel="0" collapsed="false">
      <c r="A2675" s="3" t="n">
        <f aca="false">DATE(2009,4,3)</f>
        <v>39906</v>
      </c>
      <c r="B2675" s="4" t="s">
        <v>1606</v>
      </c>
      <c r="C2675" s="4" t="s">
        <v>3028</v>
      </c>
    </row>
    <row r="2676" customFormat="false" ht="12.8" hidden="false" customHeight="false" outlineLevel="0" collapsed="false">
      <c r="A2676" s="3" t="n">
        <f aca="false">DATE(2009,4,7)</f>
        <v>39910</v>
      </c>
      <c r="B2676" s="4" t="s">
        <v>3077</v>
      </c>
      <c r="C2676" s="4" t="s">
        <v>2502</v>
      </c>
    </row>
    <row r="2677" customFormat="false" ht="12.8" hidden="false" customHeight="false" outlineLevel="0" collapsed="false">
      <c r="A2677" s="3" t="n">
        <f aca="false">DATE(2009,4,29)</f>
        <v>39932</v>
      </c>
      <c r="B2677" s="4" t="s">
        <v>2082</v>
      </c>
      <c r="C2677" s="4" t="s">
        <v>2972</v>
      </c>
    </row>
    <row r="2678" customFormat="false" ht="12.8" hidden="false" customHeight="false" outlineLevel="0" collapsed="false">
      <c r="A2678" s="3" t="n">
        <f aca="false">DATE(2009,4,29)</f>
        <v>39932</v>
      </c>
      <c r="B2678" s="4" t="s">
        <v>3078</v>
      </c>
      <c r="C2678" s="4" t="s">
        <v>3079</v>
      </c>
    </row>
    <row r="2679" customFormat="false" ht="12.8" hidden="false" customHeight="false" outlineLevel="0" collapsed="false">
      <c r="A2679" s="3" t="n">
        <f aca="false">DATE(2009,4,30)</f>
        <v>39933</v>
      </c>
      <c r="B2679" s="4" t="s">
        <v>3080</v>
      </c>
      <c r="C2679" s="4" t="s">
        <v>3030</v>
      </c>
    </row>
    <row r="2680" customFormat="false" ht="12.8" hidden="false" customHeight="false" outlineLevel="0" collapsed="false">
      <c r="A2680" s="3" t="n">
        <f aca="false">DATE(2009,5,13)</f>
        <v>39946</v>
      </c>
      <c r="B2680" s="4" t="s">
        <v>2082</v>
      </c>
      <c r="C2680" s="4" t="s">
        <v>1252</v>
      </c>
    </row>
    <row r="2681" customFormat="false" ht="12.8" hidden="false" customHeight="false" outlineLevel="0" collapsed="false">
      <c r="A2681" s="3" t="n">
        <f aca="false">DATE(2009,6,3)</f>
        <v>39967</v>
      </c>
      <c r="B2681" s="4" t="s">
        <v>3081</v>
      </c>
      <c r="C2681" s="4" t="s">
        <v>3082</v>
      </c>
    </row>
    <row r="2682" customFormat="false" ht="12.8" hidden="false" customHeight="false" outlineLevel="0" collapsed="false">
      <c r="A2682" s="3" t="n">
        <f aca="false">DATE(2009,6,4)</f>
        <v>39968</v>
      </c>
      <c r="B2682" s="4" t="s">
        <v>3083</v>
      </c>
      <c r="C2682" s="4" t="s">
        <v>2997</v>
      </c>
    </row>
    <row r="2683" customFormat="false" ht="12.8" hidden="false" customHeight="false" outlineLevel="0" collapsed="false">
      <c r="A2683" s="3" t="n">
        <f aca="false">DATE(2009,6,30)</f>
        <v>39994</v>
      </c>
      <c r="B2683" s="4" t="s">
        <v>3084</v>
      </c>
      <c r="C2683" s="4" t="s">
        <v>3085</v>
      </c>
    </row>
    <row r="2684" customFormat="false" ht="12.8" hidden="false" customHeight="false" outlineLevel="0" collapsed="false">
      <c r="A2684" s="3" t="n">
        <f aca="false">DATE(2009,7,16)</f>
        <v>40010</v>
      </c>
      <c r="B2684" s="4" t="s">
        <v>3086</v>
      </c>
      <c r="C2684" s="4" t="s">
        <v>3087</v>
      </c>
    </row>
    <row r="2685" customFormat="false" ht="12.8" hidden="false" customHeight="false" outlineLevel="0" collapsed="false">
      <c r="A2685" s="3" t="n">
        <f aca="false">DATE(2009,7,27)</f>
        <v>40021</v>
      </c>
      <c r="B2685" s="4" t="s">
        <v>1023</v>
      </c>
      <c r="C2685" s="4" t="s">
        <v>2502</v>
      </c>
    </row>
    <row r="2686" customFormat="false" ht="12.8" hidden="false" customHeight="false" outlineLevel="0" collapsed="false">
      <c r="A2686" s="3" t="n">
        <f aca="false">DATE(2009,8,14)</f>
        <v>40039</v>
      </c>
      <c r="B2686" s="4" t="s">
        <v>3088</v>
      </c>
      <c r="C2686" s="4" t="s">
        <v>2066</v>
      </c>
    </row>
    <row r="2687" customFormat="false" ht="12.8" hidden="false" customHeight="false" outlineLevel="0" collapsed="false">
      <c r="A2687" s="3" t="n">
        <f aca="false">DATE(2009,10,15)</f>
        <v>40101</v>
      </c>
      <c r="B2687" s="4" t="s">
        <v>2870</v>
      </c>
      <c r="C2687" s="4" t="s">
        <v>2986</v>
      </c>
    </row>
    <row r="2688" customFormat="false" ht="12.8" hidden="false" customHeight="false" outlineLevel="0" collapsed="false">
      <c r="A2688" s="3" t="n">
        <f aca="false">DATE(2009,11,3)</f>
        <v>40120</v>
      </c>
      <c r="B2688" s="4" t="s">
        <v>3089</v>
      </c>
      <c r="C2688" s="4" t="s">
        <v>3047</v>
      </c>
    </row>
    <row r="2689" customFormat="false" ht="12.8" hidden="false" customHeight="false" outlineLevel="0" collapsed="false">
      <c r="A2689" s="3" t="n">
        <f aca="false">DATE(2009,11,6)</f>
        <v>40123</v>
      </c>
      <c r="B2689" s="4" t="s">
        <v>3090</v>
      </c>
      <c r="C2689" s="4" t="s">
        <v>2070</v>
      </c>
    </row>
    <row r="2690" customFormat="false" ht="12.8" hidden="false" customHeight="false" outlineLevel="0" collapsed="false">
      <c r="A2690" s="3" t="n">
        <f aca="false">DATE(2009,11,11)</f>
        <v>40128</v>
      </c>
      <c r="B2690" s="4" t="s">
        <v>3091</v>
      </c>
      <c r="C2690" s="4" t="s">
        <v>1785</v>
      </c>
    </row>
    <row r="2691" customFormat="false" ht="12.8" hidden="false" customHeight="false" outlineLevel="0" collapsed="false">
      <c r="A2691" s="3" t="n">
        <f aca="false">DATE(2009,12,28)</f>
        <v>40175</v>
      </c>
      <c r="B2691" s="4" t="s">
        <v>3057</v>
      </c>
      <c r="C2691" s="4" t="s">
        <v>2766</v>
      </c>
    </row>
    <row r="2692" customFormat="false" ht="12.8" hidden="false" customHeight="false" outlineLevel="0" collapsed="false">
      <c r="A2692" s="3" t="n">
        <f aca="false">DATE(2010,1,7)</f>
        <v>40185</v>
      </c>
      <c r="B2692" s="4" t="s">
        <v>3092</v>
      </c>
      <c r="C2692" s="4" t="s">
        <v>475</v>
      </c>
    </row>
    <row r="2693" customFormat="false" ht="12.8" hidden="false" customHeight="false" outlineLevel="0" collapsed="false">
      <c r="A2693" s="3" t="n">
        <f aca="false">DATE(2010,3,18)</f>
        <v>40255</v>
      </c>
      <c r="B2693" s="4" t="s">
        <v>2875</v>
      </c>
      <c r="C2693" s="4" t="s">
        <v>3093</v>
      </c>
    </row>
    <row r="2694" customFormat="false" ht="12.8" hidden="false" customHeight="false" outlineLevel="0" collapsed="false">
      <c r="A2694" s="3" t="n">
        <f aca="false">DATE(2010,5,5)</f>
        <v>40303</v>
      </c>
      <c r="B2694" s="4" t="s">
        <v>3094</v>
      </c>
      <c r="C2694" s="4" t="s">
        <v>3095</v>
      </c>
    </row>
    <row r="2695" customFormat="false" ht="12.8" hidden="false" customHeight="false" outlineLevel="0" collapsed="false">
      <c r="A2695" s="3" t="n">
        <f aca="false">DATE(2010,5,10)</f>
        <v>40308</v>
      </c>
      <c r="B2695" s="4" t="s">
        <v>3096</v>
      </c>
      <c r="C2695" s="4" t="s">
        <v>3097</v>
      </c>
    </row>
    <row r="2696" customFormat="false" ht="12.8" hidden="false" customHeight="false" outlineLevel="0" collapsed="false">
      <c r="A2696" s="3" t="n">
        <f aca="false">DATE(2010,5,26)</f>
        <v>40324</v>
      </c>
      <c r="B2696" s="4" t="s">
        <v>3098</v>
      </c>
      <c r="C2696" s="4" t="s">
        <v>2381</v>
      </c>
    </row>
    <row r="2697" customFormat="false" ht="12.8" hidden="false" customHeight="false" outlineLevel="0" collapsed="false">
      <c r="A2697" s="3" t="n">
        <f aca="false">DATE(2010,6,8)</f>
        <v>40337</v>
      </c>
      <c r="B2697" s="4" t="s">
        <v>3099</v>
      </c>
      <c r="C2697" s="4" t="s">
        <v>1819</v>
      </c>
    </row>
    <row r="2698" customFormat="false" ht="12.8" hidden="false" customHeight="false" outlineLevel="0" collapsed="false">
      <c r="A2698" s="3" t="n">
        <f aca="false">DATE(2010,6,24)</f>
        <v>40353</v>
      </c>
      <c r="B2698" s="4" t="s">
        <v>2987</v>
      </c>
      <c r="C2698" s="4" t="s">
        <v>3100</v>
      </c>
    </row>
    <row r="2699" customFormat="false" ht="12.8" hidden="false" customHeight="false" outlineLevel="0" collapsed="false">
      <c r="A2699" s="3" t="n">
        <f aca="false">DATE(2010,7,16)</f>
        <v>40375</v>
      </c>
      <c r="B2699" s="4" t="s">
        <v>3101</v>
      </c>
      <c r="C2699" s="4" t="s">
        <v>2524</v>
      </c>
    </row>
    <row r="2700" customFormat="false" ht="12.8" hidden="false" customHeight="false" outlineLevel="0" collapsed="false">
      <c r="A2700" s="3" t="n">
        <f aca="false">DATE(2010,8,9)</f>
        <v>40399</v>
      </c>
      <c r="B2700" s="4" t="s">
        <v>3102</v>
      </c>
      <c r="C2700" s="4" t="s">
        <v>2595</v>
      </c>
    </row>
    <row r="2701" customFormat="false" ht="12.8" hidden="false" customHeight="false" outlineLevel="0" collapsed="false">
      <c r="A2701" s="3" t="n">
        <f aca="false">DATE(2010,8,19)</f>
        <v>40409</v>
      </c>
      <c r="B2701" s="4" t="s">
        <v>2699</v>
      </c>
      <c r="C2701" s="4" t="s">
        <v>2502</v>
      </c>
    </row>
    <row r="2702" customFormat="false" ht="12.8" hidden="false" customHeight="false" outlineLevel="0" collapsed="false">
      <c r="A2702" s="3" t="n">
        <f aca="false">DATE(2010,8,31)</f>
        <v>40421</v>
      </c>
      <c r="B2702" s="4" t="s">
        <v>3103</v>
      </c>
      <c r="C2702" s="4" t="s">
        <v>3104</v>
      </c>
    </row>
    <row r="2703" customFormat="false" ht="12.8" hidden="false" customHeight="false" outlineLevel="0" collapsed="false">
      <c r="A2703" s="3" t="n">
        <f aca="false">DATE(2010,9,1)</f>
        <v>40422</v>
      </c>
      <c r="B2703" s="4" t="s">
        <v>3105</v>
      </c>
      <c r="C2703" s="4" t="s">
        <v>3106</v>
      </c>
    </row>
    <row r="2704" customFormat="false" ht="12.8" hidden="false" customHeight="false" outlineLevel="0" collapsed="false">
      <c r="A2704" s="3" t="n">
        <f aca="false">DATE(2010,9,9)</f>
        <v>40430</v>
      </c>
      <c r="B2704" s="4" t="s">
        <v>3107</v>
      </c>
      <c r="C2704" s="4" t="s">
        <v>1397</v>
      </c>
    </row>
    <row r="2705" customFormat="false" ht="12.8" hidden="false" customHeight="false" outlineLevel="0" collapsed="false">
      <c r="A2705" s="3" t="n">
        <f aca="false">DATE(2010,9,13)</f>
        <v>40434</v>
      </c>
      <c r="B2705" s="4" t="s">
        <v>3108</v>
      </c>
      <c r="C2705" s="4" t="s">
        <v>2305</v>
      </c>
    </row>
    <row r="2706" customFormat="false" ht="12.8" hidden="false" customHeight="false" outlineLevel="0" collapsed="false">
      <c r="A2706" s="3" t="n">
        <f aca="false">DATE(2010,9,22)</f>
        <v>40443</v>
      </c>
      <c r="B2706" s="4" t="s">
        <v>3109</v>
      </c>
      <c r="C2706" s="4" t="s">
        <v>1094</v>
      </c>
    </row>
    <row r="2707" customFormat="false" ht="12.8" hidden="false" customHeight="false" outlineLevel="0" collapsed="false">
      <c r="A2707" s="3" t="n">
        <f aca="false">DATE(2010,10,6)</f>
        <v>40457</v>
      </c>
      <c r="B2707" s="4" t="s">
        <v>3110</v>
      </c>
      <c r="C2707" s="4" t="s">
        <v>225</v>
      </c>
    </row>
    <row r="2708" customFormat="false" ht="12.8" hidden="false" customHeight="false" outlineLevel="0" collapsed="false">
      <c r="A2708" s="3" t="n">
        <f aca="false">DATE(2010,10,12)</f>
        <v>40463</v>
      </c>
      <c r="B2708" s="4" t="s">
        <v>3111</v>
      </c>
      <c r="C2708" s="4" t="s">
        <v>2972</v>
      </c>
    </row>
    <row r="2709" customFormat="false" ht="12.8" hidden="false" customHeight="false" outlineLevel="0" collapsed="false">
      <c r="A2709" s="3" t="n">
        <f aca="false">DATE(2010,10,15)</f>
        <v>40466</v>
      </c>
      <c r="B2709" s="4" t="s">
        <v>3112</v>
      </c>
      <c r="C2709" s="4" t="s">
        <v>178</v>
      </c>
    </row>
    <row r="2710" customFormat="false" ht="12.8" hidden="false" customHeight="false" outlineLevel="0" collapsed="false">
      <c r="A2710" s="3" t="n">
        <f aca="false">DATE(2010,10,25)</f>
        <v>40476</v>
      </c>
      <c r="B2710" s="4" t="s">
        <v>948</v>
      </c>
      <c r="C2710" s="4" t="s">
        <v>1269</v>
      </c>
    </row>
    <row r="2711" customFormat="false" ht="12.8" hidden="false" customHeight="false" outlineLevel="0" collapsed="false">
      <c r="A2711" s="3" t="n">
        <f aca="false">DATE(2010,10,27)</f>
        <v>40478</v>
      </c>
      <c r="B2711" s="4" t="s">
        <v>3113</v>
      </c>
      <c r="C2711" s="4" t="s">
        <v>2616</v>
      </c>
    </row>
    <row r="2712" customFormat="false" ht="12.8" hidden="false" customHeight="false" outlineLevel="0" collapsed="false">
      <c r="A2712" s="3" t="n">
        <f aca="false">DATE(2010,11,1)</f>
        <v>40483</v>
      </c>
      <c r="B2712" s="4" t="s">
        <v>3114</v>
      </c>
      <c r="C2712" s="4" t="s">
        <v>3115</v>
      </c>
    </row>
    <row r="2713" customFormat="false" ht="12.8" hidden="false" customHeight="false" outlineLevel="0" collapsed="false">
      <c r="A2713" s="3" t="n">
        <f aca="false">DATE(2010,11,1)</f>
        <v>40483</v>
      </c>
      <c r="B2713" s="4" t="s">
        <v>890</v>
      </c>
      <c r="C2713" s="4" t="s">
        <v>2043</v>
      </c>
    </row>
    <row r="2714" customFormat="false" ht="12.8" hidden="false" customHeight="false" outlineLevel="0" collapsed="false">
      <c r="A2714" s="3" t="n">
        <f aca="false">DATE(2010,12,9)</f>
        <v>40521</v>
      </c>
      <c r="B2714" s="4" t="s">
        <v>3116</v>
      </c>
      <c r="C2714" s="4" t="s">
        <v>2479</v>
      </c>
    </row>
    <row r="2715" customFormat="false" ht="12.8" hidden="false" customHeight="false" outlineLevel="0" collapsed="false">
      <c r="A2715" s="3" t="n">
        <f aca="false">DATE(2010,12,16)</f>
        <v>40528</v>
      </c>
      <c r="B2715" s="4" t="s">
        <v>2843</v>
      </c>
      <c r="C2715" s="4" t="s">
        <v>367</v>
      </c>
    </row>
    <row r="2716" customFormat="false" ht="12.8" hidden="false" customHeight="false" outlineLevel="0" collapsed="false">
      <c r="A2716" s="3" t="n">
        <f aca="false">DATE(2010,12,16)</f>
        <v>40528</v>
      </c>
      <c r="B2716" s="4" t="s">
        <v>3117</v>
      </c>
      <c r="C2716" s="4" t="s">
        <v>2775</v>
      </c>
    </row>
    <row r="2717" customFormat="false" ht="12.8" hidden="false" customHeight="false" outlineLevel="0" collapsed="false">
      <c r="A2717" s="3" t="n">
        <f aca="false">DATE(2010,12,22)</f>
        <v>40534</v>
      </c>
      <c r="B2717" s="4" t="s">
        <v>3118</v>
      </c>
      <c r="C2717" s="4" t="s">
        <v>2972</v>
      </c>
    </row>
    <row r="2718" customFormat="false" ht="12.8" hidden="false" customHeight="false" outlineLevel="0" collapsed="false">
      <c r="A2718" s="3" t="n">
        <f aca="false">DATE(2010,12,22)</f>
        <v>40534</v>
      </c>
      <c r="B2718" s="4" t="s">
        <v>1401</v>
      </c>
      <c r="C2718" s="4" t="s">
        <v>1164</v>
      </c>
    </row>
    <row r="2719" customFormat="false" ht="12.8" hidden="false" customHeight="false" outlineLevel="0" collapsed="false">
      <c r="A2719" s="3" t="n">
        <f aca="false">DATE(2011,1,18)</f>
        <v>40561</v>
      </c>
      <c r="B2719" s="4" t="s">
        <v>953</v>
      </c>
      <c r="C2719" s="4" t="s">
        <v>44</v>
      </c>
    </row>
    <row r="2720" customFormat="false" ht="12.8" hidden="false" customHeight="false" outlineLevel="0" collapsed="false">
      <c r="A2720" s="3" t="n">
        <f aca="false">DATE(2011,1,26)</f>
        <v>40569</v>
      </c>
      <c r="B2720" s="4" t="s">
        <v>3119</v>
      </c>
      <c r="C2720" s="4" t="s">
        <v>459</v>
      </c>
    </row>
    <row r="2721" customFormat="false" ht="12.8" hidden="false" customHeight="false" outlineLevel="0" collapsed="false">
      <c r="A2721" s="3" t="n">
        <f aca="false">DATE(2011,2,22)</f>
        <v>40596</v>
      </c>
      <c r="B2721" s="4" t="s">
        <v>3120</v>
      </c>
      <c r="C2721" s="4" t="s">
        <v>2439</v>
      </c>
    </row>
    <row r="2722" customFormat="false" ht="12.8" hidden="false" customHeight="false" outlineLevel="0" collapsed="false">
      <c r="A2722" s="3" t="n">
        <f aca="false">DATE(2011,3,11)</f>
        <v>40613</v>
      </c>
      <c r="B2722" s="4" t="s">
        <v>3121</v>
      </c>
      <c r="C2722" s="4" t="s">
        <v>2439</v>
      </c>
    </row>
    <row r="2723" customFormat="false" ht="12.8" hidden="false" customHeight="false" outlineLevel="0" collapsed="false">
      <c r="A2723" s="3" t="n">
        <f aca="false">DATE(2011,3,22)</f>
        <v>40624</v>
      </c>
      <c r="B2723" s="4" t="s">
        <v>3122</v>
      </c>
      <c r="C2723" s="4" t="s">
        <v>3123</v>
      </c>
    </row>
    <row r="2724" customFormat="false" ht="12.8" hidden="false" customHeight="false" outlineLevel="0" collapsed="false">
      <c r="A2724" s="3" t="n">
        <f aca="false">DATE(2011,3,31)</f>
        <v>40633</v>
      </c>
      <c r="B2724" s="4" t="s">
        <v>2505</v>
      </c>
      <c r="C2724" s="4" t="s">
        <v>3124</v>
      </c>
    </row>
    <row r="2725" customFormat="false" ht="12.8" hidden="false" customHeight="false" outlineLevel="0" collapsed="false">
      <c r="A2725" s="3" t="n">
        <f aca="false">DATE(2011,4,20)</f>
        <v>40653</v>
      </c>
      <c r="B2725" s="4" t="s">
        <v>3125</v>
      </c>
      <c r="C2725" s="4" t="s">
        <v>2616</v>
      </c>
    </row>
    <row r="2726" customFormat="false" ht="12.8" hidden="false" customHeight="false" outlineLevel="0" collapsed="false">
      <c r="A2726" s="3" t="n">
        <f aca="false">DATE(2011,4,27)</f>
        <v>40660</v>
      </c>
      <c r="B2726" s="4" t="s">
        <v>1541</v>
      </c>
      <c r="C2726" s="4" t="s">
        <v>3126</v>
      </c>
    </row>
    <row r="2727" customFormat="false" ht="12.8" hidden="false" customHeight="false" outlineLevel="0" collapsed="false">
      <c r="A2727" s="3" t="n">
        <f aca="false">DATE(2011,4,28)</f>
        <v>40661</v>
      </c>
      <c r="B2727" s="4" t="s">
        <v>3127</v>
      </c>
      <c r="C2727" s="4" t="s">
        <v>553</v>
      </c>
    </row>
    <row r="2728" customFormat="false" ht="12.8" hidden="false" customHeight="false" outlineLevel="0" collapsed="false">
      <c r="A2728" s="3" t="n">
        <f aca="false">DATE(2011,5,16)</f>
        <v>40679</v>
      </c>
      <c r="B2728" s="4" t="s">
        <v>3128</v>
      </c>
      <c r="C2728" s="4" t="s">
        <v>3115</v>
      </c>
    </row>
    <row r="2729" customFormat="false" ht="12.8" hidden="false" customHeight="false" outlineLevel="0" collapsed="false">
      <c r="A2729" s="3" t="n">
        <f aca="false">DATE(2011,5,17)</f>
        <v>40680</v>
      </c>
      <c r="B2729" s="4" t="s">
        <v>3129</v>
      </c>
      <c r="C2729" s="4" t="s">
        <v>3130</v>
      </c>
    </row>
    <row r="2730" customFormat="false" ht="12.8" hidden="false" customHeight="false" outlineLevel="0" collapsed="false">
      <c r="A2730" s="3" t="n">
        <f aca="false">DATE(2011,6,6)</f>
        <v>40700</v>
      </c>
      <c r="B2730" s="4" t="s">
        <v>3131</v>
      </c>
      <c r="C2730" s="4" t="s">
        <v>3132</v>
      </c>
    </row>
    <row r="2731" customFormat="false" ht="12.8" hidden="false" customHeight="false" outlineLevel="0" collapsed="false">
      <c r="A2731" s="3" t="n">
        <f aca="false">DATE(2011,6,15)</f>
        <v>40709</v>
      </c>
      <c r="B2731" s="4" t="s">
        <v>2335</v>
      </c>
      <c r="C2731" s="4" t="s">
        <v>2595</v>
      </c>
    </row>
    <row r="2732" customFormat="false" ht="12.8" hidden="false" customHeight="false" outlineLevel="0" collapsed="false">
      <c r="A2732" s="3" t="n">
        <f aca="false">DATE(2011,6,20)</f>
        <v>40714</v>
      </c>
      <c r="B2732" s="4" t="s">
        <v>3133</v>
      </c>
      <c r="C2732" s="4" t="s">
        <v>2507</v>
      </c>
    </row>
    <row r="2733" customFormat="false" ht="12.8" hidden="false" customHeight="false" outlineLevel="0" collapsed="false">
      <c r="A2733" s="3" t="n">
        <f aca="false">DATE(2011,6,20)</f>
        <v>40714</v>
      </c>
      <c r="B2733" s="4" t="s">
        <v>2766</v>
      </c>
      <c r="C2733" s="4" t="s">
        <v>459</v>
      </c>
    </row>
    <row r="2734" customFormat="false" ht="12.8" hidden="false" customHeight="false" outlineLevel="0" collapsed="false">
      <c r="A2734" s="3" t="n">
        <f aca="false">DATE(2011,6,27)</f>
        <v>40721</v>
      </c>
      <c r="B2734" s="4" t="s">
        <v>3134</v>
      </c>
      <c r="C2734" s="4" t="s">
        <v>3135</v>
      </c>
    </row>
    <row r="2735" customFormat="false" ht="12.8" hidden="false" customHeight="false" outlineLevel="0" collapsed="false">
      <c r="A2735" s="3" t="n">
        <f aca="false">DATE(2011,7,26)</f>
        <v>40750</v>
      </c>
      <c r="B2735" s="4" t="s">
        <v>3136</v>
      </c>
      <c r="C2735" s="4" t="s">
        <v>3137</v>
      </c>
    </row>
    <row r="2736" customFormat="false" ht="12.8" hidden="false" customHeight="false" outlineLevel="0" collapsed="false">
      <c r="A2736" s="3" t="n">
        <f aca="false">DATE(2011,7,27)</f>
        <v>40751</v>
      </c>
      <c r="B2736" s="4" t="s">
        <v>3138</v>
      </c>
      <c r="C2736" s="4" t="s">
        <v>3026</v>
      </c>
    </row>
    <row r="2737" customFormat="false" ht="12.8" hidden="false" customHeight="false" outlineLevel="0" collapsed="false">
      <c r="A2737" s="3" t="n">
        <f aca="false">DATE(2011,7,28)</f>
        <v>40752</v>
      </c>
      <c r="B2737" s="4" t="s">
        <v>3139</v>
      </c>
      <c r="C2737" s="4" t="s">
        <v>3140</v>
      </c>
    </row>
    <row r="2738" customFormat="false" ht="12.8" hidden="false" customHeight="false" outlineLevel="0" collapsed="false">
      <c r="A2738" s="3" t="n">
        <f aca="false">DATE(2011,8,31)</f>
        <v>40786</v>
      </c>
      <c r="B2738" s="4" t="s">
        <v>3141</v>
      </c>
      <c r="C2738" s="4" t="s">
        <v>3132</v>
      </c>
    </row>
    <row r="2739" customFormat="false" ht="12.8" hidden="false" customHeight="false" outlineLevel="0" collapsed="false">
      <c r="A2739" s="3" t="n">
        <f aca="false">DATE(2011,9,13)</f>
        <v>40799</v>
      </c>
      <c r="B2739" s="4" t="s">
        <v>3142</v>
      </c>
      <c r="C2739" s="4" t="s">
        <v>2120</v>
      </c>
    </row>
    <row r="2740" customFormat="false" ht="12.8" hidden="false" customHeight="false" outlineLevel="0" collapsed="false">
      <c r="A2740" s="3" t="n">
        <f aca="false">DATE(2011,9,14)</f>
        <v>40800</v>
      </c>
      <c r="B2740" s="4" t="s">
        <v>3143</v>
      </c>
      <c r="C2740" s="4" t="s">
        <v>1593</v>
      </c>
    </row>
    <row r="2741" customFormat="false" ht="12.8" hidden="false" customHeight="false" outlineLevel="0" collapsed="false">
      <c r="A2741" s="3" t="n">
        <f aca="false">DATE(2011,9,14)</f>
        <v>40800</v>
      </c>
      <c r="B2741" s="4" t="s">
        <v>3144</v>
      </c>
      <c r="C2741" s="4" t="s">
        <v>3145</v>
      </c>
    </row>
    <row r="2742" customFormat="false" ht="12.8" hidden="false" customHeight="false" outlineLevel="0" collapsed="false">
      <c r="A2742" s="3" t="n">
        <f aca="false">DATE(2011,10,11)</f>
        <v>40827</v>
      </c>
      <c r="B2742" s="4" t="s">
        <v>3146</v>
      </c>
      <c r="C2742" s="4" t="s">
        <v>1431</v>
      </c>
    </row>
    <row r="2743" customFormat="false" ht="12.8" hidden="false" customHeight="false" outlineLevel="0" collapsed="false">
      <c r="A2743" s="3" t="n">
        <f aca="false">DATE(2011,10,24)</f>
        <v>40840</v>
      </c>
      <c r="B2743" s="4" t="s">
        <v>3147</v>
      </c>
      <c r="C2743" s="4" t="s">
        <v>3016</v>
      </c>
    </row>
    <row r="2744" customFormat="false" ht="12.8" hidden="false" customHeight="false" outlineLevel="0" collapsed="false">
      <c r="A2744" s="3" t="n">
        <f aca="false">DATE(2011,10,25)</f>
        <v>40841</v>
      </c>
      <c r="B2744" s="4" t="s">
        <v>3148</v>
      </c>
      <c r="C2744" s="4" t="s">
        <v>2972</v>
      </c>
    </row>
    <row r="2745" customFormat="false" ht="12.8" hidden="false" customHeight="false" outlineLevel="0" collapsed="false">
      <c r="A2745" s="3" t="n">
        <f aca="false">DATE(2011,11,1)</f>
        <v>40848</v>
      </c>
      <c r="B2745" s="4" t="s">
        <v>3149</v>
      </c>
      <c r="C2745" s="4" t="s">
        <v>2066</v>
      </c>
    </row>
    <row r="2746" customFormat="false" ht="12.8" hidden="false" customHeight="false" outlineLevel="0" collapsed="false">
      <c r="A2746" s="3" t="n">
        <f aca="false">DATE(2011,11,2)</f>
        <v>40849</v>
      </c>
      <c r="B2746" s="4" t="s">
        <v>3150</v>
      </c>
      <c r="C2746" s="4" t="s">
        <v>1946</v>
      </c>
    </row>
    <row r="2747" customFormat="false" ht="12.8" hidden="false" customHeight="false" outlineLevel="0" collapsed="false">
      <c r="A2747" s="3" t="n">
        <f aca="false">DATE(2011,11,4)</f>
        <v>40851</v>
      </c>
      <c r="B2747" s="4" t="s">
        <v>3151</v>
      </c>
      <c r="C2747" s="4" t="s">
        <v>3152</v>
      </c>
    </row>
    <row r="2748" customFormat="false" ht="12.8" hidden="false" customHeight="false" outlineLevel="0" collapsed="false">
      <c r="A2748" s="3" t="n">
        <f aca="false">DATE(2011,11,14)</f>
        <v>40861</v>
      </c>
      <c r="B2748" s="4" t="s">
        <v>3153</v>
      </c>
      <c r="C2748" s="4" t="s">
        <v>708</v>
      </c>
    </row>
    <row r="2749" customFormat="false" ht="12.8" hidden="false" customHeight="false" outlineLevel="0" collapsed="false">
      <c r="A2749" s="3" t="n">
        <f aca="false">DATE(2011,12,5)</f>
        <v>40882</v>
      </c>
      <c r="B2749" s="4" t="s">
        <v>3154</v>
      </c>
      <c r="C2749" s="4" t="s">
        <v>3155</v>
      </c>
    </row>
    <row r="2750" customFormat="false" ht="12.8" hidden="false" customHeight="false" outlineLevel="0" collapsed="false">
      <c r="A2750" s="3" t="n">
        <f aca="false">DATE(2011,12,5)</f>
        <v>40882</v>
      </c>
      <c r="B2750" s="4" t="s">
        <v>3156</v>
      </c>
      <c r="C2750" s="4" t="s">
        <v>3157</v>
      </c>
    </row>
    <row r="2751" customFormat="false" ht="12.8" hidden="false" customHeight="false" outlineLevel="0" collapsed="false">
      <c r="A2751" s="3" t="n">
        <f aca="false">DATE(2011,12,8)</f>
        <v>40885</v>
      </c>
      <c r="B2751" s="4" t="s">
        <v>3158</v>
      </c>
      <c r="C2751" s="4" t="s">
        <v>3159</v>
      </c>
    </row>
    <row r="2752" customFormat="false" ht="12.8" hidden="false" customHeight="false" outlineLevel="0" collapsed="false">
      <c r="A2752" s="3" t="n">
        <f aca="false">DATE(2011,12,9)</f>
        <v>40886</v>
      </c>
      <c r="B2752" s="4" t="s">
        <v>3160</v>
      </c>
      <c r="C2752" s="4" t="s">
        <v>2120</v>
      </c>
    </row>
    <row r="2753" customFormat="false" ht="12.8" hidden="false" customHeight="false" outlineLevel="0" collapsed="false">
      <c r="A2753" s="3" t="n">
        <f aca="false">DATE(2011,12,20)</f>
        <v>40897</v>
      </c>
      <c r="B2753" s="4" t="s">
        <v>3161</v>
      </c>
      <c r="C2753" s="4" t="s">
        <v>2668</v>
      </c>
    </row>
    <row r="2754" customFormat="false" ht="12.8" hidden="false" customHeight="false" outlineLevel="0" collapsed="false">
      <c r="A2754" s="3" t="n">
        <f aca="false">DATE(2011,12,21)</f>
        <v>40898</v>
      </c>
      <c r="B2754" s="4" t="s">
        <v>3162</v>
      </c>
      <c r="C2754" s="4" t="s">
        <v>2822</v>
      </c>
    </row>
    <row r="2755" customFormat="false" ht="12.8" hidden="false" customHeight="false" outlineLevel="0" collapsed="false">
      <c r="A2755" s="3" t="n">
        <f aca="false">DATE(2012,1,19)</f>
        <v>40927</v>
      </c>
      <c r="B2755" s="4" t="s">
        <v>3163</v>
      </c>
      <c r="C2755" s="4" t="s">
        <v>3164</v>
      </c>
    </row>
    <row r="2756" customFormat="false" ht="12.8" hidden="false" customHeight="false" outlineLevel="0" collapsed="false">
      <c r="A2756" s="3" t="n">
        <f aca="false">DATE(2012,1,25)</f>
        <v>40933</v>
      </c>
      <c r="B2756" s="4" t="s">
        <v>3165</v>
      </c>
      <c r="C2756" s="4" t="s">
        <v>225</v>
      </c>
    </row>
    <row r="2757" customFormat="false" ht="12.8" hidden="false" customHeight="false" outlineLevel="0" collapsed="false">
      <c r="A2757" s="3" t="n">
        <f aca="false">DATE(2012,2,10)</f>
        <v>40949</v>
      </c>
      <c r="B2757" s="4" t="s">
        <v>3166</v>
      </c>
      <c r="C2757" s="4" t="s">
        <v>2687</v>
      </c>
    </row>
    <row r="2758" customFormat="false" ht="12.8" hidden="false" customHeight="false" outlineLevel="0" collapsed="false">
      <c r="A2758" s="3" t="n">
        <f aca="false">DATE(2012,2,27)</f>
        <v>40966</v>
      </c>
      <c r="B2758" s="4" t="s">
        <v>3167</v>
      </c>
      <c r="C2758" s="4" t="s">
        <v>3164</v>
      </c>
    </row>
    <row r="2759" customFormat="false" ht="12.8" hidden="false" customHeight="false" outlineLevel="0" collapsed="false">
      <c r="A2759" s="3" t="n">
        <f aca="false">DATE(2012,2,28)</f>
        <v>40967</v>
      </c>
      <c r="B2759" s="4" t="s">
        <v>3168</v>
      </c>
      <c r="C2759" s="4" t="s">
        <v>3169</v>
      </c>
    </row>
    <row r="2760" customFormat="false" ht="12.8" hidden="false" customHeight="false" outlineLevel="0" collapsed="false">
      <c r="A2760" s="3" t="n">
        <f aca="false">DATE(2012,3,1)</f>
        <v>40969</v>
      </c>
      <c r="B2760" s="4" t="s">
        <v>1806</v>
      </c>
      <c r="C2760" s="4" t="s">
        <v>2225</v>
      </c>
    </row>
    <row r="2761" customFormat="false" ht="12.8" hidden="false" customHeight="false" outlineLevel="0" collapsed="false">
      <c r="A2761" s="3" t="n">
        <f aca="false">DATE(2012,3,19)</f>
        <v>40987</v>
      </c>
      <c r="B2761" s="4" t="s">
        <v>3170</v>
      </c>
      <c r="C2761" s="4" t="s">
        <v>2439</v>
      </c>
    </row>
    <row r="2762" customFormat="false" ht="12.8" hidden="false" customHeight="false" outlineLevel="0" collapsed="false">
      <c r="A2762" s="3" t="n">
        <f aca="false">DATE(2012,3,26)</f>
        <v>40994</v>
      </c>
      <c r="B2762" s="4" t="s">
        <v>3171</v>
      </c>
      <c r="C2762" s="4" t="s">
        <v>3172</v>
      </c>
    </row>
    <row r="2763" customFormat="false" ht="12.8" hidden="false" customHeight="false" outlineLevel="0" collapsed="false">
      <c r="A2763" s="3" t="n">
        <f aca="false">DATE(2012,3,30)</f>
        <v>40998</v>
      </c>
      <c r="B2763" s="4" t="s">
        <v>3173</v>
      </c>
      <c r="C2763" s="4" t="s">
        <v>1593</v>
      </c>
    </row>
    <row r="2764" customFormat="false" ht="12.8" hidden="false" customHeight="false" outlineLevel="0" collapsed="false">
      <c r="A2764" s="3" t="n">
        <f aca="false">DATE(2012,4,10)</f>
        <v>41009</v>
      </c>
      <c r="B2764" s="4" t="s">
        <v>3174</v>
      </c>
      <c r="C2764" s="4" t="s">
        <v>2993</v>
      </c>
    </row>
    <row r="2765" customFormat="false" ht="12.8" hidden="false" customHeight="false" outlineLevel="0" collapsed="false">
      <c r="A2765" s="3" t="n">
        <f aca="false">DATE(2012,4,30)</f>
        <v>41029</v>
      </c>
      <c r="B2765" s="4" t="s">
        <v>3175</v>
      </c>
      <c r="C2765" s="4" t="s">
        <v>900</v>
      </c>
    </row>
    <row r="2766" customFormat="false" ht="12.8" hidden="false" customHeight="false" outlineLevel="0" collapsed="false">
      <c r="A2766" s="3" t="n">
        <f aca="false">DATE(2012,5,3)</f>
        <v>41032</v>
      </c>
      <c r="B2766" s="4" t="s">
        <v>3138</v>
      </c>
      <c r="C2766" s="4" t="s">
        <v>3176</v>
      </c>
    </row>
    <row r="2767" customFormat="false" ht="12.8" hidden="false" customHeight="false" outlineLevel="0" collapsed="false">
      <c r="A2767" s="3" t="n">
        <f aca="false">DATE(2012,5,8)</f>
        <v>41037</v>
      </c>
      <c r="B2767" s="4" t="s">
        <v>3169</v>
      </c>
      <c r="C2767" s="4" t="s">
        <v>3177</v>
      </c>
    </row>
    <row r="2768" customFormat="false" ht="12.8" hidden="false" customHeight="false" outlineLevel="0" collapsed="false">
      <c r="A2768" s="3" t="n">
        <f aca="false">DATE(2012,5,29)</f>
        <v>41058</v>
      </c>
      <c r="B2768" s="4" t="s">
        <v>2483</v>
      </c>
      <c r="C2768" s="4" t="s">
        <v>1094</v>
      </c>
    </row>
    <row r="2769" customFormat="false" ht="12.8" hidden="false" customHeight="false" outlineLevel="0" collapsed="false">
      <c r="A2769" s="3" t="n">
        <f aca="false">DATE(2012,5,31)</f>
        <v>41060</v>
      </c>
      <c r="B2769" s="4" t="s">
        <v>2917</v>
      </c>
      <c r="C2769" s="4" t="s">
        <v>1252</v>
      </c>
    </row>
    <row r="2770" customFormat="false" ht="12.8" hidden="false" customHeight="false" outlineLevel="0" collapsed="false">
      <c r="A2770" s="3" t="n">
        <f aca="false">DATE(2012,6,4)</f>
        <v>41064</v>
      </c>
      <c r="B2770" s="4" t="s">
        <v>3178</v>
      </c>
      <c r="C2770" s="4" t="s">
        <v>2822</v>
      </c>
    </row>
    <row r="2771" customFormat="false" ht="12.8" hidden="false" customHeight="false" outlineLevel="0" collapsed="false">
      <c r="A2771" s="3" t="n">
        <f aca="false">DATE(2012,6,5)</f>
        <v>41065</v>
      </c>
      <c r="B2771" s="4" t="s">
        <v>3179</v>
      </c>
      <c r="C2771" s="4" t="s">
        <v>830</v>
      </c>
    </row>
    <row r="2772" customFormat="false" ht="12.8" hidden="false" customHeight="false" outlineLevel="0" collapsed="false">
      <c r="A2772" s="3" t="n">
        <f aca="false">DATE(2012,6,14)</f>
        <v>41074</v>
      </c>
      <c r="B2772" s="4" t="s">
        <v>3180</v>
      </c>
      <c r="C2772" s="4" t="s">
        <v>3181</v>
      </c>
    </row>
    <row r="2773" customFormat="false" ht="12.8" hidden="false" customHeight="false" outlineLevel="0" collapsed="false">
      <c r="A2773" s="3" t="n">
        <f aca="false">DATE(2012,6,21)</f>
        <v>41081</v>
      </c>
      <c r="B2773" s="4" t="s">
        <v>3182</v>
      </c>
      <c r="C2773" s="4" t="s">
        <v>3183</v>
      </c>
    </row>
    <row r="2774" customFormat="false" ht="12.8" hidden="false" customHeight="false" outlineLevel="0" collapsed="false">
      <c r="A2774" s="3" t="n">
        <f aca="false">DATE(2012,6,27)</f>
        <v>41087</v>
      </c>
      <c r="B2774" s="4" t="s">
        <v>3184</v>
      </c>
      <c r="C2774" s="4" t="s">
        <v>3164</v>
      </c>
    </row>
    <row r="2775" customFormat="false" ht="12.8" hidden="false" customHeight="false" outlineLevel="0" collapsed="false">
      <c r="A2775" s="3" t="n">
        <f aca="false">DATE(2012,7,19)</f>
        <v>41109</v>
      </c>
      <c r="B2775" s="4" t="s">
        <v>2355</v>
      </c>
      <c r="C2775" s="4" t="s">
        <v>660</v>
      </c>
    </row>
    <row r="2776" customFormat="false" ht="12.8" hidden="false" customHeight="false" outlineLevel="0" collapsed="false">
      <c r="A2776" s="3" t="n">
        <f aca="false">DATE(2012,8,2)</f>
        <v>41123</v>
      </c>
      <c r="B2776" s="4" t="s">
        <v>3185</v>
      </c>
      <c r="C2776" s="4" t="s">
        <v>2566</v>
      </c>
    </row>
    <row r="2777" customFormat="false" ht="12.8" hidden="false" customHeight="false" outlineLevel="0" collapsed="false">
      <c r="A2777" s="3" t="n">
        <f aca="false">DATE(2012,8,8)</f>
        <v>41129</v>
      </c>
      <c r="B2777" s="4" t="s">
        <v>1859</v>
      </c>
      <c r="C2777" s="4" t="s">
        <v>2668</v>
      </c>
    </row>
    <row r="2778" customFormat="false" ht="12.8" hidden="false" customHeight="false" outlineLevel="0" collapsed="false">
      <c r="A2778" s="3" t="n">
        <f aca="false">DATE(2012,8,10)</f>
        <v>41131</v>
      </c>
      <c r="B2778" s="4" t="s">
        <v>3186</v>
      </c>
      <c r="C2778" s="4" t="s">
        <v>3183</v>
      </c>
    </row>
    <row r="2779" customFormat="false" ht="12.8" hidden="false" customHeight="false" outlineLevel="0" collapsed="false">
      <c r="A2779" s="3" t="n">
        <f aca="false">DATE(2012,8,17)</f>
        <v>41138</v>
      </c>
      <c r="B2779" s="4" t="s">
        <v>3187</v>
      </c>
      <c r="C2779" s="4" t="s">
        <v>2812</v>
      </c>
    </row>
    <row r="2780" customFormat="false" ht="12.8" hidden="false" customHeight="false" outlineLevel="0" collapsed="false">
      <c r="A2780" s="3" t="n">
        <f aca="false">DATE(2012,9,13)</f>
        <v>41165</v>
      </c>
      <c r="B2780" s="4" t="s">
        <v>3188</v>
      </c>
      <c r="C2780" s="4" t="s">
        <v>1785</v>
      </c>
    </row>
    <row r="2781" customFormat="false" ht="12.8" hidden="false" customHeight="false" outlineLevel="0" collapsed="false">
      <c r="A2781" s="3" t="n">
        <f aca="false">DATE(2012,9,14)</f>
        <v>41166</v>
      </c>
      <c r="B2781" s="4" t="s">
        <v>3189</v>
      </c>
      <c r="C2781" s="4" t="s">
        <v>1076</v>
      </c>
    </row>
    <row r="2782" customFormat="false" ht="12.8" hidden="false" customHeight="false" outlineLevel="0" collapsed="false">
      <c r="A2782" s="3" t="n">
        <f aca="false">DATE(2012,9,18)</f>
        <v>41170</v>
      </c>
      <c r="B2782" s="4" t="s">
        <v>3190</v>
      </c>
      <c r="C2782" s="4" t="s">
        <v>3137</v>
      </c>
    </row>
    <row r="2783" customFormat="false" ht="12.8" hidden="false" customHeight="false" outlineLevel="0" collapsed="false">
      <c r="A2783" s="3" t="n">
        <f aca="false">DATE(2012,9,25)</f>
        <v>41177</v>
      </c>
      <c r="B2783" s="4" t="s">
        <v>3191</v>
      </c>
      <c r="C2783" s="4" t="s">
        <v>3192</v>
      </c>
    </row>
    <row r="2784" customFormat="false" ht="12.8" hidden="false" customHeight="false" outlineLevel="0" collapsed="false">
      <c r="A2784" s="3" t="n">
        <f aca="false">DATE(2012,9,26)</f>
        <v>41178</v>
      </c>
      <c r="B2784" s="4" t="s">
        <v>3193</v>
      </c>
      <c r="C2784" s="4" t="s">
        <v>1280</v>
      </c>
    </row>
    <row r="2785" customFormat="false" ht="12.8" hidden="false" customHeight="false" outlineLevel="0" collapsed="false">
      <c r="A2785" s="3" t="n">
        <f aca="false">DATE(2012,9,26)</f>
        <v>41178</v>
      </c>
      <c r="B2785" s="4" t="s">
        <v>904</v>
      </c>
      <c r="C2785" s="4" t="s">
        <v>818</v>
      </c>
    </row>
    <row r="2786" customFormat="false" ht="12.8" hidden="false" customHeight="false" outlineLevel="0" collapsed="false">
      <c r="A2786" s="3" t="n">
        <f aca="false">DATE(2012,10,4)</f>
        <v>41186</v>
      </c>
      <c r="B2786" s="4" t="s">
        <v>3194</v>
      </c>
      <c r="C2786" s="4" t="s">
        <v>1796</v>
      </c>
    </row>
    <row r="2787" customFormat="false" ht="12.8" hidden="false" customHeight="false" outlineLevel="0" collapsed="false">
      <c r="A2787" s="3" t="n">
        <f aca="false">DATE(2012,10,8)</f>
        <v>41190</v>
      </c>
      <c r="B2787" s="4" t="s">
        <v>3195</v>
      </c>
      <c r="C2787" s="4" t="s">
        <v>789</v>
      </c>
    </row>
    <row r="2788" customFormat="false" ht="12.8" hidden="false" customHeight="false" outlineLevel="0" collapsed="false">
      <c r="A2788" s="3" t="n">
        <f aca="false">DATE(2012,10,9)</f>
        <v>41191</v>
      </c>
      <c r="B2788" s="4" t="s">
        <v>3196</v>
      </c>
      <c r="C2788" s="4" t="s">
        <v>3004</v>
      </c>
    </row>
    <row r="2789" customFormat="false" ht="12.8" hidden="false" customHeight="false" outlineLevel="0" collapsed="false">
      <c r="A2789" s="3" t="n">
        <f aca="false">DATE(2012,10,11)</f>
        <v>41193</v>
      </c>
      <c r="B2789" s="4" t="s">
        <v>3197</v>
      </c>
      <c r="C2789" s="4" t="s">
        <v>2566</v>
      </c>
    </row>
    <row r="2790" customFormat="false" ht="12.8" hidden="false" customHeight="false" outlineLevel="0" collapsed="false">
      <c r="A2790" s="3" t="n">
        <f aca="false">DATE(2012,10,15)</f>
        <v>41197</v>
      </c>
      <c r="B2790" s="4" t="s">
        <v>3198</v>
      </c>
      <c r="C2790" s="4" t="s">
        <v>3199</v>
      </c>
    </row>
    <row r="2791" customFormat="false" ht="12.8" hidden="false" customHeight="false" outlineLevel="0" collapsed="false">
      <c r="A2791" s="3" t="n">
        <f aca="false">DATE(2012,10,18)</f>
        <v>41200</v>
      </c>
      <c r="B2791" s="4" t="s">
        <v>3200</v>
      </c>
      <c r="C2791" s="4" t="s">
        <v>1976</v>
      </c>
    </row>
    <row r="2792" customFormat="false" ht="12.8" hidden="false" customHeight="false" outlineLevel="0" collapsed="false">
      <c r="A2792" s="3" t="n">
        <f aca="false">DATE(2012,10,22)</f>
        <v>41204</v>
      </c>
      <c r="B2792" s="4" t="s">
        <v>3201</v>
      </c>
      <c r="C2792" s="4" t="s">
        <v>2595</v>
      </c>
    </row>
    <row r="2793" customFormat="false" ht="12.8" hidden="false" customHeight="false" outlineLevel="0" collapsed="false">
      <c r="A2793" s="3" t="n">
        <f aca="false">DATE(2012,10,22)</f>
        <v>41204</v>
      </c>
      <c r="B2793" s="4" t="s">
        <v>3202</v>
      </c>
      <c r="C2793" s="4" t="s">
        <v>3203</v>
      </c>
    </row>
    <row r="2794" customFormat="false" ht="12.8" hidden="false" customHeight="false" outlineLevel="0" collapsed="false">
      <c r="A2794" s="3" t="n">
        <f aca="false">DATE(2012,10,24)</f>
        <v>41206</v>
      </c>
      <c r="B2794" s="4" t="s">
        <v>3204</v>
      </c>
      <c r="C2794" s="4" t="s">
        <v>2748</v>
      </c>
    </row>
    <row r="2795" customFormat="false" ht="12.8" hidden="false" customHeight="false" outlineLevel="0" collapsed="false">
      <c r="A2795" s="3" t="n">
        <f aca="false">DATE(2012,10,29)</f>
        <v>41211</v>
      </c>
      <c r="B2795" s="4" t="s">
        <v>3205</v>
      </c>
      <c r="C2795" s="4" t="s">
        <v>3206</v>
      </c>
    </row>
    <row r="2796" customFormat="false" ht="12.8" hidden="false" customHeight="false" outlineLevel="0" collapsed="false">
      <c r="A2796" s="3" t="n">
        <f aca="false">DATE(2012,12,10)</f>
        <v>41253</v>
      </c>
      <c r="B2796" s="4" t="s">
        <v>3207</v>
      </c>
      <c r="C2796" s="4" t="s">
        <v>3164</v>
      </c>
    </row>
    <row r="2797" customFormat="false" ht="12.8" hidden="false" customHeight="false" outlineLevel="0" collapsed="false">
      <c r="A2797" s="3" t="n">
        <f aca="false">DATE(2012,12,19)</f>
        <v>41262</v>
      </c>
      <c r="B2797" s="4" t="s">
        <v>2997</v>
      </c>
      <c r="C2797" s="4" t="s">
        <v>3208</v>
      </c>
    </row>
    <row r="2798" customFormat="false" ht="12.8" hidden="false" customHeight="false" outlineLevel="0" collapsed="false">
      <c r="A2798" s="3" t="n">
        <f aca="false">DATE(2012,12,28)</f>
        <v>41271</v>
      </c>
      <c r="B2798" s="4" t="s">
        <v>3209</v>
      </c>
      <c r="C2798" s="4" t="s">
        <v>2160</v>
      </c>
    </row>
    <row r="2799" customFormat="false" ht="12.8" hidden="false" customHeight="false" outlineLevel="0" collapsed="false">
      <c r="A2799" s="3" t="n">
        <f aca="false">DATE(2013,1,22)</f>
        <v>41296</v>
      </c>
      <c r="B2799" s="4" t="s">
        <v>3210</v>
      </c>
      <c r="C2799" s="4" t="s">
        <v>2812</v>
      </c>
    </row>
    <row r="2800" customFormat="false" ht="12.8" hidden="false" customHeight="false" outlineLevel="0" collapsed="false">
      <c r="A2800" s="3" t="n">
        <f aca="false">DATE(2013,1,22)</f>
        <v>41296</v>
      </c>
      <c r="B2800" s="4" t="s">
        <v>3211</v>
      </c>
      <c r="C2800" s="4" t="s">
        <v>3137</v>
      </c>
    </row>
    <row r="2801" customFormat="false" ht="12.8" hidden="false" customHeight="false" outlineLevel="0" collapsed="false">
      <c r="A2801" s="3" t="n">
        <f aca="false">DATE(2013,1,24)</f>
        <v>41298</v>
      </c>
      <c r="B2801" s="4" t="s">
        <v>2054</v>
      </c>
      <c r="C2801" s="4" t="s">
        <v>1796</v>
      </c>
    </row>
    <row r="2802" customFormat="false" ht="12.8" hidden="false" customHeight="false" outlineLevel="0" collapsed="false">
      <c r="A2802" s="3" t="n">
        <f aca="false">DATE(2013,1,29)</f>
        <v>41303</v>
      </c>
      <c r="B2802" s="4" t="s">
        <v>3212</v>
      </c>
      <c r="C2802" s="4" t="s">
        <v>1751</v>
      </c>
    </row>
    <row r="2803" customFormat="false" ht="12.8" hidden="false" customHeight="false" outlineLevel="0" collapsed="false">
      <c r="A2803" s="3" t="n">
        <f aca="false">DATE(2013,1,30)</f>
        <v>41304</v>
      </c>
      <c r="B2803" s="4" t="s">
        <v>3213</v>
      </c>
      <c r="C2803" s="4" t="s">
        <v>367</v>
      </c>
    </row>
    <row r="2804" customFormat="false" ht="12.8" hidden="false" customHeight="false" outlineLevel="0" collapsed="false">
      <c r="A2804" s="3" t="n">
        <f aca="false">DATE(2013,1,31)</f>
        <v>41305</v>
      </c>
      <c r="B2804" s="4" t="s">
        <v>3214</v>
      </c>
      <c r="C2804" s="4" t="s">
        <v>3215</v>
      </c>
    </row>
    <row r="2805" customFormat="false" ht="12.8" hidden="false" customHeight="false" outlineLevel="0" collapsed="false">
      <c r="A2805" s="3" t="n">
        <f aca="false">DATE(2013,2,6)</f>
        <v>41311</v>
      </c>
      <c r="B2805" s="4" t="s">
        <v>3216</v>
      </c>
      <c r="C2805" s="4" t="s">
        <v>3183</v>
      </c>
    </row>
    <row r="2806" customFormat="false" ht="12.8" hidden="false" customHeight="false" outlineLevel="0" collapsed="false">
      <c r="A2806" s="3" t="n">
        <f aca="false">DATE(2013,2,7)</f>
        <v>41312</v>
      </c>
      <c r="B2806" s="4" t="s">
        <v>2007</v>
      </c>
      <c r="C2806" s="4" t="s">
        <v>2945</v>
      </c>
    </row>
    <row r="2807" customFormat="false" ht="12.8" hidden="false" customHeight="false" outlineLevel="0" collapsed="false">
      <c r="A2807" s="3" t="n">
        <f aca="false">DATE(2013,2,14)</f>
        <v>41319</v>
      </c>
      <c r="B2807" s="4" t="s">
        <v>3217</v>
      </c>
      <c r="C2807" s="4" t="s">
        <v>3218</v>
      </c>
    </row>
    <row r="2808" customFormat="false" ht="12.8" hidden="false" customHeight="false" outlineLevel="0" collapsed="false">
      <c r="A2808" s="3" t="n">
        <f aca="false">DATE(2013,2,26)</f>
        <v>41331</v>
      </c>
      <c r="B2808" s="4" t="s">
        <v>3219</v>
      </c>
      <c r="C2808" s="4" t="s">
        <v>726</v>
      </c>
    </row>
    <row r="2809" customFormat="false" ht="12.8" hidden="false" customHeight="false" outlineLevel="0" collapsed="false">
      <c r="A2809" s="3" t="n">
        <f aca="false">DATE(2013,3,6)</f>
        <v>41339</v>
      </c>
      <c r="B2809" s="4" t="s">
        <v>3220</v>
      </c>
      <c r="C2809" s="4" t="s">
        <v>3199</v>
      </c>
    </row>
    <row r="2810" customFormat="false" ht="12.8" hidden="false" customHeight="false" outlineLevel="0" collapsed="false">
      <c r="A2810" s="3" t="n">
        <f aca="false">DATE(2013,3,22)</f>
        <v>41355</v>
      </c>
      <c r="B2810" s="4" t="s">
        <v>3221</v>
      </c>
      <c r="C2810" s="4" t="s">
        <v>3016</v>
      </c>
    </row>
    <row r="2811" customFormat="false" ht="12.8" hidden="false" customHeight="false" outlineLevel="0" collapsed="false">
      <c r="A2811" s="3" t="n">
        <f aca="false">DATE(2013,3,26)</f>
        <v>41359</v>
      </c>
      <c r="B2811" s="4" t="s">
        <v>3222</v>
      </c>
      <c r="C2811" s="4" t="s">
        <v>2082</v>
      </c>
    </row>
    <row r="2812" customFormat="false" ht="12.8" hidden="false" customHeight="false" outlineLevel="0" collapsed="false">
      <c r="A2812" s="3" t="n">
        <f aca="false">DATE(2013,3,27)</f>
        <v>41360</v>
      </c>
      <c r="B2812" s="4" t="s">
        <v>3223</v>
      </c>
      <c r="C2812" s="4" t="s">
        <v>726</v>
      </c>
    </row>
    <row r="2813" customFormat="false" ht="12.8" hidden="false" customHeight="false" outlineLevel="0" collapsed="false">
      <c r="A2813" s="3" t="n">
        <f aca="false">DATE(2013,4,16)</f>
        <v>41380</v>
      </c>
      <c r="B2813" s="4" t="s">
        <v>3224</v>
      </c>
      <c r="C2813" s="4" t="s">
        <v>3203</v>
      </c>
    </row>
    <row r="2814" customFormat="false" ht="12.8" hidden="false" customHeight="false" outlineLevel="0" collapsed="false">
      <c r="A2814" s="3" t="n">
        <f aca="false">DATE(2013,5,2)</f>
        <v>41396</v>
      </c>
      <c r="B2814" s="4" t="s">
        <v>3225</v>
      </c>
      <c r="C2814" s="4" t="s">
        <v>2890</v>
      </c>
    </row>
    <row r="2815" customFormat="false" ht="12.8" hidden="false" customHeight="false" outlineLevel="0" collapsed="false">
      <c r="A2815" s="3" t="n">
        <f aca="false">DATE(2013,5,13)</f>
        <v>41407</v>
      </c>
      <c r="B2815" s="4" t="s">
        <v>3226</v>
      </c>
      <c r="C2815" s="4" t="s">
        <v>634</v>
      </c>
    </row>
    <row r="2816" customFormat="false" ht="12.8" hidden="false" customHeight="false" outlineLevel="0" collapsed="false">
      <c r="A2816" s="3" t="n">
        <f aca="false">DATE(2013,5,14)</f>
        <v>41408</v>
      </c>
      <c r="B2816" s="4" t="s">
        <v>3227</v>
      </c>
      <c r="C2816" s="4" t="s">
        <v>900</v>
      </c>
    </row>
    <row r="2817" customFormat="false" ht="12.8" hidden="false" customHeight="false" outlineLevel="0" collapsed="false">
      <c r="A2817" s="3" t="n">
        <f aca="false">DATE(2013,5,15)</f>
        <v>41409</v>
      </c>
      <c r="B2817" s="4" t="s">
        <v>2877</v>
      </c>
      <c r="C2817" s="4" t="s">
        <v>511</v>
      </c>
    </row>
    <row r="2818" customFormat="false" ht="12.8" hidden="false" customHeight="false" outlineLevel="0" collapsed="false">
      <c r="A2818" s="3" t="n">
        <f aca="false">DATE(2013,5,31)</f>
        <v>41425</v>
      </c>
      <c r="B2818" s="4" t="s">
        <v>2962</v>
      </c>
      <c r="C2818" s="4" t="s">
        <v>2822</v>
      </c>
    </row>
    <row r="2819" customFormat="false" ht="12.8" hidden="false" customHeight="false" outlineLevel="0" collapsed="false">
      <c r="A2819" s="3" t="n">
        <f aca="false">DATE(2013,6,10)</f>
        <v>41435</v>
      </c>
      <c r="B2819" s="4" t="s">
        <v>3228</v>
      </c>
      <c r="C2819" s="4" t="s">
        <v>2742</v>
      </c>
    </row>
    <row r="2820" customFormat="false" ht="12.8" hidden="false" customHeight="false" outlineLevel="0" collapsed="false">
      <c r="A2820" s="3" t="n">
        <f aca="false">DATE(2013,6,10)</f>
        <v>41435</v>
      </c>
      <c r="B2820" s="4" t="s">
        <v>3229</v>
      </c>
      <c r="C2820" s="4" t="s">
        <v>3230</v>
      </c>
    </row>
    <row r="2821" customFormat="false" ht="12.8" hidden="false" customHeight="false" outlineLevel="0" collapsed="false">
      <c r="A2821" s="3" t="n">
        <f aca="false">DATE(2013,6,12)</f>
        <v>41437</v>
      </c>
      <c r="B2821" s="4" t="s">
        <v>3231</v>
      </c>
      <c r="C2821" s="4" t="s">
        <v>2566</v>
      </c>
    </row>
    <row r="2822" customFormat="false" ht="12.8" hidden="false" customHeight="false" outlineLevel="0" collapsed="false">
      <c r="A2822" s="3" t="n">
        <f aca="false">DATE(2013,6,14)</f>
        <v>41439</v>
      </c>
      <c r="B2822" s="4" t="s">
        <v>2388</v>
      </c>
      <c r="C2822" s="4" t="s">
        <v>2595</v>
      </c>
    </row>
    <row r="2823" customFormat="false" ht="12.8" hidden="false" customHeight="false" outlineLevel="0" collapsed="false">
      <c r="A2823" s="3" t="n">
        <f aca="false">DATE(2013,6,14)</f>
        <v>41439</v>
      </c>
      <c r="B2823" s="4" t="s">
        <v>3232</v>
      </c>
      <c r="C2823" s="4" t="s">
        <v>3233</v>
      </c>
    </row>
    <row r="2824" customFormat="false" ht="12.8" hidden="false" customHeight="false" outlineLevel="0" collapsed="false">
      <c r="A2824" s="3" t="n">
        <f aca="false">DATE(2013,6,14)</f>
        <v>41439</v>
      </c>
      <c r="B2824" s="4" t="s">
        <v>3234</v>
      </c>
      <c r="C2824" s="4" t="s">
        <v>3235</v>
      </c>
    </row>
    <row r="2825" customFormat="false" ht="12.8" hidden="false" customHeight="false" outlineLevel="0" collapsed="false">
      <c r="A2825" s="3" t="n">
        <f aca="false">DATE(2013,6,21)</f>
        <v>41446</v>
      </c>
      <c r="B2825" s="4" t="s">
        <v>3236</v>
      </c>
      <c r="C2825" s="4" t="s">
        <v>3237</v>
      </c>
    </row>
    <row r="2826" customFormat="false" ht="12.8" hidden="false" customHeight="false" outlineLevel="0" collapsed="false">
      <c r="A2826" s="3" t="n">
        <f aca="false">DATE(2013,6,28)</f>
        <v>41453</v>
      </c>
      <c r="B2826" s="4" t="s">
        <v>3238</v>
      </c>
      <c r="C2826" s="4" t="s">
        <v>1040</v>
      </c>
    </row>
    <row r="2827" customFormat="false" ht="12.8" hidden="false" customHeight="false" outlineLevel="0" collapsed="false">
      <c r="A2827" s="3" t="n">
        <f aca="false">DATE(2013,7,1)</f>
        <v>41456</v>
      </c>
      <c r="B2827" s="4" t="s">
        <v>2298</v>
      </c>
      <c r="C2827" s="4" t="s">
        <v>3164</v>
      </c>
    </row>
    <row r="2828" customFormat="false" ht="12.8" hidden="false" customHeight="false" outlineLevel="0" collapsed="false">
      <c r="A2828" s="3" t="n">
        <f aca="false">DATE(2013,7,1)</f>
        <v>41456</v>
      </c>
      <c r="B2828" s="4" t="s">
        <v>3239</v>
      </c>
      <c r="C2828" s="4" t="s">
        <v>3240</v>
      </c>
    </row>
    <row r="2829" customFormat="false" ht="12.8" hidden="false" customHeight="false" outlineLevel="0" collapsed="false">
      <c r="A2829" s="3" t="n">
        <f aca="false">DATE(2013,7,12)</f>
        <v>41467</v>
      </c>
      <c r="B2829" s="4" t="s">
        <v>3241</v>
      </c>
      <c r="C2829" s="4" t="s">
        <v>3242</v>
      </c>
    </row>
    <row r="2830" customFormat="false" ht="12.8" hidden="false" customHeight="false" outlineLevel="0" collapsed="false">
      <c r="A2830" s="3" t="n">
        <f aca="false">DATE(2013,7,15)</f>
        <v>41470</v>
      </c>
      <c r="B2830" s="4" t="s">
        <v>3243</v>
      </c>
      <c r="C2830" s="4" t="s">
        <v>2742</v>
      </c>
    </row>
    <row r="2831" customFormat="false" ht="12.8" hidden="false" customHeight="false" outlineLevel="0" collapsed="false">
      <c r="A2831" s="3" t="n">
        <f aca="false">DATE(2013,7,15)</f>
        <v>41470</v>
      </c>
      <c r="B2831" s="4" t="s">
        <v>3244</v>
      </c>
      <c r="C2831" s="4" t="s">
        <v>3245</v>
      </c>
    </row>
    <row r="2832" customFormat="false" ht="12.8" hidden="false" customHeight="false" outlineLevel="0" collapsed="false">
      <c r="A2832" s="3" t="n">
        <f aca="false">DATE(2013,7,23)</f>
        <v>41478</v>
      </c>
      <c r="B2832" s="4" t="s">
        <v>3246</v>
      </c>
      <c r="C2832" s="4" t="s">
        <v>1529</v>
      </c>
    </row>
    <row r="2833" customFormat="false" ht="12.8" hidden="false" customHeight="false" outlineLevel="0" collapsed="false">
      <c r="A2833" s="3" t="n">
        <f aca="false">DATE(2013,7,30)</f>
        <v>41485</v>
      </c>
      <c r="B2833" s="4" t="s">
        <v>3247</v>
      </c>
      <c r="C2833" s="4" t="s">
        <v>3248</v>
      </c>
    </row>
    <row r="2834" customFormat="false" ht="12.8" hidden="false" customHeight="false" outlineLevel="0" collapsed="false">
      <c r="A2834" s="3" t="n">
        <f aca="false">DATE(2013,8,13)</f>
        <v>41499</v>
      </c>
      <c r="B2834" s="4" t="s">
        <v>3249</v>
      </c>
      <c r="C2834" s="4" t="s">
        <v>9</v>
      </c>
    </row>
    <row r="2835" customFormat="false" ht="12.8" hidden="false" customHeight="false" outlineLevel="0" collapsed="false">
      <c r="A2835" s="3" t="n">
        <f aca="false">DATE(2013,8,14)</f>
        <v>41500</v>
      </c>
      <c r="B2835" s="4" t="s">
        <v>3250</v>
      </c>
      <c r="C2835" s="4" t="s">
        <v>2804</v>
      </c>
    </row>
    <row r="2836" customFormat="false" ht="12.8" hidden="false" customHeight="false" outlineLevel="0" collapsed="false">
      <c r="A2836" s="3" t="n">
        <f aca="false">DATE(2013,8,15)</f>
        <v>41501</v>
      </c>
      <c r="B2836" s="4" t="s">
        <v>3251</v>
      </c>
      <c r="C2836" s="4" t="s">
        <v>2446</v>
      </c>
    </row>
    <row r="2837" customFormat="false" ht="12.8" hidden="false" customHeight="false" outlineLevel="0" collapsed="false">
      <c r="A2837" s="3" t="n">
        <f aca="false">DATE(2013,8,15)</f>
        <v>41501</v>
      </c>
      <c r="B2837" s="4" t="s">
        <v>1629</v>
      </c>
      <c r="C2837" s="4" t="s">
        <v>3252</v>
      </c>
    </row>
    <row r="2838" customFormat="false" ht="12.8" hidden="false" customHeight="false" outlineLevel="0" collapsed="false">
      <c r="A2838" s="3" t="n">
        <f aca="false">DATE(2013,8,29)</f>
        <v>41515</v>
      </c>
      <c r="B2838" s="4" t="s">
        <v>3253</v>
      </c>
      <c r="C2838" s="4" t="s">
        <v>3164</v>
      </c>
    </row>
    <row r="2839" customFormat="false" ht="12.8" hidden="false" customHeight="false" outlineLevel="0" collapsed="false">
      <c r="A2839" s="3" t="n">
        <f aca="false">DATE(2013,9,5)</f>
        <v>41522</v>
      </c>
      <c r="B2839" s="4" t="s">
        <v>3254</v>
      </c>
      <c r="C2839" s="4" t="s">
        <v>3104</v>
      </c>
    </row>
    <row r="2840" customFormat="false" ht="12.8" hidden="false" customHeight="false" outlineLevel="0" collapsed="false">
      <c r="A2840" s="3" t="n">
        <f aca="false">DATE(2013,9,9)</f>
        <v>41526</v>
      </c>
      <c r="B2840" s="4" t="s">
        <v>3255</v>
      </c>
      <c r="C2840" s="4" t="s">
        <v>2205</v>
      </c>
    </row>
    <row r="2841" customFormat="false" ht="12.8" hidden="false" customHeight="false" outlineLevel="0" collapsed="false">
      <c r="A2841" s="3" t="n">
        <f aca="false">DATE(2013,9,10)</f>
        <v>41527</v>
      </c>
      <c r="B2841" s="4" t="s">
        <v>3256</v>
      </c>
      <c r="C2841" s="4" t="s">
        <v>3257</v>
      </c>
    </row>
    <row r="2842" customFormat="false" ht="12.8" hidden="false" customHeight="false" outlineLevel="0" collapsed="false">
      <c r="A2842" s="3" t="n">
        <f aca="false">DATE(2013,9,12)</f>
        <v>41529</v>
      </c>
      <c r="B2842" s="4" t="s">
        <v>3258</v>
      </c>
      <c r="C2842" s="4" t="s">
        <v>1248</v>
      </c>
    </row>
    <row r="2843" customFormat="false" ht="12.8" hidden="false" customHeight="false" outlineLevel="0" collapsed="false">
      <c r="A2843" s="3" t="n">
        <f aca="false">DATE(2013,9,13)</f>
        <v>41530</v>
      </c>
      <c r="B2843" s="4" t="s">
        <v>3259</v>
      </c>
      <c r="C2843" s="4" t="s">
        <v>1248</v>
      </c>
    </row>
    <row r="2844" customFormat="false" ht="12.8" hidden="false" customHeight="false" outlineLevel="0" collapsed="false">
      <c r="A2844" s="3" t="n">
        <f aca="false">DATE(2013,9,18)</f>
        <v>41535</v>
      </c>
      <c r="B2844" s="4" t="s">
        <v>2720</v>
      </c>
      <c r="C2844" s="4" t="s">
        <v>2070</v>
      </c>
    </row>
    <row r="2845" customFormat="false" ht="12.8" hidden="false" customHeight="false" outlineLevel="0" collapsed="false">
      <c r="A2845" s="3" t="n">
        <f aca="false">DATE(2013,9,30)</f>
        <v>41547</v>
      </c>
      <c r="B2845" s="4" t="s">
        <v>3260</v>
      </c>
      <c r="C2845" s="4" t="s">
        <v>3261</v>
      </c>
    </row>
    <row r="2846" customFormat="false" ht="12.8" hidden="false" customHeight="false" outlineLevel="0" collapsed="false">
      <c r="A2846" s="3" t="n">
        <f aca="false">DATE(2013,9,30)</f>
        <v>41547</v>
      </c>
      <c r="B2846" s="4" t="s">
        <v>3262</v>
      </c>
      <c r="C2846" s="4" t="s">
        <v>3263</v>
      </c>
    </row>
    <row r="2847" customFormat="false" ht="12.8" hidden="false" customHeight="false" outlineLevel="0" collapsed="false">
      <c r="A2847" s="3" t="n">
        <f aca="false">DATE(2013,10,21)</f>
        <v>41568</v>
      </c>
      <c r="B2847" s="4" t="s">
        <v>3135</v>
      </c>
      <c r="C2847" s="4" t="s">
        <v>2488</v>
      </c>
    </row>
    <row r="2848" customFormat="false" ht="12.8" hidden="false" customHeight="false" outlineLevel="0" collapsed="false">
      <c r="A2848" s="3" t="n">
        <f aca="false">DATE(2013,10,22)</f>
        <v>41569</v>
      </c>
      <c r="B2848" s="4" t="s">
        <v>3264</v>
      </c>
      <c r="C2848" s="4" t="s">
        <v>2990</v>
      </c>
    </row>
    <row r="2849" customFormat="false" ht="12.8" hidden="false" customHeight="false" outlineLevel="0" collapsed="false">
      <c r="A2849" s="3" t="n">
        <f aca="false">DATE(2013,10,23)</f>
        <v>41570</v>
      </c>
      <c r="B2849" s="4" t="s">
        <v>3014</v>
      </c>
      <c r="C2849" s="4" t="s">
        <v>1076</v>
      </c>
    </row>
    <row r="2850" customFormat="false" ht="12.8" hidden="false" customHeight="false" outlineLevel="0" collapsed="false">
      <c r="A2850" s="3" t="n">
        <f aca="false">DATE(2013,10,28)</f>
        <v>41575</v>
      </c>
      <c r="B2850" s="4" t="s">
        <v>3265</v>
      </c>
      <c r="C2850" s="4" t="s">
        <v>3004</v>
      </c>
    </row>
    <row r="2851" customFormat="false" ht="12.8" hidden="false" customHeight="false" outlineLevel="0" collapsed="false">
      <c r="A2851" s="3" t="n">
        <f aca="false">DATE(2013,11,1)</f>
        <v>41579</v>
      </c>
      <c r="B2851" s="4" t="s">
        <v>3266</v>
      </c>
      <c r="C2851" s="4" t="s">
        <v>3267</v>
      </c>
    </row>
    <row r="2852" customFormat="false" ht="12.8" hidden="false" customHeight="false" outlineLevel="0" collapsed="false">
      <c r="A2852" s="3" t="n">
        <f aca="false">DATE(2013,11,4)</f>
        <v>41582</v>
      </c>
      <c r="B2852" s="4" t="s">
        <v>3168</v>
      </c>
      <c r="C2852" s="4" t="s">
        <v>3268</v>
      </c>
    </row>
    <row r="2853" customFormat="false" ht="12.8" hidden="false" customHeight="false" outlineLevel="0" collapsed="false">
      <c r="A2853" s="3" t="n">
        <f aca="false">DATE(2013,11,7)</f>
        <v>41585</v>
      </c>
      <c r="B2853" s="4" t="s">
        <v>3269</v>
      </c>
      <c r="C2853" s="4" t="s">
        <v>3237</v>
      </c>
    </row>
    <row r="2854" customFormat="false" ht="12.8" hidden="false" customHeight="false" outlineLevel="0" collapsed="false">
      <c r="A2854" s="3" t="n">
        <f aca="false">DATE(2013,11,13)</f>
        <v>41591</v>
      </c>
      <c r="B2854" s="4" t="s">
        <v>3270</v>
      </c>
      <c r="C2854" s="4" t="s">
        <v>2687</v>
      </c>
    </row>
    <row r="2855" customFormat="false" ht="12.8" hidden="false" customHeight="false" outlineLevel="0" collapsed="false">
      <c r="A2855" s="3" t="n">
        <f aca="false">DATE(2013,11,15)</f>
        <v>41593</v>
      </c>
      <c r="B2855" s="4" t="s">
        <v>1252</v>
      </c>
      <c r="C2855" s="4" t="s">
        <v>3271</v>
      </c>
    </row>
    <row r="2856" customFormat="false" ht="12.8" hidden="false" customHeight="false" outlineLevel="0" collapsed="false">
      <c r="A2856" s="3" t="n">
        <f aca="false">DATE(2013,11,19)</f>
        <v>41597</v>
      </c>
      <c r="B2856" s="4" t="s">
        <v>3272</v>
      </c>
      <c r="C2856" s="4" t="s">
        <v>1472</v>
      </c>
    </row>
    <row r="2857" customFormat="false" ht="12.8" hidden="false" customHeight="false" outlineLevel="0" collapsed="false">
      <c r="A2857" s="3" t="n">
        <f aca="false">DATE(2013,11,21)</f>
        <v>41599</v>
      </c>
      <c r="B2857" s="4" t="s">
        <v>3273</v>
      </c>
      <c r="C2857" s="4" t="s">
        <v>3274</v>
      </c>
    </row>
    <row r="2858" customFormat="false" ht="12.8" hidden="false" customHeight="false" outlineLevel="0" collapsed="false">
      <c r="A2858" s="3" t="n">
        <f aca="false">DATE(2013,11,25)</f>
        <v>41603</v>
      </c>
      <c r="B2858" s="4" t="s">
        <v>3275</v>
      </c>
      <c r="C2858" s="4" t="s">
        <v>3159</v>
      </c>
    </row>
    <row r="2859" customFormat="false" ht="12.8" hidden="false" customHeight="false" outlineLevel="0" collapsed="false">
      <c r="A2859" s="3" t="n">
        <f aca="false">DATE(2013,11,25)</f>
        <v>41603</v>
      </c>
      <c r="B2859" s="4" t="s">
        <v>3276</v>
      </c>
      <c r="C2859" s="4" t="s">
        <v>3100</v>
      </c>
    </row>
    <row r="2860" customFormat="false" ht="12.8" hidden="false" customHeight="false" outlineLevel="0" collapsed="false">
      <c r="A2860" s="3" t="n">
        <f aca="false">DATE(2013,12,9)</f>
        <v>41617</v>
      </c>
      <c r="B2860" s="4" t="s">
        <v>2823</v>
      </c>
      <c r="C2860" s="4" t="s">
        <v>1796</v>
      </c>
    </row>
    <row r="2861" customFormat="false" ht="12.8" hidden="false" customHeight="false" outlineLevel="0" collapsed="false">
      <c r="A2861" s="3" t="n">
        <f aca="false">DATE(2013,12,18)</f>
        <v>41626</v>
      </c>
      <c r="B2861" s="4" t="s">
        <v>3277</v>
      </c>
      <c r="C2861" s="4" t="s">
        <v>2822</v>
      </c>
    </row>
    <row r="2862" customFormat="false" ht="12.8" hidden="false" customHeight="false" outlineLevel="0" collapsed="false">
      <c r="A2862" s="3" t="n">
        <f aca="false">DATE(2013,12,18)</f>
        <v>41626</v>
      </c>
      <c r="B2862" s="4" t="s">
        <v>3278</v>
      </c>
      <c r="C2862" s="4" t="s">
        <v>2822</v>
      </c>
    </row>
    <row r="2863" customFormat="false" ht="12.8" hidden="false" customHeight="false" outlineLevel="0" collapsed="false">
      <c r="A2863" s="3" t="n">
        <f aca="false">DATE(2013,12,20)</f>
        <v>41628</v>
      </c>
      <c r="B2863" s="4" t="s">
        <v>3279</v>
      </c>
      <c r="C2863" s="4" t="s">
        <v>1012</v>
      </c>
    </row>
    <row r="2864" customFormat="false" ht="12.8" hidden="false" customHeight="false" outlineLevel="0" collapsed="false">
      <c r="A2864" s="3" t="n">
        <f aca="false">DATE(2014,1,8)</f>
        <v>41647</v>
      </c>
      <c r="B2864" s="4" t="s">
        <v>3280</v>
      </c>
      <c r="C2864" s="4" t="s">
        <v>3281</v>
      </c>
    </row>
    <row r="2865" customFormat="false" ht="12.8" hidden="false" customHeight="false" outlineLevel="0" collapsed="false">
      <c r="A2865" s="3" t="n">
        <f aca="false">DATE(2014,1,8)</f>
        <v>41647</v>
      </c>
      <c r="B2865" s="4" t="s">
        <v>3282</v>
      </c>
      <c r="C2865" s="4" t="s">
        <v>3257</v>
      </c>
    </row>
    <row r="2866" customFormat="false" ht="12.8" hidden="false" customHeight="false" outlineLevel="0" collapsed="false">
      <c r="A2866" s="3" t="n">
        <f aca="false">DATE(2014,1,9)</f>
        <v>41648</v>
      </c>
      <c r="B2866" s="4" t="s">
        <v>3283</v>
      </c>
      <c r="C2866" s="4" t="s">
        <v>1290</v>
      </c>
    </row>
    <row r="2867" customFormat="false" ht="12.8" hidden="false" customHeight="false" outlineLevel="0" collapsed="false">
      <c r="A2867" s="3" t="n">
        <f aca="false">DATE(2014,1,13)</f>
        <v>41652</v>
      </c>
      <c r="B2867" s="4" t="s">
        <v>3284</v>
      </c>
      <c r="C2867" s="4" t="s">
        <v>2439</v>
      </c>
    </row>
    <row r="2868" customFormat="false" ht="12.8" hidden="false" customHeight="false" outlineLevel="0" collapsed="false">
      <c r="A2868" s="3" t="n">
        <f aca="false">DATE(2014,1,16)</f>
        <v>41655</v>
      </c>
      <c r="B2868" s="4" t="s">
        <v>3285</v>
      </c>
      <c r="C2868" s="4" t="s">
        <v>3115</v>
      </c>
    </row>
    <row r="2869" customFormat="false" ht="12.8" hidden="false" customHeight="false" outlineLevel="0" collapsed="false">
      <c r="A2869" s="3" t="n">
        <f aca="false">DATE(2014,1,21)</f>
        <v>41660</v>
      </c>
      <c r="B2869" s="4" t="s">
        <v>3286</v>
      </c>
      <c r="C2869" s="4" t="s">
        <v>2670</v>
      </c>
    </row>
    <row r="2870" customFormat="false" ht="12.8" hidden="false" customHeight="false" outlineLevel="0" collapsed="false">
      <c r="A2870" s="3" t="n">
        <f aca="false">DATE(2014,1,21)</f>
        <v>41660</v>
      </c>
      <c r="B2870" s="4" t="s">
        <v>3287</v>
      </c>
      <c r="C2870" s="4" t="s">
        <v>830</v>
      </c>
    </row>
    <row r="2871" customFormat="false" ht="12.8" hidden="false" customHeight="false" outlineLevel="0" collapsed="false">
      <c r="A2871" s="3" t="n">
        <f aca="false">DATE(2014,1,21)</f>
        <v>41660</v>
      </c>
      <c r="B2871" s="4" t="s">
        <v>2153</v>
      </c>
      <c r="C2871" s="4" t="s">
        <v>1010</v>
      </c>
    </row>
    <row r="2872" customFormat="false" ht="12.8" hidden="false" customHeight="false" outlineLevel="0" collapsed="false">
      <c r="A2872" s="3" t="n">
        <f aca="false">DATE(2014,1,22)</f>
        <v>41661</v>
      </c>
      <c r="B2872" s="4" t="s">
        <v>3288</v>
      </c>
      <c r="C2872" s="4" t="s">
        <v>1290</v>
      </c>
    </row>
    <row r="2873" customFormat="false" ht="12.8" hidden="false" customHeight="false" outlineLevel="0" collapsed="false">
      <c r="A2873" s="3" t="n">
        <f aca="false">DATE(2014,1,23)</f>
        <v>41662</v>
      </c>
      <c r="B2873" s="4" t="s">
        <v>3289</v>
      </c>
      <c r="C2873" s="4" t="s">
        <v>3290</v>
      </c>
    </row>
    <row r="2874" customFormat="false" ht="12.8" hidden="false" customHeight="false" outlineLevel="0" collapsed="false">
      <c r="A2874" s="3" t="n">
        <f aca="false">DATE(2014,1,27)</f>
        <v>41666</v>
      </c>
      <c r="B2874" s="4" t="s">
        <v>3291</v>
      </c>
      <c r="C2874" s="4" t="s">
        <v>3292</v>
      </c>
    </row>
    <row r="2875" customFormat="false" ht="12.8" hidden="false" customHeight="false" outlineLevel="0" collapsed="false">
      <c r="A2875" s="3" t="n">
        <f aca="false">DATE(2014,1,29)</f>
        <v>41668</v>
      </c>
      <c r="B2875" s="4" t="s">
        <v>3293</v>
      </c>
      <c r="C2875" s="4" t="s">
        <v>3248</v>
      </c>
    </row>
    <row r="2876" customFormat="false" ht="12.8" hidden="false" customHeight="false" outlineLevel="0" collapsed="false">
      <c r="A2876" s="3" t="n">
        <f aca="false">DATE(2014,1,30)</f>
        <v>41669</v>
      </c>
      <c r="B2876" s="4" t="s">
        <v>3294</v>
      </c>
      <c r="C2876" s="4" t="s">
        <v>2381</v>
      </c>
    </row>
    <row r="2877" customFormat="false" ht="12.8" hidden="false" customHeight="false" outlineLevel="0" collapsed="false">
      <c r="A2877" s="3" t="n">
        <f aca="false">DATE(2014,1,30)</f>
        <v>41669</v>
      </c>
      <c r="B2877" s="4" t="s">
        <v>3295</v>
      </c>
      <c r="C2877" s="4" t="s">
        <v>1796</v>
      </c>
    </row>
    <row r="2878" customFormat="false" ht="12.8" hidden="false" customHeight="false" outlineLevel="0" collapsed="false">
      <c r="A2878" s="3" t="n">
        <f aca="false">DATE(2014,1,31)</f>
        <v>41670</v>
      </c>
      <c r="B2878" s="4" t="s">
        <v>3296</v>
      </c>
      <c r="C2878" s="4" t="s">
        <v>3297</v>
      </c>
    </row>
    <row r="2879" customFormat="false" ht="12.8" hidden="false" customHeight="false" outlineLevel="0" collapsed="false">
      <c r="A2879" s="3" t="n">
        <f aca="false">DATE(2014,2,10)</f>
        <v>41680</v>
      </c>
      <c r="B2879" s="4" t="s">
        <v>3298</v>
      </c>
      <c r="C2879" s="4" t="s">
        <v>3299</v>
      </c>
    </row>
    <row r="2880" customFormat="false" ht="12.8" hidden="false" customHeight="false" outlineLevel="0" collapsed="false">
      <c r="A2880" s="3" t="n">
        <f aca="false">DATE(2014,2,11)</f>
        <v>41681</v>
      </c>
      <c r="B2880" s="4" t="s">
        <v>3300</v>
      </c>
      <c r="C2880" s="4" t="s">
        <v>2439</v>
      </c>
    </row>
    <row r="2881" customFormat="false" ht="12.8" hidden="false" customHeight="false" outlineLevel="0" collapsed="false">
      <c r="A2881" s="3" t="n">
        <f aca="false">DATE(2014,2,25)</f>
        <v>41695</v>
      </c>
      <c r="B2881" s="4" t="s">
        <v>3301</v>
      </c>
      <c r="C2881" s="4" t="s">
        <v>3237</v>
      </c>
    </row>
    <row r="2882" customFormat="false" ht="12.8" hidden="false" customHeight="false" outlineLevel="0" collapsed="false">
      <c r="A2882" s="3" t="n">
        <f aca="false">DATE(2014,3,5)</f>
        <v>41703</v>
      </c>
      <c r="B2882" s="4" t="s">
        <v>3302</v>
      </c>
      <c r="C2882" s="4" t="s">
        <v>3124</v>
      </c>
    </row>
    <row r="2883" customFormat="false" ht="12.8" hidden="false" customHeight="false" outlineLevel="0" collapsed="false">
      <c r="A2883" s="3" t="n">
        <f aca="false">DATE(2014,3,6)</f>
        <v>41704</v>
      </c>
      <c r="B2883" s="4" t="s">
        <v>3303</v>
      </c>
      <c r="C2883" s="4" t="s">
        <v>3215</v>
      </c>
    </row>
    <row r="2884" customFormat="false" ht="12.8" hidden="false" customHeight="false" outlineLevel="0" collapsed="false">
      <c r="A2884" s="3" t="n">
        <f aca="false">DATE(2014,3,11)</f>
        <v>41709</v>
      </c>
      <c r="B2884" s="4" t="s">
        <v>3304</v>
      </c>
      <c r="C2884" s="4" t="s">
        <v>475</v>
      </c>
    </row>
    <row r="2885" customFormat="false" ht="12.8" hidden="false" customHeight="false" outlineLevel="0" collapsed="false">
      <c r="A2885" s="3" t="n">
        <f aca="false">DATE(2014,3,11)</f>
        <v>41709</v>
      </c>
      <c r="B2885" s="4" t="s">
        <v>3305</v>
      </c>
      <c r="C2885" s="4" t="s">
        <v>2890</v>
      </c>
    </row>
    <row r="2886" customFormat="false" ht="12.8" hidden="false" customHeight="false" outlineLevel="0" collapsed="false">
      <c r="A2886" s="3" t="n">
        <f aca="false">DATE(2014,3,19)</f>
        <v>41717</v>
      </c>
      <c r="B2886" s="4" t="s">
        <v>3306</v>
      </c>
      <c r="C2886" s="4" t="s">
        <v>2535</v>
      </c>
    </row>
    <row r="2887" customFormat="false" ht="12.8" hidden="false" customHeight="false" outlineLevel="0" collapsed="false">
      <c r="A2887" s="3" t="n">
        <f aca="false">DATE(2014,3,21)</f>
        <v>41719</v>
      </c>
      <c r="B2887" s="4" t="s">
        <v>3307</v>
      </c>
      <c r="C2887" s="4" t="s">
        <v>3308</v>
      </c>
    </row>
    <row r="2888" customFormat="false" ht="12.8" hidden="false" customHeight="false" outlineLevel="0" collapsed="false">
      <c r="A2888" s="3" t="n">
        <f aca="false">DATE(2014,3,24)</f>
        <v>41722</v>
      </c>
      <c r="B2888" s="4" t="s">
        <v>3309</v>
      </c>
      <c r="C2888" s="4" t="s">
        <v>1248</v>
      </c>
    </row>
    <row r="2889" customFormat="false" ht="12.8" hidden="false" customHeight="false" outlineLevel="0" collapsed="false">
      <c r="A2889" s="3" t="n">
        <f aca="false">DATE(2014,4,1)</f>
        <v>41730</v>
      </c>
      <c r="B2889" s="4" t="s">
        <v>3310</v>
      </c>
      <c r="C2889" s="4" t="s">
        <v>3311</v>
      </c>
    </row>
    <row r="2890" customFormat="false" ht="12.8" hidden="false" customHeight="false" outlineLevel="0" collapsed="false">
      <c r="A2890" s="3" t="n">
        <f aca="false">DATE(2014,4,4)</f>
        <v>41733</v>
      </c>
      <c r="B2890" s="4" t="s">
        <v>3312</v>
      </c>
      <c r="C2890" s="4" t="s">
        <v>830</v>
      </c>
    </row>
    <row r="2891" customFormat="false" ht="12.8" hidden="false" customHeight="false" outlineLevel="0" collapsed="false">
      <c r="A2891" s="3" t="n">
        <f aca="false">DATE(2014,4,7)</f>
        <v>41736</v>
      </c>
      <c r="B2891" s="4" t="s">
        <v>3313</v>
      </c>
      <c r="C2891" s="4" t="s">
        <v>2452</v>
      </c>
    </row>
    <row r="2892" customFormat="false" ht="12.8" hidden="false" customHeight="false" outlineLevel="0" collapsed="false">
      <c r="A2892" s="3" t="n">
        <f aca="false">DATE(2014,4,17)</f>
        <v>41746</v>
      </c>
      <c r="B2892" s="4" t="s">
        <v>3314</v>
      </c>
      <c r="C2892" s="4" t="s">
        <v>3009</v>
      </c>
    </row>
    <row r="2893" customFormat="false" ht="12.8" hidden="false" customHeight="false" outlineLevel="0" collapsed="false">
      <c r="A2893" s="3" t="n">
        <f aca="false">DATE(2014,4,21)</f>
        <v>41750</v>
      </c>
      <c r="B2893" s="4" t="s">
        <v>3315</v>
      </c>
      <c r="C2893" s="4" t="s">
        <v>830</v>
      </c>
    </row>
    <row r="2894" customFormat="false" ht="12.8" hidden="false" customHeight="false" outlineLevel="0" collapsed="false">
      <c r="A2894" s="3" t="n">
        <f aca="false">DATE(2014,4,24)</f>
        <v>41753</v>
      </c>
      <c r="B2894" s="4" t="s">
        <v>3316</v>
      </c>
      <c r="C2894" s="4" t="s">
        <v>1631</v>
      </c>
    </row>
    <row r="2895" customFormat="false" ht="12.8" hidden="false" customHeight="false" outlineLevel="0" collapsed="false">
      <c r="A2895" s="3" t="n">
        <f aca="false">DATE(2014,4,24)</f>
        <v>41753</v>
      </c>
      <c r="B2895" s="4" t="s">
        <v>3317</v>
      </c>
      <c r="C2895" s="4" t="s">
        <v>2352</v>
      </c>
    </row>
    <row r="2896" customFormat="false" ht="12.8" hidden="false" customHeight="false" outlineLevel="0" collapsed="false">
      <c r="A2896" s="3" t="n">
        <f aca="false">DATE(2014,4,28)</f>
        <v>41757</v>
      </c>
      <c r="B2896" s="4" t="s">
        <v>3318</v>
      </c>
      <c r="C2896" s="4" t="s">
        <v>3319</v>
      </c>
    </row>
    <row r="2897" customFormat="false" ht="12.8" hidden="false" customHeight="false" outlineLevel="0" collapsed="false">
      <c r="A2897" s="3" t="n">
        <f aca="false">DATE(2014,4,29)</f>
        <v>41758</v>
      </c>
      <c r="B2897" s="4" t="s">
        <v>3320</v>
      </c>
      <c r="C2897" s="4" t="s">
        <v>1012</v>
      </c>
    </row>
    <row r="2898" customFormat="false" ht="12.8" hidden="false" customHeight="false" outlineLevel="0" collapsed="false">
      <c r="A2898" s="3" t="n">
        <f aca="false">DATE(2014,5,5)</f>
        <v>41764</v>
      </c>
      <c r="B2898" s="4" t="s">
        <v>3321</v>
      </c>
      <c r="C2898" s="4" t="s">
        <v>3047</v>
      </c>
    </row>
    <row r="2899" customFormat="false" ht="12.8" hidden="false" customHeight="false" outlineLevel="0" collapsed="false">
      <c r="A2899" s="3" t="n">
        <f aca="false">DATE(2014,5,6)</f>
        <v>41765</v>
      </c>
      <c r="B2899" s="4" t="s">
        <v>3322</v>
      </c>
      <c r="C2899" s="4" t="s">
        <v>1248</v>
      </c>
    </row>
    <row r="2900" customFormat="false" ht="12.8" hidden="false" customHeight="false" outlineLevel="0" collapsed="false">
      <c r="A2900" s="3" t="n">
        <f aca="false">DATE(2014,5,8)</f>
        <v>41767</v>
      </c>
      <c r="B2900" s="4" t="s">
        <v>3323</v>
      </c>
      <c r="C2900" s="4" t="s">
        <v>726</v>
      </c>
    </row>
    <row r="2901" customFormat="false" ht="12.8" hidden="false" customHeight="false" outlineLevel="0" collapsed="false">
      <c r="A2901" s="3" t="n">
        <f aca="false">DATE(2014,5,8)</f>
        <v>41767</v>
      </c>
      <c r="B2901" s="4" t="s">
        <v>3016</v>
      </c>
      <c r="C2901" s="4" t="s">
        <v>553</v>
      </c>
    </row>
    <row r="2902" customFormat="false" ht="12.8" hidden="false" customHeight="false" outlineLevel="0" collapsed="false">
      <c r="A2902" s="3" t="n">
        <f aca="false">DATE(2014,5,23)</f>
        <v>41782</v>
      </c>
      <c r="B2902" s="4" t="s">
        <v>3324</v>
      </c>
      <c r="C2902" s="4" t="s">
        <v>3325</v>
      </c>
    </row>
    <row r="2903" customFormat="false" ht="12.8" hidden="false" customHeight="false" outlineLevel="0" collapsed="false">
      <c r="A2903" s="3" t="n">
        <f aca="false">DATE(2014,5,28)</f>
        <v>41787</v>
      </c>
      <c r="B2903" s="4" t="s">
        <v>3326</v>
      </c>
      <c r="C2903" s="4" t="s">
        <v>1248</v>
      </c>
    </row>
    <row r="2904" customFormat="false" ht="12.8" hidden="false" customHeight="false" outlineLevel="0" collapsed="false">
      <c r="A2904" s="3" t="n">
        <f aca="false">DATE(2014,5,29)</f>
        <v>41788</v>
      </c>
      <c r="B2904" s="4" t="s">
        <v>3327</v>
      </c>
      <c r="C2904" s="4" t="s">
        <v>3028</v>
      </c>
    </row>
    <row r="2905" customFormat="false" ht="12.8" hidden="false" customHeight="false" outlineLevel="0" collapsed="false">
      <c r="A2905" s="3" t="n">
        <f aca="false">DATE(2014,6,3)</f>
        <v>41793</v>
      </c>
      <c r="B2905" s="4" t="s">
        <v>3328</v>
      </c>
      <c r="C2905" s="4" t="s">
        <v>3329</v>
      </c>
    </row>
    <row r="2906" customFormat="false" ht="12.8" hidden="false" customHeight="false" outlineLevel="0" collapsed="false">
      <c r="A2906" s="3" t="n">
        <f aca="false">DATE(2014,6,3)</f>
        <v>41793</v>
      </c>
      <c r="B2906" s="4" t="s">
        <v>3330</v>
      </c>
      <c r="C2906" s="4" t="s">
        <v>3274</v>
      </c>
    </row>
    <row r="2907" customFormat="false" ht="12.8" hidden="false" customHeight="false" outlineLevel="0" collapsed="false">
      <c r="A2907" s="3" t="n">
        <f aca="false">DATE(2014,6,4)</f>
        <v>41794</v>
      </c>
      <c r="B2907" s="4" t="s">
        <v>2160</v>
      </c>
      <c r="C2907" s="4" t="s">
        <v>931</v>
      </c>
    </row>
    <row r="2908" customFormat="false" ht="12.8" hidden="false" customHeight="false" outlineLevel="0" collapsed="false">
      <c r="A2908" s="3" t="n">
        <f aca="false">DATE(2014,6,5)</f>
        <v>41795</v>
      </c>
      <c r="B2908" s="4" t="s">
        <v>3331</v>
      </c>
      <c r="C2908" s="4" t="s">
        <v>2822</v>
      </c>
    </row>
    <row r="2909" customFormat="false" ht="12.8" hidden="false" customHeight="false" outlineLevel="0" collapsed="false">
      <c r="A2909" s="3" t="n">
        <f aca="false">DATE(2014,6,18)</f>
        <v>41808</v>
      </c>
      <c r="B2909" s="4" t="s">
        <v>3332</v>
      </c>
      <c r="C2909" s="4" t="s">
        <v>2460</v>
      </c>
    </row>
    <row r="2910" customFormat="false" ht="12.8" hidden="false" customHeight="false" outlineLevel="0" collapsed="false">
      <c r="A2910" s="3" t="n">
        <f aca="false">DATE(2014,6,24)</f>
        <v>41814</v>
      </c>
      <c r="B2910" s="4" t="s">
        <v>3333</v>
      </c>
      <c r="C2910" s="4" t="s">
        <v>3319</v>
      </c>
    </row>
    <row r="2911" customFormat="false" ht="12.8" hidden="false" customHeight="false" outlineLevel="0" collapsed="false">
      <c r="A2911" s="3" t="n">
        <f aca="false">DATE(2014,7,1)</f>
        <v>41821</v>
      </c>
      <c r="B2911" s="4" t="s">
        <v>3334</v>
      </c>
      <c r="C2911" s="4" t="s">
        <v>2149</v>
      </c>
    </row>
    <row r="2912" customFormat="false" ht="12.8" hidden="false" customHeight="false" outlineLevel="0" collapsed="false">
      <c r="A2912" s="3" t="n">
        <f aca="false">DATE(2014,7,8)</f>
        <v>41828</v>
      </c>
      <c r="B2912" s="4" t="s">
        <v>3335</v>
      </c>
      <c r="C2912" s="4" t="s">
        <v>602</v>
      </c>
    </row>
    <row r="2913" customFormat="false" ht="12.8" hidden="false" customHeight="false" outlineLevel="0" collapsed="false">
      <c r="A2913" s="3" t="n">
        <f aca="false">DATE(2014,7,14)</f>
        <v>41834</v>
      </c>
      <c r="B2913" s="4" t="s">
        <v>3336</v>
      </c>
      <c r="C2913" s="4" t="s">
        <v>3337</v>
      </c>
    </row>
    <row r="2914" customFormat="false" ht="12.8" hidden="false" customHeight="false" outlineLevel="0" collapsed="false">
      <c r="A2914" s="3" t="n">
        <f aca="false">DATE(2014,7,17)</f>
        <v>41837</v>
      </c>
      <c r="B2914" s="4" t="s">
        <v>3338</v>
      </c>
      <c r="C2914" s="4" t="s">
        <v>3339</v>
      </c>
    </row>
    <row r="2915" customFormat="false" ht="12.8" hidden="false" customHeight="false" outlineLevel="0" collapsed="false">
      <c r="A2915" s="3" t="n">
        <f aca="false">DATE(2014,7,18)</f>
        <v>41838</v>
      </c>
      <c r="B2915" s="4" t="s">
        <v>3340</v>
      </c>
      <c r="C2915" s="4" t="s">
        <v>3341</v>
      </c>
    </row>
    <row r="2916" customFormat="false" ht="12.8" hidden="false" customHeight="false" outlineLevel="0" collapsed="false">
      <c r="A2916" s="3" t="n">
        <f aca="false">DATE(2014,7,22)</f>
        <v>41842</v>
      </c>
      <c r="B2916" s="4" t="s">
        <v>3342</v>
      </c>
      <c r="C2916" s="4" t="s">
        <v>634</v>
      </c>
    </row>
    <row r="2917" customFormat="false" ht="12.8" hidden="false" customHeight="false" outlineLevel="0" collapsed="false">
      <c r="A2917" s="3" t="n">
        <f aca="false">DATE(2014,7,22)</f>
        <v>41842</v>
      </c>
      <c r="B2917" s="4" t="s">
        <v>3343</v>
      </c>
      <c r="C2917" s="4" t="s">
        <v>3344</v>
      </c>
    </row>
    <row r="2918" customFormat="false" ht="12.8" hidden="false" customHeight="false" outlineLevel="0" collapsed="false">
      <c r="A2918" s="3" t="n">
        <f aca="false">DATE(2014,7,28)</f>
        <v>41848</v>
      </c>
      <c r="B2918" s="4" t="s">
        <v>3345</v>
      </c>
      <c r="C2918" s="4" t="s">
        <v>3257</v>
      </c>
    </row>
    <row r="2919" customFormat="false" ht="12.8" hidden="false" customHeight="false" outlineLevel="0" collapsed="false">
      <c r="A2919" s="3" t="n">
        <f aca="false">DATE(2014,7,30)</f>
        <v>41850</v>
      </c>
      <c r="B2919" s="4" t="s">
        <v>3346</v>
      </c>
      <c r="C2919" s="4" t="s">
        <v>3009</v>
      </c>
    </row>
    <row r="2920" customFormat="false" ht="12.8" hidden="false" customHeight="false" outlineLevel="0" collapsed="false">
      <c r="A2920" s="3" t="n">
        <f aca="false">DATE(2014,7,31)</f>
        <v>41851</v>
      </c>
      <c r="B2920" s="4" t="s">
        <v>3347</v>
      </c>
      <c r="C2920" s="4" t="s">
        <v>1796</v>
      </c>
    </row>
    <row r="2921" customFormat="false" ht="12.8" hidden="false" customHeight="false" outlineLevel="0" collapsed="false">
      <c r="A2921" s="3" t="n">
        <f aca="false">DATE(2014,8,4)</f>
        <v>41855</v>
      </c>
      <c r="B2921" s="4" t="s">
        <v>3085</v>
      </c>
      <c r="C2921" s="4" t="s">
        <v>830</v>
      </c>
    </row>
    <row r="2922" customFormat="false" ht="12.8" hidden="false" customHeight="false" outlineLevel="0" collapsed="false">
      <c r="A2922" s="3" t="n">
        <f aca="false">DATE(2014,8,5)</f>
        <v>41856</v>
      </c>
      <c r="B2922" s="4" t="s">
        <v>3348</v>
      </c>
      <c r="C2922" s="4" t="s">
        <v>1457</v>
      </c>
    </row>
    <row r="2923" customFormat="false" ht="12.8" hidden="false" customHeight="false" outlineLevel="0" collapsed="false">
      <c r="A2923" s="3" t="n">
        <f aca="false">DATE(2014,8,6)</f>
        <v>41857</v>
      </c>
      <c r="B2923" s="4" t="s">
        <v>3349</v>
      </c>
      <c r="C2923" s="4" t="s">
        <v>3206</v>
      </c>
    </row>
    <row r="2924" customFormat="false" ht="12.8" hidden="false" customHeight="false" outlineLevel="0" collapsed="false">
      <c r="A2924" s="3" t="n">
        <f aca="false">DATE(2014,8,7)</f>
        <v>41858</v>
      </c>
      <c r="B2924" s="4" t="s">
        <v>3350</v>
      </c>
      <c r="C2924" s="4" t="s">
        <v>2352</v>
      </c>
    </row>
    <row r="2925" customFormat="false" ht="12.8" hidden="false" customHeight="false" outlineLevel="0" collapsed="false">
      <c r="A2925" s="3" t="n">
        <f aca="false">DATE(2014,8,22)</f>
        <v>41873</v>
      </c>
      <c r="B2925" s="4" t="s">
        <v>3351</v>
      </c>
      <c r="C2925" s="4" t="s">
        <v>3104</v>
      </c>
    </row>
    <row r="2926" customFormat="false" ht="12.8" hidden="false" customHeight="false" outlineLevel="0" collapsed="false">
      <c r="A2926" s="3" t="n">
        <f aca="false">DATE(2014,8,25)</f>
        <v>41876</v>
      </c>
      <c r="B2926" s="4" t="s">
        <v>3352</v>
      </c>
      <c r="C2926" s="4" t="s">
        <v>2775</v>
      </c>
    </row>
    <row r="2927" customFormat="false" ht="12.8" hidden="false" customHeight="false" outlineLevel="0" collapsed="false">
      <c r="A2927" s="3" t="n">
        <f aca="false">DATE(2014,8,27)</f>
        <v>41878</v>
      </c>
      <c r="B2927" s="4" t="s">
        <v>3353</v>
      </c>
      <c r="C2927" s="4" t="s">
        <v>1832</v>
      </c>
    </row>
    <row r="2928" customFormat="false" ht="12.8" hidden="false" customHeight="false" outlineLevel="0" collapsed="false">
      <c r="A2928" s="3" t="n">
        <f aca="false">DATE(2014,9,10)</f>
        <v>41892</v>
      </c>
      <c r="B2928" s="4" t="s">
        <v>3354</v>
      </c>
      <c r="C2928" s="4" t="s">
        <v>3355</v>
      </c>
    </row>
    <row r="2929" customFormat="false" ht="12.8" hidden="false" customHeight="false" outlineLevel="0" collapsed="false">
      <c r="A2929" s="3" t="n">
        <f aca="false">DATE(2014,9,11)</f>
        <v>41893</v>
      </c>
      <c r="B2929" s="4" t="s">
        <v>3356</v>
      </c>
      <c r="C2929" s="4" t="s">
        <v>2575</v>
      </c>
    </row>
    <row r="2930" customFormat="false" ht="12.8" hidden="false" customHeight="false" outlineLevel="0" collapsed="false">
      <c r="A2930" s="3" t="n">
        <f aca="false">DATE(2014,9,26)</f>
        <v>41908</v>
      </c>
      <c r="B2930" s="4" t="s">
        <v>3357</v>
      </c>
      <c r="C2930" s="4" t="s">
        <v>2123</v>
      </c>
    </row>
    <row r="2931" customFormat="false" ht="12.8" hidden="false" customHeight="false" outlineLevel="0" collapsed="false">
      <c r="A2931" s="3" t="n">
        <f aca="false">DATE(2014,10,3)</f>
        <v>41915</v>
      </c>
      <c r="B2931" s="4" t="s">
        <v>3358</v>
      </c>
      <c r="C2931" s="4" t="s">
        <v>2439</v>
      </c>
    </row>
    <row r="2932" customFormat="false" ht="12.8" hidden="false" customHeight="false" outlineLevel="0" collapsed="false">
      <c r="A2932" s="3" t="n">
        <f aca="false">DATE(2014,10,9)</f>
        <v>41921</v>
      </c>
      <c r="B2932" s="4" t="s">
        <v>3359</v>
      </c>
      <c r="C2932" s="4" t="s">
        <v>3360</v>
      </c>
    </row>
    <row r="2933" customFormat="false" ht="12.8" hidden="false" customHeight="false" outlineLevel="0" collapsed="false">
      <c r="A2933" s="3" t="n">
        <f aca="false">DATE(2014,10,9)</f>
        <v>41921</v>
      </c>
      <c r="B2933" s="4" t="s">
        <v>3361</v>
      </c>
      <c r="C2933" s="4" t="s">
        <v>3267</v>
      </c>
    </row>
    <row r="2934" customFormat="false" ht="12.8" hidden="false" customHeight="false" outlineLevel="0" collapsed="false">
      <c r="A2934" s="3" t="n">
        <f aca="false">DATE(2014,10,14)</f>
        <v>41926</v>
      </c>
      <c r="B2934" s="4" t="s">
        <v>3362</v>
      </c>
      <c r="C2934" s="4" t="s">
        <v>3137</v>
      </c>
    </row>
    <row r="2935" customFormat="false" ht="12.8" hidden="false" customHeight="false" outlineLevel="0" collapsed="false">
      <c r="A2935" s="3" t="n">
        <f aca="false">DATE(2014,10,20)</f>
        <v>41932</v>
      </c>
      <c r="B2935" s="4" t="s">
        <v>1155</v>
      </c>
      <c r="C2935" s="4" t="s">
        <v>3363</v>
      </c>
    </row>
    <row r="2936" customFormat="false" ht="12.8" hidden="false" customHeight="false" outlineLevel="0" collapsed="false">
      <c r="A2936" s="3" t="n">
        <f aca="false">DATE(2014,10,22)</f>
        <v>41934</v>
      </c>
      <c r="B2936" s="4" t="s">
        <v>3268</v>
      </c>
      <c r="C2936" s="4" t="s">
        <v>3199</v>
      </c>
    </row>
    <row r="2937" customFormat="false" ht="12.8" hidden="false" customHeight="false" outlineLevel="0" collapsed="false">
      <c r="A2937" s="3" t="n">
        <f aca="false">DATE(2014,10,23)</f>
        <v>41935</v>
      </c>
      <c r="B2937" s="4" t="s">
        <v>3364</v>
      </c>
      <c r="C2937" s="4" t="s">
        <v>2566</v>
      </c>
    </row>
    <row r="2938" customFormat="false" ht="12.8" hidden="false" customHeight="false" outlineLevel="0" collapsed="false">
      <c r="A2938" s="3" t="n">
        <f aca="false">DATE(2014,10,27)</f>
        <v>41939</v>
      </c>
      <c r="B2938" s="4" t="s">
        <v>3365</v>
      </c>
      <c r="C2938" s="4" t="s">
        <v>2439</v>
      </c>
    </row>
    <row r="2939" customFormat="false" ht="12.8" hidden="false" customHeight="false" outlineLevel="0" collapsed="false">
      <c r="A2939" s="3" t="n">
        <f aca="false">DATE(2014,10,29)</f>
        <v>41941</v>
      </c>
      <c r="B2939" s="4" t="s">
        <v>2632</v>
      </c>
      <c r="C2939" s="4" t="s">
        <v>660</v>
      </c>
    </row>
    <row r="2940" customFormat="false" ht="12.8" hidden="false" customHeight="false" outlineLevel="0" collapsed="false">
      <c r="A2940" s="3" t="n">
        <f aca="false">DATE(2014,10,30)</f>
        <v>41942</v>
      </c>
      <c r="B2940" s="4" t="s">
        <v>3366</v>
      </c>
      <c r="C2940" s="4" t="s">
        <v>3367</v>
      </c>
    </row>
    <row r="2941" customFormat="false" ht="12.8" hidden="false" customHeight="false" outlineLevel="0" collapsed="false">
      <c r="A2941" s="3" t="n">
        <f aca="false">DATE(2014,11,3)</f>
        <v>41946</v>
      </c>
      <c r="B2941" s="4" t="s">
        <v>3368</v>
      </c>
      <c r="C2941" s="4" t="s">
        <v>475</v>
      </c>
    </row>
    <row r="2942" customFormat="false" ht="12.8" hidden="false" customHeight="false" outlineLevel="0" collapsed="false">
      <c r="A2942" s="3" t="n">
        <f aca="false">DATE(2014,11,5)</f>
        <v>41948</v>
      </c>
      <c r="B2942" s="4" t="s">
        <v>3369</v>
      </c>
      <c r="C2942" s="4" t="s">
        <v>2352</v>
      </c>
    </row>
    <row r="2943" customFormat="false" ht="12.8" hidden="false" customHeight="false" outlineLevel="0" collapsed="false">
      <c r="A2943" s="3" t="n">
        <f aca="false">DATE(2014,11,5)</f>
        <v>41948</v>
      </c>
      <c r="B2943" s="4" t="s">
        <v>3370</v>
      </c>
      <c r="C2943" s="4" t="s">
        <v>726</v>
      </c>
    </row>
    <row r="2944" customFormat="false" ht="12.8" hidden="false" customHeight="false" outlineLevel="0" collapsed="false">
      <c r="A2944" s="3" t="n">
        <f aca="false">DATE(2014,11,10)</f>
        <v>41953</v>
      </c>
      <c r="B2944" s="4" t="s">
        <v>3371</v>
      </c>
      <c r="C2944" s="4" t="s">
        <v>3115</v>
      </c>
    </row>
    <row r="2945" customFormat="false" ht="12.8" hidden="false" customHeight="false" outlineLevel="0" collapsed="false">
      <c r="A2945" s="3" t="n">
        <f aca="false">DATE(2014,11,12)</f>
        <v>41955</v>
      </c>
      <c r="B2945" s="4" t="s">
        <v>3372</v>
      </c>
      <c r="C2945" s="4" t="s">
        <v>3373</v>
      </c>
    </row>
    <row r="2946" customFormat="false" ht="12.8" hidden="false" customHeight="false" outlineLevel="0" collapsed="false">
      <c r="A2946" s="3" t="n">
        <f aca="false">DATE(2014,11,12)</f>
        <v>41955</v>
      </c>
      <c r="B2946" s="4" t="s">
        <v>459</v>
      </c>
      <c r="C2946" s="4" t="s">
        <v>2066</v>
      </c>
    </row>
    <row r="2947" customFormat="false" ht="12.8" hidden="false" customHeight="false" outlineLevel="0" collapsed="false">
      <c r="A2947" s="3" t="n">
        <f aca="false">DATE(2014,11,14)</f>
        <v>41957</v>
      </c>
      <c r="B2947" s="4" t="s">
        <v>3374</v>
      </c>
      <c r="C2947" s="4" t="s">
        <v>3375</v>
      </c>
    </row>
    <row r="2948" customFormat="false" ht="12.8" hidden="false" customHeight="false" outlineLevel="0" collapsed="false">
      <c r="A2948" s="3" t="n">
        <f aca="false">DATE(2014,11,17)</f>
        <v>41960</v>
      </c>
      <c r="B2948" s="4" t="s">
        <v>3376</v>
      </c>
      <c r="C2948" s="4" t="s">
        <v>2822</v>
      </c>
    </row>
    <row r="2949" customFormat="false" ht="12.8" hidden="false" customHeight="false" outlineLevel="0" collapsed="false">
      <c r="A2949" s="3" t="n">
        <f aca="false">DATE(2014,11,19)</f>
        <v>41962</v>
      </c>
      <c r="B2949" s="4" t="s">
        <v>3377</v>
      </c>
      <c r="C2949" s="4" t="s">
        <v>2748</v>
      </c>
    </row>
    <row r="2950" customFormat="false" ht="12.8" hidden="false" customHeight="false" outlineLevel="0" collapsed="false">
      <c r="A2950" s="3" t="n">
        <f aca="false">DATE(2014,11,21)</f>
        <v>41964</v>
      </c>
      <c r="B2950" s="4" t="s">
        <v>3378</v>
      </c>
      <c r="C2950" s="4" t="s">
        <v>3379</v>
      </c>
    </row>
    <row r="2951" customFormat="false" ht="12.8" hidden="false" customHeight="false" outlineLevel="0" collapsed="false">
      <c r="A2951" s="3" t="n">
        <f aca="false">DATE(2014,11,26)</f>
        <v>41969</v>
      </c>
      <c r="B2951" s="4" t="s">
        <v>3380</v>
      </c>
      <c r="C2951" s="4" t="s">
        <v>3381</v>
      </c>
    </row>
    <row r="2952" customFormat="false" ht="12.8" hidden="false" customHeight="false" outlineLevel="0" collapsed="false">
      <c r="A2952" s="3" t="n">
        <f aca="false">DATE(2014,12,8)</f>
        <v>41981</v>
      </c>
      <c r="B2952" s="4" t="s">
        <v>3382</v>
      </c>
      <c r="C2952" s="4" t="s">
        <v>2439</v>
      </c>
    </row>
    <row r="2953" customFormat="false" ht="12.8" hidden="false" customHeight="false" outlineLevel="0" collapsed="false">
      <c r="A2953" s="3" t="n">
        <f aca="false">DATE(2014,12,15)</f>
        <v>41988</v>
      </c>
      <c r="B2953" s="4" t="s">
        <v>3383</v>
      </c>
      <c r="C2953" s="4" t="s">
        <v>3261</v>
      </c>
    </row>
    <row r="2954" customFormat="false" ht="12.8" hidden="false" customHeight="false" outlineLevel="0" collapsed="false">
      <c r="A2954" s="3" t="n">
        <f aca="false">DATE(2014,12,15)</f>
        <v>41988</v>
      </c>
      <c r="B2954" s="4" t="s">
        <v>2934</v>
      </c>
      <c r="C2954" s="4" t="s">
        <v>3095</v>
      </c>
    </row>
    <row r="2955" customFormat="false" ht="12.8" hidden="false" customHeight="false" outlineLevel="0" collapsed="false">
      <c r="A2955" s="3" t="n">
        <f aca="false">DATE(2014,12,30)</f>
        <v>42003</v>
      </c>
      <c r="B2955" s="4" t="s">
        <v>3384</v>
      </c>
      <c r="C2955" s="4" t="s">
        <v>47</v>
      </c>
    </row>
    <row r="2956" customFormat="false" ht="12.8" hidden="false" customHeight="false" outlineLevel="0" collapsed="false">
      <c r="A2956" s="3" t="n">
        <f aca="false">DATE(2014,12,30)</f>
        <v>42003</v>
      </c>
      <c r="B2956" s="4" t="s">
        <v>3385</v>
      </c>
      <c r="C2956" s="4" t="s">
        <v>3386</v>
      </c>
    </row>
    <row r="2957" customFormat="false" ht="12.8" hidden="false" customHeight="false" outlineLevel="0" collapsed="false">
      <c r="A2957" s="3" t="n">
        <f aca="false">DATE(2015,1,6)</f>
        <v>42010</v>
      </c>
      <c r="B2957" s="4" t="s">
        <v>3387</v>
      </c>
      <c r="C2957" s="4" t="s">
        <v>475</v>
      </c>
    </row>
    <row r="2958" customFormat="false" ht="12.8" hidden="false" customHeight="false" outlineLevel="0" collapsed="false">
      <c r="A2958" s="3" t="n">
        <f aca="false">DATE(2015,1,6)</f>
        <v>42010</v>
      </c>
      <c r="B2958" s="4" t="s">
        <v>3388</v>
      </c>
      <c r="C2958" s="4" t="s">
        <v>634</v>
      </c>
    </row>
    <row r="2959" customFormat="false" ht="12.8" hidden="false" customHeight="false" outlineLevel="0" collapsed="false">
      <c r="A2959" s="3" t="n">
        <f aca="false">DATE(2015,1,14)</f>
        <v>42018</v>
      </c>
      <c r="B2959" s="4" t="s">
        <v>3389</v>
      </c>
      <c r="C2959" s="4" t="s">
        <v>3390</v>
      </c>
    </row>
    <row r="2960" customFormat="false" ht="12.8" hidden="false" customHeight="false" outlineLevel="0" collapsed="false">
      <c r="A2960" s="3" t="n">
        <f aca="false">DATE(2015,1,21)</f>
        <v>42025</v>
      </c>
      <c r="B2960" s="4" t="s">
        <v>3391</v>
      </c>
      <c r="C2960" s="4" t="s">
        <v>2756</v>
      </c>
    </row>
    <row r="2961" customFormat="false" ht="12.8" hidden="false" customHeight="false" outlineLevel="0" collapsed="false">
      <c r="A2961" s="3" t="n">
        <f aca="false">DATE(2015,1,27)</f>
        <v>42031</v>
      </c>
      <c r="B2961" s="4" t="s">
        <v>3392</v>
      </c>
      <c r="C2961" s="4" t="s">
        <v>1114</v>
      </c>
    </row>
    <row r="2962" customFormat="false" ht="12.8" hidden="false" customHeight="false" outlineLevel="0" collapsed="false">
      <c r="A2962" s="3" t="n">
        <f aca="false">DATE(2015,1,27)</f>
        <v>42031</v>
      </c>
      <c r="B2962" s="4" t="s">
        <v>3393</v>
      </c>
      <c r="C2962" s="4" t="s">
        <v>2219</v>
      </c>
    </row>
    <row r="2963" customFormat="false" ht="12.8" hidden="false" customHeight="false" outlineLevel="0" collapsed="false">
      <c r="A2963" s="3" t="n">
        <f aca="false">DATE(2015,1,28)</f>
        <v>42032</v>
      </c>
      <c r="B2963" s="4" t="s">
        <v>3394</v>
      </c>
      <c r="C2963" s="4" t="s">
        <v>2890</v>
      </c>
    </row>
    <row r="2964" customFormat="false" ht="12.8" hidden="false" customHeight="false" outlineLevel="0" collapsed="false">
      <c r="A2964" s="3" t="n">
        <f aca="false">DATE(2015,2,5)</f>
        <v>42040</v>
      </c>
      <c r="B2964" s="4" t="s">
        <v>3395</v>
      </c>
      <c r="C2964" s="4" t="s">
        <v>3396</v>
      </c>
    </row>
    <row r="2965" customFormat="false" ht="12.8" hidden="false" customHeight="false" outlineLevel="0" collapsed="false">
      <c r="A2965" s="3" t="n">
        <f aca="false">DATE(2015,2,19)</f>
        <v>42054</v>
      </c>
      <c r="B2965" s="4" t="s">
        <v>3397</v>
      </c>
      <c r="C2965" s="4" t="s">
        <v>2687</v>
      </c>
    </row>
    <row r="2966" customFormat="false" ht="12.8" hidden="false" customHeight="false" outlineLevel="0" collapsed="false">
      <c r="A2966" s="3" t="n">
        <f aca="false">DATE(2015,3,2)</f>
        <v>42065</v>
      </c>
      <c r="B2966" s="4" t="s">
        <v>3398</v>
      </c>
      <c r="C2966" s="4" t="s">
        <v>3137</v>
      </c>
    </row>
    <row r="2967" customFormat="false" ht="12.8" hidden="false" customHeight="false" outlineLevel="0" collapsed="false">
      <c r="A2967" s="3" t="n">
        <f aca="false">DATE(2015,3,2)</f>
        <v>42065</v>
      </c>
      <c r="B2967" s="4" t="s">
        <v>3399</v>
      </c>
      <c r="C2967" s="4" t="s">
        <v>3177</v>
      </c>
    </row>
    <row r="2968" customFormat="false" ht="12.8" hidden="false" customHeight="false" outlineLevel="0" collapsed="false">
      <c r="A2968" s="3" t="n">
        <f aca="false">DATE(2015,3,3)</f>
        <v>42066</v>
      </c>
      <c r="B2968" s="4" t="s">
        <v>3400</v>
      </c>
      <c r="C2968" s="4" t="s">
        <v>3100</v>
      </c>
    </row>
    <row r="2969" customFormat="false" ht="12.8" hidden="false" customHeight="false" outlineLevel="0" collapsed="false">
      <c r="A2969" s="3" t="n">
        <f aca="false">DATE(2015,3,3)</f>
        <v>42066</v>
      </c>
      <c r="B2969" s="4" t="s">
        <v>2216</v>
      </c>
      <c r="C2969" s="4" t="s">
        <v>3401</v>
      </c>
    </row>
    <row r="2970" customFormat="false" ht="12.8" hidden="false" customHeight="false" outlineLevel="0" collapsed="false">
      <c r="A2970" s="3" t="n">
        <f aca="false">DATE(2015,3,9)</f>
        <v>42072</v>
      </c>
      <c r="B2970" s="4" t="s">
        <v>3402</v>
      </c>
      <c r="C2970" s="4" t="s">
        <v>2812</v>
      </c>
    </row>
    <row r="2971" customFormat="false" ht="12.8" hidden="false" customHeight="false" outlineLevel="0" collapsed="false">
      <c r="A2971" s="3" t="n">
        <f aca="false">DATE(2015,3,9)</f>
        <v>42072</v>
      </c>
      <c r="B2971" s="4" t="s">
        <v>3403</v>
      </c>
      <c r="C2971" s="4" t="s">
        <v>3404</v>
      </c>
    </row>
    <row r="2972" customFormat="false" ht="12.8" hidden="false" customHeight="false" outlineLevel="0" collapsed="false">
      <c r="A2972" s="3" t="n">
        <f aca="false">DATE(2015,3,24)</f>
        <v>42087</v>
      </c>
      <c r="B2972" s="4" t="s">
        <v>3405</v>
      </c>
      <c r="C2972" s="4" t="s">
        <v>3406</v>
      </c>
    </row>
    <row r="2973" customFormat="false" ht="12.8" hidden="false" customHeight="false" outlineLevel="0" collapsed="false">
      <c r="A2973" s="3" t="n">
        <f aca="false">DATE(2015,3,25)</f>
        <v>42088</v>
      </c>
      <c r="B2973" s="4" t="s">
        <v>3407</v>
      </c>
      <c r="C2973" s="4" t="s">
        <v>1631</v>
      </c>
    </row>
    <row r="2974" customFormat="false" ht="12.8" hidden="false" customHeight="false" outlineLevel="0" collapsed="false">
      <c r="A2974" s="3" t="n">
        <f aca="false">DATE(2015,3,26)</f>
        <v>42089</v>
      </c>
      <c r="B2974" s="4" t="s">
        <v>3408</v>
      </c>
      <c r="C2974" s="4" t="s">
        <v>3299</v>
      </c>
    </row>
    <row r="2975" customFormat="false" ht="12.8" hidden="false" customHeight="false" outlineLevel="0" collapsed="false">
      <c r="A2975" s="3" t="n">
        <f aca="false">DATE(2015,3,30)</f>
        <v>42093</v>
      </c>
      <c r="B2975" s="4" t="s">
        <v>3409</v>
      </c>
      <c r="C2975" s="4" t="s">
        <v>3137</v>
      </c>
    </row>
    <row r="2976" customFormat="false" ht="12.8" hidden="false" customHeight="false" outlineLevel="0" collapsed="false">
      <c r="A2976" s="3" t="n">
        <f aca="false">DATE(2015,3,30)</f>
        <v>42093</v>
      </c>
      <c r="B2976" s="4" t="s">
        <v>3410</v>
      </c>
      <c r="C2976" s="4" t="s">
        <v>3411</v>
      </c>
    </row>
    <row r="2977" customFormat="false" ht="12.8" hidden="false" customHeight="false" outlineLevel="0" collapsed="false">
      <c r="A2977" s="3" t="n">
        <f aca="false">DATE(2015,3,31)</f>
        <v>42094</v>
      </c>
      <c r="B2977" s="4" t="s">
        <v>3412</v>
      </c>
      <c r="C2977" s="4" t="s">
        <v>3413</v>
      </c>
    </row>
    <row r="2978" customFormat="false" ht="12.8" hidden="false" customHeight="false" outlineLevel="0" collapsed="false">
      <c r="A2978" s="3" t="n">
        <f aca="false">DATE(2015,4,1)</f>
        <v>42095</v>
      </c>
      <c r="B2978" s="4" t="s">
        <v>3414</v>
      </c>
      <c r="C2978" s="4" t="s">
        <v>1397</v>
      </c>
    </row>
    <row r="2979" customFormat="false" ht="12.8" hidden="false" customHeight="false" outlineLevel="0" collapsed="false">
      <c r="A2979" s="3" t="n">
        <f aca="false">DATE(2015,4,2)</f>
        <v>42096</v>
      </c>
      <c r="B2979" s="4" t="s">
        <v>3415</v>
      </c>
      <c r="C2979" s="4" t="s">
        <v>3137</v>
      </c>
    </row>
    <row r="2980" customFormat="false" ht="12.8" hidden="false" customHeight="false" outlineLevel="0" collapsed="false">
      <c r="A2980" s="3" t="n">
        <f aca="false">DATE(2015,4,7)</f>
        <v>42101</v>
      </c>
      <c r="B2980" s="4" t="s">
        <v>3416</v>
      </c>
      <c r="C2980" s="4" t="s">
        <v>2770</v>
      </c>
    </row>
    <row r="2981" customFormat="false" ht="12.8" hidden="false" customHeight="false" outlineLevel="0" collapsed="false">
      <c r="A2981" s="3" t="n">
        <f aca="false">DATE(2015,4,16)</f>
        <v>42110</v>
      </c>
      <c r="B2981" s="4" t="s">
        <v>3417</v>
      </c>
      <c r="C2981" s="4" t="s">
        <v>2566</v>
      </c>
    </row>
    <row r="2982" customFormat="false" ht="12.8" hidden="false" customHeight="false" outlineLevel="0" collapsed="false">
      <c r="A2982" s="3" t="n">
        <f aca="false">DATE(2015,4,16)</f>
        <v>42110</v>
      </c>
      <c r="B2982" s="4" t="s">
        <v>3130</v>
      </c>
      <c r="C2982" s="4" t="s">
        <v>3418</v>
      </c>
    </row>
    <row r="2983" customFormat="false" ht="12.8" hidden="false" customHeight="false" outlineLevel="0" collapsed="false">
      <c r="A2983" s="3" t="n">
        <f aca="false">DATE(2015,4,20)</f>
        <v>42114</v>
      </c>
      <c r="B2983" s="4" t="s">
        <v>3419</v>
      </c>
      <c r="C2983" s="4" t="s">
        <v>3248</v>
      </c>
    </row>
    <row r="2984" customFormat="false" ht="12.8" hidden="false" customHeight="false" outlineLevel="0" collapsed="false">
      <c r="A2984" s="3" t="n">
        <f aca="false">DATE(2015,4,22)</f>
        <v>42116</v>
      </c>
      <c r="B2984" s="4" t="s">
        <v>3420</v>
      </c>
      <c r="C2984" s="4" t="s">
        <v>1114</v>
      </c>
    </row>
    <row r="2985" customFormat="false" ht="12.8" hidden="false" customHeight="false" outlineLevel="0" collapsed="false">
      <c r="A2985" s="3" t="n">
        <f aca="false">DATE(2015,4,23)</f>
        <v>42117</v>
      </c>
      <c r="B2985" s="4" t="s">
        <v>3421</v>
      </c>
      <c r="C2985" s="4" t="s">
        <v>2214</v>
      </c>
    </row>
    <row r="2986" customFormat="false" ht="12.8" hidden="false" customHeight="false" outlineLevel="0" collapsed="false">
      <c r="A2986" s="3" t="n">
        <f aca="false">DATE(2015,4,27)</f>
        <v>42121</v>
      </c>
      <c r="B2986" s="4" t="s">
        <v>3422</v>
      </c>
      <c r="C2986" s="4" t="s">
        <v>329</v>
      </c>
    </row>
    <row r="2987" customFormat="false" ht="12.8" hidden="false" customHeight="false" outlineLevel="0" collapsed="false">
      <c r="A2987" s="3" t="n">
        <f aca="false">DATE(2015,4,28)</f>
        <v>42122</v>
      </c>
      <c r="B2987" s="4" t="s">
        <v>3423</v>
      </c>
      <c r="C2987" s="4" t="s">
        <v>2770</v>
      </c>
    </row>
    <row r="2988" customFormat="false" ht="12.8" hidden="false" customHeight="false" outlineLevel="0" collapsed="false">
      <c r="A2988" s="3" t="n">
        <f aca="false">DATE(2015,5,6)</f>
        <v>42130</v>
      </c>
      <c r="B2988" s="4" t="s">
        <v>2963</v>
      </c>
      <c r="C2988" s="4" t="s">
        <v>1796</v>
      </c>
    </row>
    <row r="2989" customFormat="false" ht="12.8" hidden="false" customHeight="false" outlineLevel="0" collapsed="false">
      <c r="A2989" s="3" t="n">
        <f aca="false">DATE(2015,5,8)</f>
        <v>42132</v>
      </c>
      <c r="B2989" s="4" t="s">
        <v>3424</v>
      </c>
      <c r="C2989" s="4" t="s">
        <v>2015</v>
      </c>
    </row>
    <row r="2990" customFormat="false" ht="12.8" hidden="false" customHeight="false" outlineLevel="0" collapsed="false">
      <c r="A2990" s="3" t="n">
        <f aca="false">DATE(2015,5,11)</f>
        <v>42135</v>
      </c>
      <c r="B2990" s="4" t="s">
        <v>3425</v>
      </c>
      <c r="C2990" s="4" t="s">
        <v>816</v>
      </c>
    </row>
    <row r="2991" customFormat="false" ht="12.8" hidden="false" customHeight="false" outlineLevel="0" collapsed="false">
      <c r="A2991" s="3" t="n">
        <f aca="false">DATE(2015,5,14)</f>
        <v>42138</v>
      </c>
      <c r="B2991" s="4" t="s">
        <v>3426</v>
      </c>
      <c r="C2991" s="4" t="s">
        <v>3172</v>
      </c>
    </row>
    <row r="2992" customFormat="false" ht="12.8" hidden="false" customHeight="false" outlineLevel="0" collapsed="false">
      <c r="A2992" s="3" t="n">
        <f aca="false">DATE(2015,5,15)</f>
        <v>42139</v>
      </c>
      <c r="B2992" s="4" t="s">
        <v>3427</v>
      </c>
      <c r="C2992" s="4" t="s">
        <v>2566</v>
      </c>
    </row>
    <row r="2993" customFormat="false" ht="12.8" hidden="false" customHeight="false" outlineLevel="0" collapsed="false">
      <c r="A2993" s="3" t="n">
        <f aca="false">DATE(2015,5,27)</f>
        <v>42151</v>
      </c>
      <c r="B2993" s="4" t="s">
        <v>759</v>
      </c>
      <c r="C2993" s="4" t="s">
        <v>477</v>
      </c>
    </row>
    <row r="2994" customFormat="false" ht="12.8" hidden="false" customHeight="false" outlineLevel="0" collapsed="false">
      <c r="A2994" s="3" t="n">
        <f aca="false">DATE(2015,5,27)</f>
        <v>42151</v>
      </c>
      <c r="B2994" s="4" t="s">
        <v>3428</v>
      </c>
      <c r="C2994" s="4" t="s">
        <v>3429</v>
      </c>
    </row>
    <row r="2995" customFormat="false" ht="12.8" hidden="false" customHeight="false" outlineLevel="0" collapsed="false">
      <c r="A2995" s="3" t="n">
        <f aca="false">DATE(2015,5,27)</f>
        <v>42151</v>
      </c>
      <c r="B2995" s="4" t="s">
        <v>3430</v>
      </c>
      <c r="C2995" s="4" t="s">
        <v>2595</v>
      </c>
    </row>
    <row r="2996" customFormat="false" ht="12.8" hidden="false" customHeight="false" outlineLevel="0" collapsed="false">
      <c r="A2996" s="3" t="n">
        <f aca="false">DATE(2015,5,29)</f>
        <v>42153</v>
      </c>
      <c r="B2996" s="4" t="s">
        <v>3431</v>
      </c>
      <c r="C2996" s="4" t="s">
        <v>2566</v>
      </c>
    </row>
    <row r="2997" customFormat="false" ht="12.8" hidden="false" customHeight="false" outlineLevel="0" collapsed="false">
      <c r="A2997" s="3" t="n">
        <f aca="false">DATE(2015,6,1)</f>
        <v>42156</v>
      </c>
      <c r="B2997" s="4" t="s">
        <v>3432</v>
      </c>
      <c r="C2997" s="4" t="s">
        <v>2822</v>
      </c>
    </row>
    <row r="2998" customFormat="false" ht="12.8" hidden="false" customHeight="false" outlineLevel="0" collapsed="false">
      <c r="A2998" s="3" t="n">
        <f aca="false">DATE(2015,6,17)</f>
        <v>42172</v>
      </c>
      <c r="B2998" s="4" t="s">
        <v>3433</v>
      </c>
      <c r="C2998" s="4" t="s">
        <v>3009</v>
      </c>
    </row>
    <row r="2999" customFormat="false" ht="12.8" hidden="false" customHeight="false" outlineLevel="0" collapsed="false">
      <c r="A2999" s="3" t="n">
        <f aca="false">DATE(2015,6,22)</f>
        <v>42177</v>
      </c>
      <c r="B2999" s="4" t="s">
        <v>3434</v>
      </c>
      <c r="C2999" s="4" t="s">
        <v>3435</v>
      </c>
    </row>
    <row r="3000" customFormat="false" ht="12.8" hidden="false" customHeight="false" outlineLevel="0" collapsed="false">
      <c r="A3000" s="3" t="n">
        <f aca="false">DATE(2015,6,23)</f>
        <v>42178</v>
      </c>
      <c r="B3000" s="4" t="s">
        <v>3436</v>
      </c>
      <c r="C3000" s="4" t="s">
        <v>3437</v>
      </c>
    </row>
    <row r="3001" customFormat="false" ht="12.8" hidden="false" customHeight="false" outlineLevel="0" collapsed="false">
      <c r="A3001" s="3" t="n">
        <f aca="false">DATE(2015,6,26)</f>
        <v>42181</v>
      </c>
      <c r="B3001" s="4" t="s">
        <v>3438</v>
      </c>
      <c r="C3001" s="4" t="s">
        <v>3439</v>
      </c>
    </row>
    <row r="3002" customFormat="false" ht="12.8" hidden="false" customHeight="false" outlineLevel="0" collapsed="false">
      <c r="A3002" s="3" t="n">
        <f aca="false">DATE(2015,6,29)</f>
        <v>42184</v>
      </c>
      <c r="B3002" s="4" t="s">
        <v>1754</v>
      </c>
      <c r="C3002" s="4" t="s">
        <v>634</v>
      </c>
    </row>
    <row r="3003" customFormat="false" ht="12.8" hidden="false" customHeight="false" outlineLevel="0" collapsed="false">
      <c r="A3003" s="3" t="n">
        <f aca="false">DATE(2015,6,30)</f>
        <v>42185</v>
      </c>
      <c r="B3003" s="4" t="s">
        <v>3440</v>
      </c>
      <c r="C3003" s="4" t="s">
        <v>3441</v>
      </c>
    </row>
    <row r="3004" customFormat="false" ht="12.8" hidden="false" customHeight="false" outlineLevel="0" collapsed="false">
      <c r="A3004" s="3" t="n">
        <f aca="false">DATE(2015,7,7)</f>
        <v>42192</v>
      </c>
      <c r="B3004" s="4" t="s">
        <v>3442</v>
      </c>
      <c r="C3004" s="4" t="s">
        <v>1472</v>
      </c>
    </row>
    <row r="3005" customFormat="false" ht="12.8" hidden="false" customHeight="false" outlineLevel="0" collapsed="false">
      <c r="A3005" s="3" t="n">
        <f aca="false">DATE(2015,7,7)</f>
        <v>42192</v>
      </c>
      <c r="B3005" s="4" t="s">
        <v>3443</v>
      </c>
      <c r="C3005" s="4" t="s">
        <v>502</v>
      </c>
    </row>
    <row r="3006" customFormat="false" ht="12.8" hidden="false" customHeight="false" outlineLevel="0" collapsed="false">
      <c r="A3006" s="3" t="n">
        <f aca="false">DATE(2015,7,15)</f>
        <v>42200</v>
      </c>
      <c r="B3006" s="4" t="s">
        <v>3444</v>
      </c>
      <c r="C3006" s="4" t="s">
        <v>3445</v>
      </c>
    </row>
    <row r="3007" customFormat="false" ht="12.8" hidden="false" customHeight="false" outlineLevel="0" collapsed="false">
      <c r="A3007" s="3" t="n">
        <f aca="false">DATE(2015,7,20)</f>
        <v>42205</v>
      </c>
      <c r="B3007" s="4" t="s">
        <v>3446</v>
      </c>
      <c r="C3007" s="4" t="s">
        <v>3447</v>
      </c>
    </row>
    <row r="3008" customFormat="false" ht="12.8" hidden="false" customHeight="false" outlineLevel="0" collapsed="false">
      <c r="A3008" s="3" t="n">
        <f aca="false">DATE(2015,7,23)</f>
        <v>42208</v>
      </c>
      <c r="B3008" s="4" t="s">
        <v>3448</v>
      </c>
      <c r="C3008" s="4" t="s">
        <v>3274</v>
      </c>
    </row>
    <row r="3009" customFormat="false" ht="12.8" hidden="false" customHeight="false" outlineLevel="0" collapsed="false">
      <c r="A3009" s="3" t="n">
        <f aca="false">DATE(2015,7,27)</f>
        <v>42212</v>
      </c>
      <c r="B3009" s="4" t="s">
        <v>3449</v>
      </c>
      <c r="C3009" s="4" t="s">
        <v>3450</v>
      </c>
    </row>
    <row r="3010" customFormat="false" ht="12.8" hidden="false" customHeight="false" outlineLevel="0" collapsed="false">
      <c r="A3010" s="3" t="n">
        <f aca="false">DATE(2015,7,31)</f>
        <v>42216</v>
      </c>
      <c r="B3010" s="4" t="s">
        <v>3451</v>
      </c>
      <c r="C3010" s="4" t="s">
        <v>726</v>
      </c>
    </row>
    <row r="3011" customFormat="false" ht="12.8" hidden="false" customHeight="false" outlineLevel="0" collapsed="false">
      <c r="A3011" s="3" t="n">
        <f aca="false">DATE(2015,8,4)</f>
        <v>42220</v>
      </c>
      <c r="B3011" s="4" t="s">
        <v>3452</v>
      </c>
      <c r="C3011" s="4" t="s">
        <v>2595</v>
      </c>
    </row>
    <row r="3012" customFormat="false" ht="12.8" hidden="false" customHeight="false" outlineLevel="0" collapsed="false">
      <c r="A3012" s="3" t="n">
        <f aca="false">DATE(2015,8,4)</f>
        <v>42220</v>
      </c>
      <c r="B3012" s="4" t="s">
        <v>3453</v>
      </c>
      <c r="C3012" s="4" t="s">
        <v>1751</v>
      </c>
    </row>
    <row r="3013" customFormat="false" ht="12.8" hidden="false" customHeight="false" outlineLevel="0" collapsed="false">
      <c r="A3013" s="3" t="n">
        <f aca="false">DATE(2015,8,5)</f>
        <v>42221</v>
      </c>
      <c r="B3013" s="4" t="s">
        <v>3454</v>
      </c>
      <c r="C3013" s="4" t="s">
        <v>3106</v>
      </c>
    </row>
    <row r="3014" customFormat="false" ht="12.8" hidden="false" customHeight="false" outlineLevel="0" collapsed="false">
      <c r="A3014" s="3" t="n">
        <f aca="false">DATE(2015,8,6)</f>
        <v>42222</v>
      </c>
      <c r="B3014" s="4" t="s">
        <v>3455</v>
      </c>
      <c r="C3014" s="4" t="s">
        <v>3164</v>
      </c>
    </row>
    <row r="3015" customFormat="false" ht="12.8" hidden="false" customHeight="false" outlineLevel="0" collapsed="false">
      <c r="A3015" s="3" t="n">
        <f aca="false">DATE(2015,8,14)</f>
        <v>42230</v>
      </c>
      <c r="B3015" s="4" t="s">
        <v>3456</v>
      </c>
      <c r="C3015" s="4" t="s">
        <v>2822</v>
      </c>
    </row>
    <row r="3016" customFormat="false" ht="12.8" hidden="false" customHeight="false" outlineLevel="0" collapsed="false">
      <c r="A3016" s="3" t="n">
        <f aca="false">DATE(2015,8,17)</f>
        <v>42233</v>
      </c>
      <c r="B3016" s="4" t="s">
        <v>931</v>
      </c>
      <c r="C3016" s="4" t="s">
        <v>2066</v>
      </c>
    </row>
    <row r="3017" customFormat="false" ht="12.8" hidden="false" customHeight="false" outlineLevel="0" collapsed="false">
      <c r="A3017" s="3" t="n">
        <f aca="false">DATE(2015,8,27)</f>
        <v>42243</v>
      </c>
      <c r="B3017" s="4" t="s">
        <v>3457</v>
      </c>
      <c r="C3017" s="4" t="s">
        <v>3458</v>
      </c>
    </row>
    <row r="3018" customFormat="false" ht="12.8" hidden="false" customHeight="false" outlineLevel="0" collapsed="false">
      <c r="A3018" s="3" t="n">
        <f aca="false">DATE(2015,9,18)</f>
        <v>42265</v>
      </c>
      <c r="B3018" s="4" t="s">
        <v>3459</v>
      </c>
      <c r="C3018" s="4" t="s">
        <v>3460</v>
      </c>
    </row>
    <row r="3019" customFormat="false" ht="12.8" hidden="false" customHeight="false" outlineLevel="0" collapsed="false">
      <c r="A3019" s="3" t="n">
        <f aca="false">DATE(2015,10,1)</f>
        <v>42278</v>
      </c>
      <c r="B3019" s="4" t="s">
        <v>1606</v>
      </c>
      <c r="C3019" s="4" t="s">
        <v>3124</v>
      </c>
    </row>
    <row r="3020" customFormat="false" ht="12.8" hidden="false" customHeight="false" outlineLevel="0" collapsed="false">
      <c r="A3020" s="3" t="n">
        <f aca="false">DATE(2015,10,1)</f>
        <v>42278</v>
      </c>
      <c r="B3020" s="4" t="s">
        <v>3461</v>
      </c>
      <c r="C3020" s="4" t="s">
        <v>2890</v>
      </c>
    </row>
    <row r="3021" customFormat="false" ht="12.8" hidden="false" customHeight="false" outlineLevel="0" collapsed="false">
      <c r="A3021" s="3" t="n">
        <f aca="false">DATE(2015,10,1)</f>
        <v>42278</v>
      </c>
      <c r="B3021" s="4" t="s">
        <v>3462</v>
      </c>
      <c r="C3021" s="4" t="s">
        <v>3199</v>
      </c>
    </row>
    <row r="3022" customFormat="false" ht="12.8" hidden="false" customHeight="false" outlineLevel="0" collapsed="false">
      <c r="A3022" s="3" t="n">
        <f aca="false">DATE(2015,10,5)</f>
        <v>42282</v>
      </c>
      <c r="B3022" s="4" t="s">
        <v>3463</v>
      </c>
      <c r="C3022" s="4" t="s">
        <v>3248</v>
      </c>
    </row>
    <row r="3023" customFormat="false" ht="12.8" hidden="false" customHeight="false" outlineLevel="0" collapsed="false">
      <c r="A3023" s="3" t="n">
        <f aca="false">DATE(2015,10,7)</f>
        <v>42284</v>
      </c>
      <c r="B3023" s="4" t="s">
        <v>3464</v>
      </c>
      <c r="C3023" s="4" t="s">
        <v>3465</v>
      </c>
    </row>
    <row r="3024" customFormat="false" ht="12.8" hidden="false" customHeight="false" outlineLevel="0" collapsed="false">
      <c r="A3024" s="3" t="n">
        <f aca="false">DATE(2015,10,13)</f>
        <v>42290</v>
      </c>
      <c r="B3024" s="4" t="s">
        <v>3267</v>
      </c>
      <c r="C3024" s="4" t="s">
        <v>3292</v>
      </c>
    </row>
    <row r="3025" customFormat="false" ht="12.8" hidden="false" customHeight="false" outlineLevel="0" collapsed="false">
      <c r="A3025" s="3" t="n">
        <f aca="false">DATE(2015,10,19)</f>
        <v>42296</v>
      </c>
      <c r="B3025" s="4" t="s">
        <v>3466</v>
      </c>
      <c r="C3025" s="4" t="s">
        <v>1796</v>
      </c>
    </row>
    <row r="3026" customFormat="false" ht="12.8" hidden="false" customHeight="false" outlineLevel="0" collapsed="false">
      <c r="A3026" s="3" t="n">
        <f aca="false">DATE(2015,10,19)</f>
        <v>42296</v>
      </c>
      <c r="B3026" s="4" t="s">
        <v>3467</v>
      </c>
      <c r="C3026" s="4" t="s">
        <v>3468</v>
      </c>
    </row>
    <row r="3027" customFormat="false" ht="12.8" hidden="false" customHeight="false" outlineLevel="0" collapsed="false">
      <c r="A3027" s="3" t="n">
        <f aca="false">DATE(2015,10,20)</f>
        <v>42297</v>
      </c>
      <c r="B3027" s="4" t="s">
        <v>3469</v>
      </c>
      <c r="C3027" s="4" t="s">
        <v>2945</v>
      </c>
    </row>
    <row r="3028" customFormat="false" ht="12.8" hidden="false" customHeight="false" outlineLevel="0" collapsed="false">
      <c r="A3028" s="3" t="n">
        <f aca="false">DATE(2015,10,21)</f>
        <v>42298</v>
      </c>
      <c r="B3028" s="4" t="s">
        <v>3470</v>
      </c>
      <c r="C3028" s="4" t="s">
        <v>3471</v>
      </c>
    </row>
    <row r="3029" customFormat="false" ht="12.8" hidden="false" customHeight="false" outlineLevel="0" collapsed="false">
      <c r="A3029" s="3" t="n">
        <f aca="false">DATE(2015,10,23)</f>
        <v>42300</v>
      </c>
      <c r="B3029" s="4" t="s">
        <v>3472</v>
      </c>
      <c r="C3029" s="4" t="s">
        <v>2566</v>
      </c>
    </row>
    <row r="3030" customFormat="false" ht="12.8" hidden="false" customHeight="false" outlineLevel="0" collapsed="false">
      <c r="A3030" s="3" t="n">
        <f aca="false">DATE(2015,10,26)</f>
        <v>42303</v>
      </c>
      <c r="B3030" s="4" t="s">
        <v>3473</v>
      </c>
      <c r="C3030" s="4" t="s">
        <v>3474</v>
      </c>
    </row>
    <row r="3031" customFormat="false" ht="12.8" hidden="false" customHeight="false" outlineLevel="0" collapsed="false">
      <c r="A3031" s="3" t="n">
        <f aca="false">DATE(2015,10,26)</f>
        <v>42303</v>
      </c>
      <c r="B3031" s="4" t="s">
        <v>3155</v>
      </c>
      <c r="C3031" s="4" t="s">
        <v>1529</v>
      </c>
    </row>
    <row r="3032" customFormat="false" ht="12.8" hidden="false" customHeight="false" outlineLevel="0" collapsed="false">
      <c r="A3032" s="3" t="n">
        <f aca="false">DATE(2015,10,30)</f>
        <v>42307</v>
      </c>
      <c r="B3032" s="4" t="s">
        <v>2502</v>
      </c>
      <c r="C3032" s="4" t="s">
        <v>1152</v>
      </c>
    </row>
    <row r="3033" customFormat="false" ht="12.8" hidden="false" customHeight="false" outlineLevel="0" collapsed="false">
      <c r="A3033" s="3" t="n">
        <f aca="false">DATE(2015,11,3)</f>
        <v>42311</v>
      </c>
      <c r="B3033" s="4" t="s">
        <v>3475</v>
      </c>
      <c r="C3033" s="4" t="s">
        <v>1631</v>
      </c>
    </row>
    <row r="3034" customFormat="false" ht="12.8" hidden="false" customHeight="false" outlineLevel="0" collapsed="false">
      <c r="A3034" s="3" t="n">
        <f aca="false">DATE(2015,11,8)</f>
        <v>42316</v>
      </c>
      <c r="B3034" s="4" t="s">
        <v>3476</v>
      </c>
      <c r="C3034" s="4" t="s">
        <v>2410</v>
      </c>
    </row>
    <row r="3035" customFormat="false" ht="12.8" hidden="false" customHeight="false" outlineLevel="0" collapsed="false">
      <c r="A3035" s="3" t="n">
        <f aca="false">DATE(2015,11,9)</f>
        <v>42317</v>
      </c>
      <c r="B3035" s="4" t="s">
        <v>3477</v>
      </c>
      <c r="C3035" s="4" t="s">
        <v>1796</v>
      </c>
    </row>
    <row r="3036" customFormat="false" ht="12.8" hidden="false" customHeight="false" outlineLevel="0" collapsed="false">
      <c r="A3036" s="3" t="n">
        <f aca="false">DATE(2015,11,9)</f>
        <v>42317</v>
      </c>
      <c r="B3036" s="4" t="s">
        <v>3478</v>
      </c>
      <c r="C3036" s="4" t="s">
        <v>367</v>
      </c>
    </row>
    <row r="3037" customFormat="false" ht="12.8" hidden="false" customHeight="false" outlineLevel="0" collapsed="false">
      <c r="A3037" s="3" t="n">
        <f aca="false">DATE(2015,11,16)</f>
        <v>42324</v>
      </c>
      <c r="B3037" s="4" t="s">
        <v>3479</v>
      </c>
      <c r="C3037" s="4" t="s">
        <v>2822</v>
      </c>
    </row>
    <row r="3038" customFormat="false" ht="12.8" hidden="false" customHeight="false" outlineLevel="0" collapsed="false">
      <c r="A3038" s="3" t="n">
        <f aca="false">DATE(2015,11,20)</f>
        <v>42328</v>
      </c>
      <c r="B3038" s="4" t="s">
        <v>3480</v>
      </c>
      <c r="C3038" s="4" t="s">
        <v>3481</v>
      </c>
    </row>
    <row r="3039" customFormat="false" ht="12.8" hidden="false" customHeight="false" outlineLevel="0" collapsed="false">
      <c r="A3039" s="3" t="n">
        <f aca="false">DATE(2015,11,22)</f>
        <v>42330</v>
      </c>
      <c r="B3039" s="4" t="s">
        <v>3482</v>
      </c>
      <c r="C3039" s="4" t="s">
        <v>3245</v>
      </c>
    </row>
    <row r="3040" customFormat="false" ht="12.8" hidden="false" customHeight="false" outlineLevel="0" collapsed="false">
      <c r="A3040" s="3" t="n">
        <f aca="false">DATE(2015,11,23)</f>
        <v>42331</v>
      </c>
      <c r="B3040" s="4" t="s">
        <v>3203</v>
      </c>
      <c r="C3040" s="4" t="s">
        <v>2301</v>
      </c>
    </row>
    <row r="3041" customFormat="false" ht="12.8" hidden="false" customHeight="false" outlineLevel="0" collapsed="false">
      <c r="A3041" s="3" t="n">
        <f aca="false">DATE(2015,11,23)</f>
        <v>42331</v>
      </c>
      <c r="B3041" s="4" t="s">
        <v>3483</v>
      </c>
      <c r="C3041" s="4" t="s">
        <v>3484</v>
      </c>
    </row>
    <row r="3042" customFormat="false" ht="12.8" hidden="false" customHeight="false" outlineLevel="0" collapsed="false">
      <c r="A3042" s="3" t="n">
        <f aca="false">DATE(2015,11,23)</f>
        <v>42331</v>
      </c>
      <c r="B3042" s="4" t="s">
        <v>3485</v>
      </c>
      <c r="C3042" s="4" t="s">
        <v>3100</v>
      </c>
    </row>
    <row r="3043" customFormat="false" ht="12.8" hidden="false" customHeight="false" outlineLevel="0" collapsed="false">
      <c r="A3043" s="3" t="n">
        <f aca="false">DATE(2015,11,30)</f>
        <v>42338</v>
      </c>
      <c r="B3043" s="4" t="s">
        <v>2289</v>
      </c>
      <c r="C3043" s="4" t="s">
        <v>3486</v>
      </c>
    </row>
    <row r="3044" customFormat="false" ht="12.8" hidden="false" customHeight="false" outlineLevel="0" collapsed="false">
      <c r="A3044" s="3" t="n">
        <f aca="false">DATE(2015,12,3)</f>
        <v>42341</v>
      </c>
      <c r="B3044" s="4" t="s">
        <v>3487</v>
      </c>
      <c r="C3044" s="4" t="s">
        <v>3488</v>
      </c>
    </row>
    <row r="3045" customFormat="false" ht="12.8" hidden="false" customHeight="false" outlineLevel="0" collapsed="false">
      <c r="A3045" s="3" t="n">
        <f aca="false">DATE(2015,12,7)</f>
        <v>42345</v>
      </c>
      <c r="B3045" s="4" t="s">
        <v>2742</v>
      </c>
      <c r="C3045" s="4" t="s">
        <v>3203</v>
      </c>
    </row>
    <row r="3046" customFormat="false" ht="12.8" hidden="false" customHeight="false" outlineLevel="0" collapsed="false">
      <c r="A3046" s="3" t="n">
        <f aca="false">DATE(2015,12,8)</f>
        <v>42346</v>
      </c>
      <c r="B3046" s="4" t="s">
        <v>3489</v>
      </c>
      <c r="C3046" s="4" t="s">
        <v>849</v>
      </c>
    </row>
    <row r="3047" customFormat="false" ht="12.8" hidden="false" customHeight="false" outlineLevel="0" collapsed="false">
      <c r="A3047" s="3" t="n">
        <f aca="false">DATE(2015,12,14)</f>
        <v>42352</v>
      </c>
      <c r="B3047" s="4" t="s">
        <v>3490</v>
      </c>
      <c r="C3047" s="4" t="s">
        <v>3491</v>
      </c>
    </row>
    <row r="3048" customFormat="false" ht="12.8" hidden="false" customHeight="false" outlineLevel="0" collapsed="false">
      <c r="A3048" s="3" t="n">
        <f aca="false">DATE(2015,12,17)</f>
        <v>42355</v>
      </c>
      <c r="B3048" s="4" t="s">
        <v>3492</v>
      </c>
      <c r="C3048" s="4" t="s">
        <v>3493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  <Company>The University of Hong Kong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2015-12-26T10:06:16Z</dcterms:created>
  <dc:creator>School of Economics and Finance</dc:creator>
  <dc:language>en-US</dc:language>
  <dcterms:modified xsi:type="dcterms:W3CDTF">2016-07-01T09:20:15Z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The University of Hong Kong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