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7590"/>
  </bookViews>
  <sheets>
    <sheet name="New Accretion" sheetId="6" r:id="rId1"/>
    <sheet name="Old2New" sheetId="7" r:id="rId2"/>
  </sheets>
  <externalReferences>
    <externalReference r:id="rId3"/>
  </externalReferences>
  <definedNames>
    <definedName name="XVals">Old2New!$G$11:$G$44</definedName>
    <definedName name="YVals">Old2New!$F$11:$F$44</definedName>
  </definedNames>
  <calcPr calcId="145621"/>
</workbook>
</file>

<file path=xl/calcChain.xml><?xml version="1.0" encoding="utf-8"?>
<calcChain xmlns="http://schemas.openxmlformats.org/spreadsheetml/2006/main">
  <c r="F11" i="7" l="1"/>
  <c r="D11" i="7"/>
  <c r="T9" i="7"/>
  <c r="B6" i="7" s="1"/>
  <c r="C11" i="7"/>
  <c r="B5" i="7"/>
  <c r="K10" i="6" l="1"/>
  <c r="B18" i="6" l="1"/>
  <c r="B12" i="7"/>
  <c r="B13" i="7" s="1"/>
  <c r="C12" i="7"/>
  <c r="F12" i="7"/>
  <c r="Q15" i="7"/>
  <c r="S15" i="7" s="1"/>
  <c r="C39" i="7"/>
  <c r="F39" i="7"/>
  <c r="B40" i="7"/>
  <c r="C44" i="7"/>
  <c r="F44" i="7"/>
  <c r="A47" i="7"/>
  <c r="B47" i="7"/>
  <c r="C47" i="7"/>
  <c r="K3" i="6"/>
  <c r="K7" i="6" s="1"/>
  <c r="K4" i="6"/>
  <c r="K8" i="6" s="1"/>
  <c r="K9" i="6"/>
  <c r="C18" i="6"/>
  <c r="B19" i="6"/>
  <c r="C19" i="6" s="1"/>
  <c r="D48" i="7" l="1"/>
  <c r="D49" i="7"/>
  <c r="C40" i="7"/>
  <c r="F40" i="7"/>
  <c r="C13" i="7"/>
  <c r="F13" i="7"/>
  <c r="B14" i="7"/>
  <c r="B41" i="7"/>
  <c r="Q16" i="7"/>
  <c r="B20" i="6"/>
  <c r="C20" i="6" s="1"/>
  <c r="B21" i="6"/>
  <c r="G9" i="6"/>
  <c r="G10" i="6"/>
  <c r="B15" i="7" l="1"/>
  <c r="C14" i="7"/>
  <c r="F14" i="7"/>
  <c r="B42" i="7"/>
  <c r="C41" i="7"/>
  <c r="F41" i="7"/>
  <c r="Q17" i="7"/>
  <c r="S16" i="7"/>
  <c r="G15" i="6"/>
  <c r="G14" i="6"/>
  <c r="G13" i="6"/>
  <c r="G16" i="6"/>
  <c r="C21" i="6"/>
  <c r="D21" i="6" s="1"/>
  <c r="E21" i="6" s="1"/>
  <c r="B22" i="6"/>
  <c r="D18" i="6"/>
  <c r="E18" i="6" s="1"/>
  <c r="D19" i="6"/>
  <c r="E19" i="6" s="1"/>
  <c r="D20" i="6"/>
  <c r="E20" i="6" s="1"/>
  <c r="C42" i="7" l="1"/>
  <c r="F42" i="7"/>
  <c r="B43" i="7"/>
  <c r="B16" i="7"/>
  <c r="C15" i="7"/>
  <c r="F15" i="7"/>
  <c r="Q18" i="7"/>
  <c r="S17" i="7"/>
  <c r="B23" i="6"/>
  <c r="C22" i="6"/>
  <c r="D22" i="6" s="1"/>
  <c r="E22" i="6" s="1"/>
  <c r="F21" i="6"/>
  <c r="F18" i="6"/>
  <c r="F23" i="6"/>
  <c r="F22" i="6"/>
  <c r="F19" i="6"/>
  <c r="F20" i="6"/>
  <c r="C16" i="7" l="1"/>
  <c r="F16" i="7"/>
  <c r="B17" i="7"/>
  <c r="F43" i="7"/>
  <c r="C43" i="7"/>
  <c r="Q19" i="7"/>
  <c r="S18" i="7"/>
  <c r="B24" i="6"/>
  <c r="C23" i="6"/>
  <c r="D23" i="6" s="1"/>
  <c r="E23" i="6" s="1"/>
  <c r="B18" i="7" l="1"/>
  <c r="C17" i="7"/>
  <c r="F17" i="7"/>
  <c r="Q20" i="7"/>
  <c r="S19" i="7"/>
  <c r="C24" i="6"/>
  <c r="D24" i="6" s="1"/>
  <c r="E24" i="6" s="1"/>
  <c r="B25" i="6"/>
  <c r="F24" i="6"/>
  <c r="C18" i="7" l="1"/>
  <c r="B19" i="7"/>
  <c r="F18" i="7"/>
  <c r="Q21" i="7"/>
  <c r="S20" i="7"/>
  <c r="C25" i="6"/>
  <c r="D25" i="6" s="1"/>
  <c r="E25" i="6" s="1"/>
  <c r="B26" i="6"/>
  <c r="F25" i="6"/>
  <c r="C19" i="7" l="1"/>
  <c r="F19" i="7"/>
  <c r="B20" i="7"/>
  <c r="Q22" i="7"/>
  <c r="S21" i="7"/>
  <c r="B27" i="6"/>
  <c r="C26" i="6"/>
  <c r="D26" i="6" s="1"/>
  <c r="E26" i="6" s="1"/>
  <c r="F26" i="6"/>
  <c r="B21" i="7" l="1"/>
  <c r="F20" i="7"/>
  <c r="C20" i="7"/>
  <c r="S22" i="7"/>
  <c r="Q23" i="7"/>
  <c r="C27" i="6"/>
  <c r="D27" i="6" s="1"/>
  <c r="E27" i="6" s="1"/>
  <c r="B28" i="6"/>
  <c r="F27" i="6"/>
  <c r="C21" i="7" l="1"/>
  <c r="F21" i="7"/>
  <c r="B22" i="7"/>
  <c r="S23" i="7"/>
  <c r="Q24" i="7"/>
  <c r="C28" i="6"/>
  <c r="D28" i="6" s="1"/>
  <c r="E28" i="6" s="1"/>
  <c r="B29" i="6"/>
  <c r="F28" i="6"/>
  <c r="F22" i="7" l="1"/>
  <c r="B23" i="7"/>
  <c r="C22" i="7"/>
  <c r="Q25" i="7"/>
  <c r="S24" i="7"/>
  <c r="C29" i="6"/>
  <c r="D29" i="6" s="1"/>
  <c r="E29" i="6" s="1"/>
  <c r="B30" i="6"/>
  <c r="F29" i="6"/>
  <c r="B24" i="7" l="1"/>
  <c r="C23" i="7"/>
  <c r="F23" i="7"/>
  <c r="Q26" i="7"/>
  <c r="S25" i="7"/>
  <c r="C30" i="6"/>
  <c r="D30" i="6" s="1"/>
  <c r="E30" i="6" s="1"/>
  <c r="B31" i="6"/>
  <c r="F30" i="6"/>
  <c r="C24" i="7" l="1"/>
  <c r="F24" i="7"/>
  <c r="B25" i="7"/>
  <c r="Q27" i="7"/>
  <c r="S26" i="7"/>
  <c r="B32" i="6"/>
  <c r="C31" i="6"/>
  <c r="D31" i="6" s="1"/>
  <c r="E31" i="6" s="1"/>
  <c r="F31" i="6"/>
  <c r="B26" i="7" l="1"/>
  <c r="C25" i="7"/>
  <c r="F25" i="7"/>
  <c r="Q28" i="7"/>
  <c r="S27" i="7"/>
  <c r="B33" i="6"/>
  <c r="C32" i="6"/>
  <c r="D32" i="6" s="1"/>
  <c r="E32" i="6" s="1"/>
  <c r="F32" i="6"/>
  <c r="C26" i="7" l="1"/>
  <c r="B27" i="7"/>
  <c r="F26" i="7"/>
  <c r="Q29" i="7"/>
  <c r="S28" i="7"/>
  <c r="C33" i="6"/>
  <c r="D33" i="6" s="1"/>
  <c r="E33" i="6" s="1"/>
  <c r="B34" i="6"/>
  <c r="F33" i="6"/>
  <c r="C27" i="7" l="1"/>
  <c r="F27" i="7"/>
  <c r="B28" i="7"/>
  <c r="Q30" i="7"/>
  <c r="S29" i="7"/>
  <c r="B35" i="6"/>
  <c r="C34" i="6"/>
  <c r="D34" i="6" s="1"/>
  <c r="E34" i="6" s="1"/>
  <c r="F34" i="6"/>
  <c r="B29" i="7" l="1"/>
  <c r="C28" i="7"/>
  <c r="F28" i="7"/>
  <c r="S30" i="7"/>
  <c r="Q31" i="7"/>
  <c r="B36" i="6"/>
  <c r="C35" i="6"/>
  <c r="D35" i="6" s="1"/>
  <c r="E35" i="6" s="1"/>
  <c r="F35" i="6"/>
  <c r="C29" i="7" l="1"/>
  <c r="F29" i="7"/>
  <c r="B30" i="7"/>
  <c r="S31" i="7"/>
  <c r="Q32" i="7"/>
  <c r="C36" i="6"/>
  <c r="D36" i="6" s="1"/>
  <c r="E36" i="6" s="1"/>
  <c r="B37" i="6"/>
  <c r="F36" i="6"/>
  <c r="F30" i="7" l="1"/>
  <c r="B31" i="7"/>
  <c r="C30" i="7"/>
  <c r="Q33" i="7"/>
  <c r="S32" i="7"/>
  <c r="C37" i="6"/>
  <c r="D37" i="6" s="1"/>
  <c r="E37" i="6" s="1"/>
  <c r="B38" i="6"/>
  <c r="F37" i="6"/>
  <c r="B32" i="7" l="1"/>
  <c r="F31" i="7"/>
  <c r="C31" i="7"/>
  <c r="Q34" i="7"/>
  <c r="S33" i="7"/>
  <c r="C38" i="6"/>
  <c r="D38" i="6" s="1"/>
  <c r="E38" i="6" s="1"/>
  <c r="B39" i="6"/>
  <c r="F38" i="6"/>
  <c r="C32" i="7" l="1"/>
  <c r="F32" i="7"/>
  <c r="B33" i="7"/>
  <c r="Q35" i="7"/>
  <c r="S34" i="7"/>
  <c r="B40" i="6"/>
  <c r="C39" i="6"/>
  <c r="D39" i="6" s="1"/>
  <c r="E39" i="6" s="1"/>
  <c r="F39" i="6"/>
  <c r="B34" i="7" l="1"/>
  <c r="C33" i="7"/>
  <c r="F33" i="7"/>
  <c r="Q36" i="7"/>
  <c r="S35" i="7"/>
  <c r="B41" i="6"/>
  <c r="C40" i="6"/>
  <c r="D40" i="6" s="1"/>
  <c r="E40" i="6" s="1"/>
  <c r="F40" i="6"/>
  <c r="C34" i="7" l="1"/>
  <c r="B35" i="7"/>
  <c r="F34" i="7"/>
  <c r="Q37" i="7"/>
  <c r="S36" i="7"/>
  <c r="B42" i="6"/>
  <c r="C41" i="6"/>
  <c r="D41" i="6" s="1"/>
  <c r="E41" i="6" s="1"/>
  <c r="F41" i="6"/>
  <c r="C35" i="7" l="1"/>
  <c r="F35" i="7"/>
  <c r="B36" i="7"/>
  <c r="Q38" i="7"/>
  <c r="S37" i="7"/>
  <c r="B43" i="6"/>
  <c r="C42" i="6"/>
  <c r="D42" i="6" s="1"/>
  <c r="E42" i="6" s="1"/>
  <c r="F42" i="6"/>
  <c r="B37" i="7" l="1"/>
  <c r="F36" i="7"/>
  <c r="C36" i="7"/>
  <c r="S38" i="7"/>
  <c r="Q39" i="7"/>
  <c r="B44" i="6"/>
  <c r="C43" i="6"/>
  <c r="D43" i="6" s="1"/>
  <c r="E43" i="6" s="1"/>
  <c r="F43" i="6"/>
  <c r="C37" i="7" l="1"/>
  <c r="F37" i="7"/>
  <c r="B38" i="7"/>
  <c r="S39" i="7"/>
  <c r="Q40" i="7"/>
  <c r="C44" i="6"/>
  <c r="D44" i="6" s="1"/>
  <c r="E44" i="6" s="1"/>
  <c r="B45" i="6"/>
  <c r="F44" i="6"/>
  <c r="F38" i="7" l="1"/>
  <c r="C38" i="7"/>
  <c r="Q41" i="7"/>
  <c r="S40" i="7"/>
  <c r="C45" i="6"/>
  <c r="D45" i="6" s="1"/>
  <c r="E45" i="6" s="1"/>
  <c r="B46" i="6"/>
  <c r="F45" i="6"/>
  <c r="E8" i="7" l="1"/>
  <c r="E9" i="7"/>
  <c r="Q42" i="7"/>
  <c r="S41" i="7"/>
  <c r="C46" i="6"/>
  <c r="D46" i="6" s="1"/>
  <c r="E46" i="6" s="1"/>
  <c r="B47" i="6"/>
  <c r="F46" i="6"/>
  <c r="D12" i="7" l="1"/>
  <c r="G12" i="7" s="1"/>
  <c r="D44" i="7"/>
  <c r="G44" i="7" s="1"/>
  <c r="G11" i="7"/>
  <c r="D39" i="7"/>
  <c r="G39" i="7" s="1"/>
  <c r="D13" i="7"/>
  <c r="G13" i="7" s="1"/>
  <c r="D40" i="7"/>
  <c r="G40" i="7" s="1"/>
  <c r="D14" i="7"/>
  <c r="G14" i="7" s="1"/>
  <c r="D41" i="7"/>
  <c r="G41" i="7" s="1"/>
  <c r="D42" i="7"/>
  <c r="G42" i="7" s="1"/>
  <c r="D15" i="7"/>
  <c r="G15" i="7" s="1"/>
  <c r="D16" i="7"/>
  <c r="G16" i="7" s="1"/>
  <c r="D43" i="7"/>
  <c r="G43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Q43" i="7"/>
  <c r="S42" i="7"/>
  <c r="B48" i="6"/>
  <c r="C47" i="6"/>
  <c r="D47" i="6" s="1"/>
  <c r="E47" i="6" s="1"/>
  <c r="F47" i="6"/>
  <c r="U7" i="7" l="1"/>
  <c r="U12" i="7" s="1"/>
  <c r="Y7" i="7" s="1"/>
  <c r="S7" i="7"/>
  <c r="S12" i="7" s="1"/>
  <c r="Y6" i="7" s="1"/>
  <c r="U6" i="7"/>
  <c r="U11" i="7" s="1"/>
  <c r="Y5" i="7" s="1"/>
  <c r="S6" i="7"/>
  <c r="S11" i="7" s="1"/>
  <c r="Q44" i="7"/>
  <c r="S43" i="7"/>
  <c r="B49" i="6"/>
  <c r="C48" i="6"/>
  <c r="D48" i="6" s="1"/>
  <c r="E48" i="6" s="1"/>
  <c r="F48" i="6"/>
  <c r="Y4" i="7" l="1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S44" i="7"/>
  <c r="R44" i="7"/>
  <c r="Q45" i="7"/>
  <c r="C49" i="6"/>
  <c r="D49" i="6" s="1"/>
  <c r="E49" i="6" s="1"/>
  <c r="B50" i="6"/>
  <c r="F49" i="6"/>
  <c r="S45" i="7" l="1"/>
  <c r="R45" i="7"/>
  <c r="C50" i="6"/>
  <c r="D50" i="6" s="1"/>
  <c r="E50" i="6" s="1"/>
  <c r="B51" i="6"/>
  <c r="F50" i="6"/>
  <c r="B52" i="6" l="1"/>
  <c r="C51" i="6"/>
  <c r="D51" i="6" s="1"/>
  <c r="E51" i="6" s="1"/>
  <c r="F51" i="6"/>
  <c r="B53" i="6" l="1"/>
  <c r="C52" i="6"/>
  <c r="D52" i="6" s="1"/>
  <c r="E52" i="6" s="1"/>
  <c r="F52" i="6"/>
  <c r="C53" i="6" l="1"/>
  <c r="D53" i="6" s="1"/>
  <c r="E53" i="6" s="1"/>
  <c r="B54" i="6"/>
  <c r="F53" i="6"/>
  <c r="C54" i="6" l="1"/>
  <c r="D54" i="6" s="1"/>
  <c r="E54" i="6" s="1"/>
  <c r="B55" i="6"/>
  <c r="F54" i="6"/>
  <c r="C55" i="6" l="1"/>
  <c r="D55" i="6" s="1"/>
  <c r="E55" i="6" s="1"/>
  <c r="B56" i="6"/>
  <c r="F55" i="6"/>
  <c r="B57" i="6" l="1"/>
  <c r="C56" i="6"/>
  <c r="D56" i="6" s="1"/>
  <c r="E56" i="6" s="1"/>
  <c r="F56" i="6"/>
  <c r="C57" i="6" l="1"/>
  <c r="D57" i="6" s="1"/>
  <c r="E57" i="6" s="1"/>
  <c r="B58" i="6"/>
  <c r="F57" i="6"/>
  <c r="C58" i="6" l="1"/>
  <c r="D58" i="6" s="1"/>
  <c r="E58" i="6" s="1"/>
  <c r="B59" i="6"/>
  <c r="F58" i="6"/>
  <c r="B60" i="6" l="1"/>
  <c r="C59" i="6"/>
  <c r="D59" i="6" s="1"/>
  <c r="E59" i="6" s="1"/>
  <c r="F59" i="6"/>
  <c r="B61" i="6" l="1"/>
  <c r="C60" i="6"/>
  <c r="D60" i="6" s="1"/>
  <c r="E60" i="6" s="1"/>
  <c r="F60" i="6"/>
  <c r="C61" i="6" l="1"/>
  <c r="D61" i="6" s="1"/>
  <c r="E61" i="6" s="1"/>
  <c r="B62" i="6"/>
  <c r="F61" i="6"/>
  <c r="B63" i="6" l="1"/>
  <c r="C62" i="6"/>
  <c r="D62" i="6" s="1"/>
  <c r="E62" i="6" s="1"/>
  <c r="F62" i="6"/>
  <c r="C63" i="6" l="1"/>
  <c r="D63" i="6" s="1"/>
  <c r="E63" i="6" s="1"/>
  <c r="B64" i="6"/>
  <c r="F63" i="6"/>
  <c r="B65" i="6" l="1"/>
  <c r="C64" i="6"/>
  <c r="D64" i="6" s="1"/>
  <c r="E64" i="6" s="1"/>
  <c r="F64" i="6"/>
  <c r="B66" i="6" l="1"/>
  <c r="C65" i="6"/>
  <c r="D65" i="6" s="1"/>
  <c r="E65" i="6" s="1"/>
  <c r="F65" i="6"/>
  <c r="C66" i="6" l="1"/>
  <c r="D66" i="6" s="1"/>
  <c r="E66" i="6" s="1"/>
  <c r="B67" i="6"/>
  <c r="F66" i="6"/>
  <c r="B68" i="6" l="1"/>
  <c r="C67" i="6"/>
  <c r="D67" i="6" s="1"/>
  <c r="E67" i="6" s="1"/>
  <c r="F67" i="6"/>
  <c r="C68" i="6" l="1"/>
  <c r="D68" i="6" s="1"/>
  <c r="E68" i="6" s="1"/>
  <c r="F68" i="6"/>
</calcChain>
</file>

<file path=xl/sharedStrings.xml><?xml version="1.0" encoding="utf-8"?>
<sst xmlns="http://schemas.openxmlformats.org/spreadsheetml/2006/main" count="100" uniqueCount="68">
  <si>
    <t>Min Accr</t>
  </si>
  <si>
    <t>Max Accr</t>
  </si>
  <si>
    <t>mm/year</t>
  </si>
  <si>
    <t>Min Elev</t>
  </si>
  <si>
    <t>Max Elev</t>
  </si>
  <si>
    <t>m above MTL</t>
  </si>
  <si>
    <t>Elev2</t>
  </si>
  <si>
    <t>a</t>
  </si>
  <si>
    <t>b</t>
  </si>
  <si>
    <t>c</t>
  </si>
  <si>
    <t>Shape</t>
  </si>
  <si>
    <t>minshape</t>
  </si>
  <si>
    <t>maxshape</t>
  </si>
  <si>
    <t>Accretion</t>
  </si>
  <si>
    <t>Pctile</t>
  </si>
  <si>
    <t>ShapePct</t>
  </si>
  <si>
    <t>linear</t>
  </si>
  <si>
    <t>quadratic</t>
  </si>
  <si>
    <t>cubic</t>
  </si>
  <si>
    <t>Roots</t>
  </si>
  <si>
    <t>Not parameters but reflect elevation range of wetland type</t>
  </si>
  <si>
    <t>d</t>
  </si>
  <si>
    <t>zero</t>
  </si>
  <si>
    <t>HTU above MTL</t>
  </si>
  <si>
    <t>f(min elev)</t>
  </si>
  <si>
    <t>f(max elev)</t>
  </si>
  <si>
    <t>Stationary points</t>
  </si>
  <si>
    <t>x1</t>
  </si>
  <si>
    <t>x2</t>
  </si>
  <si>
    <t>f(x1)</t>
  </si>
  <si>
    <t>f(x2)</t>
  </si>
  <si>
    <t>fmax</t>
  </si>
  <si>
    <t>fmin</t>
  </si>
  <si>
    <t>General Accretion Curve</t>
  </si>
  <si>
    <t>Wetland elevation range</t>
  </si>
  <si>
    <t>Min/Max Candidates</t>
  </si>
  <si>
    <t xml:space="preserve"> Max/Min desired accretion rates (inputs)</t>
  </si>
  <si>
    <t>Normalized Accretion Curve</t>
  </si>
  <si>
    <t>General Initial Accretion Curve</t>
  </si>
  <si>
    <t>Input parameters</t>
  </si>
  <si>
    <t>Min/Max in the interval</t>
  </si>
  <si>
    <t>Desired Simulated Accretion Curve</t>
  </si>
  <si>
    <t>SLAMM Simulated curve</t>
  </si>
  <si>
    <t>SLAMM rescaled coefficients</t>
  </si>
  <si>
    <t>(a)</t>
  </si>
  <si>
    <t>PROCEDURE</t>
  </si>
  <si>
    <t>e.g.</t>
  </si>
  <si>
    <t>(b)</t>
  </si>
  <si>
    <t>a=</t>
  </si>
  <si>
    <t>b=</t>
  </si>
  <si>
    <t>c=</t>
  </si>
  <si>
    <t>d=</t>
  </si>
  <si>
    <t xml:space="preserve">(c) </t>
  </si>
  <si>
    <t>Elevation (HTU)</t>
  </si>
  <si>
    <t>m</t>
  </si>
  <si>
    <t>Elevation (m)</t>
  </si>
  <si>
    <r>
      <t>a=a*HT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=</t>
    </r>
  </si>
  <si>
    <r>
      <t>b=b*HT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=</t>
    </r>
  </si>
  <si>
    <t>c=c*HT=</t>
  </si>
  <si>
    <t xml:space="preserve">Note: </t>
  </si>
  <si>
    <t>The user can either put the initial coefficients or the rescaled one</t>
  </si>
  <si>
    <t>This sheet is used to convert SLAMM 6.0 to 6.4 coefficients to the SLAMM 6.5 parameter set.</t>
  </si>
  <si>
    <t>New Parameters</t>
  </si>
  <si>
    <t>Formulae below get the accretion trend line for a third order polynomial from the old curve</t>
  </si>
  <si>
    <t>y =ax3 -bx2 - cx + d</t>
  </si>
  <si>
    <t>Input the HT</t>
  </si>
  <si>
    <t>HT =</t>
  </si>
  <si>
    <t>Rescaled polynomial coefficients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</si>
</sst>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2" fontId="0" fillId="0" borderId="0" xfId="0" applyNumberFormat="1"/>
    <xf numFmtId="9" fontId="2" fillId="0" borderId="0" xfId="1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0" fillId="0" borderId="7" xfId="0" applyBorder="1"/>
    <xf numFmtId="0" fontId="0" fillId="0" borderId="0" xfId="0" applyFont="1" applyBorder="1"/>
    <xf numFmtId="0" fontId="3" fillId="0" borderId="0" xfId="0" applyFont="1" applyFill="1" applyBorder="1" applyAlignment="1">
      <alignment wrapText="1"/>
    </xf>
    <xf numFmtId="2" fontId="0" fillId="0" borderId="0" xfId="0" applyNumberFormat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quotePrefix="1" applyNumberFormat="1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0" fillId="3" borderId="0" xfId="0" applyFill="1" applyBorder="1"/>
    <xf numFmtId="0" fontId="0" fillId="3" borderId="4" xfId="0" applyFill="1" applyBorder="1"/>
    <xf numFmtId="0" fontId="0" fillId="3" borderId="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/>
    <xf numFmtId="0" fontId="3" fillId="5" borderId="6" xfId="0" applyFont="1" applyFill="1" applyBorder="1"/>
    <xf numFmtId="0" fontId="3" fillId="5" borderId="6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/>
    </xf>
    <xf numFmtId="43" fontId="2" fillId="0" borderId="0" xfId="2" applyFont="1"/>
    <xf numFmtId="165" fontId="0" fillId="2" borderId="6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5" fillId="0" borderId="0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0" borderId="4" xfId="0" applyFont="1" applyBorder="1"/>
    <xf numFmtId="0" fontId="3" fillId="2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0" borderId="6" xfId="0" applyNumberFormat="1" applyFont="1" applyBorder="1"/>
    <xf numFmtId="165" fontId="0" fillId="0" borderId="0" xfId="0" applyNumberFormat="1" applyFont="1" applyBorder="1"/>
    <xf numFmtId="165" fontId="0" fillId="0" borderId="2" xfId="0" applyNumberFormat="1" applyFont="1" applyBorder="1"/>
    <xf numFmtId="0" fontId="3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0" fillId="4" borderId="10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SLAMM Simulated</c:v>
          </c:tx>
          <c:marker>
            <c:symbol val="none"/>
          </c:marker>
          <c:xVal>
            <c:numRef>
              <c:f>'New Accretion'!$B$18:$B$68</c:f>
              <c:numCache>
                <c:formatCode>0.000</c:formatCode>
                <c:ptCount val="51"/>
                <c:pt idx="0">
                  <c:v>-0.4</c:v>
                </c:pt>
                <c:pt idx="1">
                  <c:v>-0.36799999999999999</c:v>
                </c:pt>
                <c:pt idx="2">
                  <c:v>-0.33599999999999997</c:v>
                </c:pt>
                <c:pt idx="3">
                  <c:v>-0.30399999999999994</c:v>
                </c:pt>
                <c:pt idx="4">
                  <c:v>-0.27199999999999991</c:v>
                </c:pt>
                <c:pt idx="5">
                  <c:v>-0.23999999999999991</c:v>
                </c:pt>
                <c:pt idx="6">
                  <c:v>-0.20799999999999991</c:v>
                </c:pt>
                <c:pt idx="7">
                  <c:v>-0.17599999999999991</c:v>
                </c:pt>
                <c:pt idx="8">
                  <c:v>-0.14399999999999991</c:v>
                </c:pt>
                <c:pt idx="9">
                  <c:v>-0.11199999999999991</c:v>
                </c:pt>
                <c:pt idx="10">
                  <c:v>-7.9999999999999905E-2</c:v>
                </c:pt>
                <c:pt idx="11">
                  <c:v>-4.7999999999999904E-2</c:v>
                </c:pt>
                <c:pt idx="12">
                  <c:v>-1.5999999999999903E-2</c:v>
                </c:pt>
                <c:pt idx="13">
                  <c:v>1.6000000000000097E-2</c:v>
                </c:pt>
                <c:pt idx="14">
                  <c:v>4.8000000000000098E-2</c:v>
                </c:pt>
                <c:pt idx="15">
                  <c:v>8.0000000000000099E-2</c:v>
                </c:pt>
                <c:pt idx="16">
                  <c:v>0.1120000000000001</c:v>
                </c:pt>
                <c:pt idx="17">
                  <c:v>0.1440000000000001</c:v>
                </c:pt>
                <c:pt idx="18">
                  <c:v>0.1760000000000001</c:v>
                </c:pt>
                <c:pt idx="19">
                  <c:v>0.2080000000000001</c:v>
                </c:pt>
                <c:pt idx="20">
                  <c:v>0.2400000000000001</c:v>
                </c:pt>
                <c:pt idx="21">
                  <c:v>0.27200000000000013</c:v>
                </c:pt>
                <c:pt idx="22">
                  <c:v>0.30400000000000016</c:v>
                </c:pt>
                <c:pt idx="23">
                  <c:v>0.33600000000000019</c:v>
                </c:pt>
                <c:pt idx="24">
                  <c:v>0.36800000000000022</c:v>
                </c:pt>
                <c:pt idx="25">
                  <c:v>0.40000000000000024</c:v>
                </c:pt>
                <c:pt idx="26">
                  <c:v>0.43200000000000027</c:v>
                </c:pt>
                <c:pt idx="27">
                  <c:v>0.4640000000000003</c:v>
                </c:pt>
                <c:pt idx="28">
                  <c:v>0.49600000000000033</c:v>
                </c:pt>
                <c:pt idx="29">
                  <c:v>0.52800000000000036</c:v>
                </c:pt>
                <c:pt idx="30">
                  <c:v>0.56000000000000039</c:v>
                </c:pt>
                <c:pt idx="31">
                  <c:v>0.59200000000000041</c:v>
                </c:pt>
                <c:pt idx="32">
                  <c:v>0.62400000000000044</c:v>
                </c:pt>
                <c:pt idx="33">
                  <c:v>0.65600000000000047</c:v>
                </c:pt>
                <c:pt idx="34">
                  <c:v>0.6880000000000005</c:v>
                </c:pt>
                <c:pt idx="35">
                  <c:v>0.72000000000000053</c:v>
                </c:pt>
                <c:pt idx="36">
                  <c:v>0.75200000000000056</c:v>
                </c:pt>
                <c:pt idx="37">
                  <c:v>0.78400000000000059</c:v>
                </c:pt>
                <c:pt idx="38">
                  <c:v>0.81600000000000061</c:v>
                </c:pt>
                <c:pt idx="39">
                  <c:v>0.84800000000000064</c:v>
                </c:pt>
                <c:pt idx="40">
                  <c:v>0.88000000000000067</c:v>
                </c:pt>
                <c:pt idx="41">
                  <c:v>0.9120000000000007</c:v>
                </c:pt>
                <c:pt idx="42">
                  <c:v>0.94400000000000073</c:v>
                </c:pt>
                <c:pt idx="43">
                  <c:v>0.97600000000000076</c:v>
                </c:pt>
                <c:pt idx="44">
                  <c:v>1.0080000000000007</c:v>
                </c:pt>
                <c:pt idx="45">
                  <c:v>1.0400000000000007</c:v>
                </c:pt>
                <c:pt idx="46">
                  <c:v>1.0720000000000007</c:v>
                </c:pt>
                <c:pt idx="47">
                  <c:v>1.1040000000000008</c:v>
                </c:pt>
                <c:pt idx="48">
                  <c:v>1.1360000000000008</c:v>
                </c:pt>
                <c:pt idx="49">
                  <c:v>1.1680000000000008</c:v>
                </c:pt>
                <c:pt idx="50">
                  <c:v>1.2000000000000008</c:v>
                </c:pt>
              </c:numCache>
            </c:numRef>
          </c:xVal>
          <c:yVal>
            <c:numRef>
              <c:f>'New Accretion'!$F$18:$F$68</c:f>
              <c:numCache>
                <c:formatCode>0.000</c:formatCode>
                <c:ptCount val="51"/>
                <c:pt idx="0">
                  <c:v>6.2516000492287827</c:v>
                </c:pt>
                <c:pt idx="1">
                  <c:v>6.4217195469160258</c:v>
                </c:pt>
                <c:pt idx="2">
                  <c:v>6.5817332366903587</c:v>
                </c:pt>
                <c:pt idx="3">
                  <c:v>6.7315609420089109</c:v>
                </c:pt>
                <c:pt idx="4">
                  <c:v>6.8711224863288107</c:v>
                </c:pt>
                <c:pt idx="5">
                  <c:v>7.0003376931071877</c:v>
                </c:pt>
                <c:pt idx="6">
                  <c:v>7.1191263858011684</c:v>
                </c:pt>
                <c:pt idx="7">
                  <c:v>7.227408387867885</c:v>
                </c:pt>
                <c:pt idx="8">
                  <c:v>7.3251035227644632</c:v>
                </c:pt>
                <c:pt idx="9">
                  <c:v>7.4121316139480333</c:v>
                </c:pt>
                <c:pt idx="10">
                  <c:v>7.4884124848757239</c:v>
                </c:pt>
                <c:pt idx="11">
                  <c:v>7.5538659590046633</c:v>
                </c:pt>
                <c:pt idx="12">
                  <c:v>7.6084118597919801</c:v>
                </c:pt>
                <c:pt idx="13">
                  <c:v>7.6519700106948045</c:v>
                </c:pt>
                <c:pt idx="14">
                  <c:v>7.6844602351702633</c:v>
                </c:pt>
                <c:pt idx="15">
                  <c:v>7.7058023566754867</c:v>
                </c:pt>
                <c:pt idx="16">
                  <c:v>7.7159161986676024</c:v>
                </c:pt>
                <c:pt idx="17">
                  <c:v>7.7147215846037396</c:v>
                </c:pt>
                <c:pt idx="18">
                  <c:v>7.7021383379410278</c:v>
                </c:pt>
                <c:pt idx="19">
                  <c:v>7.6780862821365945</c:v>
                </c:pt>
                <c:pt idx="20">
                  <c:v>7.6424852406475683</c:v>
                </c:pt>
                <c:pt idx="21">
                  <c:v>7.5952550369310794</c:v>
                </c:pt>
                <c:pt idx="22">
                  <c:v>7.5363154944442554</c:v>
                </c:pt>
                <c:pt idx="23">
                  <c:v>7.4655864366442257</c:v>
                </c:pt>
                <c:pt idx="24">
                  <c:v>7.3829876869881188</c:v>
                </c:pt>
                <c:pt idx="25">
                  <c:v>7.2884390689330631</c:v>
                </c:pt>
                <c:pt idx="26">
                  <c:v>7.1818604059361881</c:v>
                </c:pt>
                <c:pt idx="27">
                  <c:v>7.0631715214546213</c:v>
                </c:pt>
                <c:pt idx="28">
                  <c:v>6.9322922389454931</c:v>
                </c:pt>
                <c:pt idx="29">
                  <c:v>6.7891423818659309</c:v>
                </c:pt>
                <c:pt idx="30">
                  <c:v>6.6336417736730633</c:v>
                </c:pt>
                <c:pt idx="31">
                  <c:v>6.4657102378240205</c:v>
                </c:pt>
                <c:pt idx="32">
                  <c:v>6.2852675977759302</c:v>
                </c:pt>
                <c:pt idx="33">
                  <c:v>6.0922336769859218</c:v>
                </c:pt>
                <c:pt idx="34">
                  <c:v>5.8865282989111218</c:v>
                </c:pt>
                <c:pt idx="35">
                  <c:v>5.6680712870086625</c:v>
                </c:pt>
                <c:pt idx="36">
                  <c:v>5.4367824647356713</c:v>
                </c:pt>
                <c:pt idx="37">
                  <c:v>5.192581655549275</c:v>
                </c:pt>
                <c:pt idx="38">
                  <c:v>4.9353886829066047</c:v>
                </c:pt>
                <c:pt idx="39">
                  <c:v>4.6651233702647872</c:v>
                </c:pt>
                <c:pt idx="40">
                  <c:v>4.3817055410809536</c:v>
                </c:pt>
                <c:pt idx="41">
                  <c:v>4.0850550188122305</c:v>
                </c:pt>
                <c:pt idx="42">
                  <c:v>3.7750916269157493</c:v>
                </c:pt>
                <c:pt idx="43">
                  <c:v>3.4517351888486365</c:v>
                </c:pt>
                <c:pt idx="44">
                  <c:v>3.1149055280680216</c:v>
                </c:pt>
                <c:pt idx="45">
                  <c:v>2.764522468031033</c:v>
                </c:pt>
                <c:pt idx="46">
                  <c:v>2.4005058321947983</c:v>
                </c:pt>
                <c:pt idx="47">
                  <c:v>2.0227754440164487</c:v>
                </c:pt>
                <c:pt idx="48">
                  <c:v>1.63125112695311</c:v>
                </c:pt>
                <c:pt idx="49">
                  <c:v>1.2258527044619143</c:v>
                </c:pt>
                <c:pt idx="50">
                  <c:v>0.80649999999999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3440"/>
        <c:axId val="110094976"/>
      </c:scatterChart>
      <c:valAx>
        <c:axId val="1100934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10094976"/>
        <c:crosses val="autoZero"/>
        <c:crossBetween val="midCat"/>
      </c:valAx>
      <c:valAx>
        <c:axId val="110094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009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224267829830623E-2"/>
          <c:y val="0.17656840920246014"/>
          <c:w val="0.913201344436262"/>
          <c:h val="0.74822615026322026"/>
        </c:manualLayout>
      </c:layout>
      <c:scatterChart>
        <c:scatterStyle val="smoothMarker"/>
        <c:varyColors val="0"/>
        <c:ser>
          <c:idx val="0"/>
          <c:order val="0"/>
          <c:tx>
            <c:v>Normalized Accretion Curve</c:v>
          </c:tx>
          <c:marker>
            <c:symbol val="none"/>
          </c:marker>
          <c:xVal>
            <c:numRef>
              <c:f>'New Accretion'!$B$18:$B$68</c:f>
              <c:numCache>
                <c:formatCode>0.000</c:formatCode>
                <c:ptCount val="51"/>
                <c:pt idx="0">
                  <c:v>-0.4</c:v>
                </c:pt>
                <c:pt idx="1">
                  <c:v>-0.36799999999999999</c:v>
                </c:pt>
                <c:pt idx="2">
                  <c:v>-0.33599999999999997</c:v>
                </c:pt>
                <c:pt idx="3">
                  <c:v>-0.30399999999999994</c:v>
                </c:pt>
                <c:pt idx="4">
                  <c:v>-0.27199999999999991</c:v>
                </c:pt>
                <c:pt idx="5">
                  <c:v>-0.23999999999999991</c:v>
                </c:pt>
                <c:pt idx="6">
                  <c:v>-0.20799999999999991</c:v>
                </c:pt>
                <c:pt idx="7">
                  <c:v>-0.17599999999999991</c:v>
                </c:pt>
                <c:pt idx="8">
                  <c:v>-0.14399999999999991</c:v>
                </c:pt>
                <c:pt idx="9">
                  <c:v>-0.11199999999999991</c:v>
                </c:pt>
                <c:pt idx="10">
                  <c:v>-7.9999999999999905E-2</c:v>
                </c:pt>
                <c:pt idx="11">
                  <c:v>-4.7999999999999904E-2</c:v>
                </c:pt>
                <c:pt idx="12">
                  <c:v>-1.5999999999999903E-2</c:v>
                </c:pt>
                <c:pt idx="13">
                  <c:v>1.6000000000000097E-2</c:v>
                </c:pt>
                <c:pt idx="14">
                  <c:v>4.8000000000000098E-2</c:v>
                </c:pt>
                <c:pt idx="15">
                  <c:v>8.0000000000000099E-2</c:v>
                </c:pt>
                <c:pt idx="16">
                  <c:v>0.1120000000000001</c:v>
                </c:pt>
                <c:pt idx="17">
                  <c:v>0.1440000000000001</c:v>
                </c:pt>
                <c:pt idx="18">
                  <c:v>0.1760000000000001</c:v>
                </c:pt>
                <c:pt idx="19">
                  <c:v>0.2080000000000001</c:v>
                </c:pt>
                <c:pt idx="20">
                  <c:v>0.2400000000000001</c:v>
                </c:pt>
                <c:pt idx="21">
                  <c:v>0.27200000000000013</c:v>
                </c:pt>
                <c:pt idx="22">
                  <c:v>0.30400000000000016</c:v>
                </c:pt>
                <c:pt idx="23">
                  <c:v>0.33600000000000019</c:v>
                </c:pt>
                <c:pt idx="24">
                  <c:v>0.36800000000000022</c:v>
                </c:pt>
                <c:pt idx="25">
                  <c:v>0.40000000000000024</c:v>
                </c:pt>
                <c:pt idx="26">
                  <c:v>0.43200000000000027</c:v>
                </c:pt>
                <c:pt idx="27">
                  <c:v>0.4640000000000003</c:v>
                </c:pt>
                <c:pt idx="28">
                  <c:v>0.49600000000000033</c:v>
                </c:pt>
                <c:pt idx="29">
                  <c:v>0.52800000000000036</c:v>
                </c:pt>
                <c:pt idx="30">
                  <c:v>0.56000000000000039</c:v>
                </c:pt>
                <c:pt idx="31">
                  <c:v>0.59200000000000041</c:v>
                </c:pt>
                <c:pt idx="32">
                  <c:v>0.62400000000000044</c:v>
                </c:pt>
                <c:pt idx="33">
                  <c:v>0.65600000000000047</c:v>
                </c:pt>
                <c:pt idx="34">
                  <c:v>0.6880000000000005</c:v>
                </c:pt>
                <c:pt idx="35">
                  <c:v>0.72000000000000053</c:v>
                </c:pt>
                <c:pt idx="36">
                  <c:v>0.75200000000000056</c:v>
                </c:pt>
                <c:pt idx="37">
                  <c:v>0.78400000000000059</c:v>
                </c:pt>
                <c:pt idx="38">
                  <c:v>0.81600000000000061</c:v>
                </c:pt>
                <c:pt idx="39">
                  <c:v>0.84800000000000064</c:v>
                </c:pt>
                <c:pt idx="40">
                  <c:v>0.88000000000000067</c:v>
                </c:pt>
                <c:pt idx="41">
                  <c:v>0.9120000000000007</c:v>
                </c:pt>
                <c:pt idx="42">
                  <c:v>0.94400000000000073</c:v>
                </c:pt>
                <c:pt idx="43">
                  <c:v>0.97600000000000076</c:v>
                </c:pt>
                <c:pt idx="44">
                  <c:v>1.0080000000000007</c:v>
                </c:pt>
                <c:pt idx="45">
                  <c:v>1.0400000000000007</c:v>
                </c:pt>
                <c:pt idx="46">
                  <c:v>1.0720000000000007</c:v>
                </c:pt>
                <c:pt idx="47">
                  <c:v>1.1040000000000008</c:v>
                </c:pt>
                <c:pt idx="48">
                  <c:v>1.1360000000000008</c:v>
                </c:pt>
                <c:pt idx="49">
                  <c:v>1.1680000000000008</c:v>
                </c:pt>
                <c:pt idx="50">
                  <c:v>1.2000000000000008</c:v>
                </c:pt>
              </c:numCache>
            </c:numRef>
          </c:xVal>
          <c:yVal>
            <c:numRef>
              <c:f>'New Accretion'!$D$18:$D$68</c:f>
              <c:numCache>
                <c:formatCode>0.000</c:formatCode>
                <c:ptCount val="51"/>
                <c:pt idx="0">
                  <c:v>0.78796869155156535</c:v>
                </c:pt>
                <c:pt idx="1">
                  <c:v>0.81258694223348116</c:v>
                </c:pt>
                <c:pt idx="2">
                  <c:v>0.83574276611584997</c:v>
                </c:pt>
                <c:pt idx="3">
                  <c:v>0.8574245607294777</c:v>
                </c:pt>
                <c:pt idx="4">
                  <c:v>0.87762072360517052</c:v>
                </c:pt>
                <c:pt idx="5">
                  <c:v>0.89631965227373434</c:v>
                </c:pt>
                <c:pt idx="6">
                  <c:v>0.91350974426597509</c:v>
                </c:pt>
                <c:pt idx="7">
                  <c:v>0.92917939711269892</c:v>
                </c:pt>
                <c:pt idx="8">
                  <c:v>0.94331700834471177</c:v>
                </c:pt>
                <c:pt idx="9">
                  <c:v>0.95591097549281967</c:v>
                </c:pt>
                <c:pt idx="10">
                  <c:v>0.96694969608782866</c:v>
                </c:pt>
                <c:pt idx="11">
                  <c:v>0.97642156766054466</c:v>
                </c:pt>
                <c:pt idx="12">
                  <c:v>0.98431498774177384</c:v>
                </c:pt>
                <c:pt idx="13">
                  <c:v>0.990618353862322</c:v>
                </c:pt>
                <c:pt idx="14">
                  <c:v>0.99532006355299518</c:v>
                </c:pt>
                <c:pt idx="15">
                  <c:v>0.99840851434459943</c:v>
                </c:pt>
                <c:pt idx="16">
                  <c:v>0.99987210376794078</c:v>
                </c:pt>
                <c:pt idx="17">
                  <c:v>0.99969922935382527</c:v>
                </c:pt>
                <c:pt idx="18">
                  <c:v>0.99787828863305883</c:v>
                </c:pt>
                <c:pt idx="19">
                  <c:v>0.99439767913644761</c:v>
                </c:pt>
                <c:pt idx="20">
                  <c:v>0.98924579839479732</c:v>
                </c:pt>
                <c:pt idx="21">
                  <c:v>0.9824110439389141</c:v>
                </c:pt>
                <c:pt idx="22">
                  <c:v>0.97388181329960422</c:v>
                </c:pt>
                <c:pt idx="23">
                  <c:v>0.96364650400767338</c:v>
                </c:pt>
                <c:pt idx="24">
                  <c:v>0.95169351359392762</c:v>
                </c:pt>
                <c:pt idx="25">
                  <c:v>0.93801123958917298</c:v>
                </c:pt>
                <c:pt idx="26">
                  <c:v>0.92258807952421551</c:v>
                </c:pt>
                <c:pt idx="27">
                  <c:v>0.90541243092986134</c:v>
                </c:pt>
                <c:pt idx="28">
                  <c:v>0.8864726913369162</c:v>
                </c:pt>
                <c:pt idx="29">
                  <c:v>0.86575725827618633</c:v>
                </c:pt>
                <c:pt idx="30">
                  <c:v>0.84325452927847744</c:v>
                </c:pt>
                <c:pt idx="31">
                  <c:v>0.81895290187459568</c:v>
                </c:pt>
                <c:pt idx="32">
                  <c:v>0.79284077359534733</c:v>
                </c:pt>
                <c:pt idx="33">
                  <c:v>0.76490654197153807</c:v>
                </c:pt>
                <c:pt idx="34">
                  <c:v>0.73513860453397417</c:v>
                </c:pt>
                <c:pt idx="35">
                  <c:v>0.70352535881346134</c:v>
                </c:pt>
                <c:pt idx="36">
                  <c:v>0.67005520234080562</c:v>
                </c:pt>
                <c:pt idx="37">
                  <c:v>0.63471653264681327</c:v>
                </c:pt>
                <c:pt idx="38">
                  <c:v>0.59749774726229021</c:v>
                </c:pt>
                <c:pt idx="39">
                  <c:v>0.55838724371804227</c:v>
                </c:pt>
                <c:pt idx="40">
                  <c:v>0.51737341954487548</c:v>
                </c:pt>
                <c:pt idx="41">
                  <c:v>0.47444467227359616</c:v>
                </c:pt>
                <c:pt idx="42">
                  <c:v>0.42958939943501001</c:v>
                </c:pt>
                <c:pt idx="43">
                  <c:v>0.38279599855992297</c:v>
                </c:pt>
                <c:pt idx="44">
                  <c:v>0.3340528671791414</c:v>
                </c:pt>
                <c:pt idx="45">
                  <c:v>0.28334840282347112</c:v>
                </c:pt>
                <c:pt idx="46">
                  <c:v>0.23067100302371793</c:v>
                </c:pt>
                <c:pt idx="47">
                  <c:v>0.17600906531068805</c:v>
                </c:pt>
                <c:pt idx="48">
                  <c:v>0.11935098721518748</c:v>
                </c:pt>
                <c:pt idx="49">
                  <c:v>6.068516626802236E-2</c:v>
                </c:pt>
                <c:pt idx="50">
                  <c:v>-1.6708812528834627E-15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1056"/>
        <c:axId val="127503360"/>
      </c:scatterChart>
      <c:valAx>
        <c:axId val="1275010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503360"/>
        <c:crosses val="autoZero"/>
        <c:crossBetween val="midCat"/>
      </c:valAx>
      <c:valAx>
        <c:axId val="127503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750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Initial Accretion Curve from</a:t>
            </a:r>
            <a:r>
              <a:rPr lang="en-US" baseline="0"/>
              <a:t> Polynomial</a:t>
            </a:r>
            <a:endParaRPr lang="en-US"/>
          </a:p>
        </c:rich>
      </c:tx>
      <c:layout>
        <c:manualLayout>
          <c:xMode val="edge"/>
          <c:yMode val="edge"/>
          <c:x val="0.24294749593547771"/>
          <c:y val="2.532202705431051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General Initial Accretion Curve</c:v>
          </c:tx>
          <c:marker>
            <c:symbol val="none"/>
          </c:marker>
          <c:xVal>
            <c:numRef>
              <c:f>'New Accretion'!$B$18:$B$68</c:f>
              <c:numCache>
                <c:formatCode>0.000</c:formatCode>
                <c:ptCount val="51"/>
                <c:pt idx="0">
                  <c:v>-0.4</c:v>
                </c:pt>
                <c:pt idx="1">
                  <c:v>-0.36799999999999999</c:v>
                </c:pt>
                <c:pt idx="2">
                  <c:v>-0.33599999999999997</c:v>
                </c:pt>
                <c:pt idx="3">
                  <c:v>-0.30399999999999994</c:v>
                </c:pt>
                <c:pt idx="4">
                  <c:v>-0.27199999999999991</c:v>
                </c:pt>
                <c:pt idx="5">
                  <c:v>-0.23999999999999991</c:v>
                </c:pt>
                <c:pt idx="6">
                  <c:v>-0.20799999999999991</c:v>
                </c:pt>
                <c:pt idx="7">
                  <c:v>-0.17599999999999991</c:v>
                </c:pt>
                <c:pt idx="8">
                  <c:v>-0.14399999999999991</c:v>
                </c:pt>
                <c:pt idx="9">
                  <c:v>-0.11199999999999991</c:v>
                </c:pt>
                <c:pt idx="10">
                  <c:v>-7.9999999999999905E-2</c:v>
                </c:pt>
                <c:pt idx="11">
                  <c:v>-4.7999999999999904E-2</c:v>
                </c:pt>
                <c:pt idx="12">
                  <c:v>-1.5999999999999903E-2</c:v>
                </c:pt>
                <c:pt idx="13">
                  <c:v>1.6000000000000097E-2</c:v>
                </c:pt>
                <c:pt idx="14">
                  <c:v>4.8000000000000098E-2</c:v>
                </c:pt>
                <c:pt idx="15">
                  <c:v>8.0000000000000099E-2</c:v>
                </c:pt>
                <c:pt idx="16">
                  <c:v>0.1120000000000001</c:v>
                </c:pt>
                <c:pt idx="17">
                  <c:v>0.1440000000000001</c:v>
                </c:pt>
                <c:pt idx="18">
                  <c:v>0.1760000000000001</c:v>
                </c:pt>
                <c:pt idx="19">
                  <c:v>0.2080000000000001</c:v>
                </c:pt>
                <c:pt idx="20">
                  <c:v>0.2400000000000001</c:v>
                </c:pt>
                <c:pt idx="21">
                  <c:v>0.27200000000000013</c:v>
                </c:pt>
                <c:pt idx="22">
                  <c:v>0.30400000000000016</c:v>
                </c:pt>
                <c:pt idx="23">
                  <c:v>0.33600000000000019</c:v>
                </c:pt>
                <c:pt idx="24">
                  <c:v>0.36800000000000022</c:v>
                </c:pt>
                <c:pt idx="25">
                  <c:v>0.40000000000000024</c:v>
                </c:pt>
                <c:pt idx="26">
                  <c:v>0.43200000000000027</c:v>
                </c:pt>
                <c:pt idx="27">
                  <c:v>0.4640000000000003</c:v>
                </c:pt>
                <c:pt idx="28">
                  <c:v>0.49600000000000033</c:v>
                </c:pt>
                <c:pt idx="29">
                  <c:v>0.52800000000000036</c:v>
                </c:pt>
                <c:pt idx="30">
                  <c:v>0.56000000000000039</c:v>
                </c:pt>
                <c:pt idx="31">
                  <c:v>0.59200000000000041</c:v>
                </c:pt>
                <c:pt idx="32">
                  <c:v>0.62400000000000044</c:v>
                </c:pt>
                <c:pt idx="33">
                  <c:v>0.65600000000000047</c:v>
                </c:pt>
                <c:pt idx="34">
                  <c:v>0.6880000000000005</c:v>
                </c:pt>
                <c:pt idx="35">
                  <c:v>0.72000000000000053</c:v>
                </c:pt>
                <c:pt idx="36">
                  <c:v>0.75200000000000056</c:v>
                </c:pt>
                <c:pt idx="37">
                  <c:v>0.78400000000000059</c:v>
                </c:pt>
                <c:pt idx="38">
                  <c:v>0.81600000000000061</c:v>
                </c:pt>
                <c:pt idx="39">
                  <c:v>0.84800000000000064</c:v>
                </c:pt>
                <c:pt idx="40">
                  <c:v>0.88000000000000067</c:v>
                </c:pt>
                <c:pt idx="41">
                  <c:v>0.9120000000000007</c:v>
                </c:pt>
                <c:pt idx="42">
                  <c:v>0.94400000000000073</c:v>
                </c:pt>
                <c:pt idx="43">
                  <c:v>0.97600000000000076</c:v>
                </c:pt>
                <c:pt idx="44">
                  <c:v>1.0080000000000007</c:v>
                </c:pt>
                <c:pt idx="45">
                  <c:v>1.0400000000000007</c:v>
                </c:pt>
                <c:pt idx="46">
                  <c:v>1.0720000000000007</c:v>
                </c:pt>
                <c:pt idx="47">
                  <c:v>1.1040000000000008</c:v>
                </c:pt>
                <c:pt idx="48">
                  <c:v>1.1360000000000008</c:v>
                </c:pt>
                <c:pt idx="49">
                  <c:v>1.1680000000000008</c:v>
                </c:pt>
                <c:pt idx="50">
                  <c:v>1.2000000000000008</c:v>
                </c:pt>
              </c:numCache>
            </c:numRef>
          </c:xVal>
          <c:yVal>
            <c:numRef>
              <c:f>'New Accretion'!$C$18:$C$68</c:f>
              <c:numCache>
                <c:formatCode>0.000</c:formatCode>
                <c:ptCount val="51"/>
                <c:pt idx="0">
                  <c:v>6.2516271999999997</c:v>
                </c:pt>
                <c:pt idx="1">
                  <c:v>6.4217471210496004</c:v>
                </c:pt>
                <c:pt idx="2">
                  <c:v>6.5817612090368005</c:v>
                </c:pt>
                <c:pt idx="3">
                  <c:v>6.7315892872192</c:v>
                </c:pt>
                <c:pt idx="4">
                  <c:v>6.8711511788544</c:v>
                </c:pt>
                <c:pt idx="5">
                  <c:v>7.0003667072000004</c:v>
                </c:pt>
                <c:pt idx="6">
                  <c:v>7.1191556955135997</c:v>
                </c:pt>
                <c:pt idx="7">
                  <c:v>7.2274379670527997</c:v>
                </c:pt>
                <c:pt idx="8">
                  <c:v>7.3251333450751996</c:v>
                </c:pt>
                <c:pt idx="9">
                  <c:v>7.4121616528383996</c:v>
                </c:pt>
                <c:pt idx="10">
                  <c:v>7.4884427135999996</c:v>
                </c:pt>
                <c:pt idx="11">
                  <c:v>7.5538963506175998</c:v>
                </c:pt>
                <c:pt idx="12">
                  <c:v>7.6084423871488003</c:v>
                </c:pt>
                <c:pt idx="13">
                  <c:v>7.6520006464512003</c:v>
                </c:pt>
                <c:pt idx="14">
                  <c:v>7.6844909517823998</c:v>
                </c:pt>
                <c:pt idx="15">
                  <c:v>7.7058331264</c:v>
                </c:pt>
                <c:pt idx="16">
                  <c:v>7.7159469935615999</c:v>
                </c:pt>
                <c:pt idx="17">
                  <c:v>7.7147523765247996</c:v>
                </c:pt>
                <c:pt idx="18">
                  <c:v>7.7021690985471993</c:v>
                </c:pt>
                <c:pt idx="19">
                  <c:v>7.6781169828864</c:v>
                </c:pt>
                <c:pt idx="20">
                  <c:v>7.6425158527999999</c:v>
                </c:pt>
                <c:pt idx="21">
                  <c:v>7.5952855315455992</c:v>
                </c:pt>
                <c:pt idx="22">
                  <c:v>7.5363458423807996</c:v>
                </c:pt>
                <c:pt idx="23">
                  <c:v>7.4656166085631996</c:v>
                </c:pt>
                <c:pt idx="24">
                  <c:v>7.3830176533503993</c:v>
                </c:pt>
                <c:pt idx="25">
                  <c:v>7.2884687999999986</c:v>
                </c:pt>
                <c:pt idx="26">
                  <c:v>7.1818898717695987</c:v>
                </c:pt>
                <c:pt idx="27">
                  <c:v>7.0632006919167987</c:v>
                </c:pt>
                <c:pt idx="28">
                  <c:v>6.9323210836991986</c:v>
                </c:pt>
                <c:pt idx="29">
                  <c:v>6.7891708703743987</c:v>
                </c:pt>
                <c:pt idx="30">
                  <c:v>6.6336698751999981</c:v>
                </c:pt>
                <c:pt idx="31">
                  <c:v>6.4657379214335968</c:v>
                </c:pt>
                <c:pt idx="32">
                  <c:v>6.2852948323327968</c:v>
                </c:pt>
                <c:pt idx="33">
                  <c:v>6.0922604311551964</c:v>
                </c:pt>
                <c:pt idx="34">
                  <c:v>5.8865545411583966</c:v>
                </c:pt>
                <c:pt idx="35">
                  <c:v>5.6680969855999965</c:v>
                </c:pt>
                <c:pt idx="36">
                  <c:v>5.4368075877375954</c:v>
                </c:pt>
                <c:pt idx="37">
                  <c:v>5.1926061708287952</c:v>
                </c:pt>
                <c:pt idx="38">
                  <c:v>4.9354125581311949</c:v>
                </c:pt>
                <c:pt idx="39">
                  <c:v>4.6651465729023949</c:v>
                </c:pt>
                <c:pt idx="40">
                  <c:v>4.3817280383999933</c:v>
                </c:pt>
                <c:pt idx="41">
                  <c:v>4.0850767778815937</c:v>
                </c:pt>
                <c:pt idx="42">
                  <c:v>3.7751126146047937</c:v>
                </c:pt>
                <c:pt idx="43">
                  <c:v>3.4517553718271925</c:v>
                </c:pt>
                <c:pt idx="44">
                  <c:v>3.1149248728063927</c:v>
                </c:pt>
                <c:pt idx="45">
                  <c:v>2.7645409407999928</c:v>
                </c:pt>
                <c:pt idx="46">
                  <c:v>2.4005233990655919</c:v>
                </c:pt>
                <c:pt idx="47">
                  <c:v>2.0227920708607909</c:v>
                </c:pt>
                <c:pt idx="48">
                  <c:v>1.6312667794431901</c:v>
                </c:pt>
                <c:pt idx="49">
                  <c:v>1.2258673480703903</c:v>
                </c:pt>
                <c:pt idx="50">
                  <c:v>0.80651359999998906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16480"/>
        <c:axId val="77074816"/>
      </c:scatterChart>
      <c:valAx>
        <c:axId val="3573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(HTU above</a:t>
                </a:r>
                <a:r>
                  <a:rPr lang="en-US" baseline="0"/>
                  <a:t> MTL)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74816"/>
        <c:crosses val="autoZero"/>
        <c:crossBetween val="midCat"/>
      </c:valAx>
      <c:valAx>
        <c:axId val="770748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5731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12034549093823"/>
          <c:y val="1.6806649168853896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8102676612042"/>
          <c:y val="0.17970629246621786"/>
          <c:w val="0.78078383808219265"/>
          <c:h val="0.58675911985668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'[1]Elevation (2)'!$C$9</c:f>
              <c:strCache>
                <c:ptCount val="1"/>
                <c:pt idx="0">
                  <c:v>Shape</c:v>
                </c:pt>
              </c:strCache>
            </c:strRef>
          </c:tx>
          <c:marker>
            <c:symbol val="none"/>
          </c:marker>
          <c:xVal>
            <c:numRef>
              <c:f>'[1]Elevation (2)'!$B$10:$B$43</c:f>
              <c:numCache>
                <c:formatCode>General</c:formatCode>
                <c:ptCount val="34"/>
                <c:pt idx="0">
                  <c:v>0</c:v>
                </c:pt>
                <c:pt idx="1">
                  <c:v>3.0303030303030304E-2</c:v>
                </c:pt>
                <c:pt idx="2">
                  <c:v>6.0606060606060608E-2</c:v>
                </c:pt>
                <c:pt idx="3">
                  <c:v>9.0909090909090912E-2</c:v>
                </c:pt>
                <c:pt idx="4">
                  <c:v>0.12121212121212122</c:v>
                </c:pt>
                <c:pt idx="5">
                  <c:v>0.15151515151515152</c:v>
                </c:pt>
                <c:pt idx="6">
                  <c:v>0.18181818181818182</c:v>
                </c:pt>
                <c:pt idx="7">
                  <c:v>0.21212121212121213</c:v>
                </c:pt>
                <c:pt idx="8">
                  <c:v>0.24242424242424243</c:v>
                </c:pt>
                <c:pt idx="9">
                  <c:v>0.27272727272727271</c:v>
                </c:pt>
                <c:pt idx="10">
                  <c:v>0.30303030303030298</c:v>
                </c:pt>
                <c:pt idx="11">
                  <c:v>0.33333333333333326</c:v>
                </c:pt>
                <c:pt idx="12">
                  <c:v>0.36363636363636354</c:v>
                </c:pt>
                <c:pt idx="13">
                  <c:v>0.39393939393939381</c:v>
                </c:pt>
                <c:pt idx="14">
                  <c:v>0.42424242424242409</c:v>
                </c:pt>
                <c:pt idx="15">
                  <c:v>0.45454545454545436</c:v>
                </c:pt>
                <c:pt idx="16">
                  <c:v>0.48484848484848464</c:v>
                </c:pt>
                <c:pt idx="17">
                  <c:v>0.51515151515151492</c:v>
                </c:pt>
                <c:pt idx="18">
                  <c:v>0.54545454545454519</c:v>
                </c:pt>
                <c:pt idx="19">
                  <c:v>0.57575757575757547</c:v>
                </c:pt>
                <c:pt idx="20">
                  <c:v>0.60606060606060574</c:v>
                </c:pt>
                <c:pt idx="21">
                  <c:v>0.63636363636363602</c:v>
                </c:pt>
                <c:pt idx="22">
                  <c:v>0.6666666666666663</c:v>
                </c:pt>
                <c:pt idx="23">
                  <c:v>0.69696969696969657</c:v>
                </c:pt>
                <c:pt idx="24">
                  <c:v>0.72727272727272685</c:v>
                </c:pt>
                <c:pt idx="25">
                  <c:v>0.75757575757575712</c:v>
                </c:pt>
                <c:pt idx="26">
                  <c:v>0.7878787878787874</c:v>
                </c:pt>
                <c:pt idx="27">
                  <c:v>0.81818181818181768</c:v>
                </c:pt>
                <c:pt idx="28">
                  <c:v>0.8377</c:v>
                </c:pt>
                <c:pt idx="29">
                  <c:v>0.86800303030303028</c:v>
                </c:pt>
                <c:pt idx="30">
                  <c:v>0.89830606060606055</c:v>
                </c:pt>
                <c:pt idx="31">
                  <c:v>0.92860909090909083</c:v>
                </c:pt>
                <c:pt idx="32">
                  <c:v>0.9589121212121211</c:v>
                </c:pt>
                <c:pt idx="33">
                  <c:v>1</c:v>
                </c:pt>
              </c:numCache>
            </c:numRef>
          </c:xVal>
          <c:yVal>
            <c:numRef>
              <c:f>'[1]Elevation (2)'!$C$10:$C$43</c:f>
              <c:numCache>
                <c:formatCode>General</c:formatCode>
                <c:ptCount val="34"/>
                <c:pt idx="0">
                  <c:v>0.8</c:v>
                </c:pt>
                <c:pt idx="1">
                  <c:v>0.81012883657511758</c:v>
                </c:pt>
                <c:pt idx="2">
                  <c:v>0.81638422795447596</c:v>
                </c:pt>
                <c:pt idx="3">
                  <c:v>0.81893313298271997</c:v>
                </c:pt>
                <c:pt idx="4">
                  <c:v>0.81794251050449407</c:v>
                </c:pt>
                <c:pt idx="5">
                  <c:v>0.8135793193644435</c:v>
                </c:pt>
                <c:pt idx="6">
                  <c:v>0.80601051840721272</c:v>
                </c:pt>
                <c:pt idx="7">
                  <c:v>0.79540306647744674</c:v>
                </c:pt>
                <c:pt idx="8">
                  <c:v>0.78192392241979025</c:v>
                </c:pt>
                <c:pt idx="9">
                  <c:v>0.76574004507888815</c:v>
                </c:pt>
                <c:pt idx="10">
                  <c:v>0.74701839329938524</c:v>
                </c:pt>
                <c:pt idx="11">
                  <c:v>0.72592592592592597</c:v>
                </c:pt>
                <c:pt idx="12">
                  <c:v>0.7026296018031557</c:v>
                </c:pt>
                <c:pt idx="13">
                  <c:v>0.67729637977571877</c:v>
                </c:pt>
                <c:pt idx="14">
                  <c:v>0.6500932186882602</c:v>
                </c:pt>
                <c:pt idx="15">
                  <c:v>0.62118707738542467</c:v>
                </c:pt>
                <c:pt idx="16">
                  <c:v>0.59074491471185708</c:v>
                </c:pt>
                <c:pt idx="17">
                  <c:v>0.55893368951220224</c:v>
                </c:pt>
                <c:pt idx="18">
                  <c:v>0.52592036063110481</c:v>
                </c:pt>
                <c:pt idx="19">
                  <c:v>0.4918718869132096</c:v>
                </c:pt>
                <c:pt idx="20">
                  <c:v>0.45695522720316145</c:v>
                </c:pt>
                <c:pt idx="21">
                  <c:v>0.42133734034560522</c:v>
                </c:pt>
                <c:pt idx="22">
                  <c:v>0.38518518518518563</c:v>
                </c:pt>
                <c:pt idx="23">
                  <c:v>0.34866572056654749</c:v>
                </c:pt>
                <c:pt idx="24">
                  <c:v>0.31194590533433564</c:v>
                </c:pt>
                <c:pt idx="25">
                  <c:v>0.27519269833319476</c:v>
                </c:pt>
                <c:pt idx="26">
                  <c:v>0.23857305840776974</c:v>
                </c:pt>
                <c:pt idx="27">
                  <c:v>0.20225394440270533</c:v>
                </c:pt>
                <c:pt idx="28">
                  <c:v>0.17909784063299999</c:v>
                </c:pt>
                <c:pt idx="29">
                  <c:v>0.14363572010067957</c:v>
                </c:pt>
                <c:pt idx="30">
                  <c:v>0.1089155813698451</c:v>
                </c:pt>
                <c:pt idx="31">
                  <c:v>7.5104383285141338E-2</c:v>
                </c:pt>
                <c:pt idx="32">
                  <c:v>4.2369084691213095E-2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9872"/>
        <c:axId val="77121792"/>
      </c:scatterChart>
      <c:valAx>
        <c:axId val="7711987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of Elevation 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121792"/>
        <c:crossesAt val="-1.7"/>
        <c:crossBetween val="midCat"/>
      </c:valAx>
      <c:valAx>
        <c:axId val="7712179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119872"/>
        <c:crossesAt val="-2"/>
        <c:crossBetween val="midCat"/>
      </c:valAx>
      <c:spPr>
        <a:solidFill>
          <a:srgbClr val="FFFFFF"/>
        </a:solidFill>
        <a:ln>
          <a:prstDash val="sysDot"/>
        </a:ln>
      </c:spPr>
    </c:plotArea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Accretion (mm/yr)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4965879265091869E-2"/>
                  <c:y val="-0.4391195190058112"/>
                </c:manualLayout>
              </c:layout>
              <c:numFmt formatCode="General" sourceLinked="0"/>
            </c:trendlineLbl>
          </c:trendline>
          <c:xVal>
            <c:numRef>
              <c:f>Old2New!$F$11:$F$44</c:f>
              <c:numCache>
                <c:formatCode>0.00</c:formatCode>
                <c:ptCount val="34"/>
                <c:pt idx="0">
                  <c:v>1.1250000000000001E-2</c:v>
                </c:pt>
                <c:pt idx="1">
                  <c:v>1.9090909090909096E-2</c:v>
                </c:pt>
                <c:pt idx="2">
                  <c:v>2.6931818181818189E-2</c:v>
                </c:pt>
                <c:pt idx="3">
                  <c:v>3.4772727272727275E-2</c:v>
                </c:pt>
                <c:pt idx="4">
                  <c:v>4.2613636363636374E-2</c:v>
                </c:pt>
                <c:pt idx="5">
                  <c:v>5.0454545454545467E-2</c:v>
                </c:pt>
                <c:pt idx="6">
                  <c:v>5.8295454545454553E-2</c:v>
                </c:pt>
                <c:pt idx="7">
                  <c:v>6.6136363636363646E-2</c:v>
                </c:pt>
                <c:pt idx="8">
                  <c:v>7.3977272727272739E-2</c:v>
                </c:pt>
                <c:pt idx="9">
                  <c:v>8.1818181818181818E-2</c:v>
                </c:pt>
                <c:pt idx="10">
                  <c:v>8.9659090909090911E-2</c:v>
                </c:pt>
                <c:pt idx="11">
                  <c:v>9.7499999999999989E-2</c:v>
                </c:pt>
                <c:pt idx="12">
                  <c:v>0.10534090909090907</c:v>
                </c:pt>
                <c:pt idx="13">
                  <c:v>0.11318181818181816</c:v>
                </c:pt>
                <c:pt idx="14">
                  <c:v>0.12102272727272724</c:v>
                </c:pt>
                <c:pt idx="15">
                  <c:v>0.12886363636363635</c:v>
                </c:pt>
                <c:pt idx="16">
                  <c:v>0.13670454545454544</c:v>
                </c:pt>
                <c:pt idx="17">
                  <c:v>0.1445454545454545</c:v>
                </c:pt>
                <c:pt idx="18">
                  <c:v>0.1523863636363636</c:v>
                </c:pt>
                <c:pt idx="19">
                  <c:v>0.16022727272727269</c:v>
                </c:pt>
                <c:pt idx="20">
                  <c:v>0.16806818181818176</c:v>
                </c:pt>
                <c:pt idx="21">
                  <c:v>0.17590909090909085</c:v>
                </c:pt>
                <c:pt idx="22">
                  <c:v>0.18374999999999994</c:v>
                </c:pt>
                <c:pt idx="23">
                  <c:v>0.19159090909090903</c:v>
                </c:pt>
                <c:pt idx="24">
                  <c:v>0.1994318181818181</c:v>
                </c:pt>
                <c:pt idx="25">
                  <c:v>0.20727272727272719</c:v>
                </c:pt>
                <c:pt idx="26">
                  <c:v>0.21511363636363628</c:v>
                </c:pt>
                <c:pt idx="27">
                  <c:v>0.22295454545454535</c:v>
                </c:pt>
                <c:pt idx="28">
                  <c:v>0.22800487500000005</c:v>
                </c:pt>
                <c:pt idx="29">
                  <c:v>0.23584578409090912</c:v>
                </c:pt>
                <c:pt idx="30">
                  <c:v>0.24368669318181821</c:v>
                </c:pt>
                <c:pt idx="31">
                  <c:v>0.2515276022727273</c:v>
                </c:pt>
                <c:pt idx="32">
                  <c:v>0.25936851136363637</c:v>
                </c:pt>
                <c:pt idx="33">
                  <c:v>0.27</c:v>
                </c:pt>
              </c:numCache>
            </c:numRef>
          </c:xVal>
          <c:yVal>
            <c:numRef>
              <c:f>Old2New!$G$11:$G$44</c:f>
              <c:numCache>
                <c:formatCode>General</c:formatCode>
                <c:ptCount val="34"/>
                <c:pt idx="0">
                  <c:v>3.9445137614678893</c:v>
                </c:pt>
                <c:pt idx="1">
                  <c:v>3.9741977573904173</c:v>
                </c:pt>
                <c:pt idx="2">
                  <c:v>3.992530071355759</c:v>
                </c:pt>
                <c:pt idx="3">
                  <c:v>4</c:v>
                </c:pt>
                <c:pt idx="4">
                  <c:v>3.9970968399592248</c:v>
                </c:pt>
                <c:pt idx="5">
                  <c:v>3.9843098878695207</c:v>
                </c:pt>
                <c:pt idx="6">
                  <c:v>3.9621284403669721</c:v>
                </c:pt>
                <c:pt idx="7">
                  <c:v>3.9310417940876654</c:v>
                </c:pt>
                <c:pt idx="8">
                  <c:v>3.8915392456676856</c:v>
                </c:pt>
                <c:pt idx="9">
                  <c:v>3.844110091743119</c:v>
                </c:pt>
                <c:pt idx="10">
                  <c:v>3.7892436289500511</c:v>
                </c:pt>
                <c:pt idx="11">
                  <c:v>3.7274291539245663</c:v>
                </c:pt>
                <c:pt idx="12">
                  <c:v>3.6591559633027524</c:v>
                </c:pt>
                <c:pt idx="13">
                  <c:v>3.584913353720693</c:v>
                </c:pt>
                <c:pt idx="14">
                  <c:v>3.5051906218144753</c:v>
                </c:pt>
                <c:pt idx="15">
                  <c:v>3.4204770642201838</c:v>
                </c:pt>
                <c:pt idx="16">
                  <c:v>3.3312619775739041</c:v>
                </c:pt>
                <c:pt idx="17">
                  <c:v>3.2380346585117232</c:v>
                </c:pt>
                <c:pt idx="18">
                  <c:v>3.1412844036697254</c:v>
                </c:pt>
                <c:pt idx="19">
                  <c:v>3.0415005096839964</c:v>
                </c:pt>
                <c:pt idx="20">
                  <c:v>2.9391722731906227</c:v>
                </c:pt>
                <c:pt idx="21">
                  <c:v>2.8347889908256891</c:v>
                </c:pt>
                <c:pt idx="22">
                  <c:v>2.7288399592252812</c:v>
                </c:pt>
                <c:pt idx="23">
                  <c:v>2.6218144750254853</c:v>
                </c:pt>
                <c:pt idx="24">
                  <c:v>2.5142018348623867</c:v>
                </c:pt>
                <c:pt idx="25">
                  <c:v>2.4064913353720709</c:v>
                </c:pt>
                <c:pt idx="26">
                  <c:v>2.2991722731906235</c:v>
                </c:pt>
                <c:pt idx="27">
                  <c:v>2.1927339449541301</c:v>
                </c:pt>
                <c:pt idx="28">
                  <c:v>2.1248716900165645</c:v>
                </c:pt>
                <c:pt idx="29">
                  <c:v>2.0209449030179916</c:v>
                </c:pt>
                <c:pt idx="30">
                  <c:v>1.9191925991998469</c:v>
                </c:pt>
                <c:pt idx="31">
                  <c:v>1.820104075198216</c:v>
                </c:pt>
                <c:pt idx="32">
                  <c:v>1.7241686276491845</c:v>
                </c:pt>
                <c:pt idx="33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9536"/>
        <c:axId val="78308096"/>
      </c:scatterChart>
      <c:valAx>
        <c:axId val="782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above MTL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308096"/>
        <c:crossesAt val="-1.7"/>
        <c:crossBetween val="midCat"/>
      </c:valAx>
      <c:valAx>
        <c:axId val="783080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289536"/>
        <c:crosses val="autoZero"/>
        <c:crossBetween val="midCat"/>
      </c:valAx>
      <c:spPr>
        <a:solidFill>
          <a:srgbClr val="FFFFFF"/>
        </a:solidFill>
        <a:ln>
          <a:prstDash val="sysDot"/>
        </a:ln>
      </c:spPr>
    </c:plotArea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Accretion (mm/year)</c:v>
          </c:tx>
          <c:marker>
            <c:symbol val="none"/>
          </c:marker>
          <c:xVal>
            <c:numRef>
              <c:f>Old2New!$Q$15:$Q$45</c:f>
              <c:numCache>
                <c:formatCode>General</c:formatCode>
                <c:ptCount val="31"/>
                <c:pt idx="0">
                  <c:v>0.05</c:v>
                </c:pt>
                <c:pt idx="1">
                  <c:v>8.8333333333333347E-2</c:v>
                </c:pt>
                <c:pt idx="2">
                  <c:v>0.12666666666666668</c:v>
                </c:pt>
                <c:pt idx="3">
                  <c:v>0.16500000000000001</c:v>
                </c:pt>
                <c:pt idx="4">
                  <c:v>0.20333333333333334</c:v>
                </c:pt>
                <c:pt idx="5">
                  <c:v>0.24166666666666667</c:v>
                </c:pt>
                <c:pt idx="6">
                  <c:v>0.28000000000000003</c:v>
                </c:pt>
                <c:pt idx="7">
                  <c:v>0.31833333333333336</c:v>
                </c:pt>
                <c:pt idx="8">
                  <c:v>0.35666666666666669</c:v>
                </c:pt>
                <c:pt idx="9">
                  <c:v>0.39500000000000002</c:v>
                </c:pt>
                <c:pt idx="10">
                  <c:v>0.43333333333333335</c:v>
                </c:pt>
                <c:pt idx="11">
                  <c:v>0.47166666666666668</c:v>
                </c:pt>
                <c:pt idx="12">
                  <c:v>0.51</c:v>
                </c:pt>
                <c:pt idx="13">
                  <c:v>0.54833333333333334</c:v>
                </c:pt>
                <c:pt idx="14">
                  <c:v>0.58666666666666667</c:v>
                </c:pt>
                <c:pt idx="15">
                  <c:v>0.625</c:v>
                </c:pt>
                <c:pt idx="16">
                  <c:v>0.66333333333333333</c:v>
                </c:pt>
                <c:pt idx="17">
                  <c:v>0.70166666666666666</c:v>
                </c:pt>
                <c:pt idx="18">
                  <c:v>0.74</c:v>
                </c:pt>
                <c:pt idx="19">
                  <c:v>0.77833333333333332</c:v>
                </c:pt>
                <c:pt idx="20">
                  <c:v>0.81666666666666665</c:v>
                </c:pt>
                <c:pt idx="21">
                  <c:v>0.85499999999999998</c:v>
                </c:pt>
                <c:pt idx="22">
                  <c:v>0.89333333333333331</c:v>
                </c:pt>
                <c:pt idx="23">
                  <c:v>0.93166666666666664</c:v>
                </c:pt>
                <c:pt idx="24">
                  <c:v>0.97</c:v>
                </c:pt>
                <c:pt idx="25">
                  <c:v>1.0083333333333333</c:v>
                </c:pt>
                <c:pt idx="26">
                  <c:v>1.0466666666666666</c:v>
                </c:pt>
                <c:pt idx="27">
                  <c:v>1.085</c:v>
                </c:pt>
                <c:pt idx="28">
                  <c:v>1.1233333333333333</c:v>
                </c:pt>
                <c:pt idx="29">
                  <c:v>1.1616666666666666</c:v>
                </c:pt>
                <c:pt idx="30">
                  <c:v>1.2</c:v>
                </c:pt>
              </c:numCache>
            </c:numRef>
          </c:xVal>
          <c:yVal>
            <c:numRef>
              <c:f>Old2New!$R$15:$R$45</c:f>
              <c:numCache>
                <c:formatCode>General</c:formatCode>
                <c:ptCount val="31"/>
                <c:pt idx="0">
                  <c:v>3.9445137614678885</c:v>
                </c:pt>
                <c:pt idx="1">
                  <c:v>3.9765337410805288</c:v>
                </c:pt>
                <c:pt idx="2">
                  <c:v>3.9948773904179395</c:v>
                </c:pt>
                <c:pt idx="3">
                  <c:v>4.0001959633027511</c:v>
                </c:pt>
                <c:pt idx="4">
                  <c:v>3.9931407135575925</c:v>
                </c:pt>
                <c:pt idx="5">
                  <c:v>3.9743628950050951</c:v>
                </c:pt>
                <c:pt idx="6">
                  <c:v>3.9445137614678885</c:v>
                </c:pt>
                <c:pt idx="7">
                  <c:v>3.9042445667686017</c:v>
                </c:pt>
                <c:pt idx="8">
                  <c:v>3.8542065647298656</c:v>
                </c:pt>
                <c:pt idx="9">
                  <c:v>3.7950510091743102</c:v>
                </c:pt>
                <c:pt idx="10">
                  <c:v>3.727429153924565</c:v>
                </c:pt>
                <c:pt idx="11">
                  <c:v>3.6519922528032605</c:v>
                </c:pt>
                <c:pt idx="12">
                  <c:v>3.5693915596330261</c:v>
                </c:pt>
                <c:pt idx="13">
                  <c:v>3.480278328236492</c:v>
                </c:pt>
                <c:pt idx="14">
                  <c:v>3.385303812436288</c:v>
                </c:pt>
                <c:pt idx="15">
                  <c:v>3.2851192660550446</c:v>
                </c:pt>
                <c:pt idx="16">
                  <c:v>3.1803759429153908</c:v>
                </c:pt>
                <c:pt idx="17">
                  <c:v>3.0717250968399581</c:v>
                </c:pt>
                <c:pt idx="18">
                  <c:v>2.9598179816513754</c:v>
                </c:pt>
                <c:pt idx="19">
                  <c:v>2.845305851172272</c:v>
                </c:pt>
                <c:pt idx="20">
                  <c:v>2.7288399592252794</c:v>
                </c:pt>
                <c:pt idx="21">
                  <c:v>2.611071559633027</c:v>
                </c:pt>
                <c:pt idx="22">
                  <c:v>2.492651906218144</c:v>
                </c:pt>
                <c:pt idx="23">
                  <c:v>2.374232252803262</c:v>
                </c:pt>
                <c:pt idx="24">
                  <c:v>2.2564638532110086</c:v>
                </c:pt>
                <c:pt idx="25">
                  <c:v>2.1399979612640165</c:v>
                </c:pt>
                <c:pt idx="26">
                  <c:v>2.0254858307849126</c:v>
                </c:pt>
                <c:pt idx="27">
                  <c:v>1.91357871559633</c:v>
                </c:pt>
                <c:pt idx="28">
                  <c:v>1.8049278695208977</c:v>
                </c:pt>
                <c:pt idx="29">
                  <c:v>1.7001845463812435</c:v>
                </c:pt>
                <c:pt idx="30">
                  <c:v>1.6000000000000005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2512"/>
        <c:axId val="78514432"/>
      </c:scatterChart>
      <c:valAx>
        <c:axId val="785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(HTU above MTL)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14432"/>
        <c:crosses val="autoZero"/>
        <c:crossBetween val="midCat"/>
      </c:valAx>
      <c:valAx>
        <c:axId val="785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1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Accretion (mm/year)</c:v>
          </c:tx>
          <c:marker>
            <c:symbol val="none"/>
          </c:marker>
          <c:xVal>
            <c:numRef>
              <c:f>Old2New!$S$15:$S$45</c:f>
              <c:numCache>
                <c:formatCode>General</c:formatCode>
                <c:ptCount val="31"/>
                <c:pt idx="0">
                  <c:v>1.1250000000000001E-2</c:v>
                </c:pt>
                <c:pt idx="1">
                  <c:v>1.9875000000000004E-2</c:v>
                </c:pt>
                <c:pt idx="2">
                  <c:v>2.8500000000000004E-2</c:v>
                </c:pt>
                <c:pt idx="3">
                  <c:v>3.7125000000000005E-2</c:v>
                </c:pt>
                <c:pt idx="4">
                  <c:v>4.5749999999999999E-2</c:v>
                </c:pt>
                <c:pt idx="5">
                  <c:v>5.4375E-2</c:v>
                </c:pt>
                <c:pt idx="6">
                  <c:v>6.3000000000000014E-2</c:v>
                </c:pt>
                <c:pt idx="7">
                  <c:v>7.1625000000000008E-2</c:v>
                </c:pt>
                <c:pt idx="8">
                  <c:v>8.0250000000000002E-2</c:v>
                </c:pt>
                <c:pt idx="9">
                  <c:v>8.887500000000001E-2</c:v>
                </c:pt>
                <c:pt idx="10">
                  <c:v>9.7500000000000003E-2</c:v>
                </c:pt>
                <c:pt idx="11">
                  <c:v>0.10612500000000001</c:v>
                </c:pt>
                <c:pt idx="12">
                  <c:v>0.11475</c:v>
                </c:pt>
                <c:pt idx="13">
                  <c:v>0.123375</c:v>
                </c:pt>
                <c:pt idx="14">
                  <c:v>0.13200000000000001</c:v>
                </c:pt>
                <c:pt idx="15">
                  <c:v>0.140625</c:v>
                </c:pt>
                <c:pt idx="16">
                  <c:v>0.14924999999999999</c:v>
                </c:pt>
                <c:pt idx="17">
                  <c:v>0.15787500000000002</c:v>
                </c:pt>
                <c:pt idx="18">
                  <c:v>0.16650000000000001</c:v>
                </c:pt>
                <c:pt idx="19">
                  <c:v>0.175125</c:v>
                </c:pt>
                <c:pt idx="20">
                  <c:v>0.18375</c:v>
                </c:pt>
                <c:pt idx="21">
                  <c:v>0.19237499999999999</c:v>
                </c:pt>
                <c:pt idx="22">
                  <c:v>0.20100000000000001</c:v>
                </c:pt>
                <c:pt idx="23">
                  <c:v>0.20962500000000001</c:v>
                </c:pt>
                <c:pt idx="24">
                  <c:v>0.21825</c:v>
                </c:pt>
                <c:pt idx="25">
                  <c:v>0.22687499999999999</c:v>
                </c:pt>
                <c:pt idx="26">
                  <c:v>0.23549999999999999</c:v>
                </c:pt>
                <c:pt idx="27">
                  <c:v>0.24412500000000001</c:v>
                </c:pt>
                <c:pt idx="28">
                  <c:v>0.25274999999999997</c:v>
                </c:pt>
                <c:pt idx="29">
                  <c:v>0.26137500000000002</c:v>
                </c:pt>
                <c:pt idx="30">
                  <c:v>0.27</c:v>
                </c:pt>
              </c:numCache>
            </c:numRef>
          </c:xVal>
          <c:yVal>
            <c:numRef>
              <c:f>Old2New!$R$15:$R$45</c:f>
              <c:numCache>
                <c:formatCode>General</c:formatCode>
                <c:ptCount val="31"/>
                <c:pt idx="0">
                  <c:v>3.9445137614678885</c:v>
                </c:pt>
                <c:pt idx="1">
                  <c:v>3.9765337410805288</c:v>
                </c:pt>
                <c:pt idx="2">
                  <c:v>3.9948773904179395</c:v>
                </c:pt>
                <c:pt idx="3">
                  <c:v>4.0001959633027511</c:v>
                </c:pt>
                <c:pt idx="4">
                  <c:v>3.9931407135575925</c:v>
                </c:pt>
                <c:pt idx="5">
                  <c:v>3.9743628950050951</c:v>
                </c:pt>
                <c:pt idx="6">
                  <c:v>3.9445137614678885</c:v>
                </c:pt>
                <c:pt idx="7">
                  <c:v>3.9042445667686017</c:v>
                </c:pt>
                <c:pt idx="8">
                  <c:v>3.8542065647298656</c:v>
                </c:pt>
                <c:pt idx="9">
                  <c:v>3.7950510091743102</c:v>
                </c:pt>
                <c:pt idx="10">
                  <c:v>3.727429153924565</c:v>
                </c:pt>
                <c:pt idx="11">
                  <c:v>3.6519922528032605</c:v>
                </c:pt>
                <c:pt idx="12">
                  <c:v>3.5693915596330261</c:v>
                </c:pt>
                <c:pt idx="13">
                  <c:v>3.480278328236492</c:v>
                </c:pt>
                <c:pt idx="14">
                  <c:v>3.385303812436288</c:v>
                </c:pt>
                <c:pt idx="15">
                  <c:v>3.2851192660550446</c:v>
                </c:pt>
                <c:pt idx="16">
                  <c:v>3.1803759429153908</c:v>
                </c:pt>
                <c:pt idx="17">
                  <c:v>3.0717250968399581</c:v>
                </c:pt>
                <c:pt idx="18">
                  <c:v>2.9598179816513754</c:v>
                </c:pt>
                <c:pt idx="19">
                  <c:v>2.845305851172272</c:v>
                </c:pt>
                <c:pt idx="20">
                  <c:v>2.7288399592252794</c:v>
                </c:pt>
                <c:pt idx="21">
                  <c:v>2.611071559633027</c:v>
                </c:pt>
                <c:pt idx="22">
                  <c:v>2.492651906218144</c:v>
                </c:pt>
                <c:pt idx="23">
                  <c:v>2.374232252803262</c:v>
                </c:pt>
                <c:pt idx="24">
                  <c:v>2.2564638532110086</c:v>
                </c:pt>
                <c:pt idx="25">
                  <c:v>2.1399979612640165</c:v>
                </c:pt>
                <c:pt idx="26">
                  <c:v>2.0254858307849126</c:v>
                </c:pt>
                <c:pt idx="27">
                  <c:v>1.91357871559633</c:v>
                </c:pt>
                <c:pt idx="28">
                  <c:v>1.8049278695208977</c:v>
                </c:pt>
                <c:pt idx="29">
                  <c:v>1.7001845463812435</c:v>
                </c:pt>
                <c:pt idx="30">
                  <c:v>1.6000000000000005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5008"/>
        <c:axId val="78565376"/>
      </c:scatterChart>
      <c:valAx>
        <c:axId val="7855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(m</a:t>
                </a:r>
                <a:r>
                  <a:rPr lang="en-US" baseline="0"/>
                  <a:t> above MTL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65376"/>
        <c:crosses val="autoZero"/>
        <c:crossBetween val="midCat"/>
      </c:valAx>
      <c:valAx>
        <c:axId val="785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5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16</xdr:row>
      <xdr:rowOff>476250</xdr:rowOff>
    </xdr:from>
    <xdr:to>
      <xdr:col>13</xdr:col>
      <xdr:colOff>504825</xdr:colOff>
      <xdr:row>33</xdr:row>
      <xdr:rowOff>104775</xdr:rowOff>
    </xdr:to>
    <xdr:graphicFrame macro="">
      <xdr:nvGraphicFramePr>
        <xdr:cNvPr id="11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16</xdr:row>
      <xdr:rowOff>400050</xdr:rowOff>
    </xdr:from>
    <xdr:to>
      <xdr:col>22</xdr:col>
      <xdr:colOff>209550</xdr:colOff>
      <xdr:row>31</xdr:row>
      <xdr:rowOff>85725</xdr:rowOff>
    </xdr:to>
    <xdr:graphicFrame macro="">
      <xdr:nvGraphicFramePr>
        <xdr:cNvPr id="11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238124</xdr:colOff>
      <xdr:row>32</xdr:row>
      <xdr:rowOff>19050</xdr:rowOff>
    </xdr:from>
    <xdr:to>
      <xdr:col>22</xdr:col>
      <xdr:colOff>228599</xdr:colOff>
      <xdr:row>49</xdr:row>
      <xdr:rowOff>0</xdr:rowOff>
    </xdr:to>
    <xdr:graphicFrame macro="">
      <xdr:nvGraphicFramePr>
        <xdr:cNvPr id="1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47625</xdr:rowOff>
    </xdr:from>
    <xdr:to>
      <xdr:col>13</xdr:col>
      <xdr:colOff>142875</xdr:colOff>
      <xdr:row>18</xdr:row>
      <xdr:rowOff>19050</xdr:rowOff>
    </xdr:to>
    <xdr:graphicFrame macro="">
      <xdr:nvGraphicFramePr>
        <xdr:cNvPr id="2027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21</xdr:row>
      <xdr:rowOff>9525</xdr:rowOff>
    </xdr:from>
    <xdr:to>
      <xdr:col>15</xdr:col>
      <xdr:colOff>266700</xdr:colOff>
      <xdr:row>36</xdr:row>
      <xdr:rowOff>133350</xdr:rowOff>
    </xdr:to>
    <xdr:graphicFrame macro="">
      <xdr:nvGraphicFramePr>
        <xdr:cNvPr id="2027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13</xdr:row>
      <xdr:rowOff>152400</xdr:rowOff>
    </xdr:from>
    <xdr:to>
      <xdr:col>25</xdr:col>
      <xdr:colOff>542925</xdr:colOff>
      <xdr:row>27</xdr:row>
      <xdr:rowOff>38100</xdr:rowOff>
    </xdr:to>
    <xdr:graphicFrame macro="">
      <xdr:nvGraphicFramePr>
        <xdr:cNvPr id="2027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323850</xdr:colOff>
      <xdr:row>29</xdr:row>
      <xdr:rowOff>28575</xdr:rowOff>
    </xdr:from>
    <xdr:to>
      <xdr:col>26</xdr:col>
      <xdr:colOff>19050</xdr:colOff>
      <xdr:row>43</xdr:row>
      <xdr:rowOff>104775</xdr:rowOff>
    </xdr:to>
    <xdr:graphicFrame macro="">
      <xdr:nvGraphicFramePr>
        <xdr:cNvPr id="20278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SLAMM%206.2%20Beta/SLAMM6_Accretion_1-11-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tion (2)"/>
      <sheetName val="Distance"/>
      <sheetName val="Salinity"/>
      <sheetName val="MorrisModel"/>
    </sheetNames>
    <sheetDataSet>
      <sheetData sheetId="0">
        <row r="9">
          <cell r="C9" t="str">
            <v>Shape</v>
          </cell>
        </row>
        <row r="10">
          <cell r="B10">
            <v>0</v>
          </cell>
          <cell r="C10">
            <v>0.8</v>
          </cell>
        </row>
        <row r="11">
          <cell r="B11">
            <v>3.0303030303030304E-2</v>
          </cell>
          <cell r="C11">
            <v>0.81012883657511758</v>
          </cell>
        </row>
        <row r="12">
          <cell r="B12">
            <v>6.0606060606060608E-2</v>
          </cell>
          <cell r="C12">
            <v>0.81638422795447596</v>
          </cell>
        </row>
        <row r="13">
          <cell r="B13">
            <v>9.0909090909090912E-2</v>
          </cell>
          <cell r="C13">
            <v>0.81893313298271997</v>
          </cell>
        </row>
        <row r="14">
          <cell r="B14">
            <v>0.12121212121212122</v>
          </cell>
          <cell r="C14">
            <v>0.81794251050449407</v>
          </cell>
        </row>
        <row r="15">
          <cell r="B15">
            <v>0.15151515151515152</v>
          </cell>
          <cell r="C15">
            <v>0.8135793193644435</v>
          </cell>
        </row>
        <row r="16">
          <cell r="B16">
            <v>0.18181818181818182</v>
          </cell>
          <cell r="C16">
            <v>0.80601051840721272</v>
          </cell>
        </row>
        <row r="17">
          <cell r="B17">
            <v>0.21212121212121213</v>
          </cell>
          <cell r="C17">
            <v>0.79540306647744674</v>
          </cell>
        </row>
        <row r="18">
          <cell r="B18">
            <v>0.24242424242424243</v>
          </cell>
          <cell r="C18">
            <v>0.78192392241979025</v>
          </cell>
        </row>
        <row r="19">
          <cell r="B19">
            <v>0.27272727272727271</v>
          </cell>
          <cell r="C19">
            <v>0.76574004507888815</v>
          </cell>
        </row>
        <row r="20">
          <cell r="B20">
            <v>0.30303030303030298</v>
          </cell>
          <cell r="C20">
            <v>0.74701839329938524</v>
          </cell>
        </row>
        <row r="21">
          <cell r="B21">
            <v>0.33333333333333326</v>
          </cell>
          <cell r="C21">
            <v>0.72592592592592597</v>
          </cell>
        </row>
        <row r="22">
          <cell r="B22">
            <v>0.36363636363636354</v>
          </cell>
          <cell r="C22">
            <v>0.7026296018031557</v>
          </cell>
        </row>
        <row r="23">
          <cell r="B23">
            <v>0.39393939393939381</v>
          </cell>
          <cell r="C23">
            <v>0.67729637977571877</v>
          </cell>
        </row>
        <row r="24">
          <cell r="B24">
            <v>0.42424242424242409</v>
          </cell>
          <cell r="C24">
            <v>0.6500932186882602</v>
          </cell>
        </row>
        <row r="25">
          <cell r="B25">
            <v>0.45454545454545436</v>
          </cell>
          <cell r="C25">
            <v>0.62118707738542467</v>
          </cell>
        </row>
        <row r="26">
          <cell r="B26">
            <v>0.48484848484848464</v>
          </cell>
          <cell r="C26">
            <v>0.59074491471185708</v>
          </cell>
        </row>
        <row r="27">
          <cell r="B27">
            <v>0.51515151515151492</v>
          </cell>
          <cell r="C27">
            <v>0.55893368951220224</v>
          </cell>
        </row>
        <row r="28">
          <cell r="B28">
            <v>0.54545454545454519</v>
          </cell>
          <cell r="C28">
            <v>0.52592036063110481</v>
          </cell>
        </row>
        <row r="29">
          <cell r="B29">
            <v>0.57575757575757547</v>
          </cell>
          <cell r="C29">
            <v>0.4918718869132096</v>
          </cell>
        </row>
        <row r="30">
          <cell r="B30">
            <v>0.60606060606060574</v>
          </cell>
          <cell r="C30">
            <v>0.45695522720316145</v>
          </cell>
        </row>
        <row r="31">
          <cell r="B31">
            <v>0.63636363636363602</v>
          </cell>
          <cell r="C31">
            <v>0.42133734034560522</v>
          </cell>
        </row>
        <row r="32">
          <cell r="B32">
            <v>0.6666666666666663</v>
          </cell>
          <cell r="C32">
            <v>0.38518518518518563</v>
          </cell>
        </row>
        <row r="33">
          <cell r="B33">
            <v>0.69696969696969657</v>
          </cell>
          <cell r="C33">
            <v>0.34866572056654749</v>
          </cell>
        </row>
        <row r="34">
          <cell r="B34">
            <v>0.72727272727272685</v>
          </cell>
          <cell r="C34">
            <v>0.31194590533433564</v>
          </cell>
        </row>
        <row r="35">
          <cell r="B35">
            <v>0.75757575757575712</v>
          </cell>
          <cell r="C35">
            <v>0.27519269833319476</v>
          </cell>
        </row>
        <row r="36">
          <cell r="B36">
            <v>0.7878787878787874</v>
          </cell>
          <cell r="C36">
            <v>0.23857305840776974</v>
          </cell>
        </row>
        <row r="37">
          <cell r="B37">
            <v>0.81818181818181768</v>
          </cell>
          <cell r="C37">
            <v>0.20225394440270533</v>
          </cell>
        </row>
        <row r="38">
          <cell r="B38">
            <v>0.8377</v>
          </cell>
          <cell r="C38">
            <v>0.17909784063299999</v>
          </cell>
        </row>
        <row r="39">
          <cell r="B39">
            <v>0.86800303030303028</v>
          </cell>
          <cell r="C39">
            <v>0.14363572010067957</v>
          </cell>
        </row>
        <row r="40">
          <cell r="B40">
            <v>0.89830606060606055</v>
          </cell>
          <cell r="C40">
            <v>0.1089155813698451</v>
          </cell>
        </row>
        <row r="41">
          <cell r="B41">
            <v>0.92860909090909083</v>
          </cell>
          <cell r="C41">
            <v>7.5104383285141338E-2</v>
          </cell>
        </row>
        <row r="42">
          <cell r="B42">
            <v>0.9589121212121211</v>
          </cell>
          <cell r="C42">
            <v>4.2369084691213095E-2</v>
          </cell>
        </row>
        <row r="43">
          <cell r="B43">
            <v>1</v>
          </cell>
          <cell r="C4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tabSelected="1" zoomScaleNormal="100" workbookViewId="0">
      <selection activeCell="C14" sqref="C14"/>
    </sheetView>
  </sheetViews>
  <sheetFormatPr defaultRowHeight="15" x14ac:dyDescent="0.25"/>
  <cols>
    <col min="1" max="1" width="1.7109375" customWidth="1"/>
    <col min="2" max="2" width="10.140625" customWidth="1"/>
    <col min="3" max="3" width="14.28515625" customWidth="1"/>
    <col min="4" max="4" width="16.5703125" customWidth="1"/>
    <col min="5" max="5" width="12.42578125" customWidth="1"/>
    <col min="6" max="7" width="13.42578125" customWidth="1"/>
    <col min="10" max="10" width="12.28515625" customWidth="1"/>
    <col min="11" max="11" width="11.7109375" customWidth="1"/>
    <col min="12" max="12" width="9.140625" customWidth="1"/>
  </cols>
  <sheetData>
    <row r="1" spans="2:14" x14ac:dyDescent="0.25">
      <c r="F1" s="68" t="s">
        <v>33</v>
      </c>
      <c r="G1" s="68"/>
      <c r="H1" s="68"/>
      <c r="I1" s="68"/>
      <c r="J1" s="68"/>
      <c r="K1" s="68"/>
    </row>
    <row r="2" spans="2:14" x14ac:dyDescent="0.25">
      <c r="B2" s="77" t="s">
        <v>36</v>
      </c>
      <c r="C2" s="77"/>
      <c r="D2" s="77"/>
      <c r="F2" s="76" t="s">
        <v>39</v>
      </c>
      <c r="G2" s="76"/>
      <c r="H2" s="76"/>
      <c r="I2" s="8"/>
      <c r="J2" s="66" t="s">
        <v>26</v>
      </c>
      <c r="K2" s="67"/>
    </row>
    <row r="3" spans="2:14" x14ac:dyDescent="0.25">
      <c r="B3" s="22" t="s">
        <v>0</v>
      </c>
      <c r="C3" s="23">
        <v>0.80649999999999999</v>
      </c>
      <c r="D3" s="22" t="s">
        <v>2</v>
      </c>
      <c r="F3" s="23" t="s">
        <v>7</v>
      </c>
      <c r="G3" s="47">
        <v>-0.4078</v>
      </c>
      <c r="H3" s="22" t="s">
        <v>18</v>
      </c>
      <c r="I3" s="8"/>
      <c r="J3" s="62" t="s">
        <v>27</v>
      </c>
      <c r="K3" s="45">
        <f>IF(G3=0,IF(G4&lt;&gt;0,-G5/(2*G4)),IF((4*G4*G4-12*G3*G5)&gt;0,(-2*G4-SQRT(4*G4*G4-12*G3*G5))/(6*G3)))</f>
        <v>0.12463966647736574</v>
      </c>
    </row>
    <row r="4" spans="2:14" x14ac:dyDescent="0.25">
      <c r="B4" s="22" t="s">
        <v>1</v>
      </c>
      <c r="C4" s="23">
        <v>7.7168000000000001</v>
      </c>
      <c r="D4" s="22" t="s">
        <v>2</v>
      </c>
      <c r="F4" s="23" t="s">
        <v>8</v>
      </c>
      <c r="G4" s="47">
        <v>-5.3846999999999996</v>
      </c>
      <c r="H4" s="22" t="s">
        <v>17</v>
      </c>
      <c r="I4" s="8"/>
      <c r="J4" s="62" t="s">
        <v>28</v>
      </c>
      <c r="K4" s="45">
        <f>IF(G3=0,IF(G4&lt;&gt;0,-G5/(2*G4)),IF((4*G4*G4-12*G3*G5)&gt;0,(-2*G4+SQRT(4*G4*G4-12*G3*G5))/(6*G3)))</f>
        <v>-8.927484198110518</v>
      </c>
    </row>
    <row r="5" spans="2:14" x14ac:dyDescent="0.25">
      <c r="F5" s="23" t="s">
        <v>9</v>
      </c>
      <c r="G5" s="47">
        <v>1.3613</v>
      </c>
      <c r="H5" s="22" t="s">
        <v>16</v>
      </c>
      <c r="I5" s="8"/>
      <c r="J5" s="63"/>
      <c r="K5" s="64"/>
      <c r="L5" s="15"/>
    </row>
    <row r="6" spans="2:14" x14ac:dyDescent="0.25">
      <c r="B6" s="77" t="s">
        <v>34</v>
      </c>
      <c r="C6" s="77"/>
      <c r="D6" s="77"/>
      <c r="F6" s="23" t="s">
        <v>21</v>
      </c>
      <c r="G6" s="47">
        <v>7.6315999999999997</v>
      </c>
      <c r="H6" s="22" t="s">
        <v>22</v>
      </c>
      <c r="I6" s="8"/>
      <c r="J6" s="69" t="s">
        <v>35</v>
      </c>
      <c r="K6" s="70"/>
    </row>
    <row r="7" spans="2:14" x14ac:dyDescent="0.25">
      <c r="B7" s="24" t="s">
        <v>3</v>
      </c>
      <c r="C7" s="25">
        <v>-0.4</v>
      </c>
      <c r="D7" s="22" t="s">
        <v>23</v>
      </c>
      <c r="F7" s="7"/>
      <c r="G7" s="21"/>
      <c r="H7" s="8"/>
      <c r="I7" s="8"/>
      <c r="J7" s="62" t="s">
        <v>29</v>
      </c>
      <c r="K7" s="45">
        <f>IF(K3&lt;&gt;FALSE,IF(K3&gt;=C7,IF(K3&lt;=C8,$G$3*K3^3+$G$4*K3^2+$G$5*K3+$G$6)))</f>
        <v>7.7168307970934418</v>
      </c>
    </row>
    <row r="8" spans="2:14" ht="15" customHeight="1" x14ac:dyDescent="0.25">
      <c r="B8" s="24" t="s">
        <v>4</v>
      </c>
      <c r="C8" s="25">
        <v>1.2</v>
      </c>
      <c r="D8" s="22" t="s">
        <v>23</v>
      </c>
      <c r="F8" s="74" t="s">
        <v>40</v>
      </c>
      <c r="G8" s="75"/>
      <c r="H8" s="19"/>
      <c r="I8" s="16"/>
      <c r="J8" s="62" t="s">
        <v>30</v>
      </c>
      <c r="K8" s="45" t="b">
        <f>IF(K4&lt;&gt;FALSE,IF(K4&gt;=C7,IF(K4&lt;=C8,$G$3*K4^3+$G$4*K4^2+$G$5*K4+$G$6)))</f>
        <v>0</v>
      </c>
    </row>
    <row r="9" spans="2:14" ht="27" customHeight="1" x14ac:dyDescent="0.25">
      <c r="B9" s="71" t="s">
        <v>20</v>
      </c>
      <c r="C9" s="72"/>
      <c r="D9" s="73"/>
      <c r="F9" s="17" t="s">
        <v>31</v>
      </c>
      <c r="G9" s="40">
        <f>MAX(K7:K10)</f>
        <v>7.7168307970934418</v>
      </c>
      <c r="H9" s="8"/>
      <c r="I9" s="8"/>
      <c r="J9" s="62" t="s">
        <v>24</v>
      </c>
      <c r="K9" s="45">
        <f>$G$3*C7^3+$G$4*C7^2+$G$5*C7+$G$6</f>
        <v>6.2516271999999997</v>
      </c>
    </row>
    <row r="10" spans="2:14" x14ac:dyDescent="0.25">
      <c r="F10" s="13" t="s">
        <v>32</v>
      </c>
      <c r="G10" s="41">
        <f>MIN(K7:K10)</f>
        <v>0.80651360000000061</v>
      </c>
      <c r="H10" s="11"/>
      <c r="I10" s="11"/>
      <c r="J10" s="62" t="s">
        <v>25</v>
      </c>
      <c r="K10" s="45">
        <f>$G$3*C8^3+$G$4*C8^2+$G$5*C8+$G$6</f>
        <v>0.80651360000000061</v>
      </c>
    </row>
    <row r="11" spans="2:14" x14ac:dyDescent="0.25">
      <c r="F11" s="8"/>
      <c r="G11" s="42"/>
      <c r="H11" s="8"/>
      <c r="I11" s="8"/>
      <c r="J11" s="18"/>
      <c r="K11" s="20"/>
    </row>
    <row r="12" spans="2:14" x14ac:dyDescent="0.25">
      <c r="F12" s="38" t="s">
        <v>43</v>
      </c>
      <c r="G12" s="39"/>
      <c r="I12" s="37" t="s">
        <v>59</v>
      </c>
    </row>
    <row r="13" spans="2:14" x14ac:dyDescent="0.25">
      <c r="F13" s="39" t="s">
        <v>7</v>
      </c>
      <c r="G13" s="61">
        <f>IF($G$9&lt;&gt;$G$10,G3*($C$4-$C$3)/($G$9-$G$10),G3)</f>
        <v>-0.40779898514431318</v>
      </c>
      <c r="I13" s="65" t="s">
        <v>60</v>
      </c>
      <c r="J13" s="65"/>
      <c r="K13" s="65"/>
      <c r="L13" s="65"/>
      <c r="M13" s="65"/>
      <c r="N13" s="65"/>
    </row>
    <row r="14" spans="2:14" x14ac:dyDescent="0.25">
      <c r="F14" s="39" t="s">
        <v>8</v>
      </c>
      <c r="G14" s="61">
        <f>IF($G$9&lt;&gt;$G$10,G4*($C$4-$C$3)/($G$9-$G$10),G4)</f>
        <v>-5.3846865995747502</v>
      </c>
    </row>
    <row r="15" spans="2:14" x14ac:dyDescent="0.25">
      <c r="C15" s="14"/>
      <c r="D15" s="14"/>
      <c r="E15" s="14"/>
      <c r="F15" s="39" t="s">
        <v>9</v>
      </c>
      <c r="G15" s="61">
        <f>IF($G$9&lt;&gt;$G$10,G5*($C$4-$C$3)/($G$9-$G$10),G5)</f>
        <v>1.3612966122534416</v>
      </c>
    </row>
    <row r="16" spans="2:14" x14ac:dyDescent="0.25">
      <c r="F16" s="39" t="s">
        <v>21</v>
      </c>
      <c r="G16" s="61">
        <f>IF($G$9&lt;&gt;$G$10,C3+(G6-G10)*($C$4-$C$3)/($G$9-$G$10),IF(G9&lt;&gt;0,C4,0))</f>
        <v>7.6315694150128834</v>
      </c>
    </row>
    <row r="17" spans="2:6" s="6" customFormat="1" ht="66.75" customHeight="1" x14ac:dyDescent="0.25">
      <c r="B17" s="43" t="s">
        <v>53</v>
      </c>
      <c r="C17" s="43" t="s">
        <v>38</v>
      </c>
      <c r="D17" s="43" t="s">
        <v>37</v>
      </c>
      <c r="E17" s="43" t="s">
        <v>41</v>
      </c>
      <c r="F17" s="44" t="s">
        <v>42</v>
      </c>
    </row>
    <row r="18" spans="2:6" x14ac:dyDescent="0.25">
      <c r="B18" s="5">
        <f>C7</f>
        <v>-0.4</v>
      </c>
      <c r="C18" s="5">
        <f t="shared" ref="C18:C49" si="0">$G$3*B18^3+$G$4*B18^2+$G$5*B18+$G$6</f>
        <v>6.2516271999999997</v>
      </c>
      <c r="D18" s="5">
        <f>IF($G$9&lt;&gt;$G$10,(C18-$G$10)/($G$9-$G$10),IF($G$9&lt;&gt;0,1,0))</f>
        <v>0.78796869155156535</v>
      </c>
      <c r="E18" s="5">
        <f>IF($G$9&lt;&gt;$G$10,D18*($C$4-$C$3)+$C$3,IF($G$9&lt;&gt;0,$C$4,0))</f>
        <v>6.2516000492287818</v>
      </c>
      <c r="F18" s="5">
        <f>$G$13*B18^3+$G$14*B18^2+$G$15*B18+$G$16</f>
        <v>6.2516000492287827</v>
      </c>
    </row>
    <row r="19" spans="2:6" x14ac:dyDescent="0.25">
      <c r="B19" s="5">
        <f t="shared" ref="B19:B50" si="1">($C$8-$C$7)*0.02+B18</f>
        <v>-0.36799999999999999</v>
      </c>
      <c r="C19" s="5">
        <f t="shared" si="0"/>
        <v>6.4217471210496004</v>
      </c>
      <c r="D19" s="5">
        <f t="shared" ref="D19:D68" si="2">IF($G$9&lt;&gt;$G$10,(C19-$G$10)/($G$9-$G$10),IF($G$9&lt;&gt;0,1,0))</f>
        <v>0.81258694223348116</v>
      </c>
      <c r="E19" s="5">
        <f t="shared" ref="E19:E68" si="3">IF($G$9&lt;&gt;$G$10,D19*($C$4-$C$3)+$C$3,IF($G$9&lt;&gt;0,$C$4,0))</f>
        <v>6.4217195469160249</v>
      </c>
      <c r="F19" s="5">
        <f t="shared" ref="F19:F68" si="4">$G$13*B19^3+$G$14*B19^2+$G$15*B19+$G$16</f>
        <v>6.4217195469160258</v>
      </c>
    </row>
    <row r="20" spans="2:6" x14ac:dyDescent="0.25">
      <c r="B20" s="5">
        <f t="shared" si="1"/>
        <v>-0.33599999999999997</v>
      </c>
      <c r="C20" s="5">
        <f t="shared" si="0"/>
        <v>6.5817612090368005</v>
      </c>
      <c r="D20" s="5">
        <f t="shared" si="2"/>
        <v>0.83574276611584997</v>
      </c>
      <c r="E20" s="5">
        <f t="shared" si="3"/>
        <v>6.5817332366903578</v>
      </c>
      <c r="F20" s="5">
        <f t="shared" si="4"/>
        <v>6.5817332366903587</v>
      </c>
    </row>
    <row r="21" spans="2:6" x14ac:dyDescent="0.25">
      <c r="B21" s="5">
        <f t="shared" si="1"/>
        <v>-0.30399999999999994</v>
      </c>
      <c r="C21" s="5">
        <f t="shared" si="0"/>
        <v>6.7315892872192</v>
      </c>
      <c r="D21" s="5">
        <f t="shared" si="2"/>
        <v>0.8574245607294777</v>
      </c>
      <c r="E21" s="5">
        <f t="shared" si="3"/>
        <v>6.73156094200891</v>
      </c>
      <c r="F21" s="5">
        <f t="shared" si="4"/>
        <v>6.7315609420089109</v>
      </c>
    </row>
    <row r="22" spans="2:6" x14ac:dyDescent="0.25">
      <c r="B22" s="5">
        <f t="shared" si="1"/>
        <v>-0.27199999999999991</v>
      </c>
      <c r="C22" s="5">
        <f t="shared" si="0"/>
        <v>6.8711511788544</v>
      </c>
      <c r="D22" s="5">
        <f t="shared" si="2"/>
        <v>0.87762072360517052</v>
      </c>
      <c r="E22" s="5">
        <f t="shared" si="3"/>
        <v>6.8711224863288098</v>
      </c>
      <c r="F22" s="5">
        <f t="shared" si="4"/>
        <v>6.8711224863288107</v>
      </c>
    </row>
    <row r="23" spans="2:6" x14ac:dyDescent="0.25">
      <c r="B23" s="5">
        <f t="shared" si="1"/>
        <v>-0.23999999999999991</v>
      </c>
      <c r="C23" s="5">
        <f t="shared" si="0"/>
        <v>7.0003667072000004</v>
      </c>
      <c r="D23" s="5">
        <f t="shared" si="2"/>
        <v>0.89631965227373434</v>
      </c>
      <c r="E23" s="5">
        <f t="shared" si="3"/>
        <v>7.0003376931071868</v>
      </c>
      <c r="F23" s="5">
        <f t="shared" si="4"/>
        <v>7.0003376931071877</v>
      </c>
    </row>
    <row r="24" spans="2:6" x14ac:dyDescent="0.25">
      <c r="B24" s="5">
        <f t="shared" si="1"/>
        <v>-0.20799999999999991</v>
      </c>
      <c r="C24" s="5">
        <f t="shared" si="0"/>
        <v>7.1191556955135997</v>
      </c>
      <c r="D24" s="5">
        <f t="shared" si="2"/>
        <v>0.91350974426597509</v>
      </c>
      <c r="E24" s="5">
        <f t="shared" si="3"/>
        <v>7.1191263858011675</v>
      </c>
      <c r="F24" s="5">
        <f t="shared" si="4"/>
        <v>7.1191263858011684</v>
      </c>
    </row>
    <row r="25" spans="2:6" x14ac:dyDescent="0.25">
      <c r="B25" s="5">
        <f t="shared" si="1"/>
        <v>-0.17599999999999991</v>
      </c>
      <c r="C25" s="5">
        <f t="shared" si="0"/>
        <v>7.2274379670527997</v>
      </c>
      <c r="D25" s="5">
        <f t="shared" si="2"/>
        <v>0.92917939711269892</v>
      </c>
      <c r="E25" s="5">
        <f t="shared" si="3"/>
        <v>7.2274083878678832</v>
      </c>
      <c r="F25" s="5">
        <f t="shared" si="4"/>
        <v>7.227408387867885</v>
      </c>
    </row>
    <row r="26" spans="2:6" x14ac:dyDescent="0.25">
      <c r="B26" s="5">
        <f t="shared" si="1"/>
        <v>-0.14399999999999991</v>
      </c>
      <c r="C26" s="5">
        <f t="shared" si="0"/>
        <v>7.3251333450751996</v>
      </c>
      <c r="D26" s="5">
        <f t="shared" si="2"/>
        <v>0.94331700834471177</v>
      </c>
      <c r="E26" s="5">
        <f t="shared" si="3"/>
        <v>7.3251035227644614</v>
      </c>
      <c r="F26" s="5">
        <f t="shared" si="4"/>
        <v>7.3251035227644632</v>
      </c>
    </row>
    <row r="27" spans="2:6" x14ac:dyDescent="0.25">
      <c r="B27" s="5">
        <f t="shared" si="1"/>
        <v>-0.11199999999999991</v>
      </c>
      <c r="C27" s="5">
        <f t="shared" si="0"/>
        <v>7.4121616528383996</v>
      </c>
      <c r="D27" s="5">
        <f t="shared" si="2"/>
        <v>0.95591097549281967</v>
      </c>
      <c r="E27" s="5">
        <f t="shared" si="3"/>
        <v>7.4121316139480315</v>
      </c>
      <c r="F27" s="5">
        <f t="shared" si="4"/>
        <v>7.4121316139480333</v>
      </c>
    </row>
    <row r="28" spans="2:6" x14ac:dyDescent="0.25">
      <c r="B28" s="5">
        <f t="shared" si="1"/>
        <v>-7.9999999999999905E-2</v>
      </c>
      <c r="C28" s="5">
        <f t="shared" si="0"/>
        <v>7.4884427135999996</v>
      </c>
      <c r="D28" s="5">
        <f t="shared" si="2"/>
        <v>0.96694969608782866</v>
      </c>
      <c r="E28" s="5">
        <f t="shared" si="3"/>
        <v>7.4884124848757221</v>
      </c>
      <c r="F28" s="5">
        <f t="shared" si="4"/>
        <v>7.4884124848757239</v>
      </c>
    </row>
    <row r="29" spans="2:6" x14ac:dyDescent="0.25">
      <c r="B29" s="5">
        <f t="shared" si="1"/>
        <v>-4.7999999999999904E-2</v>
      </c>
      <c r="C29" s="5">
        <f t="shared" si="0"/>
        <v>7.5538963506175998</v>
      </c>
      <c r="D29" s="5">
        <f t="shared" si="2"/>
        <v>0.97642156766054466</v>
      </c>
      <c r="E29" s="5">
        <f t="shared" si="3"/>
        <v>7.5538659590046615</v>
      </c>
      <c r="F29" s="5">
        <f t="shared" si="4"/>
        <v>7.5538659590046633</v>
      </c>
    </row>
    <row r="30" spans="2:6" x14ac:dyDescent="0.25">
      <c r="B30" s="5">
        <f t="shared" si="1"/>
        <v>-1.5999999999999903E-2</v>
      </c>
      <c r="C30" s="5">
        <f t="shared" si="0"/>
        <v>7.6084423871488003</v>
      </c>
      <c r="D30" s="5">
        <f t="shared" si="2"/>
        <v>0.98431498774177384</v>
      </c>
      <c r="E30" s="5">
        <f t="shared" si="3"/>
        <v>7.6084118597919801</v>
      </c>
      <c r="F30" s="5">
        <f t="shared" si="4"/>
        <v>7.6084118597919801</v>
      </c>
    </row>
    <row r="31" spans="2:6" x14ac:dyDescent="0.25">
      <c r="B31" s="5">
        <f t="shared" si="1"/>
        <v>1.6000000000000097E-2</v>
      </c>
      <c r="C31" s="5">
        <f t="shared" si="0"/>
        <v>7.6520006464512003</v>
      </c>
      <c r="D31" s="5">
        <f t="shared" si="2"/>
        <v>0.990618353862322</v>
      </c>
      <c r="E31" s="5">
        <f t="shared" si="3"/>
        <v>7.6519700106948036</v>
      </c>
      <c r="F31" s="5">
        <f t="shared" si="4"/>
        <v>7.6519700106948045</v>
      </c>
    </row>
    <row r="32" spans="2:6" x14ac:dyDescent="0.25">
      <c r="B32" s="5">
        <f t="shared" si="1"/>
        <v>4.8000000000000098E-2</v>
      </c>
      <c r="C32" s="5">
        <f t="shared" si="0"/>
        <v>7.6844909517823998</v>
      </c>
      <c r="D32" s="5">
        <f t="shared" si="2"/>
        <v>0.99532006355299518</v>
      </c>
      <c r="E32" s="5">
        <f t="shared" si="3"/>
        <v>7.6844602351702624</v>
      </c>
      <c r="F32" s="5">
        <f t="shared" si="4"/>
        <v>7.6844602351702633</v>
      </c>
    </row>
    <row r="33" spans="2:6" x14ac:dyDescent="0.25">
      <c r="B33" s="5">
        <f t="shared" si="1"/>
        <v>8.0000000000000099E-2</v>
      </c>
      <c r="C33" s="5">
        <f t="shared" si="0"/>
        <v>7.7058331264</v>
      </c>
      <c r="D33" s="5">
        <f t="shared" si="2"/>
        <v>0.99840851434459943</v>
      </c>
      <c r="E33" s="5">
        <f t="shared" si="3"/>
        <v>7.7058023566754859</v>
      </c>
      <c r="F33" s="5">
        <f t="shared" si="4"/>
        <v>7.7058023566754867</v>
      </c>
    </row>
    <row r="34" spans="2:6" x14ac:dyDescent="0.25">
      <c r="B34" s="5">
        <f t="shared" si="1"/>
        <v>0.1120000000000001</v>
      </c>
      <c r="C34" s="5">
        <f t="shared" si="0"/>
        <v>7.7159469935615999</v>
      </c>
      <c r="D34" s="5">
        <f t="shared" si="2"/>
        <v>0.99987210376794078</v>
      </c>
      <c r="E34" s="5">
        <f t="shared" si="3"/>
        <v>7.7159161986676015</v>
      </c>
      <c r="F34" s="5">
        <f t="shared" si="4"/>
        <v>7.7159161986676024</v>
      </c>
    </row>
    <row r="35" spans="2:6" x14ac:dyDescent="0.25">
      <c r="B35" s="5">
        <f t="shared" si="1"/>
        <v>0.1440000000000001</v>
      </c>
      <c r="C35" s="5">
        <f t="shared" si="0"/>
        <v>7.7147523765247996</v>
      </c>
      <c r="D35" s="5">
        <f t="shared" si="2"/>
        <v>0.99969922935382527</v>
      </c>
      <c r="E35" s="5">
        <f t="shared" si="3"/>
        <v>7.7147215846037387</v>
      </c>
      <c r="F35" s="5">
        <f t="shared" si="4"/>
        <v>7.7147215846037396</v>
      </c>
    </row>
    <row r="36" spans="2:6" x14ac:dyDescent="0.25">
      <c r="B36" s="5">
        <f t="shared" si="1"/>
        <v>0.1760000000000001</v>
      </c>
      <c r="C36" s="5">
        <f t="shared" si="0"/>
        <v>7.7021690985471993</v>
      </c>
      <c r="D36" s="5">
        <f t="shared" si="2"/>
        <v>0.99787828863305883</v>
      </c>
      <c r="E36" s="5">
        <f t="shared" si="3"/>
        <v>7.7021383379410269</v>
      </c>
      <c r="F36" s="5">
        <f t="shared" si="4"/>
        <v>7.7021383379410278</v>
      </c>
    </row>
    <row r="37" spans="2:6" x14ac:dyDescent="0.25">
      <c r="B37" s="5">
        <f t="shared" si="1"/>
        <v>0.2080000000000001</v>
      </c>
      <c r="C37" s="5">
        <f t="shared" si="0"/>
        <v>7.6781169828864</v>
      </c>
      <c r="D37" s="5">
        <f t="shared" si="2"/>
        <v>0.99439767913644761</v>
      </c>
      <c r="E37" s="5">
        <f t="shared" si="3"/>
        <v>7.6780862821365936</v>
      </c>
      <c r="F37" s="5">
        <f t="shared" si="4"/>
        <v>7.6780862821365945</v>
      </c>
    </row>
    <row r="38" spans="2:6" x14ac:dyDescent="0.25">
      <c r="B38" s="5">
        <f t="shared" si="1"/>
        <v>0.2400000000000001</v>
      </c>
      <c r="C38" s="5">
        <f t="shared" si="0"/>
        <v>7.6425158527999999</v>
      </c>
      <c r="D38" s="5">
        <f t="shared" si="2"/>
        <v>0.98924579839479732</v>
      </c>
      <c r="E38" s="5">
        <f t="shared" si="3"/>
        <v>7.6424852406475683</v>
      </c>
      <c r="F38" s="5">
        <f t="shared" si="4"/>
        <v>7.6424852406475683</v>
      </c>
    </row>
    <row r="39" spans="2:6" x14ac:dyDescent="0.25">
      <c r="B39" s="5">
        <f t="shared" si="1"/>
        <v>0.27200000000000013</v>
      </c>
      <c r="C39" s="5">
        <f t="shared" si="0"/>
        <v>7.5952855315455992</v>
      </c>
      <c r="D39" s="5">
        <f t="shared" si="2"/>
        <v>0.9824110439389141</v>
      </c>
      <c r="E39" s="5">
        <f t="shared" si="3"/>
        <v>7.5952550369310785</v>
      </c>
      <c r="F39" s="5">
        <f t="shared" si="4"/>
        <v>7.5952550369310794</v>
      </c>
    </row>
    <row r="40" spans="2:6" x14ac:dyDescent="0.25">
      <c r="B40" s="5">
        <f t="shared" si="1"/>
        <v>0.30400000000000016</v>
      </c>
      <c r="C40" s="5">
        <f t="shared" si="0"/>
        <v>7.5363458423807996</v>
      </c>
      <c r="D40" s="5">
        <f t="shared" si="2"/>
        <v>0.97388181329960422</v>
      </c>
      <c r="E40" s="5">
        <f t="shared" si="3"/>
        <v>7.5363154944442554</v>
      </c>
      <c r="F40" s="5">
        <f t="shared" si="4"/>
        <v>7.5363154944442554</v>
      </c>
    </row>
    <row r="41" spans="2:6" x14ac:dyDescent="0.25">
      <c r="B41" s="5">
        <f t="shared" si="1"/>
        <v>0.33600000000000019</v>
      </c>
      <c r="C41" s="5">
        <f t="shared" si="0"/>
        <v>7.4656166085631996</v>
      </c>
      <c r="D41" s="5">
        <f t="shared" si="2"/>
        <v>0.96364650400767338</v>
      </c>
      <c r="E41" s="5">
        <f t="shared" si="3"/>
        <v>7.4655864366442257</v>
      </c>
      <c r="F41" s="5">
        <f t="shared" si="4"/>
        <v>7.4655864366442257</v>
      </c>
    </row>
    <row r="42" spans="2:6" x14ac:dyDescent="0.25">
      <c r="B42" s="5">
        <f t="shared" si="1"/>
        <v>0.36800000000000022</v>
      </c>
      <c r="C42" s="5">
        <f t="shared" si="0"/>
        <v>7.3830176533503993</v>
      </c>
      <c r="D42" s="5">
        <f t="shared" si="2"/>
        <v>0.95169351359392762</v>
      </c>
      <c r="E42" s="5">
        <f t="shared" si="3"/>
        <v>7.3829876869881179</v>
      </c>
      <c r="F42" s="5">
        <f t="shared" si="4"/>
        <v>7.3829876869881188</v>
      </c>
    </row>
    <row r="43" spans="2:6" x14ac:dyDescent="0.25">
      <c r="B43" s="5">
        <f t="shared" si="1"/>
        <v>0.40000000000000024</v>
      </c>
      <c r="C43" s="5">
        <f t="shared" si="0"/>
        <v>7.2884687999999986</v>
      </c>
      <c r="D43" s="5">
        <f t="shared" si="2"/>
        <v>0.93801123958917298</v>
      </c>
      <c r="E43" s="5">
        <f t="shared" si="3"/>
        <v>7.2884390689330623</v>
      </c>
      <c r="F43" s="5">
        <f t="shared" si="4"/>
        <v>7.2884390689330631</v>
      </c>
    </row>
    <row r="44" spans="2:6" x14ac:dyDescent="0.25">
      <c r="B44" s="5">
        <f t="shared" si="1"/>
        <v>0.43200000000000027</v>
      </c>
      <c r="C44" s="5">
        <f t="shared" si="0"/>
        <v>7.1818898717695987</v>
      </c>
      <c r="D44" s="5">
        <f t="shared" si="2"/>
        <v>0.92258807952421551</v>
      </c>
      <c r="E44" s="5">
        <f t="shared" si="3"/>
        <v>7.1818604059361864</v>
      </c>
      <c r="F44" s="5">
        <f t="shared" si="4"/>
        <v>7.1818604059361881</v>
      </c>
    </row>
    <row r="45" spans="2:6" x14ac:dyDescent="0.25">
      <c r="B45" s="5">
        <f t="shared" si="1"/>
        <v>0.4640000000000003</v>
      </c>
      <c r="C45" s="5">
        <f t="shared" si="0"/>
        <v>7.0632006919167987</v>
      </c>
      <c r="D45" s="5">
        <f t="shared" si="2"/>
        <v>0.90541243092986134</v>
      </c>
      <c r="E45" s="5">
        <f t="shared" si="3"/>
        <v>7.0631715214546213</v>
      </c>
      <c r="F45" s="5">
        <f t="shared" si="4"/>
        <v>7.0631715214546213</v>
      </c>
    </row>
    <row r="46" spans="2:6" x14ac:dyDescent="0.25">
      <c r="B46" s="5">
        <f t="shared" si="1"/>
        <v>0.49600000000000033</v>
      </c>
      <c r="C46" s="5">
        <f t="shared" si="0"/>
        <v>6.9323210836991986</v>
      </c>
      <c r="D46" s="5">
        <f t="shared" si="2"/>
        <v>0.8864726913369162</v>
      </c>
      <c r="E46" s="5">
        <f t="shared" si="3"/>
        <v>6.9322922389454922</v>
      </c>
      <c r="F46" s="5">
        <f t="shared" si="4"/>
        <v>6.9322922389454931</v>
      </c>
    </row>
    <row r="47" spans="2:6" x14ac:dyDescent="0.25">
      <c r="B47" s="5">
        <f t="shared" si="1"/>
        <v>0.52800000000000036</v>
      </c>
      <c r="C47" s="5">
        <f t="shared" si="0"/>
        <v>6.7891708703743987</v>
      </c>
      <c r="D47" s="5">
        <f t="shared" si="2"/>
        <v>0.86575725827618633</v>
      </c>
      <c r="E47" s="5">
        <f t="shared" si="3"/>
        <v>6.78914238186593</v>
      </c>
      <c r="F47" s="5">
        <f t="shared" si="4"/>
        <v>6.7891423818659309</v>
      </c>
    </row>
    <row r="48" spans="2:6" x14ac:dyDescent="0.25">
      <c r="B48" s="5">
        <f t="shared" si="1"/>
        <v>0.56000000000000039</v>
      </c>
      <c r="C48" s="5">
        <f t="shared" si="0"/>
        <v>6.6336698751999981</v>
      </c>
      <c r="D48" s="5">
        <f t="shared" si="2"/>
        <v>0.84325452927847744</v>
      </c>
      <c r="E48" s="5">
        <f t="shared" si="3"/>
        <v>6.6336417736730624</v>
      </c>
      <c r="F48" s="5">
        <f t="shared" si="4"/>
        <v>6.6336417736730633</v>
      </c>
    </row>
    <row r="49" spans="2:6" x14ac:dyDescent="0.25">
      <c r="B49" s="5">
        <f t="shared" si="1"/>
        <v>0.59200000000000041</v>
      </c>
      <c r="C49" s="5">
        <f t="shared" si="0"/>
        <v>6.4657379214335968</v>
      </c>
      <c r="D49" s="5">
        <f t="shared" si="2"/>
        <v>0.81895290187459568</v>
      </c>
      <c r="E49" s="5">
        <f t="shared" si="3"/>
        <v>6.4657102378240188</v>
      </c>
      <c r="F49" s="5">
        <f t="shared" si="4"/>
        <v>6.4657102378240205</v>
      </c>
    </row>
    <row r="50" spans="2:6" x14ac:dyDescent="0.25">
      <c r="B50" s="5">
        <f t="shared" si="1"/>
        <v>0.62400000000000044</v>
      </c>
      <c r="C50" s="5">
        <f t="shared" ref="C50:C68" si="5">$G$3*B50^3+$G$4*B50^2+$G$5*B50+$G$6</f>
        <v>6.2852948323327968</v>
      </c>
      <c r="D50" s="5">
        <f t="shared" si="2"/>
        <v>0.79284077359534733</v>
      </c>
      <c r="E50" s="5">
        <f t="shared" si="3"/>
        <v>6.2852675977759285</v>
      </c>
      <c r="F50" s="5">
        <f t="shared" si="4"/>
        <v>6.2852675977759302</v>
      </c>
    </row>
    <row r="51" spans="2:6" x14ac:dyDescent="0.25">
      <c r="B51" s="5">
        <f t="shared" ref="B51:B68" si="6">($C$8-$C$7)*0.02+B50</f>
        <v>0.65600000000000047</v>
      </c>
      <c r="C51" s="5">
        <f t="shared" si="5"/>
        <v>6.0922604311551964</v>
      </c>
      <c r="D51" s="5">
        <f t="shared" si="2"/>
        <v>0.76490654197153807</v>
      </c>
      <c r="E51" s="5">
        <f t="shared" si="3"/>
        <v>6.0922336769859191</v>
      </c>
      <c r="F51" s="5">
        <f t="shared" si="4"/>
        <v>6.0922336769859218</v>
      </c>
    </row>
    <row r="52" spans="2:6" x14ac:dyDescent="0.25">
      <c r="B52" s="5">
        <f t="shared" si="6"/>
        <v>0.6880000000000005</v>
      </c>
      <c r="C52" s="5">
        <f t="shared" si="5"/>
        <v>5.8865545411583966</v>
      </c>
      <c r="D52" s="5">
        <f t="shared" si="2"/>
        <v>0.73513860453397417</v>
      </c>
      <c r="E52" s="5">
        <f t="shared" si="3"/>
        <v>5.8865282989111218</v>
      </c>
      <c r="F52" s="5">
        <f t="shared" si="4"/>
        <v>5.8865282989111218</v>
      </c>
    </row>
    <row r="53" spans="2:6" x14ac:dyDescent="0.25">
      <c r="B53" s="5">
        <f t="shared" si="6"/>
        <v>0.72000000000000053</v>
      </c>
      <c r="C53" s="5">
        <f t="shared" si="5"/>
        <v>5.6680969855999965</v>
      </c>
      <c r="D53" s="5">
        <f t="shared" si="2"/>
        <v>0.70352535881346134</v>
      </c>
      <c r="E53" s="5">
        <f t="shared" si="3"/>
        <v>5.6680712870086616</v>
      </c>
      <c r="F53" s="5">
        <f t="shared" si="4"/>
        <v>5.6680712870086625</v>
      </c>
    </row>
    <row r="54" spans="2:6" x14ac:dyDescent="0.25">
      <c r="B54" s="5">
        <f t="shared" si="6"/>
        <v>0.75200000000000056</v>
      </c>
      <c r="C54" s="5">
        <f t="shared" si="5"/>
        <v>5.4368075877375954</v>
      </c>
      <c r="D54" s="5">
        <f t="shared" si="2"/>
        <v>0.67005520234080562</v>
      </c>
      <c r="E54" s="5">
        <f t="shared" si="3"/>
        <v>5.4367824647356695</v>
      </c>
      <c r="F54" s="5">
        <f t="shared" si="4"/>
        <v>5.4367824647356713</v>
      </c>
    </row>
    <row r="55" spans="2:6" x14ac:dyDescent="0.25">
      <c r="B55" s="5">
        <f t="shared" si="6"/>
        <v>0.78400000000000059</v>
      </c>
      <c r="C55" s="5">
        <f t="shared" si="5"/>
        <v>5.1926061708287952</v>
      </c>
      <c r="D55" s="5">
        <f t="shared" si="2"/>
        <v>0.63471653264681327</v>
      </c>
      <c r="E55" s="5">
        <f t="shared" si="3"/>
        <v>5.1925816555492741</v>
      </c>
      <c r="F55" s="5">
        <f t="shared" si="4"/>
        <v>5.192581655549275</v>
      </c>
    </row>
    <row r="56" spans="2:6" x14ac:dyDescent="0.25">
      <c r="B56" s="5">
        <f t="shared" si="6"/>
        <v>0.81600000000000061</v>
      </c>
      <c r="C56" s="5">
        <f t="shared" si="5"/>
        <v>4.9354125581311949</v>
      </c>
      <c r="D56" s="5">
        <f t="shared" si="2"/>
        <v>0.59749774726229021</v>
      </c>
      <c r="E56" s="5">
        <f t="shared" si="3"/>
        <v>4.9353886829066038</v>
      </c>
      <c r="F56" s="5">
        <f t="shared" si="4"/>
        <v>4.9353886829066047</v>
      </c>
    </row>
    <row r="57" spans="2:6" x14ac:dyDescent="0.25">
      <c r="B57" s="5">
        <f t="shared" si="6"/>
        <v>0.84800000000000064</v>
      </c>
      <c r="C57" s="5">
        <f t="shared" si="5"/>
        <v>4.6651465729023949</v>
      </c>
      <c r="D57" s="5">
        <f t="shared" si="2"/>
        <v>0.55838724371804227</v>
      </c>
      <c r="E57" s="5">
        <f t="shared" si="3"/>
        <v>4.6651233702647881</v>
      </c>
      <c r="F57" s="5">
        <f t="shared" si="4"/>
        <v>4.6651233702647872</v>
      </c>
    </row>
    <row r="58" spans="2:6" x14ac:dyDescent="0.25">
      <c r="B58" s="5">
        <f t="shared" si="6"/>
        <v>0.88000000000000067</v>
      </c>
      <c r="C58" s="5">
        <f t="shared" si="5"/>
        <v>4.3817280383999933</v>
      </c>
      <c r="D58" s="5">
        <f t="shared" si="2"/>
        <v>0.51737341954487548</v>
      </c>
      <c r="E58" s="5">
        <f t="shared" si="3"/>
        <v>4.3817055410809536</v>
      </c>
      <c r="F58" s="5">
        <f t="shared" si="4"/>
        <v>4.3817055410809536</v>
      </c>
    </row>
    <row r="59" spans="2:6" x14ac:dyDescent="0.25">
      <c r="B59" s="5">
        <f t="shared" si="6"/>
        <v>0.9120000000000007</v>
      </c>
      <c r="C59" s="5">
        <f t="shared" si="5"/>
        <v>4.0850767778815937</v>
      </c>
      <c r="D59" s="5">
        <f t="shared" si="2"/>
        <v>0.47444467227359616</v>
      </c>
      <c r="E59" s="5">
        <f t="shared" si="3"/>
        <v>4.0850550188122314</v>
      </c>
      <c r="F59" s="5">
        <f t="shared" si="4"/>
        <v>4.0850550188122305</v>
      </c>
    </row>
    <row r="60" spans="2:6" x14ac:dyDescent="0.25">
      <c r="B60" s="5">
        <f t="shared" si="6"/>
        <v>0.94400000000000073</v>
      </c>
      <c r="C60" s="5">
        <f t="shared" si="5"/>
        <v>3.7751126146047937</v>
      </c>
      <c r="D60" s="5">
        <f t="shared" si="2"/>
        <v>0.42958939943501001</v>
      </c>
      <c r="E60" s="5">
        <f t="shared" si="3"/>
        <v>3.7750916269157502</v>
      </c>
      <c r="F60" s="5">
        <f t="shared" si="4"/>
        <v>3.7750916269157493</v>
      </c>
    </row>
    <row r="61" spans="2:6" x14ac:dyDescent="0.25">
      <c r="B61" s="5">
        <f t="shared" si="6"/>
        <v>0.97600000000000076</v>
      </c>
      <c r="C61" s="5">
        <f t="shared" si="5"/>
        <v>3.4517553718271925</v>
      </c>
      <c r="D61" s="5">
        <f t="shared" si="2"/>
        <v>0.38279599855992297</v>
      </c>
      <c r="E61" s="5">
        <f t="shared" si="3"/>
        <v>3.4517351888486356</v>
      </c>
      <c r="F61" s="5">
        <f t="shared" si="4"/>
        <v>3.4517351888486365</v>
      </c>
    </row>
    <row r="62" spans="2:6" x14ac:dyDescent="0.25">
      <c r="B62" s="5">
        <f t="shared" si="6"/>
        <v>1.0080000000000007</v>
      </c>
      <c r="C62" s="5">
        <f t="shared" si="5"/>
        <v>3.1149248728063927</v>
      </c>
      <c r="D62" s="5">
        <f t="shared" si="2"/>
        <v>0.3340528671791414</v>
      </c>
      <c r="E62" s="5">
        <f t="shared" si="3"/>
        <v>3.1149055280680207</v>
      </c>
      <c r="F62" s="5">
        <f t="shared" si="4"/>
        <v>3.1149055280680216</v>
      </c>
    </row>
    <row r="63" spans="2:6" x14ac:dyDescent="0.25">
      <c r="B63" s="5">
        <f t="shared" si="6"/>
        <v>1.0400000000000007</v>
      </c>
      <c r="C63" s="5">
        <f t="shared" si="5"/>
        <v>2.7645409407999928</v>
      </c>
      <c r="D63" s="5">
        <f t="shared" si="2"/>
        <v>0.28334840282347112</v>
      </c>
      <c r="E63" s="5">
        <f t="shared" si="3"/>
        <v>2.7645224680310325</v>
      </c>
      <c r="F63" s="5">
        <f t="shared" si="4"/>
        <v>2.764522468031033</v>
      </c>
    </row>
    <row r="64" spans="2:6" x14ac:dyDescent="0.25">
      <c r="B64" s="5">
        <f t="shared" si="6"/>
        <v>1.0720000000000007</v>
      </c>
      <c r="C64" s="5">
        <f t="shared" si="5"/>
        <v>2.4005233990655919</v>
      </c>
      <c r="D64" s="5">
        <f t="shared" si="2"/>
        <v>0.23067100302371793</v>
      </c>
      <c r="E64" s="5">
        <f t="shared" si="3"/>
        <v>2.4005058321947983</v>
      </c>
      <c r="F64" s="5">
        <f t="shared" si="4"/>
        <v>2.4005058321947983</v>
      </c>
    </row>
    <row r="65" spans="2:6" x14ac:dyDescent="0.25">
      <c r="B65" s="5">
        <f t="shared" si="6"/>
        <v>1.1040000000000008</v>
      </c>
      <c r="C65" s="5">
        <f t="shared" si="5"/>
        <v>2.0227920708607909</v>
      </c>
      <c r="D65" s="5">
        <f t="shared" si="2"/>
        <v>0.17600906531068805</v>
      </c>
      <c r="E65" s="5">
        <f t="shared" si="3"/>
        <v>2.0227754440164478</v>
      </c>
      <c r="F65" s="5">
        <f t="shared" si="4"/>
        <v>2.0227754440164487</v>
      </c>
    </row>
    <row r="66" spans="2:6" x14ac:dyDescent="0.25">
      <c r="B66" s="5">
        <f t="shared" si="6"/>
        <v>1.1360000000000008</v>
      </c>
      <c r="C66" s="5">
        <f t="shared" si="5"/>
        <v>1.6312667794431901</v>
      </c>
      <c r="D66" s="5">
        <f t="shared" si="2"/>
        <v>0.11935098721518748</v>
      </c>
      <c r="E66" s="5">
        <f t="shared" si="3"/>
        <v>1.63125112695311</v>
      </c>
      <c r="F66" s="5">
        <f t="shared" si="4"/>
        <v>1.63125112695311</v>
      </c>
    </row>
    <row r="67" spans="2:6" x14ac:dyDescent="0.25">
      <c r="B67" s="5">
        <f t="shared" si="6"/>
        <v>1.1680000000000008</v>
      </c>
      <c r="C67" s="5">
        <f t="shared" si="5"/>
        <v>1.2258673480703903</v>
      </c>
      <c r="D67" s="5">
        <f t="shared" si="2"/>
        <v>6.068516626802236E-2</v>
      </c>
      <c r="E67" s="5">
        <f t="shared" si="3"/>
        <v>1.225852704461915</v>
      </c>
      <c r="F67" s="5">
        <f t="shared" si="4"/>
        <v>1.2258527044619143</v>
      </c>
    </row>
    <row r="68" spans="2:6" x14ac:dyDescent="0.25">
      <c r="B68" s="5">
        <f t="shared" si="6"/>
        <v>1.2000000000000008</v>
      </c>
      <c r="C68" s="5">
        <f t="shared" si="5"/>
        <v>0.80651359999998906</v>
      </c>
      <c r="D68" s="5">
        <f t="shared" si="2"/>
        <v>-1.6708812528834627E-15</v>
      </c>
      <c r="E68" s="5">
        <f t="shared" si="3"/>
        <v>0.80649999999998845</v>
      </c>
      <c r="F68" s="5">
        <f t="shared" si="4"/>
        <v>0.80649999999999</v>
      </c>
    </row>
  </sheetData>
  <mergeCells count="9">
    <mergeCell ref="I13:N13"/>
    <mergeCell ref="J2:K2"/>
    <mergeCell ref="F1:K1"/>
    <mergeCell ref="J6:K6"/>
    <mergeCell ref="B9:D9"/>
    <mergeCell ref="F8:G8"/>
    <mergeCell ref="F2:H2"/>
    <mergeCell ref="B2:D2"/>
    <mergeCell ref="B6:D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Y4" sqref="Y4:Y7"/>
    </sheetView>
  </sheetViews>
  <sheetFormatPr defaultRowHeight="15" x14ac:dyDescent="0.25"/>
  <cols>
    <col min="1" max="1" width="10.140625" customWidth="1"/>
    <col min="4" max="4" width="10" customWidth="1"/>
    <col min="5" max="5" width="5.42578125" customWidth="1"/>
    <col min="6" max="6" width="7.5703125" customWidth="1"/>
    <col min="17" max="17" width="11.140625" customWidth="1"/>
  </cols>
  <sheetData>
    <row r="1" spans="1:25" x14ac:dyDescent="0.25">
      <c r="A1" s="37" t="s">
        <v>61</v>
      </c>
    </row>
    <row r="2" spans="1:25" ht="15.75" thickBot="1" x14ac:dyDescent="0.3"/>
    <row r="3" spans="1:25" x14ac:dyDescent="0.25">
      <c r="A3" t="s">
        <v>1</v>
      </c>
      <c r="B3" s="48">
        <v>4</v>
      </c>
      <c r="C3" t="s">
        <v>2</v>
      </c>
      <c r="E3" t="s">
        <v>7</v>
      </c>
      <c r="G3" s="49">
        <v>-1</v>
      </c>
      <c r="H3" t="s">
        <v>18</v>
      </c>
      <c r="Q3" s="78" t="s">
        <v>45</v>
      </c>
      <c r="R3" s="79"/>
      <c r="S3" s="79"/>
      <c r="T3" s="79"/>
      <c r="U3" s="79"/>
      <c r="V3" s="80"/>
      <c r="X3" s="50" t="s">
        <v>62</v>
      </c>
      <c r="Y3" s="51"/>
    </row>
    <row r="4" spans="1:25" ht="31.5" customHeight="1" x14ac:dyDescent="0.25">
      <c r="A4" t="s">
        <v>0</v>
      </c>
      <c r="B4" s="49">
        <v>1.6</v>
      </c>
      <c r="C4" t="s">
        <v>2</v>
      </c>
      <c r="E4" t="s">
        <v>8</v>
      </c>
      <c r="G4" s="49">
        <v>0.8</v>
      </c>
      <c r="H4" t="s">
        <v>17</v>
      </c>
      <c r="Q4" s="31" t="s">
        <v>44</v>
      </c>
      <c r="R4" s="83" t="s">
        <v>63</v>
      </c>
      <c r="S4" s="83"/>
      <c r="T4" s="83"/>
      <c r="U4" s="83"/>
      <c r="V4" s="84"/>
      <c r="X4" s="59" t="s">
        <v>7</v>
      </c>
      <c r="Y4" s="52">
        <f>S11</f>
        <v>1.9269448191566427</v>
      </c>
    </row>
    <row r="5" spans="1:25" x14ac:dyDescent="0.25">
      <c r="A5" t="s">
        <v>3</v>
      </c>
      <c r="B5" s="49">
        <f>0.05*T9</f>
        <v>1.1250000000000001E-2</v>
      </c>
      <c r="C5" t="s">
        <v>5</v>
      </c>
      <c r="E5" t="s">
        <v>9</v>
      </c>
      <c r="G5" s="49">
        <v>1</v>
      </c>
      <c r="H5" t="s">
        <v>16</v>
      </c>
      <c r="Q5" s="7"/>
      <c r="R5" s="8" t="s">
        <v>46</v>
      </c>
      <c r="S5" s="81" t="s">
        <v>64</v>
      </c>
      <c r="T5" s="81"/>
      <c r="U5" s="81"/>
      <c r="V5" s="82"/>
      <c r="X5" s="59" t="s">
        <v>8</v>
      </c>
      <c r="Y5" s="52">
        <f>U11</f>
        <v>-5.1642121153398017</v>
      </c>
    </row>
    <row r="6" spans="1:25" x14ac:dyDescent="0.25">
      <c r="A6" t="s">
        <v>4</v>
      </c>
      <c r="B6">
        <f>1.2*T9</f>
        <v>0.27</v>
      </c>
      <c r="C6" t="s">
        <v>5</v>
      </c>
      <c r="Q6" s="7"/>
      <c r="R6" s="54" t="s">
        <v>48</v>
      </c>
      <c r="S6" s="14">
        <f>INDEX(LINEST(XVals,YVals^{1,2,3}),1)</f>
        <v>169.16936683954063</v>
      </c>
      <c r="T6" s="54" t="s">
        <v>49</v>
      </c>
      <c r="U6" s="14">
        <f>INDEX(LINEST(XVals,YVals^{1,2,3}),1,2)</f>
        <v>-102.009128204243</v>
      </c>
      <c r="V6" s="28"/>
      <c r="X6" s="59" t="s">
        <v>9</v>
      </c>
      <c r="Y6" s="52">
        <f>S12</f>
        <v>1.5213229347241675</v>
      </c>
    </row>
    <row r="7" spans="1:25" ht="15.75" thickBot="1" x14ac:dyDescent="0.3">
      <c r="Q7" s="10"/>
      <c r="R7" s="55" t="s">
        <v>50</v>
      </c>
      <c r="S7" s="14">
        <f>INDEX(LINEST(XVals,YVals^{1,2,3}),1,3)</f>
        <v>6.7614352654407446</v>
      </c>
      <c r="T7" s="55" t="s">
        <v>51</v>
      </c>
      <c r="U7" s="14">
        <f>INDEX(LINEST(XVals,YVals^{1,2,3}),1,4)</f>
        <v>3.8811172769176352</v>
      </c>
      <c r="V7" s="29"/>
      <c r="X7" s="60" t="s">
        <v>21</v>
      </c>
      <c r="Y7" s="53">
        <f>U12</f>
        <v>3.8811172769176352</v>
      </c>
    </row>
    <row r="8" spans="1:25" x14ac:dyDescent="0.25">
      <c r="D8" t="s">
        <v>11</v>
      </c>
      <c r="E8" s="1">
        <f>MIN(C11:C44)</f>
        <v>0</v>
      </c>
      <c r="F8" s="1"/>
      <c r="Q8" s="26" t="s">
        <v>47</v>
      </c>
      <c r="R8" s="85" t="s">
        <v>65</v>
      </c>
      <c r="S8" s="85"/>
      <c r="T8" s="85"/>
      <c r="U8" s="85"/>
      <c r="V8" s="86"/>
    </row>
    <row r="9" spans="1:25" x14ac:dyDescent="0.25">
      <c r="D9" t="s">
        <v>12</v>
      </c>
      <c r="E9" s="5">
        <f>MAX(C11:C44)</f>
        <v>0.81893313298271997</v>
      </c>
      <c r="F9" s="5"/>
      <c r="Q9" s="10"/>
      <c r="R9" s="11" t="s">
        <v>46</v>
      </c>
      <c r="S9" s="56" t="s">
        <v>66</v>
      </c>
      <c r="T9" s="58">
        <f>0.45/2</f>
        <v>0.22500000000000001</v>
      </c>
      <c r="U9" s="57" t="s">
        <v>54</v>
      </c>
      <c r="V9" s="12"/>
    </row>
    <row r="10" spans="1:25" x14ac:dyDescent="0.25">
      <c r="B10" t="s">
        <v>15</v>
      </c>
      <c r="C10" t="s">
        <v>10</v>
      </c>
      <c r="D10" t="s">
        <v>14</v>
      </c>
      <c r="F10" t="s">
        <v>6</v>
      </c>
      <c r="G10" t="s">
        <v>13</v>
      </c>
      <c r="Q10" s="30" t="s">
        <v>52</v>
      </c>
      <c r="R10" s="87" t="s">
        <v>67</v>
      </c>
      <c r="S10" s="87"/>
      <c r="T10" s="87"/>
      <c r="U10" s="87"/>
      <c r="V10" s="88"/>
    </row>
    <row r="11" spans="1:25" ht="17.25" x14ac:dyDescent="0.25">
      <c r="A11" t="s">
        <v>3</v>
      </c>
      <c r="B11" s="2">
        <v>0</v>
      </c>
      <c r="C11" s="1">
        <f>((1-B11)*$G$5+(1-B11)*(1-B11)*$G$4+(1-B11)*(1-B11)*(1-B11)*$G$3)</f>
        <v>0.8</v>
      </c>
      <c r="D11" s="2">
        <f>(C11-$E$8)/($E$9-$E$8)</f>
        <v>0.97688073394495389</v>
      </c>
      <c r="E11" s="46"/>
      <c r="F11" s="1">
        <f>$B$5+B11*($B$6-$B$5)</f>
        <v>1.1250000000000001E-2</v>
      </c>
      <c r="G11">
        <f t="shared" ref="G11:G44" si="0">$B$4+($B$3-$B$4)*D11</f>
        <v>3.9445137614678893</v>
      </c>
      <c r="Q11" s="7"/>
      <c r="R11" s="34" t="s">
        <v>56</v>
      </c>
      <c r="S11" s="32">
        <f>S6*T9^3</f>
        <v>1.9269448191566427</v>
      </c>
      <c r="T11" s="34" t="s">
        <v>57</v>
      </c>
      <c r="U11" s="32">
        <f>U6*T9^2</f>
        <v>-5.1642121153398017</v>
      </c>
      <c r="V11" s="9"/>
    </row>
    <row r="12" spans="1:25" x14ac:dyDescent="0.25">
      <c r="B12" s="2">
        <f t="shared" ref="B12:B38" si="1">($B$44-$B$11)/33+B11</f>
        <v>3.0303030303030304E-2</v>
      </c>
      <c r="C12" s="1">
        <f t="shared" ref="C12:C44" si="2">((1-B12)*$G$5+(1-B12)*(1-B12)*$G$4+(1-B12)*(1-B12)*(1-B12)*$G$3)</f>
        <v>0.81012883657511758</v>
      </c>
      <c r="D12" s="2">
        <f t="shared" ref="D12:D44" si="3">(C12-$E$8)/($E$9-$E$8)</f>
        <v>0.98924906557934056</v>
      </c>
      <c r="E12" s="46"/>
      <c r="F12" s="1">
        <f t="shared" ref="F12:F44" si="4">$B$5+B12*($B$6-$B$5)</f>
        <v>1.9090909090909096E-2</v>
      </c>
      <c r="G12">
        <f t="shared" si="0"/>
        <v>3.9741977573904173</v>
      </c>
      <c r="Q12" s="10"/>
      <c r="R12" s="35" t="s">
        <v>58</v>
      </c>
      <c r="S12" s="33">
        <f>S7*T9</f>
        <v>1.5213229347241675</v>
      </c>
      <c r="T12" s="35" t="s">
        <v>51</v>
      </c>
      <c r="U12" s="33">
        <f>U7</f>
        <v>3.8811172769176352</v>
      </c>
      <c r="V12" s="12"/>
    </row>
    <row r="13" spans="1:25" x14ac:dyDescent="0.25">
      <c r="B13" s="2">
        <f t="shared" si="1"/>
        <v>6.0606060606060608E-2</v>
      </c>
      <c r="C13" s="1">
        <f t="shared" si="2"/>
        <v>0.81638422795447596</v>
      </c>
      <c r="D13" s="2">
        <f t="shared" si="3"/>
        <v>0.99688752973156625</v>
      </c>
      <c r="E13" s="46"/>
      <c r="F13" s="1">
        <f t="shared" si="4"/>
        <v>2.6931818181818189E-2</v>
      </c>
      <c r="G13">
        <f t="shared" si="0"/>
        <v>3.992530071355759</v>
      </c>
    </row>
    <row r="14" spans="1:25" ht="30" x14ac:dyDescent="0.25">
      <c r="B14" s="2">
        <f t="shared" si="1"/>
        <v>9.0909090909090912E-2</v>
      </c>
      <c r="C14" s="1">
        <f t="shared" si="2"/>
        <v>0.81893313298271997</v>
      </c>
      <c r="D14" s="2">
        <f t="shared" si="3"/>
        <v>1</v>
      </c>
      <c r="E14" s="46"/>
      <c r="F14" s="1">
        <f t="shared" si="4"/>
        <v>3.4772727272727275E-2</v>
      </c>
      <c r="G14">
        <f t="shared" si="0"/>
        <v>4</v>
      </c>
      <c r="Q14" s="27" t="s">
        <v>53</v>
      </c>
      <c r="R14" s="36" t="s">
        <v>13</v>
      </c>
      <c r="S14" s="6" t="s">
        <v>55</v>
      </c>
    </row>
    <row r="15" spans="1:25" x14ac:dyDescent="0.25">
      <c r="B15" s="2">
        <f t="shared" si="1"/>
        <v>0.12121212121212122</v>
      </c>
      <c r="C15" s="1">
        <f t="shared" si="2"/>
        <v>0.81794251050449407</v>
      </c>
      <c r="D15" s="2">
        <f t="shared" si="3"/>
        <v>0.99879034998301042</v>
      </c>
      <c r="E15" s="46"/>
      <c r="F15" s="1">
        <f t="shared" si="4"/>
        <v>4.2613636363636374E-2</v>
      </c>
      <c r="G15">
        <f t="shared" si="0"/>
        <v>3.9970968399592248</v>
      </c>
      <c r="Q15">
        <f>B5/T9</f>
        <v>0.05</v>
      </c>
      <c r="R15">
        <f t="shared" ref="R15:R45" si="5">$S$11*Q15^3+$U$11*Q15^2+$S$12*Q15+$U$12</f>
        <v>3.9445137614678885</v>
      </c>
      <c r="S15">
        <f>Q15*$T$9</f>
        <v>1.1250000000000001E-2</v>
      </c>
    </row>
    <row r="16" spans="1:25" x14ac:dyDescent="0.25">
      <c r="B16" s="2">
        <f t="shared" si="1"/>
        <v>0.15151515151515152</v>
      </c>
      <c r="C16" s="1">
        <f t="shared" si="2"/>
        <v>0.8135793193644435</v>
      </c>
      <c r="D16" s="2">
        <f t="shared" si="3"/>
        <v>0.99346245327896698</v>
      </c>
      <c r="E16" s="46"/>
      <c r="F16" s="1">
        <f t="shared" si="4"/>
        <v>5.0454545454545467E-2</v>
      </c>
      <c r="G16">
        <f t="shared" si="0"/>
        <v>3.9843098878695207</v>
      </c>
      <c r="Q16">
        <f t="shared" ref="Q16:Q45" si="6">Q15+(($B$6-$B$5)/30)/$T$9</f>
        <v>8.8333333333333347E-2</v>
      </c>
      <c r="R16">
        <f t="shared" si="5"/>
        <v>3.9765337410805288</v>
      </c>
      <c r="S16">
        <f t="shared" ref="S16:S45" si="7">Q16*$T$9</f>
        <v>1.9875000000000004E-2</v>
      </c>
    </row>
    <row r="17" spans="2:19" x14ac:dyDescent="0.25">
      <c r="B17" s="2">
        <f t="shared" si="1"/>
        <v>0.18181818181818182</v>
      </c>
      <c r="C17" s="1">
        <f t="shared" si="2"/>
        <v>0.80601051840721272</v>
      </c>
      <c r="D17" s="2">
        <f t="shared" si="3"/>
        <v>0.98422018348623841</v>
      </c>
      <c r="E17" s="46"/>
      <c r="F17" s="1">
        <f t="shared" si="4"/>
        <v>5.8295454545454553E-2</v>
      </c>
      <c r="G17">
        <f t="shared" si="0"/>
        <v>3.9621284403669721</v>
      </c>
      <c r="Q17">
        <f t="shared" si="6"/>
        <v>0.12666666666666668</v>
      </c>
      <c r="R17">
        <f t="shared" si="5"/>
        <v>3.9948773904179395</v>
      </c>
      <c r="S17">
        <f t="shared" si="7"/>
        <v>2.8500000000000004E-2</v>
      </c>
    </row>
    <row r="18" spans="2:19" x14ac:dyDescent="0.25">
      <c r="B18" s="2">
        <f t="shared" si="1"/>
        <v>0.21212121212121213</v>
      </c>
      <c r="C18" s="1">
        <f t="shared" si="2"/>
        <v>0.79540306647744674</v>
      </c>
      <c r="D18" s="2">
        <f t="shared" si="3"/>
        <v>0.97126741420319385</v>
      </c>
      <c r="E18" s="46"/>
      <c r="F18" s="1">
        <f t="shared" si="4"/>
        <v>6.6136363636363646E-2</v>
      </c>
      <c r="G18">
        <f t="shared" si="0"/>
        <v>3.9310417940876654</v>
      </c>
      <c r="Q18">
        <f t="shared" si="6"/>
        <v>0.16500000000000001</v>
      </c>
      <c r="R18">
        <f t="shared" si="5"/>
        <v>4.0001959633027511</v>
      </c>
      <c r="S18">
        <f t="shared" si="7"/>
        <v>3.7125000000000005E-2</v>
      </c>
    </row>
    <row r="19" spans="2:19" x14ac:dyDescent="0.25">
      <c r="B19" s="2">
        <f t="shared" si="1"/>
        <v>0.24242424242424243</v>
      </c>
      <c r="C19" s="1">
        <f t="shared" si="2"/>
        <v>0.78192392241979025</v>
      </c>
      <c r="D19" s="2">
        <f t="shared" si="3"/>
        <v>0.95480801902820234</v>
      </c>
      <c r="E19" s="46"/>
      <c r="F19" s="1">
        <f t="shared" si="4"/>
        <v>7.3977272727272739E-2</v>
      </c>
      <c r="G19">
        <f t="shared" si="0"/>
        <v>3.8915392456676856</v>
      </c>
      <c r="Q19">
        <f t="shared" si="6"/>
        <v>0.20333333333333334</v>
      </c>
      <c r="R19">
        <f t="shared" si="5"/>
        <v>3.9931407135575925</v>
      </c>
      <c r="S19">
        <f t="shared" si="7"/>
        <v>4.5749999999999999E-2</v>
      </c>
    </row>
    <row r="20" spans="2:19" x14ac:dyDescent="0.25">
      <c r="B20" s="2">
        <f t="shared" si="1"/>
        <v>0.27272727272727271</v>
      </c>
      <c r="C20" s="1">
        <f t="shared" si="2"/>
        <v>0.76574004507888815</v>
      </c>
      <c r="D20" s="2">
        <f t="shared" si="3"/>
        <v>0.93504587155963292</v>
      </c>
      <c r="E20" s="46"/>
      <c r="F20" s="1">
        <f t="shared" si="4"/>
        <v>8.1818181818181818E-2</v>
      </c>
      <c r="G20">
        <f t="shared" si="0"/>
        <v>3.844110091743119</v>
      </c>
      <c r="Q20">
        <f t="shared" si="6"/>
        <v>0.24166666666666667</v>
      </c>
      <c r="R20">
        <f t="shared" si="5"/>
        <v>3.9743628950050951</v>
      </c>
      <c r="S20">
        <f t="shared" si="7"/>
        <v>5.4375E-2</v>
      </c>
    </row>
    <row r="21" spans="2:19" x14ac:dyDescent="0.25">
      <c r="B21" s="2">
        <f t="shared" si="1"/>
        <v>0.30303030303030298</v>
      </c>
      <c r="C21" s="1">
        <f t="shared" si="2"/>
        <v>0.74701839329938524</v>
      </c>
      <c r="D21" s="2">
        <f t="shared" si="3"/>
        <v>0.91218484539585454</v>
      </c>
      <c r="E21" s="46"/>
      <c r="F21" s="1">
        <f t="shared" si="4"/>
        <v>8.9659090909090911E-2</v>
      </c>
      <c r="G21">
        <f t="shared" si="0"/>
        <v>3.7892436289500511</v>
      </c>
      <c r="Q21">
        <f t="shared" si="6"/>
        <v>0.28000000000000003</v>
      </c>
      <c r="R21">
        <f t="shared" si="5"/>
        <v>3.9445137614678885</v>
      </c>
      <c r="S21">
        <f t="shared" si="7"/>
        <v>6.3000000000000014E-2</v>
      </c>
    </row>
    <row r="22" spans="2:19" x14ac:dyDescent="0.25">
      <c r="B22" s="2">
        <f t="shared" si="1"/>
        <v>0.33333333333333326</v>
      </c>
      <c r="C22" s="1">
        <f t="shared" si="2"/>
        <v>0.72592592592592597</v>
      </c>
      <c r="D22" s="2">
        <f t="shared" si="3"/>
        <v>0.886428814135236</v>
      </c>
      <c r="E22" s="46"/>
      <c r="F22" s="1">
        <f t="shared" si="4"/>
        <v>9.7499999999999989E-2</v>
      </c>
      <c r="G22">
        <f t="shared" si="0"/>
        <v>3.7274291539245663</v>
      </c>
      <c r="Q22">
        <f t="shared" si="6"/>
        <v>0.31833333333333336</v>
      </c>
      <c r="R22">
        <f t="shared" si="5"/>
        <v>3.9042445667686017</v>
      </c>
      <c r="S22">
        <f t="shared" si="7"/>
        <v>7.1625000000000008E-2</v>
      </c>
    </row>
    <row r="23" spans="2:19" x14ac:dyDescent="0.25">
      <c r="B23" s="2">
        <f t="shared" si="1"/>
        <v>0.36363636363636354</v>
      </c>
      <c r="C23" s="1">
        <f t="shared" si="2"/>
        <v>0.7026296018031557</v>
      </c>
      <c r="D23" s="2">
        <f t="shared" si="3"/>
        <v>0.85798165137614679</v>
      </c>
      <c r="E23" s="46"/>
      <c r="F23" s="1">
        <f t="shared" si="4"/>
        <v>0.10534090909090907</v>
      </c>
      <c r="G23">
        <f t="shared" si="0"/>
        <v>3.6591559633027524</v>
      </c>
      <c r="Q23">
        <f t="shared" si="6"/>
        <v>0.35666666666666669</v>
      </c>
      <c r="R23">
        <f t="shared" si="5"/>
        <v>3.8542065647298656</v>
      </c>
      <c r="S23">
        <f t="shared" si="7"/>
        <v>8.0250000000000002E-2</v>
      </c>
    </row>
    <row r="24" spans="2:19" x14ac:dyDescent="0.25">
      <c r="B24" s="2">
        <f t="shared" si="1"/>
        <v>0.39393939393939381</v>
      </c>
      <c r="C24" s="1">
        <f t="shared" si="2"/>
        <v>0.67729637977571877</v>
      </c>
      <c r="D24" s="2">
        <f t="shared" si="3"/>
        <v>0.82704723071695552</v>
      </c>
      <c r="E24" s="46"/>
      <c r="F24" s="1">
        <f t="shared" si="4"/>
        <v>0.11318181818181816</v>
      </c>
      <c r="G24">
        <f t="shared" si="0"/>
        <v>3.584913353720693</v>
      </c>
      <c r="Q24">
        <f t="shared" si="6"/>
        <v>0.39500000000000002</v>
      </c>
      <c r="R24">
        <f t="shared" si="5"/>
        <v>3.7950510091743102</v>
      </c>
      <c r="S24">
        <f t="shared" si="7"/>
        <v>8.887500000000001E-2</v>
      </c>
    </row>
    <row r="25" spans="2:19" x14ac:dyDescent="0.25">
      <c r="B25" s="2">
        <f t="shared" si="1"/>
        <v>0.42424242424242409</v>
      </c>
      <c r="C25" s="1">
        <f t="shared" si="2"/>
        <v>0.6500932186882602</v>
      </c>
      <c r="D25" s="2">
        <f t="shared" si="3"/>
        <v>0.79382942575603133</v>
      </c>
      <c r="E25" s="46"/>
      <c r="F25" s="1">
        <f t="shared" si="4"/>
        <v>0.12102272727272724</v>
      </c>
      <c r="G25">
        <f t="shared" si="0"/>
        <v>3.5051906218144753</v>
      </c>
      <c r="Q25">
        <f t="shared" si="6"/>
        <v>0.43333333333333335</v>
      </c>
      <c r="R25">
        <f t="shared" si="5"/>
        <v>3.727429153924565</v>
      </c>
      <c r="S25">
        <f t="shared" si="7"/>
        <v>9.7500000000000003E-2</v>
      </c>
    </row>
    <row r="26" spans="2:19" x14ac:dyDescent="0.25">
      <c r="B26" s="2">
        <f t="shared" si="1"/>
        <v>0.45454545454545436</v>
      </c>
      <c r="C26" s="1">
        <f t="shared" si="2"/>
        <v>0.62118707738542467</v>
      </c>
      <c r="D26" s="2">
        <f t="shared" si="3"/>
        <v>0.75853211009174315</v>
      </c>
      <c r="E26" s="46"/>
      <c r="F26" s="1">
        <f t="shared" si="4"/>
        <v>0.12886363636363635</v>
      </c>
      <c r="G26">
        <f t="shared" si="0"/>
        <v>3.4204770642201838</v>
      </c>
      <c r="Q26">
        <f t="shared" si="6"/>
        <v>0.47166666666666668</v>
      </c>
      <c r="R26">
        <f t="shared" si="5"/>
        <v>3.6519922528032605</v>
      </c>
      <c r="S26">
        <f t="shared" si="7"/>
        <v>0.10612500000000001</v>
      </c>
    </row>
    <row r="27" spans="2:19" x14ac:dyDescent="0.25">
      <c r="B27" s="2">
        <f t="shared" si="1"/>
        <v>0.48484848484848464</v>
      </c>
      <c r="C27" s="1">
        <f t="shared" si="2"/>
        <v>0.59074491471185708</v>
      </c>
      <c r="D27" s="2">
        <f t="shared" si="3"/>
        <v>0.72135915732246014</v>
      </c>
      <c r="E27" s="46"/>
      <c r="F27" s="1">
        <f t="shared" si="4"/>
        <v>0.13670454545454544</v>
      </c>
      <c r="G27">
        <f t="shared" si="0"/>
        <v>3.3312619775739041</v>
      </c>
      <c r="Q27">
        <f t="shared" si="6"/>
        <v>0.51</v>
      </c>
      <c r="R27">
        <f t="shared" si="5"/>
        <v>3.5693915596330261</v>
      </c>
      <c r="S27">
        <f t="shared" si="7"/>
        <v>0.11475</v>
      </c>
    </row>
    <row r="28" spans="2:19" x14ac:dyDescent="0.25">
      <c r="B28" s="2">
        <f t="shared" si="1"/>
        <v>0.51515151515151492</v>
      </c>
      <c r="C28" s="1">
        <f t="shared" si="2"/>
        <v>0.55893368951220224</v>
      </c>
      <c r="D28" s="2">
        <f t="shared" si="3"/>
        <v>0.68251444104655135</v>
      </c>
      <c r="E28" s="46"/>
      <c r="F28" s="1">
        <f t="shared" si="4"/>
        <v>0.1445454545454545</v>
      </c>
      <c r="G28">
        <f t="shared" si="0"/>
        <v>3.2380346585117232</v>
      </c>
      <c r="Q28">
        <f t="shared" si="6"/>
        <v>0.54833333333333334</v>
      </c>
      <c r="R28">
        <f t="shared" si="5"/>
        <v>3.480278328236492</v>
      </c>
      <c r="S28">
        <f t="shared" si="7"/>
        <v>0.123375</v>
      </c>
    </row>
    <row r="29" spans="2:19" x14ac:dyDescent="0.25">
      <c r="B29" s="2">
        <f t="shared" si="1"/>
        <v>0.54545454545454519</v>
      </c>
      <c r="C29" s="1">
        <f t="shared" si="2"/>
        <v>0.52592036063110481</v>
      </c>
      <c r="D29" s="2">
        <f t="shared" si="3"/>
        <v>0.64220183486238558</v>
      </c>
      <c r="E29" s="46"/>
      <c r="F29" s="1">
        <f t="shared" si="4"/>
        <v>0.1523863636363636</v>
      </c>
      <c r="G29">
        <f t="shared" si="0"/>
        <v>3.1412844036697254</v>
      </c>
      <c r="Q29">
        <f t="shared" si="6"/>
        <v>0.58666666666666667</v>
      </c>
      <c r="R29">
        <f t="shared" si="5"/>
        <v>3.385303812436288</v>
      </c>
      <c r="S29">
        <f t="shared" si="7"/>
        <v>0.13200000000000001</v>
      </c>
    </row>
    <row r="30" spans="2:19" x14ac:dyDescent="0.25">
      <c r="B30" s="2">
        <f t="shared" si="1"/>
        <v>0.57575757575757547</v>
      </c>
      <c r="C30" s="1">
        <f t="shared" si="2"/>
        <v>0.4918718869132096</v>
      </c>
      <c r="D30" s="2">
        <f t="shared" si="3"/>
        <v>0.60062521236833188</v>
      </c>
      <c r="E30" s="46"/>
      <c r="F30" s="1">
        <f t="shared" si="4"/>
        <v>0.16022727272727269</v>
      </c>
      <c r="G30">
        <f t="shared" si="0"/>
        <v>3.0415005096839964</v>
      </c>
      <c r="Q30">
        <f t="shared" si="6"/>
        <v>0.625</v>
      </c>
      <c r="R30">
        <f t="shared" si="5"/>
        <v>3.2851192660550446</v>
      </c>
      <c r="S30">
        <f t="shared" si="7"/>
        <v>0.140625</v>
      </c>
    </row>
    <row r="31" spans="2:19" x14ac:dyDescent="0.25">
      <c r="B31" s="2">
        <f t="shared" si="1"/>
        <v>0.60606060606060574</v>
      </c>
      <c r="C31" s="1">
        <f t="shared" si="2"/>
        <v>0.45695522720316145</v>
      </c>
      <c r="D31" s="2">
        <f t="shared" si="3"/>
        <v>0.55798844716275942</v>
      </c>
      <c r="E31" s="46"/>
      <c r="F31" s="1">
        <f t="shared" si="4"/>
        <v>0.16806818181818176</v>
      </c>
      <c r="G31">
        <f t="shared" si="0"/>
        <v>2.9391722731906227</v>
      </c>
      <c r="Q31">
        <f t="shared" si="6"/>
        <v>0.66333333333333333</v>
      </c>
      <c r="R31">
        <f t="shared" si="5"/>
        <v>3.1803759429153908</v>
      </c>
      <c r="S31">
        <f t="shared" si="7"/>
        <v>0.14924999999999999</v>
      </c>
    </row>
    <row r="32" spans="2:19" x14ac:dyDescent="0.25">
      <c r="B32" s="2">
        <f t="shared" si="1"/>
        <v>0.63636363636363602</v>
      </c>
      <c r="C32" s="1">
        <f t="shared" si="2"/>
        <v>0.42133734034560522</v>
      </c>
      <c r="D32" s="2">
        <f t="shared" si="3"/>
        <v>0.5144954128440371</v>
      </c>
      <c r="E32" s="46"/>
      <c r="F32" s="1">
        <f t="shared" si="4"/>
        <v>0.17590909090909085</v>
      </c>
      <c r="G32">
        <f t="shared" si="0"/>
        <v>2.8347889908256891</v>
      </c>
      <c r="Q32">
        <f t="shared" si="6"/>
        <v>0.70166666666666666</v>
      </c>
      <c r="R32">
        <f t="shared" si="5"/>
        <v>3.0717250968399581</v>
      </c>
      <c r="S32">
        <f t="shared" si="7"/>
        <v>0.15787500000000002</v>
      </c>
    </row>
    <row r="33" spans="1:19" x14ac:dyDescent="0.25">
      <c r="B33" s="2">
        <f t="shared" si="1"/>
        <v>0.6666666666666663</v>
      </c>
      <c r="C33" s="1">
        <f t="shared" si="2"/>
        <v>0.38518518518518563</v>
      </c>
      <c r="D33" s="2">
        <f t="shared" si="3"/>
        <v>0.47034998301053388</v>
      </c>
      <c r="E33" s="46"/>
      <c r="F33" s="1">
        <f t="shared" si="4"/>
        <v>0.18374999999999994</v>
      </c>
      <c r="G33">
        <f t="shared" si="0"/>
        <v>2.7288399592252812</v>
      </c>
      <c r="Q33">
        <f t="shared" si="6"/>
        <v>0.74</v>
      </c>
      <c r="R33">
        <f t="shared" si="5"/>
        <v>2.9598179816513754</v>
      </c>
      <c r="S33">
        <f t="shared" si="7"/>
        <v>0.16650000000000001</v>
      </c>
    </row>
    <row r="34" spans="1:19" x14ac:dyDescent="0.25">
      <c r="B34" s="2">
        <f t="shared" si="1"/>
        <v>0.69696969696969657</v>
      </c>
      <c r="C34" s="1">
        <f t="shared" si="2"/>
        <v>0.34866572056654749</v>
      </c>
      <c r="D34" s="2">
        <f t="shared" si="3"/>
        <v>0.42575603126061889</v>
      </c>
      <c r="E34" s="46"/>
      <c r="F34" s="1">
        <f t="shared" si="4"/>
        <v>0.19159090909090903</v>
      </c>
      <c r="G34">
        <f t="shared" si="0"/>
        <v>2.6218144750254853</v>
      </c>
      <c r="Q34">
        <f t="shared" si="6"/>
        <v>0.77833333333333332</v>
      </c>
      <c r="R34">
        <f t="shared" si="5"/>
        <v>2.845305851172272</v>
      </c>
      <c r="S34">
        <f t="shared" si="7"/>
        <v>0.175125</v>
      </c>
    </row>
    <row r="35" spans="1:19" x14ac:dyDescent="0.25">
      <c r="B35" s="2">
        <f t="shared" si="1"/>
        <v>0.72727272727272685</v>
      </c>
      <c r="C35" s="1">
        <f t="shared" si="2"/>
        <v>0.31194590533433564</v>
      </c>
      <c r="D35" s="2">
        <f t="shared" si="3"/>
        <v>0.38091743119266114</v>
      </c>
      <c r="E35" s="46"/>
      <c r="F35" s="1">
        <f t="shared" si="4"/>
        <v>0.1994318181818181</v>
      </c>
      <c r="G35">
        <f t="shared" si="0"/>
        <v>2.5142018348623867</v>
      </c>
      <c r="Q35">
        <f t="shared" si="6"/>
        <v>0.81666666666666665</v>
      </c>
      <c r="R35">
        <f t="shared" si="5"/>
        <v>2.7288399592252794</v>
      </c>
      <c r="S35">
        <f t="shared" si="7"/>
        <v>0.18375</v>
      </c>
    </row>
    <row r="36" spans="1:19" x14ac:dyDescent="0.25">
      <c r="B36" s="2">
        <f t="shared" si="1"/>
        <v>0.75757575757575712</v>
      </c>
      <c r="C36" s="1">
        <f t="shared" si="2"/>
        <v>0.27519269833319476</v>
      </c>
      <c r="D36" s="2">
        <f t="shared" si="3"/>
        <v>0.33603805640502948</v>
      </c>
      <c r="E36" s="46"/>
      <c r="F36" s="1">
        <f t="shared" si="4"/>
        <v>0.20727272727272719</v>
      </c>
      <c r="G36">
        <f t="shared" si="0"/>
        <v>2.4064913353720709</v>
      </c>
      <c r="Q36">
        <f t="shared" si="6"/>
        <v>0.85499999999999998</v>
      </c>
      <c r="R36">
        <f t="shared" si="5"/>
        <v>2.611071559633027</v>
      </c>
      <c r="S36">
        <f t="shared" si="7"/>
        <v>0.19237499999999999</v>
      </c>
    </row>
    <row r="37" spans="1:19" x14ac:dyDescent="0.25">
      <c r="B37" s="2">
        <f t="shared" si="1"/>
        <v>0.7878787878787874</v>
      </c>
      <c r="C37" s="1">
        <f t="shared" si="2"/>
        <v>0.23857305840776974</v>
      </c>
      <c r="D37" s="2">
        <f t="shared" si="3"/>
        <v>0.29132178049609309</v>
      </c>
      <c r="E37" s="46"/>
      <c r="F37" s="1">
        <f t="shared" si="4"/>
        <v>0.21511363636363628</v>
      </c>
      <c r="G37">
        <f t="shared" si="0"/>
        <v>2.2991722731906235</v>
      </c>
      <c r="Q37">
        <f t="shared" si="6"/>
        <v>0.89333333333333331</v>
      </c>
      <c r="R37">
        <f t="shared" si="5"/>
        <v>2.492651906218144</v>
      </c>
      <c r="S37">
        <f t="shared" si="7"/>
        <v>0.20100000000000001</v>
      </c>
    </row>
    <row r="38" spans="1:19" x14ac:dyDescent="0.25">
      <c r="B38" s="2">
        <f t="shared" si="1"/>
        <v>0.81818181818181768</v>
      </c>
      <c r="C38" s="1">
        <f t="shared" si="2"/>
        <v>0.20225394440270533</v>
      </c>
      <c r="D38" s="2">
        <f t="shared" si="3"/>
        <v>0.24697247706422085</v>
      </c>
      <c r="E38" s="46"/>
      <c r="F38" s="1">
        <f t="shared" si="4"/>
        <v>0.22295454545454535</v>
      </c>
      <c r="G38">
        <f t="shared" si="0"/>
        <v>2.1927339449541301</v>
      </c>
      <c r="Q38">
        <f t="shared" si="6"/>
        <v>0.93166666666666664</v>
      </c>
      <c r="R38">
        <f t="shared" si="5"/>
        <v>2.374232252803262</v>
      </c>
      <c r="S38">
        <f t="shared" si="7"/>
        <v>0.20962500000000001</v>
      </c>
    </row>
    <row r="39" spans="1:19" x14ac:dyDescent="0.25">
      <c r="B39" s="2">
        <v>0.8377</v>
      </c>
      <c r="C39" s="1">
        <f t="shared" si="2"/>
        <v>0.17909784063299999</v>
      </c>
      <c r="D39" s="2">
        <f t="shared" si="3"/>
        <v>0.21869653750690177</v>
      </c>
      <c r="E39" s="46"/>
      <c r="F39" s="1">
        <f t="shared" si="4"/>
        <v>0.22800487500000005</v>
      </c>
      <c r="G39">
        <f t="shared" si="0"/>
        <v>2.1248716900165645</v>
      </c>
      <c r="Q39">
        <f t="shared" si="6"/>
        <v>0.97</v>
      </c>
      <c r="R39">
        <f t="shared" si="5"/>
        <v>2.2564638532110086</v>
      </c>
      <c r="S39">
        <f t="shared" si="7"/>
        <v>0.21825</v>
      </c>
    </row>
    <row r="40" spans="1:19" x14ac:dyDescent="0.25">
      <c r="B40" s="2">
        <f>($B$44-$B$11)/33+B39</f>
        <v>0.86800303030303028</v>
      </c>
      <c r="C40" s="1">
        <f t="shared" si="2"/>
        <v>0.14363572010067957</v>
      </c>
      <c r="D40" s="2">
        <f t="shared" si="3"/>
        <v>0.17539370959082978</v>
      </c>
      <c r="E40" s="46"/>
      <c r="F40" s="1">
        <f t="shared" si="4"/>
        <v>0.23584578409090912</v>
      </c>
      <c r="G40">
        <f t="shared" si="0"/>
        <v>2.0209449030179916</v>
      </c>
      <c r="Q40">
        <f t="shared" si="6"/>
        <v>1.0083333333333333</v>
      </c>
      <c r="R40">
        <f t="shared" si="5"/>
        <v>2.1399979612640165</v>
      </c>
      <c r="S40">
        <f t="shared" si="7"/>
        <v>0.22687499999999999</v>
      </c>
    </row>
    <row r="41" spans="1:19" x14ac:dyDescent="0.25">
      <c r="B41" s="2">
        <f>($B$44-$B$11)/33+B40</f>
        <v>0.89830606060606055</v>
      </c>
      <c r="C41" s="1">
        <f t="shared" si="2"/>
        <v>0.1089155813698451</v>
      </c>
      <c r="D41" s="2">
        <f t="shared" si="3"/>
        <v>0.13299691633326952</v>
      </c>
      <c r="E41" s="46"/>
      <c r="F41" s="1">
        <f t="shared" si="4"/>
        <v>0.24368669318181821</v>
      </c>
      <c r="G41">
        <f t="shared" si="0"/>
        <v>1.9191925991998469</v>
      </c>
      <c r="Q41">
        <f t="shared" si="6"/>
        <v>1.0466666666666666</v>
      </c>
      <c r="R41">
        <f t="shared" si="5"/>
        <v>2.0254858307849126</v>
      </c>
      <c r="S41">
        <f t="shared" si="7"/>
        <v>0.23549999999999999</v>
      </c>
    </row>
    <row r="42" spans="1:19" x14ac:dyDescent="0.25">
      <c r="B42" s="2">
        <f>($B$44-$B$11)/33+B41</f>
        <v>0.92860909090909083</v>
      </c>
      <c r="C42" s="1">
        <f t="shared" si="2"/>
        <v>7.5104383285141338E-2</v>
      </c>
      <c r="D42" s="2">
        <f t="shared" si="3"/>
        <v>9.1710031332589995E-2</v>
      </c>
      <c r="E42" s="46"/>
      <c r="F42" s="1">
        <f t="shared" si="4"/>
        <v>0.2515276022727273</v>
      </c>
      <c r="G42">
        <f t="shared" si="0"/>
        <v>1.820104075198216</v>
      </c>
      <c r="Q42">
        <f t="shared" si="6"/>
        <v>1.085</v>
      </c>
      <c r="R42">
        <f t="shared" si="5"/>
        <v>1.91357871559633</v>
      </c>
      <c r="S42">
        <f t="shared" si="7"/>
        <v>0.24412500000000001</v>
      </c>
    </row>
    <row r="43" spans="1:19" x14ac:dyDescent="0.25">
      <c r="B43" s="2">
        <f>($B$44-$B$11)/33+B42</f>
        <v>0.9589121212121211</v>
      </c>
      <c r="C43" s="1">
        <f t="shared" si="2"/>
        <v>4.2369084691213095E-2</v>
      </c>
      <c r="D43" s="2">
        <f t="shared" si="3"/>
        <v>5.1736928187160199E-2</v>
      </c>
      <c r="E43" s="46"/>
      <c r="F43" s="1">
        <f t="shared" si="4"/>
        <v>0.25936851136363637</v>
      </c>
      <c r="G43">
        <f t="shared" si="0"/>
        <v>1.7241686276491845</v>
      </c>
      <c r="Q43">
        <f t="shared" si="6"/>
        <v>1.1233333333333333</v>
      </c>
      <c r="R43">
        <f t="shared" si="5"/>
        <v>1.8049278695208977</v>
      </c>
      <c r="S43">
        <f t="shared" si="7"/>
        <v>0.25274999999999997</v>
      </c>
    </row>
    <row r="44" spans="1:19" x14ac:dyDescent="0.25">
      <c r="A44" t="s">
        <v>4</v>
      </c>
      <c r="B44" s="2">
        <v>1</v>
      </c>
      <c r="C44" s="1">
        <f t="shared" si="2"/>
        <v>0</v>
      </c>
      <c r="D44" s="1">
        <f t="shared" si="3"/>
        <v>0</v>
      </c>
      <c r="E44" s="46"/>
      <c r="F44" s="1">
        <f t="shared" si="4"/>
        <v>0.27</v>
      </c>
      <c r="G44">
        <f t="shared" si="0"/>
        <v>1.6</v>
      </c>
      <c r="Q44">
        <f t="shared" si="6"/>
        <v>1.1616666666666666</v>
      </c>
      <c r="R44">
        <f t="shared" si="5"/>
        <v>1.7001845463812435</v>
      </c>
      <c r="S44">
        <f t="shared" si="7"/>
        <v>0.26137500000000002</v>
      </c>
    </row>
    <row r="45" spans="1:19" x14ac:dyDescent="0.25">
      <c r="B45" s="2"/>
      <c r="C45" s="1"/>
      <c r="D45" s="1"/>
      <c r="E45" s="1"/>
      <c r="F45" s="1"/>
      <c r="Q45">
        <f t="shared" si="6"/>
        <v>1.2</v>
      </c>
      <c r="R45">
        <f t="shared" si="5"/>
        <v>1.6000000000000005</v>
      </c>
      <c r="S45">
        <f t="shared" si="7"/>
        <v>0.27</v>
      </c>
    </row>
    <row r="46" spans="1:19" x14ac:dyDescent="0.25">
      <c r="A46" s="3" t="s">
        <v>7</v>
      </c>
      <c r="B46" s="3" t="s">
        <v>8</v>
      </c>
      <c r="C46" s="3" t="s">
        <v>9</v>
      </c>
    </row>
    <row r="47" spans="1:19" x14ac:dyDescent="0.25">
      <c r="A47" s="3">
        <f>3*G3</f>
        <v>-3</v>
      </c>
      <c r="B47" s="4">
        <f>2*G4</f>
        <v>1.6</v>
      </c>
      <c r="C47" s="4">
        <f>G5</f>
        <v>1</v>
      </c>
    </row>
    <row r="48" spans="1:19" x14ac:dyDescent="0.25">
      <c r="C48" t="s">
        <v>19</v>
      </c>
      <c r="D48">
        <f>1+(B47+SQRT((B47*B47)-(4*A47*C47)))/(2*A47)</f>
        <v>9.7373865722036101E-2</v>
      </c>
    </row>
    <row r="49" spans="4:4" x14ac:dyDescent="0.25">
      <c r="D49">
        <f>1+(B47-SQRT((B47*B47)-(4*A47*C47)))/(2*A47)</f>
        <v>1.3692928009446304</v>
      </c>
    </row>
  </sheetData>
  <mergeCells count="5">
    <mergeCell ref="Q3:V3"/>
    <mergeCell ref="S5:V5"/>
    <mergeCell ref="R4:V4"/>
    <mergeCell ref="R8:V8"/>
    <mergeCell ref="R10:V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New Accretion</vt:lpstr>
      <vt:lpstr>Old2New</vt:lpstr>
      <vt:lpstr>XVals</vt:lpstr>
      <vt:lpstr>YVals</vt:lpstr>
    </vt:vector>
  </TitlesOfParts>
  <Company>Warren Pinnacle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2009-05-21T17:33:51Z</dcterms:created>
  <dcterms:modified xsi:type="dcterms:W3CDTF">2016-07-27T14:15:18Z</dcterms:modified>
</cp:coreProperties>
</file>