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120" yWindow="105" windowWidth="15180" windowHeight="8070" tabRatio="692"/>
  </bookViews>
  <sheets>
    <sheet name="Aanvallend" sheetId="8" r:id="rId1"/>
    <sheet name="Verdedigend" sheetId="10" r:id="rId2"/>
  </sheets>
  <calcPr calcId="125725"/>
</workbook>
</file>

<file path=xl/calcChain.xml><?xml version="1.0" encoding="utf-8"?>
<calcChain xmlns="http://schemas.openxmlformats.org/spreadsheetml/2006/main">
  <c r="U42" i="10"/>
  <c r="U41"/>
  <c r="U40"/>
  <c r="V42"/>
  <c r="V41"/>
  <c r="V40"/>
  <c r="B37"/>
  <c r="B36"/>
  <c r="H91"/>
  <c r="H90"/>
  <c r="H89"/>
  <c r="H88"/>
  <c r="H87"/>
  <c r="H86"/>
  <c r="H85"/>
  <c r="H84"/>
  <c r="H83"/>
  <c r="H82"/>
  <c r="H81"/>
  <c r="H80"/>
  <c r="H79"/>
  <c r="H75"/>
  <c r="H74"/>
  <c r="H73"/>
  <c r="H72"/>
  <c r="H71"/>
  <c r="H70"/>
  <c r="H69"/>
  <c r="H68"/>
  <c r="H67"/>
  <c r="H66"/>
  <c r="H65"/>
  <c r="H64"/>
  <c r="H63"/>
  <c r="H59"/>
  <c r="H58"/>
  <c r="H57"/>
  <c r="H56"/>
  <c r="H55"/>
  <c r="H54"/>
  <c r="H53"/>
  <c r="H52"/>
  <c r="H51"/>
  <c r="H50"/>
  <c r="H49"/>
  <c r="H48"/>
  <c r="H47"/>
  <c r="H43"/>
  <c r="H42"/>
  <c r="H41"/>
  <c r="H40"/>
  <c r="H39"/>
  <c r="H38"/>
  <c r="H37"/>
  <c r="H36"/>
  <c r="H35"/>
  <c r="H34"/>
  <c r="H33"/>
  <c r="H32"/>
  <c r="H31"/>
  <c r="H19"/>
  <c r="H20"/>
  <c r="H21"/>
  <c r="H22"/>
  <c r="H23"/>
  <c r="H24"/>
  <c r="H25"/>
  <c r="H26"/>
  <c r="H18"/>
  <c r="H5"/>
  <c r="H6"/>
  <c r="H7"/>
  <c r="H8"/>
  <c r="H9"/>
  <c r="H10"/>
  <c r="H11"/>
  <c r="H12"/>
  <c r="H13"/>
  <c r="H14"/>
  <c r="H15"/>
  <c r="H16"/>
  <c r="H4"/>
  <c r="H80" i="8"/>
  <c r="H79"/>
  <c r="H78"/>
  <c r="H77"/>
  <c r="H76"/>
  <c r="H75"/>
  <c r="H74"/>
  <c r="H73"/>
  <c r="H72"/>
  <c r="H71"/>
  <c r="H70"/>
  <c r="H69"/>
  <c r="H68"/>
  <c r="H64"/>
  <c r="H63"/>
  <c r="H62"/>
  <c r="H61"/>
  <c r="H60"/>
  <c r="H59"/>
  <c r="H58"/>
  <c r="H57"/>
  <c r="H56"/>
  <c r="H55"/>
  <c r="H54"/>
  <c r="H53"/>
  <c r="H52"/>
  <c r="H48"/>
  <c r="H47"/>
  <c r="H46"/>
  <c r="H45"/>
  <c r="H44"/>
  <c r="H43"/>
  <c r="H42"/>
  <c r="H41"/>
  <c r="H40"/>
  <c r="H39"/>
  <c r="H38"/>
  <c r="H37"/>
  <c r="H36"/>
  <c r="H32"/>
  <c r="H31"/>
  <c r="H30"/>
  <c r="H29"/>
  <c r="H28"/>
  <c r="H27"/>
  <c r="H26"/>
  <c r="H25"/>
  <c r="H24"/>
  <c r="H23"/>
  <c r="H22"/>
  <c r="H21"/>
  <c r="H20"/>
  <c r="H5"/>
  <c r="H6"/>
  <c r="H7"/>
  <c r="H8"/>
  <c r="H9"/>
  <c r="H10"/>
  <c r="H11"/>
  <c r="H12"/>
  <c r="H13"/>
  <c r="H14"/>
  <c r="H15"/>
  <c r="H16"/>
  <c r="H4"/>
  <c r="I77" i="10"/>
  <c r="S16" s="1"/>
  <c r="I61"/>
  <c r="S13" s="1"/>
  <c r="R14" s="1"/>
  <c r="I45"/>
  <c r="I29"/>
  <c r="S7" s="1"/>
  <c r="I2"/>
  <c r="S4" s="1"/>
  <c r="L27"/>
  <c r="E16"/>
  <c r="F16" s="1"/>
  <c r="E15"/>
  <c r="F15" s="1"/>
  <c r="E14"/>
  <c r="F14" s="1"/>
  <c r="P20"/>
  <c r="P21"/>
  <c r="P22"/>
  <c r="P23"/>
  <c r="P24"/>
  <c r="P25"/>
  <c r="P26"/>
  <c r="P19"/>
  <c r="I27"/>
  <c r="Q26" s="1"/>
  <c r="K26" s="1"/>
  <c r="H27"/>
  <c r="N27"/>
  <c r="M27"/>
  <c r="L17"/>
  <c r="K18"/>
  <c r="M18" s="1"/>
  <c r="N17"/>
  <c r="M17"/>
  <c r="D11"/>
  <c r="C11" s="1"/>
  <c r="N92"/>
  <c r="M92"/>
  <c r="L92"/>
  <c r="L91"/>
  <c r="K91"/>
  <c r="N91" s="1"/>
  <c r="K90"/>
  <c r="N90" s="1"/>
  <c r="K89"/>
  <c r="N89" s="1"/>
  <c r="K88"/>
  <c r="N88" s="1"/>
  <c r="L87"/>
  <c r="K87"/>
  <c r="N87" s="1"/>
  <c r="K86"/>
  <c r="N86" s="1"/>
  <c r="L85"/>
  <c r="K85"/>
  <c r="N85" s="1"/>
  <c r="K84"/>
  <c r="N84" s="1"/>
  <c r="L83"/>
  <c r="K83"/>
  <c r="N83" s="1"/>
  <c r="K82"/>
  <c r="N82" s="1"/>
  <c r="K81"/>
  <c r="N81" s="1"/>
  <c r="K80"/>
  <c r="N80" s="1"/>
  <c r="M79"/>
  <c r="K79"/>
  <c r="N79" s="1"/>
  <c r="N76"/>
  <c r="M76"/>
  <c r="L76"/>
  <c r="K75"/>
  <c r="M75" s="1"/>
  <c r="K74"/>
  <c r="M74" s="1"/>
  <c r="K73"/>
  <c r="M73" s="1"/>
  <c r="K72"/>
  <c r="M72" s="1"/>
  <c r="K71"/>
  <c r="M71" s="1"/>
  <c r="K70"/>
  <c r="M70" s="1"/>
  <c r="K69"/>
  <c r="M69" s="1"/>
  <c r="K68"/>
  <c r="M68" s="1"/>
  <c r="K67"/>
  <c r="M67" s="1"/>
  <c r="K66"/>
  <c r="M66" s="1"/>
  <c r="K65"/>
  <c r="M65" s="1"/>
  <c r="K64"/>
  <c r="N64" s="1"/>
  <c r="L63"/>
  <c r="K63"/>
  <c r="N63" s="1"/>
  <c r="N60"/>
  <c r="M60"/>
  <c r="L60"/>
  <c r="M59"/>
  <c r="K59"/>
  <c r="L59" s="1"/>
  <c r="R47"/>
  <c r="N58"/>
  <c r="K58"/>
  <c r="L58" s="1"/>
  <c r="R46"/>
  <c r="M57"/>
  <c r="K57"/>
  <c r="L57" s="1"/>
  <c r="R45"/>
  <c r="K56"/>
  <c r="L56" s="1"/>
  <c r="R44"/>
  <c r="N55"/>
  <c r="K55"/>
  <c r="L55" s="1"/>
  <c r="F55"/>
  <c r="B44"/>
  <c r="R43"/>
  <c r="K54"/>
  <c r="N54" s="1"/>
  <c r="F54"/>
  <c r="B43"/>
  <c r="M53"/>
  <c r="K53"/>
  <c r="L53" s="1"/>
  <c r="F53"/>
  <c r="B42"/>
  <c r="K52"/>
  <c r="N52" s="1"/>
  <c r="F52"/>
  <c r="B41"/>
  <c r="K51"/>
  <c r="L51" s="1"/>
  <c r="F51"/>
  <c r="B40"/>
  <c r="K50"/>
  <c r="N50" s="1"/>
  <c r="F50"/>
  <c r="W17" s="1"/>
  <c r="K49"/>
  <c r="L49" s="1"/>
  <c r="F49"/>
  <c r="W14" s="1"/>
  <c r="K48"/>
  <c r="M48" s="1"/>
  <c r="F48"/>
  <c r="W11" s="1"/>
  <c r="K47"/>
  <c r="M47" s="1"/>
  <c r="F47"/>
  <c r="W8" s="1"/>
  <c r="F46"/>
  <c r="W5" s="1"/>
  <c r="S10"/>
  <c r="R40" s="1"/>
  <c r="V33"/>
  <c r="R33"/>
  <c r="U47" s="1"/>
  <c r="N44"/>
  <c r="M44"/>
  <c r="L44"/>
  <c r="R32"/>
  <c r="U46" s="1"/>
  <c r="K43"/>
  <c r="L43" s="1"/>
  <c r="R31"/>
  <c r="U45" s="1"/>
  <c r="K42"/>
  <c r="L42" s="1"/>
  <c r="R30"/>
  <c r="U44" s="1"/>
  <c r="K41"/>
  <c r="M41" s="1"/>
  <c r="R29"/>
  <c r="W43" s="1"/>
  <c r="K40"/>
  <c r="N40" s="1"/>
  <c r="K39"/>
  <c r="L39" s="1"/>
  <c r="K38"/>
  <c r="L38" s="1"/>
  <c r="N37"/>
  <c r="M37"/>
  <c r="K37"/>
  <c r="L37" s="1"/>
  <c r="K36"/>
  <c r="L36" s="1"/>
  <c r="K35"/>
  <c r="L35" s="1"/>
  <c r="K34"/>
  <c r="L34" s="1"/>
  <c r="K33"/>
  <c r="L33" s="1"/>
  <c r="K32"/>
  <c r="M32" s="1"/>
  <c r="N31"/>
  <c r="K31"/>
  <c r="L31" s="1"/>
  <c r="V17"/>
  <c r="U17"/>
  <c r="K16"/>
  <c r="L16" s="1"/>
  <c r="K15"/>
  <c r="L15" s="1"/>
  <c r="V14"/>
  <c r="U14"/>
  <c r="K14"/>
  <c r="M14" s="1"/>
  <c r="N13"/>
  <c r="K13"/>
  <c r="L13" s="1"/>
  <c r="K12"/>
  <c r="L12" s="1"/>
  <c r="V11"/>
  <c r="U11"/>
  <c r="K11"/>
  <c r="L11" s="1"/>
  <c r="K10"/>
  <c r="N10" s="1"/>
  <c r="L9"/>
  <c r="K9"/>
  <c r="N9" s="1"/>
  <c r="V8"/>
  <c r="U8"/>
  <c r="L8"/>
  <c r="K8"/>
  <c r="N8" s="1"/>
  <c r="K7"/>
  <c r="L7" s="1"/>
  <c r="K6"/>
  <c r="N6" s="1"/>
  <c r="V5"/>
  <c r="U5"/>
  <c r="K5"/>
  <c r="M5" s="1"/>
  <c r="K4"/>
  <c r="L4" s="1"/>
  <c r="D2"/>
  <c r="B35" l="1"/>
  <c r="B39"/>
  <c r="B38"/>
  <c r="M33"/>
  <c r="M36"/>
  <c r="N33"/>
  <c r="V24"/>
  <c r="L28"/>
  <c r="C2"/>
  <c r="O21"/>
  <c r="M42"/>
  <c r="N28"/>
  <c r="O9"/>
  <c r="L6"/>
  <c r="M28"/>
  <c r="L18"/>
  <c r="R41"/>
  <c r="U25"/>
  <c r="U24"/>
  <c r="L14"/>
  <c r="Q19"/>
  <c r="K19" s="1"/>
  <c r="M19" s="1"/>
  <c r="Q24"/>
  <c r="K24" s="1"/>
  <c r="M24" s="1"/>
  <c r="M26"/>
  <c r="N26"/>
  <c r="Q25"/>
  <c r="K25" s="1"/>
  <c r="M25" s="1"/>
  <c r="Q23"/>
  <c r="K23" s="1"/>
  <c r="Q20"/>
  <c r="K20" s="1"/>
  <c r="Q22"/>
  <c r="K22" s="1"/>
  <c r="N22" s="1"/>
  <c r="Q21"/>
  <c r="K21" s="1"/>
  <c r="N21" s="1"/>
  <c r="N18"/>
  <c r="L26"/>
  <c r="O19"/>
  <c r="O7"/>
  <c r="W31"/>
  <c r="N4"/>
  <c r="N12"/>
  <c r="N14"/>
  <c r="O32"/>
  <c r="M4"/>
  <c r="M12"/>
  <c r="R13"/>
  <c r="O30"/>
  <c r="N34"/>
  <c r="N38"/>
  <c r="N42"/>
  <c r="L48"/>
  <c r="N53"/>
  <c r="L54"/>
  <c r="N56"/>
  <c r="O48"/>
  <c r="L81"/>
  <c r="L89"/>
  <c r="U29"/>
  <c r="N43"/>
  <c r="W32"/>
  <c r="V46"/>
  <c r="N7"/>
  <c r="L10"/>
  <c r="N11"/>
  <c r="M13"/>
  <c r="M15"/>
  <c r="M16"/>
  <c r="M31"/>
  <c r="M34"/>
  <c r="N35"/>
  <c r="M38"/>
  <c r="M39"/>
  <c r="V31"/>
  <c r="M43"/>
  <c r="V32"/>
  <c r="N48"/>
  <c r="N49"/>
  <c r="N51"/>
  <c r="L52"/>
  <c r="U43"/>
  <c r="M55"/>
  <c r="M56"/>
  <c r="W45"/>
  <c r="M58"/>
  <c r="W47"/>
  <c r="L79"/>
  <c r="M80"/>
  <c r="L82"/>
  <c r="L84"/>
  <c r="L86"/>
  <c r="L88"/>
  <c r="L90"/>
  <c r="G77"/>
  <c r="W46"/>
  <c r="N15"/>
  <c r="N16"/>
  <c r="N39"/>
  <c r="M7"/>
  <c r="M11"/>
  <c r="M35"/>
  <c r="N36"/>
  <c r="L40"/>
  <c r="U32"/>
  <c r="W33"/>
  <c r="M49"/>
  <c r="L50"/>
  <c r="M51"/>
  <c r="V45"/>
  <c r="N57"/>
  <c r="V47"/>
  <c r="N59"/>
  <c r="L64"/>
  <c r="O62"/>
  <c r="L80"/>
  <c r="O80"/>
  <c r="G61"/>
  <c r="G29"/>
  <c r="G2"/>
  <c r="G45"/>
  <c r="W41"/>
  <c r="W16"/>
  <c r="R39"/>
  <c r="R8"/>
  <c r="R25"/>
  <c r="R7"/>
  <c r="R38"/>
  <c r="R24"/>
  <c r="R5"/>
  <c r="R4"/>
  <c r="R28"/>
  <c r="R17"/>
  <c r="R16"/>
  <c r="R42"/>
  <c r="W26"/>
  <c r="W44"/>
  <c r="R10"/>
  <c r="N32"/>
  <c r="V27"/>
  <c r="U28"/>
  <c r="W30"/>
  <c r="N66"/>
  <c r="N68"/>
  <c r="N70"/>
  <c r="N72"/>
  <c r="N74"/>
  <c r="L5"/>
  <c r="M6"/>
  <c r="M8"/>
  <c r="M9"/>
  <c r="M10"/>
  <c r="R11"/>
  <c r="L32"/>
  <c r="R26"/>
  <c r="R27"/>
  <c r="W28"/>
  <c r="M40"/>
  <c r="V29"/>
  <c r="L41"/>
  <c r="U30"/>
  <c r="O46"/>
  <c r="L47"/>
  <c r="M50"/>
  <c r="M52"/>
  <c r="M54"/>
  <c r="V43"/>
  <c r="M63"/>
  <c r="M64"/>
  <c r="L65"/>
  <c r="L66"/>
  <c r="L67"/>
  <c r="L68"/>
  <c r="L69"/>
  <c r="L70"/>
  <c r="L71"/>
  <c r="L72"/>
  <c r="L73"/>
  <c r="L74"/>
  <c r="L75"/>
  <c r="O78"/>
  <c r="M81"/>
  <c r="M82"/>
  <c r="M83"/>
  <c r="M84"/>
  <c r="M85"/>
  <c r="M86"/>
  <c r="M87"/>
  <c r="M88"/>
  <c r="M89"/>
  <c r="M90"/>
  <c r="M91"/>
  <c r="W27"/>
  <c r="V28"/>
  <c r="N5"/>
  <c r="V26"/>
  <c r="N41"/>
  <c r="N47"/>
  <c r="V44"/>
  <c r="O64"/>
  <c r="N65"/>
  <c r="N67"/>
  <c r="N69"/>
  <c r="N71"/>
  <c r="N73"/>
  <c r="N75"/>
  <c r="U26"/>
  <c r="U27"/>
  <c r="W29"/>
  <c r="V30"/>
  <c r="U31"/>
  <c r="U33"/>
  <c r="O3" l="1"/>
  <c r="O5"/>
  <c r="E17" s="1"/>
  <c r="E13" s="1"/>
  <c r="F13" s="1"/>
  <c r="N25"/>
  <c r="L19"/>
  <c r="L25"/>
  <c r="N19"/>
  <c r="L24"/>
  <c r="N24"/>
  <c r="L20"/>
  <c r="N20"/>
  <c r="L21"/>
  <c r="M21"/>
  <c r="M20"/>
  <c r="M23"/>
  <c r="L23"/>
  <c r="N23"/>
  <c r="L22"/>
  <c r="M22"/>
  <c r="V7"/>
  <c r="W13"/>
  <c r="W7"/>
  <c r="W10"/>
  <c r="V16"/>
  <c r="U13"/>
  <c r="V10"/>
  <c r="U10"/>
  <c r="U7"/>
  <c r="U16"/>
  <c r="W40"/>
  <c r="V13"/>
  <c r="W42"/>
  <c r="E12" l="1"/>
  <c r="V4"/>
  <c r="V20" s="1"/>
  <c r="W4"/>
  <c r="W20" s="1"/>
  <c r="U4"/>
  <c r="U20" s="1"/>
  <c r="W24"/>
  <c r="W25"/>
  <c r="N81" i="8"/>
  <c r="M81"/>
  <c r="L81"/>
  <c r="N80"/>
  <c r="M80"/>
  <c r="L80"/>
  <c r="K80"/>
  <c r="N79"/>
  <c r="M79"/>
  <c r="L79"/>
  <c r="K79"/>
  <c r="N78"/>
  <c r="M78"/>
  <c r="L78"/>
  <c r="K78"/>
  <c r="N77"/>
  <c r="M77"/>
  <c r="L77"/>
  <c r="K77"/>
  <c r="N76"/>
  <c r="M76"/>
  <c r="L76"/>
  <c r="K76"/>
  <c r="N75"/>
  <c r="M75"/>
  <c r="L75"/>
  <c r="K75"/>
  <c r="N74"/>
  <c r="M74"/>
  <c r="L74"/>
  <c r="K74"/>
  <c r="N73"/>
  <c r="M73"/>
  <c r="L73"/>
  <c r="K73"/>
  <c r="N72"/>
  <c r="M72"/>
  <c r="L72"/>
  <c r="K72"/>
  <c r="N71"/>
  <c r="M71"/>
  <c r="L71"/>
  <c r="K71"/>
  <c r="N70"/>
  <c r="M70"/>
  <c r="L70"/>
  <c r="K70"/>
  <c r="O69"/>
  <c r="E7" s="1"/>
  <c r="F7" s="1"/>
  <c r="K69"/>
  <c r="L69" s="1"/>
  <c r="K68"/>
  <c r="L68" s="1"/>
  <c r="O67"/>
  <c r="V42" s="1"/>
  <c r="I66"/>
  <c r="S16" s="1"/>
  <c r="N65"/>
  <c r="M65"/>
  <c r="L65"/>
  <c r="O53" s="1"/>
  <c r="E6" s="1"/>
  <c r="F6" s="1"/>
  <c r="M64"/>
  <c r="L64"/>
  <c r="K64"/>
  <c r="N64" s="1"/>
  <c r="M63"/>
  <c r="L63"/>
  <c r="K63"/>
  <c r="N63" s="1"/>
  <c r="M62"/>
  <c r="L62"/>
  <c r="K62"/>
  <c r="N62" s="1"/>
  <c r="M61"/>
  <c r="L61"/>
  <c r="K61"/>
  <c r="N61" s="1"/>
  <c r="M60"/>
  <c r="L60"/>
  <c r="K60"/>
  <c r="N60" s="1"/>
  <c r="M59"/>
  <c r="L59"/>
  <c r="K59"/>
  <c r="N59" s="1"/>
  <c r="M58"/>
  <c r="L58"/>
  <c r="K58"/>
  <c r="N58" s="1"/>
  <c r="M57"/>
  <c r="L57"/>
  <c r="K57"/>
  <c r="N57" s="1"/>
  <c r="M56"/>
  <c r="L56"/>
  <c r="K56"/>
  <c r="N56" s="1"/>
  <c r="M55"/>
  <c r="L55"/>
  <c r="K55"/>
  <c r="N55" s="1"/>
  <c r="M54"/>
  <c r="L54"/>
  <c r="K54"/>
  <c r="N54" s="1"/>
  <c r="N53"/>
  <c r="M53"/>
  <c r="L53"/>
  <c r="K53"/>
  <c r="N52"/>
  <c r="M52"/>
  <c r="V13" s="1"/>
  <c r="L52"/>
  <c r="U13" s="1"/>
  <c r="K52"/>
  <c r="O51"/>
  <c r="U41" s="1"/>
  <c r="I50"/>
  <c r="N49"/>
  <c r="M49"/>
  <c r="L49"/>
  <c r="L48"/>
  <c r="K48"/>
  <c r="M48" s="1"/>
  <c r="R47"/>
  <c r="L47"/>
  <c r="K47"/>
  <c r="M47" s="1"/>
  <c r="R46"/>
  <c r="L46"/>
  <c r="K46"/>
  <c r="M46" s="1"/>
  <c r="R45"/>
  <c r="L45"/>
  <c r="K45"/>
  <c r="M45" s="1"/>
  <c r="U44"/>
  <c r="R44"/>
  <c r="L44"/>
  <c r="K44"/>
  <c r="M44" s="1"/>
  <c r="F44"/>
  <c r="B44"/>
  <c r="W43"/>
  <c r="V43"/>
  <c r="U43"/>
  <c r="R43"/>
  <c r="N43"/>
  <c r="M43"/>
  <c r="L43"/>
  <c r="K43"/>
  <c r="F43"/>
  <c r="B43"/>
  <c r="U42"/>
  <c r="L42"/>
  <c r="K42"/>
  <c r="M42" s="1"/>
  <c r="F42"/>
  <c r="B42"/>
  <c r="W41"/>
  <c r="V41"/>
  <c r="N41"/>
  <c r="M41"/>
  <c r="L41"/>
  <c r="K41"/>
  <c r="F41"/>
  <c r="B41"/>
  <c r="U40"/>
  <c r="L40"/>
  <c r="K40"/>
  <c r="M40" s="1"/>
  <c r="F40"/>
  <c r="B40"/>
  <c r="N39"/>
  <c r="M39"/>
  <c r="L39"/>
  <c r="K39"/>
  <c r="F39"/>
  <c r="L38"/>
  <c r="K38"/>
  <c r="M38" s="1"/>
  <c r="F38"/>
  <c r="O37"/>
  <c r="K37"/>
  <c r="L37" s="1"/>
  <c r="U10" s="1"/>
  <c r="F37"/>
  <c r="W11" s="1"/>
  <c r="M36"/>
  <c r="L36"/>
  <c r="K36"/>
  <c r="N36" s="1"/>
  <c r="F36"/>
  <c r="O35"/>
  <c r="V40" s="1"/>
  <c r="F35"/>
  <c r="I34"/>
  <c r="S10" s="1"/>
  <c r="U33"/>
  <c r="R33"/>
  <c r="U47" s="1"/>
  <c r="N33"/>
  <c r="M33"/>
  <c r="L33"/>
  <c r="R32"/>
  <c r="U46" s="1"/>
  <c r="K32"/>
  <c r="L32" s="1"/>
  <c r="U31"/>
  <c r="R31"/>
  <c r="U45" s="1"/>
  <c r="K31"/>
  <c r="M31" s="1"/>
  <c r="V30"/>
  <c r="U30"/>
  <c r="R30"/>
  <c r="V44" s="1"/>
  <c r="M30"/>
  <c r="L30"/>
  <c r="K30"/>
  <c r="N30" s="1"/>
  <c r="W29"/>
  <c r="V29"/>
  <c r="U29"/>
  <c r="R29"/>
  <c r="N29"/>
  <c r="M29"/>
  <c r="L29"/>
  <c r="K29"/>
  <c r="K28"/>
  <c r="L28" s="1"/>
  <c r="L27"/>
  <c r="K27"/>
  <c r="M27" s="1"/>
  <c r="L26"/>
  <c r="K26"/>
  <c r="M26" s="1"/>
  <c r="K25"/>
  <c r="M25" s="1"/>
  <c r="L24"/>
  <c r="K24"/>
  <c r="M24" s="1"/>
  <c r="K23"/>
  <c r="M23" s="1"/>
  <c r="L22"/>
  <c r="K22"/>
  <c r="M22" s="1"/>
  <c r="M21"/>
  <c r="L21"/>
  <c r="K21"/>
  <c r="N21" s="1"/>
  <c r="L20"/>
  <c r="K20"/>
  <c r="M20" s="1"/>
  <c r="I18"/>
  <c r="S7" s="1"/>
  <c r="R39" s="1"/>
  <c r="W17"/>
  <c r="V17"/>
  <c r="U17"/>
  <c r="N17"/>
  <c r="M17"/>
  <c r="L17"/>
  <c r="K16"/>
  <c r="L16" s="1"/>
  <c r="K15"/>
  <c r="L15" s="1"/>
  <c r="W14"/>
  <c r="V14"/>
  <c r="U14"/>
  <c r="K14"/>
  <c r="L14" s="1"/>
  <c r="S13"/>
  <c r="R41" s="1"/>
  <c r="K13"/>
  <c r="M13" s="1"/>
  <c r="K12"/>
  <c r="M12" s="1"/>
  <c r="V11"/>
  <c r="U11"/>
  <c r="K11"/>
  <c r="M11" s="1"/>
  <c r="D11"/>
  <c r="K10"/>
  <c r="L10" s="1"/>
  <c r="K9"/>
  <c r="L9" s="1"/>
  <c r="W8"/>
  <c r="V8"/>
  <c r="U8"/>
  <c r="K8"/>
  <c r="L8" s="1"/>
  <c r="L7"/>
  <c r="K7"/>
  <c r="M7" s="1"/>
  <c r="K6"/>
  <c r="N6" s="1"/>
  <c r="W5"/>
  <c r="V5"/>
  <c r="U5"/>
  <c r="K5"/>
  <c r="N5" s="1"/>
  <c r="E5"/>
  <c r="F5" s="1"/>
  <c r="K4"/>
  <c r="M4" s="1"/>
  <c r="I2"/>
  <c r="S4" s="1"/>
  <c r="R38" s="1"/>
  <c r="D2"/>
  <c r="B36" s="1"/>
  <c r="V25" i="10" l="1"/>
  <c r="V39"/>
  <c r="V38"/>
  <c r="U39"/>
  <c r="U38"/>
  <c r="E11"/>
  <c r="F12"/>
  <c r="W38"/>
  <c r="W39"/>
  <c r="O21" i="8"/>
  <c r="L31"/>
  <c r="L25"/>
  <c r="L23"/>
  <c r="L6"/>
  <c r="L13"/>
  <c r="L12"/>
  <c r="L11"/>
  <c r="N10"/>
  <c r="M10"/>
  <c r="N9"/>
  <c r="M9"/>
  <c r="N8"/>
  <c r="M8"/>
  <c r="M6"/>
  <c r="M5"/>
  <c r="L5"/>
  <c r="G18"/>
  <c r="G2"/>
  <c r="O3"/>
  <c r="O5"/>
  <c r="L4"/>
  <c r="R10"/>
  <c r="R40"/>
  <c r="R26"/>
  <c r="R11"/>
  <c r="R28"/>
  <c r="R16"/>
  <c r="R42"/>
  <c r="R17"/>
  <c r="U16"/>
  <c r="W13"/>
  <c r="R14"/>
  <c r="R4"/>
  <c r="R5"/>
  <c r="R7"/>
  <c r="R13"/>
  <c r="N14"/>
  <c r="N15"/>
  <c r="N16"/>
  <c r="R24"/>
  <c r="R25"/>
  <c r="R27"/>
  <c r="B28"/>
  <c r="N28"/>
  <c r="W28"/>
  <c r="B32"/>
  <c r="N32"/>
  <c r="W32"/>
  <c r="G34"/>
  <c r="N37"/>
  <c r="W10" s="1"/>
  <c r="B39"/>
  <c r="N68"/>
  <c r="N69"/>
  <c r="N4"/>
  <c r="N7"/>
  <c r="N11"/>
  <c r="N12"/>
  <c r="N13"/>
  <c r="M14"/>
  <c r="M15"/>
  <c r="M16"/>
  <c r="O19"/>
  <c r="N20"/>
  <c r="N22"/>
  <c r="N23"/>
  <c r="N24"/>
  <c r="N25"/>
  <c r="N26"/>
  <c r="W26"/>
  <c r="N27"/>
  <c r="W27"/>
  <c r="M28"/>
  <c r="V28"/>
  <c r="B31"/>
  <c r="N31"/>
  <c r="W31"/>
  <c r="M32"/>
  <c r="V7" s="1"/>
  <c r="V32"/>
  <c r="W33"/>
  <c r="B37"/>
  <c r="M37"/>
  <c r="V10" s="1"/>
  <c r="N38"/>
  <c r="N40"/>
  <c r="W40"/>
  <c r="N42"/>
  <c r="W42"/>
  <c r="N44"/>
  <c r="W44"/>
  <c r="N45"/>
  <c r="W45"/>
  <c r="N46"/>
  <c r="W46"/>
  <c r="N47"/>
  <c r="W47"/>
  <c r="N48"/>
  <c r="G50"/>
  <c r="M68"/>
  <c r="M69"/>
  <c r="R8"/>
  <c r="V26"/>
  <c r="V27"/>
  <c r="U28"/>
  <c r="B30"/>
  <c r="W30"/>
  <c r="V31"/>
  <c r="U32"/>
  <c r="V33"/>
  <c r="B35"/>
  <c r="B38"/>
  <c r="V45"/>
  <c r="V46"/>
  <c r="V47"/>
  <c r="G66"/>
  <c r="U26"/>
  <c r="U27"/>
  <c r="B29"/>
  <c r="U7" l="1"/>
  <c r="U4"/>
  <c r="V4"/>
  <c r="V20" s="1"/>
  <c r="E8"/>
  <c r="W4"/>
  <c r="W7"/>
  <c r="V16"/>
  <c r="W16"/>
  <c r="U20" l="1"/>
  <c r="U24" s="1"/>
  <c r="W20"/>
  <c r="W38" s="1"/>
  <c r="E3"/>
  <c r="F3" s="1"/>
  <c r="E4"/>
  <c r="V39" s="1"/>
  <c r="V24"/>
  <c r="V25"/>
  <c r="E2" l="1"/>
  <c r="V38"/>
  <c r="U25"/>
  <c r="U38"/>
  <c r="W25"/>
  <c r="W39"/>
  <c r="W24"/>
  <c r="F4"/>
  <c r="U39"/>
</calcChain>
</file>

<file path=xl/sharedStrings.xml><?xml version="1.0" encoding="utf-8"?>
<sst xmlns="http://schemas.openxmlformats.org/spreadsheetml/2006/main" count="334" uniqueCount="70">
  <si>
    <t>klein vrachtschip</t>
  </si>
  <si>
    <t>groot vrachtschip</t>
  </si>
  <si>
    <t>licht gevechtschip</t>
  </si>
  <si>
    <t>zwaar gevechtschip</t>
  </si>
  <si>
    <t>kruiser</t>
  </si>
  <si>
    <t>slagschip</t>
  </si>
  <si>
    <t>kolonisatie schip</t>
  </si>
  <si>
    <t>recycler</t>
  </si>
  <si>
    <t>spionage sonde</t>
  </si>
  <si>
    <t>bommenwerper</t>
  </si>
  <si>
    <t>vernietiger</t>
  </si>
  <si>
    <t>Metaal</t>
  </si>
  <si>
    <t>Kristal</t>
  </si>
  <si>
    <t>Puinruimer 1</t>
  </si>
  <si>
    <t>Puinruimer 2</t>
  </si>
  <si>
    <t>Puinruimer 3</t>
  </si>
  <si>
    <t>interceptor</t>
  </si>
  <si>
    <t>Deuterium</t>
  </si>
  <si>
    <t>rip</t>
  </si>
  <si>
    <t>Aanvallers</t>
  </si>
  <si>
    <t>Aanvaller 1</t>
  </si>
  <si>
    <t>Aanvaller 2</t>
  </si>
  <si>
    <t>Aanvaller 3</t>
  </si>
  <si>
    <t>Aanvaller 4</t>
  </si>
  <si>
    <t>Aanvaller 5</t>
  </si>
  <si>
    <t>VS</t>
  </si>
  <si>
    <t>Verdediger 1</t>
  </si>
  <si>
    <t>Vloot</t>
  </si>
  <si>
    <t>Type</t>
  </si>
  <si>
    <t>Start vloot</t>
  </si>
  <si>
    <t>Eind vloot</t>
  </si>
  <si>
    <t>Verlies</t>
  </si>
  <si>
    <t>Aantal</t>
  </si>
  <si>
    <t>Puinruimers van buitenaf, rec-hulp</t>
  </si>
  <si>
    <t>Puinruimer 4</t>
  </si>
  <si>
    <t>Puinruimer 5</t>
  </si>
  <si>
    <t>Buit naraids:</t>
  </si>
  <si>
    <t>Geruimd puin:</t>
  </si>
  <si>
    <t>Deuterium kosten</t>
  </si>
  <si>
    <t>Vlootwaarde</t>
  </si>
  <si>
    <t>Vlootgewicht</t>
  </si>
  <si>
    <t>Vloot totaal:</t>
  </si>
  <si>
    <t>Verdeling</t>
  </si>
  <si>
    <t>Aanvaller</t>
  </si>
  <si>
    <t>Totale winst</t>
  </si>
  <si>
    <t>50/50 verdeling</t>
  </si>
  <si>
    <t>Vlootverhouding</t>
  </si>
  <si>
    <t>Negatief getal betekend afstaan</t>
  </si>
  <si>
    <t>Positief getal betekend ontvangen</t>
  </si>
  <si>
    <t>Swordfish</t>
  </si>
  <si>
    <t>Verdediger</t>
  </si>
  <si>
    <t>Verdediger 2</t>
  </si>
  <si>
    <t>Verdediger 3</t>
  </si>
  <si>
    <t>Verdediger 4</t>
  </si>
  <si>
    <t>Verdediger 5</t>
  </si>
  <si>
    <t>raketlanceerder</t>
  </si>
  <si>
    <t>kleine laser</t>
  </si>
  <si>
    <t>grote laser</t>
  </si>
  <si>
    <t>gausskanon</t>
  </si>
  <si>
    <t>ionkanon</t>
  </si>
  <si>
    <t>plasmakanon</t>
  </si>
  <si>
    <t>kleine koepel</t>
  </si>
  <si>
    <t>grote koepel</t>
  </si>
  <si>
    <t>zonne-energiesatelliet</t>
  </si>
  <si>
    <t>Totaalwaarde</t>
  </si>
  <si>
    <t>Totaalgewicht</t>
  </si>
  <si>
    <t>Verdedigingwaarde</t>
  </si>
  <si>
    <t>Verdediginggewicht</t>
  </si>
  <si>
    <t>Verdediging totaal:</t>
  </si>
  <si>
    <r>
      <t xml:space="preserve">Vul hier in: de overgebleven def na de slag en </t>
    </r>
    <r>
      <rPr>
        <b/>
        <i/>
        <sz val="11"/>
        <color theme="1"/>
        <rFont val="Arial"/>
        <family val="2"/>
      </rPr>
      <t>voor</t>
    </r>
    <r>
      <rPr>
        <i/>
        <sz val="11"/>
        <color theme="1"/>
        <rFont val="Arial"/>
        <family val="2"/>
      </rPr>
      <t xml:space="preserve"> de rebuild</t>
    </r>
  </si>
</sst>
</file>

<file path=xl/styles.xml><?xml version="1.0" encoding="utf-8"?>
<styleSheet xmlns="http://schemas.openxmlformats.org/spreadsheetml/2006/main">
  <numFmts count="4">
    <numFmt numFmtId="164" formatCode="_-* #,##0.00\ _€_-;\-* #,##0.00\ _€_-;_-* &quot;-&quot;??\ _€_-;_-@_-"/>
    <numFmt numFmtId="165" formatCode="_-* #,##0\ _€_-;\-* #,##0\ _€_-;_-* &quot;-&quot;??\ _€_-;_-@_-"/>
    <numFmt numFmtId="166" formatCode="#,##0_ ;[Red]\-#,##0\ "/>
    <numFmt numFmtId="167" formatCode="0_ ;[Red]\-0\ "/>
  </numFmts>
  <fonts count="22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/>
      <name val="Arial"/>
      <family val="2"/>
    </font>
    <font>
      <sz val="11"/>
      <color theme="1"/>
      <name val="Arial"/>
      <family val="2"/>
    </font>
    <font>
      <sz val="11"/>
      <color rgb="FF3F3F76"/>
      <name val="Arial"/>
      <family val="2"/>
    </font>
    <font>
      <b/>
      <sz val="11"/>
      <color theme="1"/>
      <name val="Arial"/>
      <family val="2"/>
    </font>
    <font>
      <i/>
      <sz val="11"/>
      <color rgb="FF7F7F7F"/>
      <name val="Arial"/>
      <family val="2"/>
    </font>
    <font>
      <sz val="11"/>
      <name val="Arial"/>
      <family val="2"/>
    </font>
    <font>
      <b/>
      <sz val="11"/>
      <color theme="3"/>
      <name val="Arial"/>
      <family val="2"/>
    </font>
    <font>
      <sz val="11"/>
      <color theme="0" tint="-4.9989318521683403E-2"/>
      <name val="Arial"/>
      <family val="2"/>
    </font>
    <font>
      <sz val="11"/>
      <color theme="0" tint="-0.249977111117893"/>
      <name val="Arial"/>
      <family val="2"/>
    </font>
    <font>
      <sz val="8"/>
      <name val="Tahoma"/>
      <family val="2"/>
    </font>
    <font>
      <i/>
      <sz val="11"/>
      <color theme="1"/>
      <name val="Arial"/>
      <family val="2"/>
    </font>
    <font>
      <b/>
      <i/>
      <sz val="11"/>
      <color theme="1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double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double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auto="1"/>
      </left>
      <right style="double">
        <color auto="1"/>
      </right>
      <top/>
      <bottom/>
      <diagonal/>
    </border>
    <border>
      <left/>
      <right/>
      <top style="medium">
        <color theme="4" tint="0.39997558519241921"/>
      </top>
      <bottom/>
      <diagonal/>
    </border>
    <border>
      <left/>
      <right/>
      <top style="medium">
        <color theme="4" tint="0.39997558519241921"/>
      </top>
      <bottom style="medium">
        <color theme="4" tint="0.39997558519241921"/>
      </bottom>
      <diagonal/>
    </border>
    <border>
      <left/>
      <right/>
      <top style="thick">
        <color theme="4"/>
      </top>
      <bottom style="medium">
        <color theme="4" tint="0.39997558519241921"/>
      </bottom>
      <diagonal/>
    </border>
    <border>
      <left style="medium">
        <color theme="0" tint="-0.24994659260841701"/>
      </left>
      <right/>
      <top style="medium">
        <color theme="0" tint="-0.24994659260841701"/>
      </top>
      <bottom/>
      <diagonal/>
    </border>
    <border>
      <left/>
      <right/>
      <top style="medium">
        <color theme="0" tint="-0.24994659260841701"/>
      </top>
      <bottom/>
      <diagonal/>
    </border>
    <border>
      <left/>
      <right style="thick">
        <color theme="1" tint="0.24994659260841701"/>
      </right>
      <top style="medium">
        <color theme="0" tint="-0.24994659260841701"/>
      </top>
      <bottom/>
      <diagonal/>
    </border>
    <border>
      <left style="medium">
        <color theme="0" tint="-0.24994659260841701"/>
      </left>
      <right/>
      <top/>
      <bottom style="thick">
        <color theme="1" tint="0.24994659260841701"/>
      </bottom>
      <diagonal/>
    </border>
    <border>
      <left/>
      <right/>
      <top/>
      <bottom style="thick">
        <color theme="1" tint="0.24994659260841701"/>
      </bottom>
      <diagonal/>
    </border>
    <border>
      <left/>
      <right style="thick">
        <color theme="1" tint="0.24994659260841701"/>
      </right>
      <top/>
      <bottom style="thick">
        <color theme="1" tint="0.24994659260841701"/>
      </bottom>
      <diagonal/>
    </border>
    <border>
      <left style="double">
        <color auto="1"/>
      </left>
      <right style="double">
        <color auto="1"/>
      </right>
      <top/>
      <bottom style="medium">
        <color theme="4" tint="0.39997558519241921"/>
      </bottom>
      <diagonal/>
    </border>
    <border>
      <left/>
      <right style="thin">
        <color theme="1"/>
      </right>
      <top style="thick">
        <color theme="4"/>
      </top>
      <bottom style="medium">
        <color theme="4" tint="0.39997558519241921"/>
      </bottom>
      <diagonal/>
    </border>
    <border>
      <left/>
      <right style="thin">
        <color theme="1"/>
      </right>
      <top style="medium">
        <color theme="4" tint="0.39997558519241921"/>
      </top>
      <bottom style="medium">
        <color theme="4" tint="0.39997558519241921"/>
      </bottom>
      <diagonal/>
    </border>
    <border>
      <left/>
      <right style="thin">
        <color theme="1"/>
      </right>
      <top style="medium">
        <color theme="4" tint="0.39997558519241921"/>
      </top>
      <bottom/>
      <diagonal/>
    </border>
    <border>
      <left/>
      <right style="thin">
        <color theme="1"/>
      </right>
      <top/>
      <bottom/>
      <diagonal/>
    </border>
    <border>
      <left/>
      <right/>
      <top/>
      <bottom style="medium">
        <color theme="0" tint="-0.24994659260841701"/>
      </bottom>
      <diagonal/>
    </border>
    <border>
      <left style="double">
        <color theme="1"/>
      </left>
      <right style="double">
        <color theme="1"/>
      </right>
      <top style="medium">
        <color theme="4" tint="0.39997558519241921"/>
      </top>
      <bottom style="medium">
        <color theme="4" tint="0.39997558519241921"/>
      </bottom>
      <diagonal/>
    </border>
    <border>
      <left style="double">
        <color theme="1"/>
      </left>
      <right style="double">
        <color theme="1"/>
      </right>
      <top/>
      <bottom style="medium">
        <color theme="4" tint="0.39997558519241921"/>
      </bottom>
      <diagonal/>
    </border>
    <border>
      <left/>
      <right/>
      <top style="thick">
        <color theme="1" tint="0.24994659260841701"/>
      </top>
      <bottom/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</borders>
  <cellStyleXfs count="24">
    <xf numFmtId="0" fontId="0" fillId="0" borderId="0"/>
    <xf numFmtId="164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10" applyNumberFormat="0" applyFill="0" applyAlignment="0" applyProtection="0"/>
    <xf numFmtId="0" fontId="5" fillId="0" borderId="11" applyNumberFormat="0" applyFill="0" applyAlignment="0" applyProtection="0"/>
    <xf numFmtId="0" fontId="6" fillId="2" borderId="12" applyNumberFormat="0" applyAlignment="0" applyProtection="0"/>
    <xf numFmtId="0" fontId="7" fillId="0" borderId="0" applyNumberFormat="0" applyFill="0" applyBorder="0" applyAlignment="0" applyProtection="0"/>
    <xf numFmtId="0" fontId="8" fillId="0" borderId="13" applyNumberFormat="0" applyFill="0" applyAlignment="0" applyProtection="0"/>
    <xf numFmtId="0" fontId="9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9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9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9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9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</cellStyleXfs>
  <cellXfs count="161">
    <xf numFmtId="0" fontId="0" fillId="0" borderId="0" xfId="0"/>
    <xf numFmtId="0" fontId="11" fillId="19" borderId="14" xfId="10" applyFont="1" applyFill="1" applyBorder="1"/>
    <xf numFmtId="0" fontId="12" fillId="2" borderId="12" xfId="5" applyFont="1" applyProtection="1">
      <protection locked="0"/>
    </xf>
    <xf numFmtId="0" fontId="11" fillId="19" borderId="18" xfId="10" applyFont="1" applyFill="1" applyBorder="1"/>
    <xf numFmtId="0" fontId="11" fillId="19" borderId="4" xfId="10" applyFont="1" applyFill="1" applyBorder="1" applyAlignment="1">
      <alignment horizontal="left"/>
    </xf>
    <xf numFmtId="0" fontId="13" fillId="19" borderId="13" xfId="7" applyFont="1" applyFill="1"/>
    <xf numFmtId="165" fontId="11" fillId="5" borderId="0" xfId="10" applyNumberFormat="1" applyFont="1" applyProtection="1">
      <protection locked="0"/>
    </xf>
    <xf numFmtId="165" fontId="11" fillId="5" borderId="23" xfId="10" applyNumberFormat="1" applyFont="1" applyBorder="1" applyProtection="1">
      <protection locked="0"/>
    </xf>
    <xf numFmtId="165" fontId="11" fillId="8" borderId="0" xfId="13" applyNumberFormat="1" applyFont="1" applyProtection="1">
      <protection locked="0"/>
    </xf>
    <xf numFmtId="165" fontId="11" fillId="8" borderId="23" xfId="13" applyNumberFormat="1" applyFont="1" applyBorder="1" applyProtection="1">
      <protection locked="0"/>
    </xf>
    <xf numFmtId="165" fontId="11" fillId="11" borderId="0" xfId="16" applyNumberFormat="1" applyFont="1" applyProtection="1">
      <protection locked="0"/>
    </xf>
    <xf numFmtId="165" fontId="11" fillId="11" borderId="23" xfId="16" applyNumberFormat="1" applyFont="1" applyBorder="1" applyProtection="1">
      <protection locked="0"/>
    </xf>
    <xf numFmtId="165" fontId="11" fillId="14" borderId="0" xfId="19" applyNumberFormat="1" applyFont="1" applyProtection="1">
      <protection locked="0"/>
    </xf>
    <xf numFmtId="165" fontId="11" fillId="14" borderId="23" xfId="19" applyNumberFormat="1" applyFont="1" applyBorder="1" applyProtection="1">
      <protection locked="0"/>
    </xf>
    <xf numFmtId="165" fontId="11" fillId="18" borderId="0" xfId="23" applyNumberFormat="1" applyFont="1" applyProtection="1">
      <protection locked="0"/>
    </xf>
    <xf numFmtId="165" fontId="11" fillId="18" borderId="23" xfId="23" applyNumberFormat="1" applyFont="1" applyBorder="1" applyProtection="1">
      <protection locked="0"/>
    </xf>
    <xf numFmtId="0" fontId="14" fillId="19" borderId="0" xfId="6" applyFont="1" applyFill="1"/>
    <xf numFmtId="165" fontId="11" fillId="15" borderId="0" xfId="20" applyNumberFormat="1" applyFont="1" applyProtection="1">
      <protection locked="0"/>
    </xf>
    <xf numFmtId="165" fontId="11" fillId="15" borderId="23" xfId="20" applyNumberFormat="1" applyFont="1" applyBorder="1" applyProtection="1">
      <protection locked="0"/>
    </xf>
    <xf numFmtId="0" fontId="15" fillId="19" borderId="0" xfId="0" applyFont="1" applyFill="1"/>
    <xf numFmtId="0" fontId="15" fillId="0" borderId="0" xfId="0" applyFont="1"/>
    <xf numFmtId="0" fontId="15" fillId="19" borderId="0" xfId="0" applyFont="1" applyFill="1" applyAlignment="1">
      <alignment horizontal="left"/>
    </xf>
    <xf numFmtId="0" fontId="15" fillId="19" borderId="0" xfId="0" applyFont="1" applyFill="1" applyAlignment="1">
      <alignment horizontal="center"/>
    </xf>
    <xf numFmtId="1" fontId="15" fillId="19" borderId="0" xfId="0" applyNumberFormat="1" applyFont="1" applyFill="1"/>
    <xf numFmtId="0" fontId="15" fillId="19" borderId="0" xfId="0" applyFont="1" applyFill="1" applyBorder="1" applyAlignment="1">
      <alignment horizontal="left"/>
    </xf>
    <xf numFmtId="0" fontId="15" fillId="19" borderId="17" xfId="0" applyFont="1" applyFill="1" applyBorder="1"/>
    <xf numFmtId="0" fontId="15" fillId="19" borderId="6" xfId="0" applyFont="1" applyFill="1" applyBorder="1"/>
    <xf numFmtId="0" fontId="15" fillId="19" borderId="19" xfId="0" applyFont="1" applyFill="1" applyBorder="1"/>
    <xf numFmtId="0" fontId="15" fillId="19" borderId="27" xfId="0" applyFont="1" applyFill="1" applyBorder="1"/>
    <xf numFmtId="0" fontId="15" fillId="19" borderId="28" xfId="0" applyFont="1" applyFill="1" applyBorder="1"/>
    <xf numFmtId="0" fontId="15" fillId="19" borderId="30" xfId="0" applyFont="1" applyFill="1" applyBorder="1"/>
    <xf numFmtId="0" fontId="15" fillId="19" borderId="31" xfId="0" applyFont="1" applyFill="1" applyBorder="1"/>
    <xf numFmtId="0" fontId="15" fillId="19" borderId="0" xfId="0" applyFont="1" applyFill="1" applyAlignment="1">
      <alignment horizontal="right"/>
    </xf>
    <xf numFmtId="0" fontId="15" fillId="19" borderId="0" xfId="0" applyFont="1" applyFill="1" applyBorder="1" applyAlignment="1">
      <alignment horizontal="center"/>
    </xf>
    <xf numFmtId="0" fontId="17" fillId="19" borderId="0" xfId="0" applyFont="1" applyFill="1"/>
    <xf numFmtId="0" fontId="15" fillId="19" borderId="5" xfId="0" applyFont="1" applyFill="1" applyBorder="1"/>
    <xf numFmtId="0" fontId="15" fillId="19" borderId="8" xfId="0" applyFont="1" applyFill="1" applyBorder="1"/>
    <xf numFmtId="0" fontId="15" fillId="19" borderId="1" xfId="0" applyFont="1" applyFill="1" applyBorder="1"/>
    <xf numFmtId="0" fontId="15" fillId="19" borderId="18" xfId="0" applyFont="1" applyFill="1" applyBorder="1"/>
    <xf numFmtId="0" fontId="15" fillId="19" borderId="23" xfId="0" applyFont="1" applyFill="1" applyBorder="1"/>
    <xf numFmtId="166" fontId="15" fillId="19" borderId="0" xfId="1" applyNumberFormat="1" applyFont="1" applyFill="1"/>
    <xf numFmtId="166" fontId="15" fillId="19" borderId="23" xfId="1" applyNumberFormat="1" applyFont="1" applyFill="1" applyBorder="1"/>
    <xf numFmtId="0" fontId="10" fillId="19" borderId="0" xfId="0" applyFont="1" applyFill="1"/>
    <xf numFmtId="167" fontId="15" fillId="19" borderId="0" xfId="1" applyNumberFormat="1" applyFont="1" applyFill="1"/>
    <xf numFmtId="167" fontId="15" fillId="19" borderId="23" xfId="1" applyNumberFormat="1" applyFont="1" applyFill="1" applyBorder="1"/>
    <xf numFmtId="0" fontId="18" fillId="19" borderId="0" xfId="0" applyFont="1" applyFill="1"/>
    <xf numFmtId="165" fontId="15" fillId="19" borderId="0" xfId="0" applyNumberFormat="1" applyFont="1" applyFill="1" applyAlignment="1">
      <alignment shrinkToFit="1"/>
    </xf>
    <xf numFmtId="0" fontId="10" fillId="3" borderId="28" xfId="8" applyFont="1" applyBorder="1" applyAlignment="1">
      <alignment horizontal="center" shrinkToFit="1"/>
    </xf>
    <xf numFmtId="0" fontId="10" fillId="6" borderId="28" xfId="11" applyFont="1" applyBorder="1" applyAlignment="1">
      <alignment horizontal="center" shrinkToFit="1"/>
    </xf>
    <xf numFmtId="0" fontId="10" fillId="9" borderId="28" xfId="14" applyFont="1" applyBorder="1" applyAlignment="1">
      <alignment horizontal="center" shrinkToFit="1"/>
    </xf>
    <xf numFmtId="0" fontId="10" fillId="12" borderId="28" xfId="17" applyFont="1" applyBorder="1" applyAlignment="1">
      <alignment horizontal="center" shrinkToFit="1"/>
    </xf>
    <xf numFmtId="0" fontId="10" fillId="16" borderId="28" xfId="21" applyFont="1" applyBorder="1" applyAlignment="1">
      <alignment horizontal="center" shrinkToFit="1"/>
    </xf>
    <xf numFmtId="166" fontId="13" fillId="19" borderId="13" xfId="1" applyNumberFormat="1" applyFont="1" applyFill="1" applyBorder="1" applyAlignment="1">
      <alignment shrinkToFit="1"/>
    </xf>
    <xf numFmtId="166" fontId="11" fillId="19" borderId="11" xfId="1" applyNumberFormat="1" applyFont="1" applyFill="1" applyBorder="1" applyAlignment="1">
      <alignment shrinkToFit="1"/>
    </xf>
    <xf numFmtId="166" fontId="11" fillId="19" borderId="33" xfId="1" applyNumberFormat="1" applyFont="1" applyFill="1" applyBorder="1" applyAlignment="1">
      <alignment shrinkToFit="1"/>
    </xf>
    <xf numFmtId="166" fontId="11" fillId="19" borderId="39" xfId="1" applyNumberFormat="1" applyFont="1" applyFill="1" applyBorder="1" applyAlignment="1">
      <alignment shrinkToFit="1"/>
    </xf>
    <xf numFmtId="166" fontId="11" fillId="19" borderId="40" xfId="1" applyNumberFormat="1" applyFont="1" applyFill="1" applyBorder="1" applyAlignment="1">
      <alignment shrinkToFit="1"/>
    </xf>
    <xf numFmtId="166" fontId="15" fillId="19" borderId="28" xfId="1" applyNumberFormat="1" applyFont="1" applyFill="1" applyBorder="1" applyAlignment="1">
      <alignment shrinkToFit="1"/>
    </xf>
    <xf numFmtId="166" fontId="15" fillId="19" borderId="29" xfId="1" applyNumberFormat="1" applyFont="1" applyFill="1" applyBorder="1" applyAlignment="1">
      <alignment shrinkToFit="1"/>
    </xf>
    <xf numFmtId="166" fontId="15" fillId="19" borderId="31" xfId="1" applyNumberFormat="1" applyFont="1" applyFill="1" applyBorder="1" applyAlignment="1">
      <alignment shrinkToFit="1"/>
    </xf>
    <xf numFmtId="166" fontId="15" fillId="19" borderId="32" xfId="1" applyNumberFormat="1" applyFont="1" applyFill="1" applyBorder="1" applyAlignment="1">
      <alignment shrinkToFit="1"/>
    </xf>
    <xf numFmtId="0" fontId="11" fillId="4" borderId="0" xfId="9" applyFont="1" applyAlignment="1">
      <alignment horizontal="right"/>
    </xf>
    <xf numFmtId="166" fontId="11" fillId="4" borderId="0" xfId="9" applyNumberFormat="1" applyFont="1" applyAlignment="1">
      <alignment horizontal="right" shrinkToFit="1"/>
    </xf>
    <xf numFmtId="0" fontId="11" fillId="7" borderId="0" xfId="12" applyFont="1" applyAlignment="1">
      <alignment horizontal="right"/>
    </xf>
    <xf numFmtId="166" fontId="11" fillId="7" borderId="0" xfId="12" applyNumberFormat="1" applyFont="1" applyAlignment="1">
      <alignment horizontal="right" shrinkToFit="1"/>
    </xf>
    <xf numFmtId="0" fontId="11" fillId="10" borderId="0" xfId="15" applyFont="1" applyAlignment="1">
      <alignment horizontal="right"/>
    </xf>
    <xf numFmtId="166" fontId="11" fillId="10" borderId="0" xfId="15" applyNumberFormat="1" applyFont="1" applyAlignment="1">
      <alignment horizontal="right" shrinkToFit="1"/>
    </xf>
    <xf numFmtId="0" fontId="11" fillId="13" borderId="0" xfId="18" applyFont="1" applyAlignment="1">
      <alignment horizontal="right"/>
    </xf>
    <xf numFmtId="166" fontId="11" fillId="13" borderId="0" xfId="18" applyNumberFormat="1" applyFont="1" applyAlignment="1">
      <alignment horizontal="right" shrinkToFit="1"/>
    </xf>
    <xf numFmtId="0" fontId="11" fillId="17" borderId="0" xfId="22" applyFont="1" applyAlignment="1">
      <alignment horizontal="right"/>
    </xf>
    <xf numFmtId="166" fontId="11" fillId="17" borderId="0" xfId="22" applyNumberFormat="1" applyFont="1" applyAlignment="1">
      <alignment horizontal="right" shrinkToFit="1"/>
    </xf>
    <xf numFmtId="166" fontId="11" fillId="5" borderId="20" xfId="10" applyNumberFormat="1" applyFont="1" applyBorder="1" applyAlignment="1" applyProtection="1">
      <alignment shrinkToFit="1"/>
      <protection locked="0"/>
    </xf>
    <xf numFmtId="166" fontId="11" fillId="5" borderId="0" xfId="10" applyNumberFormat="1" applyFont="1" applyBorder="1" applyAlignment="1" applyProtection="1">
      <alignment shrinkToFit="1"/>
      <protection locked="0"/>
    </xf>
    <xf numFmtId="166" fontId="15" fillId="19" borderId="20" xfId="1" applyNumberFormat="1" applyFont="1" applyFill="1" applyBorder="1" applyAlignment="1">
      <alignment shrinkToFit="1"/>
    </xf>
    <xf numFmtId="166" fontId="15" fillId="19" borderId="0" xfId="1" applyNumberFormat="1" applyFont="1" applyFill="1" applyBorder="1" applyAlignment="1">
      <alignment shrinkToFit="1"/>
    </xf>
    <xf numFmtId="166" fontId="15" fillId="19" borderId="7" xfId="1" applyNumberFormat="1" applyFont="1" applyFill="1" applyBorder="1" applyAlignment="1">
      <alignment shrinkToFit="1"/>
    </xf>
    <xf numFmtId="166" fontId="11" fillId="8" borderId="20" xfId="13" applyNumberFormat="1" applyFont="1" applyBorder="1" applyAlignment="1" applyProtection="1">
      <alignment shrinkToFit="1"/>
      <protection locked="0"/>
    </xf>
    <xf numFmtId="166" fontId="11" fillId="8" borderId="0" xfId="13" applyNumberFormat="1" applyFont="1" applyBorder="1" applyAlignment="1" applyProtection="1">
      <alignment shrinkToFit="1"/>
      <protection locked="0"/>
    </xf>
    <xf numFmtId="166" fontId="11" fillId="11" borderId="20" xfId="16" applyNumberFormat="1" applyFont="1" applyBorder="1" applyAlignment="1" applyProtection="1">
      <alignment shrinkToFit="1"/>
      <protection locked="0"/>
    </xf>
    <xf numFmtId="166" fontId="11" fillId="11" borderId="0" xfId="16" applyNumberFormat="1" applyFont="1" applyBorder="1" applyAlignment="1" applyProtection="1">
      <alignment shrinkToFit="1"/>
      <protection locked="0"/>
    </xf>
    <xf numFmtId="166" fontId="11" fillId="14" borderId="20" xfId="19" applyNumberFormat="1" applyFont="1" applyBorder="1" applyAlignment="1" applyProtection="1">
      <alignment shrinkToFit="1"/>
      <protection locked="0"/>
    </xf>
    <xf numFmtId="166" fontId="11" fillId="14" borderId="0" xfId="19" applyNumberFormat="1" applyFont="1" applyBorder="1" applyAlignment="1" applyProtection="1">
      <alignment shrinkToFit="1"/>
      <protection locked="0"/>
    </xf>
    <xf numFmtId="166" fontId="11" fillId="18" borderId="20" xfId="23" applyNumberFormat="1" applyFont="1" applyBorder="1" applyAlignment="1" applyProtection="1">
      <alignment shrinkToFit="1"/>
      <protection locked="0"/>
    </xf>
    <xf numFmtId="166" fontId="11" fillId="18" borderId="0" xfId="23" applyNumberFormat="1" applyFont="1" applyBorder="1" applyAlignment="1" applyProtection="1">
      <alignment shrinkToFit="1"/>
      <protection locked="0"/>
    </xf>
    <xf numFmtId="166" fontId="15" fillId="19" borderId="8" xfId="0" applyNumberFormat="1" applyFont="1" applyFill="1" applyBorder="1" applyAlignment="1">
      <alignment shrinkToFit="1"/>
    </xf>
    <xf numFmtId="166" fontId="15" fillId="19" borderId="9" xfId="0" applyNumberFormat="1" applyFont="1" applyFill="1" applyBorder="1" applyAlignment="1">
      <alignment shrinkToFit="1"/>
    </xf>
    <xf numFmtId="0" fontId="15" fillId="19" borderId="0" xfId="0" applyFont="1" applyFill="1" applyBorder="1"/>
    <xf numFmtId="0" fontId="11" fillId="19" borderId="15" xfId="10" applyFont="1" applyFill="1" applyBorder="1"/>
    <xf numFmtId="0" fontId="11" fillId="19" borderId="6" xfId="10" applyFont="1" applyFill="1" applyBorder="1"/>
    <xf numFmtId="0" fontId="11" fillId="19" borderId="0" xfId="10" applyFont="1" applyFill="1" applyBorder="1" applyAlignment="1">
      <alignment horizontal="left"/>
    </xf>
    <xf numFmtId="0" fontId="10" fillId="19" borderId="0" xfId="21" applyFont="1" applyFill="1" applyBorder="1" applyAlignment="1">
      <alignment horizontal="center" shrinkToFit="1"/>
    </xf>
    <xf numFmtId="0" fontId="15" fillId="19" borderId="41" xfId="0" applyFont="1" applyFill="1" applyBorder="1"/>
    <xf numFmtId="0" fontId="10" fillId="19" borderId="41" xfId="21" applyFont="1" applyFill="1" applyBorder="1" applyAlignment="1">
      <alignment horizontal="center" shrinkToFit="1"/>
    </xf>
    <xf numFmtId="166" fontId="15" fillId="19" borderId="41" xfId="1" applyNumberFormat="1" applyFont="1" applyFill="1" applyBorder="1" applyAlignment="1">
      <alignment shrinkToFit="1"/>
    </xf>
    <xf numFmtId="166" fontId="10" fillId="19" borderId="0" xfId="1" applyNumberFormat="1" applyFont="1" applyFill="1" applyBorder="1" applyAlignment="1">
      <alignment shrinkToFit="1"/>
    </xf>
    <xf numFmtId="0" fontId="10" fillId="19" borderId="0" xfId="0" applyFont="1" applyFill="1" applyBorder="1"/>
    <xf numFmtId="0" fontId="15" fillId="19" borderId="24" xfId="0" applyFont="1" applyFill="1" applyBorder="1" applyAlignment="1">
      <alignment horizontal="right"/>
    </xf>
    <xf numFmtId="0" fontId="15" fillId="19" borderId="36" xfId="0" applyFont="1" applyFill="1" applyBorder="1" applyAlignment="1">
      <alignment horizontal="right"/>
    </xf>
    <xf numFmtId="0" fontId="15" fillId="19" borderId="0" xfId="0" applyFont="1" applyFill="1" applyBorder="1" applyAlignment="1">
      <alignment horizontal="right"/>
    </xf>
    <xf numFmtId="0" fontId="15" fillId="19" borderId="37" xfId="0" applyFont="1" applyFill="1" applyBorder="1" applyAlignment="1">
      <alignment horizontal="right"/>
    </xf>
    <xf numFmtId="166" fontId="15" fillId="19" borderId="44" xfId="1" applyNumberFormat="1" applyFont="1" applyFill="1" applyBorder="1" applyAlignment="1">
      <alignment shrinkToFit="1"/>
    </xf>
    <xf numFmtId="166" fontId="15" fillId="19" borderId="42" xfId="1" applyNumberFormat="1" applyFont="1" applyFill="1" applyBorder="1" applyAlignment="1">
      <alignment shrinkToFit="1"/>
    </xf>
    <xf numFmtId="166" fontId="15" fillId="19" borderId="45" xfId="1" applyNumberFormat="1" applyFont="1" applyFill="1" applyBorder="1" applyAlignment="1">
      <alignment shrinkToFit="1"/>
    </xf>
    <xf numFmtId="165" fontId="11" fillId="19" borderId="0" xfId="10" applyNumberFormat="1" applyFont="1" applyFill="1" applyBorder="1" applyProtection="1">
      <protection locked="0"/>
    </xf>
    <xf numFmtId="165" fontId="11" fillId="19" borderId="0" xfId="13" applyNumberFormat="1" applyFont="1" applyFill="1" applyBorder="1" applyProtection="1">
      <protection locked="0"/>
    </xf>
    <xf numFmtId="165" fontId="11" fillId="19" borderId="0" xfId="16" applyNumberFormat="1" applyFont="1" applyFill="1" applyBorder="1" applyProtection="1">
      <protection locked="0"/>
    </xf>
    <xf numFmtId="165" fontId="11" fillId="19" borderId="0" xfId="19" applyNumberFormat="1" applyFont="1" applyFill="1" applyBorder="1" applyProtection="1">
      <protection locked="0"/>
    </xf>
    <xf numFmtId="165" fontId="11" fillId="19" borderId="0" xfId="23" applyNumberFormat="1" applyFont="1" applyFill="1" applyBorder="1" applyProtection="1">
      <protection locked="0"/>
    </xf>
    <xf numFmtId="0" fontId="15" fillId="19" borderId="0" xfId="0" applyFont="1" applyFill="1" applyProtection="1"/>
    <xf numFmtId="0" fontId="15" fillId="19" borderId="0" xfId="0" applyFont="1" applyFill="1" applyBorder="1" applyProtection="1"/>
    <xf numFmtId="0" fontId="15" fillId="19" borderId="0" xfId="0" applyFont="1" applyFill="1" applyBorder="1" applyAlignment="1" applyProtection="1">
      <alignment horizontal="right"/>
    </xf>
    <xf numFmtId="166" fontId="10" fillId="19" borderId="0" xfId="10" applyNumberFormat="1" applyFont="1" applyFill="1" applyBorder="1" applyAlignment="1" applyProtection="1">
      <alignment shrinkToFit="1"/>
    </xf>
    <xf numFmtId="166" fontId="11" fillId="19" borderId="0" xfId="10" applyNumberFormat="1" applyFont="1" applyFill="1" applyBorder="1" applyAlignment="1" applyProtection="1">
      <alignment shrinkToFit="1"/>
    </xf>
    <xf numFmtId="0" fontId="15" fillId="19" borderId="0" xfId="0" applyFont="1" applyFill="1" applyAlignment="1" applyProtection="1">
      <alignment horizontal="right"/>
    </xf>
    <xf numFmtId="0" fontId="12" fillId="19" borderId="0" xfId="5" applyFont="1" applyFill="1" applyBorder="1" applyProtection="1"/>
    <xf numFmtId="165" fontId="15" fillId="19" borderId="0" xfId="0" applyNumberFormat="1" applyFont="1" applyFill="1" applyAlignment="1" applyProtection="1">
      <alignment shrinkToFit="1"/>
    </xf>
    <xf numFmtId="0" fontId="15" fillId="19" borderId="0" xfId="0" applyFont="1" applyFill="1" applyAlignment="1" applyProtection="1">
      <alignment horizontal="left"/>
    </xf>
    <xf numFmtId="0" fontId="11" fillId="19" borderId="0" xfId="10" applyFont="1" applyFill="1" applyBorder="1" applyAlignment="1" applyProtection="1">
      <alignment horizontal="left"/>
    </xf>
    <xf numFmtId="0" fontId="15" fillId="19" borderId="0" xfId="0" applyFont="1" applyFill="1" applyProtection="1">
      <protection locked="0" hidden="1"/>
    </xf>
    <xf numFmtId="0" fontId="10" fillId="19" borderId="4" xfId="10" applyFont="1" applyFill="1" applyBorder="1" applyAlignment="1">
      <alignment horizontal="left" shrinkToFit="1"/>
    </xf>
    <xf numFmtId="0" fontId="10" fillId="19" borderId="0" xfId="0" applyFont="1" applyFill="1" applyAlignment="1">
      <alignment shrinkToFit="1"/>
    </xf>
    <xf numFmtId="0" fontId="11" fillId="19" borderId="46" xfId="10" applyFont="1" applyFill="1" applyBorder="1" applyAlignment="1">
      <alignment horizontal="left"/>
    </xf>
    <xf numFmtId="0" fontId="11" fillId="19" borderId="20" xfId="10" applyFont="1" applyFill="1" applyBorder="1" applyAlignment="1">
      <alignment horizontal="left"/>
    </xf>
    <xf numFmtId="0" fontId="10" fillId="19" borderId="0" xfId="10" applyFont="1" applyFill="1" applyBorder="1" applyAlignment="1">
      <alignment horizontal="left" shrinkToFit="1"/>
    </xf>
    <xf numFmtId="0" fontId="10" fillId="19" borderId="0" xfId="0" applyFont="1" applyFill="1" applyAlignment="1" applyProtection="1">
      <alignment shrinkToFit="1"/>
    </xf>
    <xf numFmtId="0" fontId="10" fillId="0" borderId="0" xfId="0" applyFont="1" applyAlignment="1">
      <alignment shrinkToFit="1"/>
    </xf>
    <xf numFmtId="0" fontId="10" fillId="19" borderId="4" xfId="0" applyFont="1" applyFill="1" applyBorder="1" applyAlignment="1">
      <alignment horizontal="left" shrinkToFit="1"/>
    </xf>
    <xf numFmtId="0" fontId="10" fillId="12" borderId="0" xfId="17" applyFont="1" applyAlignment="1">
      <alignment horizontal="center" vertical="center" textRotation="90"/>
    </xf>
    <xf numFmtId="0" fontId="10" fillId="12" borderId="21" xfId="17" applyFont="1" applyBorder="1" applyAlignment="1">
      <alignment horizontal="center"/>
    </xf>
    <xf numFmtId="0" fontId="10" fillId="12" borderId="22" xfId="17" applyFont="1" applyBorder="1" applyAlignment="1">
      <alignment horizontal="center"/>
    </xf>
    <xf numFmtId="0" fontId="15" fillId="19" borderId="2" xfId="0" applyFont="1" applyFill="1" applyBorder="1" applyAlignment="1">
      <alignment horizontal="center"/>
    </xf>
    <xf numFmtId="0" fontId="15" fillId="19" borderId="3" xfId="0" applyFont="1" applyFill="1" applyBorder="1" applyAlignment="1">
      <alignment horizontal="center"/>
    </xf>
    <xf numFmtId="0" fontId="10" fillId="16" borderId="0" xfId="21" applyFont="1" applyAlignment="1">
      <alignment horizontal="center" vertical="center" textRotation="90"/>
    </xf>
    <xf numFmtId="0" fontId="10" fillId="16" borderId="21" xfId="21" applyFont="1" applyBorder="1" applyAlignment="1">
      <alignment horizontal="center"/>
    </xf>
    <xf numFmtId="0" fontId="10" fillId="16" borderId="22" xfId="21" applyFont="1" applyBorder="1" applyAlignment="1">
      <alignment horizontal="center"/>
    </xf>
    <xf numFmtId="0" fontId="15" fillId="19" borderId="0" xfId="0" applyFont="1" applyFill="1" applyBorder="1" applyAlignment="1">
      <alignment horizontal="right"/>
    </xf>
    <xf numFmtId="0" fontId="15" fillId="19" borderId="37" xfId="0" applyFont="1" applyFill="1" applyBorder="1" applyAlignment="1">
      <alignment horizontal="right"/>
    </xf>
    <xf numFmtId="0" fontId="10" fillId="9" borderId="0" xfId="14" applyFont="1" applyAlignment="1">
      <alignment horizontal="center" vertical="center" textRotation="90"/>
    </xf>
    <xf numFmtId="0" fontId="10" fillId="9" borderId="21" xfId="14" applyFont="1" applyBorder="1" applyAlignment="1">
      <alignment horizontal="center"/>
    </xf>
    <xf numFmtId="0" fontId="10" fillId="9" borderId="22" xfId="14" applyFont="1" applyBorder="1" applyAlignment="1">
      <alignment horizontal="center"/>
    </xf>
    <xf numFmtId="0" fontId="16" fillId="19" borderId="10" xfId="3" applyFont="1" applyFill="1" applyAlignment="1">
      <alignment horizontal="center"/>
    </xf>
    <xf numFmtId="0" fontId="11" fillId="19" borderId="26" xfId="4" applyFont="1" applyFill="1" applyBorder="1" applyAlignment="1">
      <alignment horizontal="right"/>
    </xf>
    <xf numFmtId="0" fontId="11" fillId="19" borderId="34" xfId="4" applyFont="1" applyFill="1" applyBorder="1" applyAlignment="1">
      <alignment horizontal="right"/>
    </xf>
    <xf numFmtId="0" fontId="11" fillId="19" borderId="25" xfId="4" applyFont="1" applyFill="1" applyBorder="1" applyAlignment="1">
      <alignment horizontal="right"/>
    </xf>
    <xf numFmtId="0" fontId="11" fillId="19" borderId="35" xfId="4" applyFont="1" applyFill="1" applyBorder="1" applyAlignment="1">
      <alignment horizontal="right"/>
    </xf>
    <xf numFmtId="0" fontId="15" fillId="19" borderId="24" xfId="0" applyFont="1" applyFill="1" applyBorder="1" applyAlignment="1">
      <alignment horizontal="right"/>
    </xf>
    <xf numFmtId="0" fontId="15" fillId="19" borderId="36" xfId="0" applyFont="1" applyFill="1" applyBorder="1" applyAlignment="1">
      <alignment horizontal="right"/>
    </xf>
    <xf numFmtId="0" fontId="16" fillId="19" borderId="0" xfId="2" applyFont="1" applyFill="1" applyAlignment="1">
      <alignment horizontal="center" vertical="center"/>
    </xf>
    <xf numFmtId="0" fontId="16" fillId="19" borderId="38" xfId="2" applyFont="1" applyFill="1" applyBorder="1" applyAlignment="1">
      <alignment horizontal="center" vertical="center"/>
    </xf>
    <xf numFmtId="0" fontId="10" fillId="3" borderId="0" xfId="8" applyFont="1" applyAlignment="1">
      <alignment horizontal="center" vertical="center" textRotation="90"/>
    </xf>
    <xf numFmtId="0" fontId="10" fillId="3" borderId="21" xfId="8" applyFont="1" applyBorder="1" applyAlignment="1">
      <alignment horizontal="center"/>
    </xf>
    <xf numFmtId="0" fontId="10" fillId="3" borderId="22" xfId="8" applyFont="1" applyBorder="1" applyAlignment="1">
      <alignment horizontal="center"/>
    </xf>
    <xf numFmtId="0" fontId="15" fillId="19" borderId="15" xfId="0" applyFont="1" applyFill="1" applyBorder="1" applyAlignment="1">
      <alignment horizontal="center"/>
    </xf>
    <xf numFmtId="0" fontId="15" fillId="19" borderId="16" xfId="0" applyFont="1" applyFill="1" applyBorder="1" applyAlignment="1">
      <alignment horizontal="center"/>
    </xf>
    <xf numFmtId="0" fontId="10" fillId="6" borderId="0" xfId="11" applyFont="1" applyAlignment="1">
      <alignment horizontal="center" vertical="center" textRotation="90"/>
    </xf>
    <xf numFmtId="0" fontId="10" fillId="6" borderId="21" xfId="11" applyFont="1" applyBorder="1" applyAlignment="1">
      <alignment horizontal="center"/>
    </xf>
    <xf numFmtId="0" fontId="10" fillId="6" borderId="22" xfId="11" applyFont="1" applyBorder="1" applyAlignment="1">
      <alignment horizontal="center"/>
    </xf>
    <xf numFmtId="0" fontId="10" fillId="3" borderId="7" xfId="8" applyFont="1" applyBorder="1" applyAlignment="1">
      <alignment horizontal="center" vertical="center" textRotation="90"/>
    </xf>
    <xf numFmtId="166" fontId="20" fillId="19" borderId="43" xfId="10" applyNumberFormat="1" applyFont="1" applyFill="1" applyBorder="1" applyAlignment="1" applyProtection="1">
      <alignment horizontal="center" shrinkToFit="1"/>
    </xf>
    <xf numFmtId="166" fontId="20" fillId="19" borderId="44" xfId="10" applyNumberFormat="1" applyFont="1" applyFill="1" applyBorder="1" applyAlignment="1" applyProtection="1">
      <alignment horizontal="center" shrinkToFit="1"/>
    </xf>
    <xf numFmtId="166" fontId="20" fillId="19" borderId="45" xfId="10" applyNumberFormat="1" applyFont="1" applyFill="1" applyBorder="1" applyAlignment="1" applyProtection="1">
      <alignment horizontal="center" shrinkToFit="1"/>
    </xf>
  </cellXfs>
  <cellStyles count="24">
    <cellStyle name="20% - Accent1" xfId="9" builtinId="30"/>
    <cellStyle name="20% - Accent2" xfId="12" builtinId="34"/>
    <cellStyle name="20% - Accent3" xfId="15" builtinId="38"/>
    <cellStyle name="20% - Accent4" xfId="18" builtinId="42"/>
    <cellStyle name="20% - Accent5" xfId="20" builtinId="46"/>
    <cellStyle name="20% - Accent6" xfId="22" builtinId="50"/>
    <cellStyle name="40% - Accent1" xfId="10" builtinId="31"/>
    <cellStyle name="40% - Accent2" xfId="13" builtinId="35"/>
    <cellStyle name="40% - Accent3" xfId="16" builtinId="39"/>
    <cellStyle name="40% - Accent4" xfId="19" builtinId="43"/>
    <cellStyle name="40% - Accent6" xfId="23" builtinId="51"/>
    <cellStyle name="Accent1" xfId="8" builtinId="29"/>
    <cellStyle name="Accent2" xfId="11" builtinId="33"/>
    <cellStyle name="Accent3" xfId="14" builtinId="37"/>
    <cellStyle name="Accent4" xfId="17" builtinId="41"/>
    <cellStyle name="Accent6" xfId="21" builtinId="49"/>
    <cellStyle name="Invoer" xfId="5" builtinId="20"/>
    <cellStyle name="Komma" xfId="1" builtinId="3"/>
    <cellStyle name="Kop 1" xfId="3" builtinId="16"/>
    <cellStyle name="Kop 3" xfId="4" builtinId="18"/>
    <cellStyle name="Standaard" xfId="0" builtinId="0"/>
    <cellStyle name="Titel" xfId="2" builtinId="15"/>
    <cellStyle name="Totaal" xfId="7" builtinId="25"/>
    <cellStyle name="Verklarende tekst" xfId="6" builtinId="5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00"/>
  <sheetViews>
    <sheetView tabSelected="1" workbookViewId="0">
      <selection activeCell="C3" sqref="C3"/>
    </sheetView>
  </sheetViews>
  <sheetFormatPr defaultRowHeight="16.5" customHeight="1"/>
  <cols>
    <col min="1" max="1" width="2.85546875" style="20" customWidth="1"/>
    <col min="2" max="3" width="22.85546875" style="20" customWidth="1"/>
    <col min="4" max="4" width="11.7109375" style="20" bestFit="1" customWidth="1"/>
    <col min="5" max="5" width="17.85546875" style="20" customWidth="1"/>
    <col min="6" max="6" width="3.5703125" style="20" customWidth="1"/>
    <col min="7" max="7" width="9.140625" style="20"/>
    <col min="8" max="8" width="21.42578125" style="20" customWidth="1"/>
    <col min="9" max="14" width="14.28515625" style="20" customWidth="1"/>
    <col min="15" max="15" width="20" style="20" customWidth="1"/>
    <col min="16" max="17" width="3.5703125" style="20" customWidth="1"/>
    <col min="18" max="18" width="13.42578125" style="20" bestFit="1" customWidth="1"/>
    <col min="19" max="19" width="21.42578125" style="20" customWidth="1"/>
    <col min="20" max="20" width="9.140625" style="20"/>
    <col min="21" max="23" width="17.85546875" style="20" customWidth="1"/>
    <col min="24" max="25" width="9.140625" style="20"/>
    <col min="26" max="26" width="10.28515625" style="20" bestFit="1" customWidth="1"/>
    <col min="27" max="16384" width="9.140625" style="20"/>
  </cols>
  <sheetData>
    <row r="1" spans="1:26" ht="16.5" customHeight="1" thickBot="1">
      <c r="A1" s="19"/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47" t="s">
        <v>42</v>
      </c>
      <c r="S1" s="19"/>
      <c r="T1" s="19"/>
      <c r="U1" s="19"/>
      <c r="V1" s="19"/>
      <c r="W1" s="19"/>
      <c r="X1" s="19"/>
      <c r="Y1" s="19"/>
      <c r="Z1" s="19"/>
    </row>
    <row r="2" spans="1:26" ht="16.5" customHeight="1" thickBot="1">
      <c r="A2" s="19"/>
      <c r="B2" s="19"/>
      <c r="C2" s="19" t="s">
        <v>19</v>
      </c>
      <c r="D2" s="21">
        <f>COUNTA(C3:C7)</f>
        <v>0</v>
      </c>
      <c r="E2" s="19" t="str">
        <f>IF(E3="","","Vloot verhouding")</f>
        <v/>
      </c>
      <c r="F2" s="19"/>
      <c r="G2" s="149" t="str">
        <f>IF($D$2&gt;0,CONCATENATE($B$3," : ",$C$3),"")</f>
        <v/>
      </c>
      <c r="H2" s="1" t="s">
        <v>27</v>
      </c>
      <c r="I2" s="150" t="str">
        <f>IF(C3="","",C3)</f>
        <v/>
      </c>
      <c r="J2" s="151"/>
      <c r="K2" s="152" t="s">
        <v>31</v>
      </c>
      <c r="L2" s="152"/>
      <c r="M2" s="152"/>
      <c r="N2" s="153"/>
      <c r="O2" s="61" t="s">
        <v>39</v>
      </c>
      <c r="P2" s="19"/>
      <c r="Q2" s="19"/>
      <c r="R2" s="147"/>
      <c r="S2" s="19" t="s">
        <v>43</v>
      </c>
      <c r="T2" s="19"/>
      <c r="U2" s="22" t="s">
        <v>11</v>
      </c>
      <c r="V2" s="22" t="s">
        <v>12</v>
      </c>
      <c r="W2" s="22" t="s">
        <v>17</v>
      </c>
      <c r="X2" s="19"/>
      <c r="Y2" s="19"/>
      <c r="Z2" s="19"/>
    </row>
    <row r="3" spans="1:26" ht="16.5" customHeight="1" thickTop="1" thickBot="1">
      <c r="A3" s="19"/>
      <c r="B3" s="32" t="s">
        <v>20</v>
      </c>
      <c r="C3" s="2"/>
      <c r="D3" s="19"/>
      <c r="E3" s="23" t="str">
        <f>IF(O5&gt;0,(O5/$E$8*100),"")</f>
        <v/>
      </c>
      <c r="F3" s="24" t="str">
        <f>IF(E3="","","%")</f>
        <v/>
      </c>
      <c r="G3" s="149"/>
      <c r="H3" s="3" t="s">
        <v>28</v>
      </c>
      <c r="I3" s="25" t="s">
        <v>29</v>
      </c>
      <c r="J3" s="26" t="s">
        <v>30</v>
      </c>
      <c r="K3" s="25" t="s">
        <v>32</v>
      </c>
      <c r="L3" s="26" t="s">
        <v>11</v>
      </c>
      <c r="M3" s="25" t="s">
        <v>12</v>
      </c>
      <c r="N3" s="27" t="s">
        <v>17</v>
      </c>
      <c r="O3" s="62">
        <f>L17+M17+N17</f>
        <v>0</v>
      </c>
      <c r="P3" s="19"/>
      <c r="Q3" s="19"/>
      <c r="R3" s="148"/>
      <c r="S3" s="19"/>
      <c r="T3" s="19"/>
      <c r="U3" s="19"/>
      <c r="V3" s="19"/>
      <c r="W3" s="19"/>
      <c r="X3" s="19"/>
      <c r="Y3" s="19"/>
      <c r="Z3" s="19"/>
    </row>
    <row r="4" spans="1:26" ht="16.5" customHeight="1" thickTop="1">
      <c r="A4" s="119" t="s">
        <v>0</v>
      </c>
      <c r="B4" s="32" t="s">
        <v>21</v>
      </c>
      <c r="C4" s="2"/>
      <c r="D4" s="19"/>
      <c r="E4" s="23" t="str">
        <f>IF(O21&gt;0,(O21/$E$8*100),"")</f>
        <v/>
      </c>
      <c r="F4" s="24" t="str">
        <f t="shared" ref="F4:F7" si="0">IF(E4="","","%")</f>
        <v/>
      </c>
      <c r="G4" s="149"/>
      <c r="H4" s="4" t="str">
        <f>PROPER(A4)</f>
        <v>Klein Vrachtschip</v>
      </c>
      <c r="I4" s="71"/>
      <c r="J4" s="72"/>
      <c r="K4" s="73" t="str">
        <f>IF(I4="","",I4-J4)</f>
        <v/>
      </c>
      <c r="L4" s="74" t="str">
        <f>IF(K4="","",K4*2000)</f>
        <v/>
      </c>
      <c r="M4" s="73" t="str">
        <f>IF(K4="","",K4*2000)</f>
        <v/>
      </c>
      <c r="N4" s="75" t="str">
        <f>IF(K4="","",K4*0)</f>
        <v/>
      </c>
      <c r="O4" s="61" t="s">
        <v>40</v>
      </c>
      <c r="P4" s="19"/>
      <c r="Q4" s="19"/>
      <c r="R4" s="28" t="str">
        <f>IF(S4="","","Verloren")</f>
        <v/>
      </c>
      <c r="S4" s="47" t="str">
        <f>IF(I2="","",I2)</f>
        <v/>
      </c>
      <c r="T4" s="29"/>
      <c r="U4" s="57">
        <f>SUM(L4:L16)</f>
        <v>0</v>
      </c>
      <c r="V4" s="57">
        <f>SUM(M4:M16)</f>
        <v>0</v>
      </c>
      <c r="W4" s="58">
        <f>SUM(N4:N16)</f>
        <v>0</v>
      </c>
      <c r="X4" s="19"/>
      <c r="Y4" s="19"/>
      <c r="Z4" s="19"/>
    </row>
    <row r="5" spans="1:26" ht="16.5" customHeight="1" thickBot="1">
      <c r="A5" s="119" t="s">
        <v>1</v>
      </c>
      <c r="B5" s="32" t="s">
        <v>22</v>
      </c>
      <c r="C5" s="2"/>
      <c r="D5" s="19"/>
      <c r="E5" s="23" t="str">
        <f>IF(O37&gt;0,(O37/$E$8*100),"")</f>
        <v/>
      </c>
      <c r="F5" s="24" t="str">
        <f t="shared" si="0"/>
        <v/>
      </c>
      <c r="G5" s="149"/>
      <c r="H5" s="4" t="str">
        <f t="shared" ref="H5:H16" si="1">PROPER(A5)</f>
        <v>Groot Vrachtschip</v>
      </c>
      <c r="I5" s="71"/>
      <c r="J5" s="72"/>
      <c r="K5" s="73" t="str">
        <f t="shared" ref="K5:K16" si="2">IF(I5="","",I5-J5)</f>
        <v/>
      </c>
      <c r="L5" s="74" t="str">
        <f>IF(K5="","",K5*6000)</f>
        <v/>
      </c>
      <c r="M5" s="73" t="str">
        <f>IF(K5="","",K5*6000)</f>
        <v/>
      </c>
      <c r="N5" s="75" t="str">
        <f t="shared" ref="N5:N12" si="3">IF(K5="","",K5*0)</f>
        <v/>
      </c>
      <c r="O5" s="62">
        <f>L17+M17*2+N17*3</f>
        <v>0</v>
      </c>
      <c r="P5" s="19"/>
      <c r="Q5" s="19"/>
      <c r="R5" s="30" t="str">
        <f>IF(S4="","","Verkregen")</f>
        <v/>
      </c>
      <c r="S5" s="31"/>
      <c r="T5" s="31"/>
      <c r="U5" s="59">
        <f>C28+C35</f>
        <v>0</v>
      </c>
      <c r="V5" s="59">
        <f>D28+D35</f>
        <v>0</v>
      </c>
      <c r="W5" s="60">
        <f>E28-F35</f>
        <v>0</v>
      </c>
      <c r="X5" s="19"/>
      <c r="Y5" s="19"/>
      <c r="Z5" s="19"/>
    </row>
    <row r="6" spans="1:26" ht="16.5" customHeight="1" thickTop="1" thickBot="1">
      <c r="A6" s="119" t="s">
        <v>2</v>
      </c>
      <c r="B6" s="32" t="s">
        <v>23</v>
      </c>
      <c r="C6" s="2"/>
      <c r="D6" s="19"/>
      <c r="E6" s="23" t="str">
        <f>IF(O53&gt;0,(O53/$E$8*100),"")</f>
        <v/>
      </c>
      <c r="F6" s="24" t="str">
        <f t="shared" si="0"/>
        <v/>
      </c>
      <c r="G6" s="149"/>
      <c r="H6" s="4" t="str">
        <f t="shared" si="1"/>
        <v>Licht Gevechtschip</v>
      </c>
      <c r="I6" s="71"/>
      <c r="J6" s="72"/>
      <c r="K6" s="73" t="str">
        <f t="shared" si="2"/>
        <v/>
      </c>
      <c r="L6" s="74" t="str">
        <f>IF(K6="","",K6*3000)</f>
        <v/>
      </c>
      <c r="M6" s="73" t="str">
        <f>IF(K6="","",K6*1000)</f>
        <v/>
      </c>
      <c r="N6" s="75" t="str">
        <f t="shared" si="3"/>
        <v/>
      </c>
      <c r="O6" s="61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</row>
    <row r="7" spans="1:26" ht="16.5" customHeight="1">
      <c r="A7" s="119" t="s">
        <v>3</v>
      </c>
      <c r="B7" s="32" t="s">
        <v>24</v>
      </c>
      <c r="C7" s="2"/>
      <c r="D7" s="19"/>
      <c r="E7" s="23" t="str">
        <f>IF(O69&gt;0,(O69/$E$8*100),"")</f>
        <v/>
      </c>
      <c r="F7" s="24" t="str">
        <f t="shared" si="0"/>
        <v/>
      </c>
      <c r="G7" s="149"/>
      <c r="H7" s="4" t="str">
        <f t="shared" si="1"/>
        <v>Zwaar Gevechtschip</v>
      </c>
      <c r="I7" s="71"/>
      <c r="J7" s="72"/>
      <c r="K7" s="73" t="str">
        <f t="shared" si="2"/>
        <v/>
      </c>
      <c r="L7" s="74" t="str">
        <f>IF(K7="","",K7*6000)</f>
        <v/>
      </c>
      <c r="M7" s="73" t="str">
        <f>IF(K7="","",K7*4000)</f>
        <v/>
      </c>
      <c r="N7" s="75" t="str">
        <f t="shared" si="3"/>
        <v/>
      </c>
      <c r="O7" s="61"/>
      <c r="P7" s="19"/>
      <c r="Q7" s="19"/>
      <c r="R7" s="28" t="str">
        <f>IF(S7="","","Verloren")</f>
        <v/>
      </c>
      <c r="S7" s="48" t="str">
        <f>IF(I18="","",I18)</f>
        <v/>
      </c>
      <c r="T7" s="29"/>
      <c r="U7" s="57">
        <f>SUM(L20:L32)</f>
        <v>0</v>
      </c>
      <c r="V7" s="57">
        <f t="shared" ref="V7:W7" si="4">SUM(M20:M32)</f>
        <v>0</v>
      </c>
      <c r="W7" s="58">
        <f t="shared" si="4"/>
        <v>0</v>
      </c>
      <c r="X7" s="19"/>
      <c r="Y7" s="19"/>
      <c r="Z7" s="19"/>
    </row>
    <row r="8" spans="1:26" ht="16.5" customHeight="1" thickBot="1">
      <c r="A8" s="119" t="s">
        <v>4</v>
      </c>
      <c r="B8" s="19"/>
      <c r="C8" s="19"/>
      <c r="D8" s="32" t="s">
        <v>41</v>
      </c>
      <c r="E8" s="46">
        <f>O5+O21+O37+O53+O69</f>
        <v>0</v>
      </c>
      <c r="F8" s="33"/>
      <c r="G8" s="149"/>
      <c r="H8" s="4" t="str">
        <f t="shared" si="1"/>
        <v>Kruiser</v>
      </c>
      <c r="I8" s="71"/>
      <c r="J8" s="72"/>
      <c r="K8" s="73" t="str">
        <f t="shared" si="2"/>
        <v/>
      </c>
      <c r="L8" s="74" t="str">
        <f>IF(K8="","",K8*20000)</f>
        <v/>
      </c>
      <c r="M8" s="73" t="str">
        <f>IF(K8="","",K8*7000)</f>
        <v/>
      </c>
      <c r="N8" s="75" t="str">
        <f>IF(K8="","",K8*2000)</f>
        <v/>
      </c>
      <c r="O8" s="61"/>
      <c r="P8" s="19"/>
      <c r="Q8" s="19"/>
      <c r="R8" s="30" t="str">
        <f>IF(S7="","","Verkregen")</f>
        <v/>
      </c>
      <c r="S8" s="31"/>
      <c r="T8" s="31"/>
      <c r="U8" s="59">
        <f>C29+C36</f>
        <v>0</v>
      </c>
      <c r="V8" s="59">
        <f t="shared" ref="V8" si="5">D29+D36</f>
        <v>0</v>
      </c>
      <c r="W8" s="60">
        <f>E29-F36</f>
        <v>0</v>
      </c>
      <c r="X8" s="19"/>
      <c r="Y8" s="19"/>
      <c r="Z8" s="19"/>
    </row>
    <row r="9" spans="1:26" ht="16.5" customHeight="1" thickTop="1" thickBot="1">
      <c r="A9" s="119" t="s">
        <v>5</v>
      </c>
      <c r="B9" s="19"/>
      <c r="C9" s="19" t="s">
        <v>25</v>
      </c>
      <c r="D9" s="19"/>
      <c r="E9" s="40"/>
      <c r="F9" s="33"/>
      <c r="G9" s="149"/>
      <c r="H9" s="4" t="str">
        <f t="shared" si="1"/>
        <v>Slagschip</v>
      </c>
      <c r="I9" s="71"/>
      <c r="J9" s="72"/>
      <c r="K9" s="73" t="str">
        <f t="shared" si="2"/>
        <v/>
      </c>
      <c r="L9" s="74" t="str">
        <f>IF(K9="","",K9*45000)</f>
        <v/>
      </c>
      <c r="M9" s="73" t="str">
        <f>IF(K9="","",K9*15000)</f>
        <v/>
      </c>
      <c r="N9" s="75" t="str">
        <f t="shared" si="3"/>
        <v/>
      </c>
      <c r="O9" s="61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</row>
    <row r="10" spans="1:26" ht="16.5" customHeight="1">
      <c r="A10" s="119" t="s">
        <v>6</v>
      </c>
      <c r="B10" s="19"/>
      <c r="C10" s="19"/>
      <c r="D10" s="19"/>
      <c r="E10" s="19"/>
      <c r="F10" s="33"/>
      <c r="G10" s="149"/>
      <c r="H10" s="4" t="str">
        <f t="shared" si="1"/>
        <v>Kolonisatie Schip</v>
      </c>
      <c r="I10" s="71"/>
      <c r="J10" s="72"/>
      <c r="K10" s="73" t="str">
        <f t="shared" si="2"/>
        <v/>
      </c>
      <c r="L10" s="74" t="str">
        <f>IF(K10="","",K10*10000)</f>
        <v/>
      </c>
      <c r="M10" s="73" t="str">
        <f>IF(K10="","",K10*20000)</f>
        <v/>
      </c>
      <c r="N10" s="75" t="str">
        <f>IF(K10="","",K10*10000)</f>
        <v/>
      </c>
      <c r="O10" s="61"/>
      <c r="P10" s="19"/>
      <c r="Q10" s="19"/>
      <c r="R10" s="28" t="str">
        <f>IF(S10="","","Verloren")</f>
        <v/>
      </c>
      <c r="S10" s="49" t="str">
        <f>IF(I34="","",I34)</f>
        <v/>
      </c>
      <c r="T10" s="29"/>
      <c r="U10" s="57">
        <f>SUM(L36:L48)</f>
        <v>0</v>
      </c>
      <c r="V10" s="57">
        <f t="shared" ref="V10:W10" si="6">SUM(M36:M48)</f>
        <v>0</v>
      </c>
      <c r="W10" s="58">
        <f t="shared" si="6"/>
        <v>0</v>
      </c>
      <c r="X10" s="19"/>
      <c r="Y10" s="19"/>
      <c r="Z10" s="19"/>
    </row>
    <row r="11" spans="1:26" ht="16.5" customHeight="1" thickBot="1">
      <c r="A11" s="119" t="s">
        <v>7</v>
      </c>
      <c r="B11" s="19"/>
      <c r="C11" s="19" t="s">
        <v>50</v>
      </c>
      <c r="D11" s="34">
        <f>COUNTA(C12:C16)</f>
        <v>0</v>
      </c>
      <c r="E11" s="19"/>
      <c r="F11" s="33"/>
      <c r="G11" s="149"/>
      <c r="H11" s="4" t="str">
        <f t="shared" si="1"/>
        <v>Recycler</v>
      </c>
      <c r="I11" s="71"/>
      <c r="J11" s="72"/>
      <c r="K11" s="73" t="str">
        <f t="shared" si="2"/>
        <v/>
      </c>
      <c r="L11" s="74" t="str">
        <f>IF(K11="","",K11*10000)</f>
        <v/>
      </c>
      <c r="M11" s="73" t="str">
        <f>IF(K11="","",K11*6000)</f>
        <v/>
      </c>
      <c r="N11" s="75" t="str">
        <f>IF(K11="","",K11*2000)</f>
        <v/>
      </c>
      <c r="O11" s="61"/>
      <c r="P11" s="19"/>
      <c r="Q11" s="19"/>
      <c r="R11" s="30" t="str">
        <f>IF(S10="","","Verkregen")</f>
        <v/>
      </c>
      <c r="S11" s="31"/>
      <c r="T11" s="31"/>
      <c r="U11" s="59">
        <f>C30+C37</f>
        <v>0</v>
      </c>
      <c r="V11" s="59">
        <f t="shared" ref="V11" si="7">D30+D37</f>
        <v>0</v>
      </c>
      <c r="W11" s="60">
        <f>E30-F37</f>
        <v>0</v>
      </c>
      <c r="X11" s="19"/>
      <c r="Y11" s="19"/>
      <c r="Z11" s="19"/>
    </row>
    <row r="12" spans="1:26" ht="16.5" customHeight="1" thickTop="1" thickBot="1">
      <c r="A12" s="119" t="s">
        <v>8</v>
      </c>
      <c r="B12" s="32" t="s">
        <v>26</v>
      </c>
      <c r="C12" s="2"/>
      <c r="D12" s="19"/>
      <c r="E12" s="19"/>
      <c r="F12" s="33"/>
      <c r="G12" s="149"/>
      <c r="H12" s="4" t="str">
        <f t="shared" si="1"/>
        <v>Spionage Sonde</v>
      </c>
      <c r="I12" s="71"/>
      <c r="J12" s="72"/>
      <c r="K12" s="73" t="str">
        <f t="shared" si="2"/>
        <v/>
      </c>
      <c r="L12" s="74" t="str">
        <f>IF(K12="","",K12*0)</f>
        <v/>
      </c>
      <c r="M12" s="73" t="str">
        <f>IF(K12="","",K12*1000)</f>
        <v/>
      </c>
      <c r="N12" s="75" t="str">
        <f t="shared" si="3"/>
        <v/>
      </c>
      <c r="O12" s="61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</row>
    <row r="13" spans="1:26" ht="16.5" customHeight="1">
      <c r="A13" s="119" t="s">
        <v>9</v>
      </c>
      <c r="B13" s="19"/>
      <c r="C13" s="19"/>
      <c r="D13" s="19"/>
      <c r="E13" s="19"/>
      <c r="F13" s="33"/>
      <c r="G13" s="149"/>
      <c r="H13" s="4" t="str">
        <f t="shared" si="1"/>
        <v>Bommenwerper</v>
      </c>
      <c r="I13" s="71"/>
      <c r="J13" s="72"/>
      <c r="K13" s="73" t="str">
        <f t="shared" si="2"/>
        <v/>
      </c>
      <c r="L13" s="74" t="str">
        <f>IF(K13="","",K13*50000)</f>
        <v/>
      </c>
      <c r="M13" s="73" t="str">
        <f>IF(K13="","",K13*25000)</f>
        <v/>
      </c>
      <c r="N13" s="75" t="str">
        <f>IF(K13="","",K13*15000)</f>
        <v/>
      </c>
      <c r="O13" s="61"/>
      <c r="P13" s="19"/>
      <c r="Q13" s="19"/>
      <c r="R13" s="28" t="str">
        <f>IF(S13="","","Verloren")</f>
        <v/>
      </c>
      <c r="S13" s="50" t="str">
        <f>IF(I50="","",I50)</f>
        <v/>
      </c>
      <c r="T13" s="29"/>
      <c r="U13" s="57">
        <f>SUM(L52:L64)</f>
        <v>0</v>
      </c>
      <c r="V13" s="57">
        <f t="shared" ref="V13:W13" si="8">SUM(M52:M64)</f>
        <v>0</v>
      </c>
      <c r="W13" s="58">
        <f t="shared" si="8"/>
        <v>0</v>
      </c>
      <c r="X13" s="19"/>
      <c r="Y13" s="19"/>
      <c r="Z13" s="19"/>
    </row>
    <row r="14" spans="1:26" ht="16.5" customHeight="1" thickBot="1">
      <c r="A14" s="119" t="s">
        <v>10</v>
      </c>
      <c r="B14" s="19"/>
      <c r="C14" s="19"/>
      <c r="D14" s="19"/>
      <c r="E14" s="19"/>
      <c r="F14" s="33"/>
      <c r="G14" s="149"/>
      <c r="H14" s="4" t="str">
        <f t="shared" si="1"/>
        <v>Vernietiger</v>
      </c>
      <c r="I14" s="71"/>
      <c r="J14" s="72"/>
      <c r="K14" s="73" t="str">
        <f t="shared" si="2"/>
        <v/>
      </c>
      <c r="L14" s="74" t="str">
        <f>IF(K14="","",K14*60000)</f>
        <v/>
      </c>
      <c r="M14" s="73" t="str">
        <f>IF(K14="","",K14*50000)</f>
        <v/>
      </c>
      <c r="N14" s="75" t="str">
        <f>IF(K14="","",K14*15000)</f>
        <v/>
      </c>
      <c r="O14" s="61"/>
      <c r="P14" s="19"/>
      <c r="Q14" s="19"/>
      <c r="R14" s="30" t="str">
        <f>IF(S13="","","Verkregen")</f>
        <v/>
      </c>
      <c r="S14" s="31"/>
      <c r="T14" s="31"/>
      <c r="U14" s="59">
        <f>C31+C38</f>
        <v>0</v>
      </c>
      <c r="V14" s="59">
        <f t="shared" ref="V14" si="9">D31+D38</f>
        <v>0</v>
      </c>
      <c r="W14" s="60">
        <f>E31-F38</f>
        <v>0</v>
      </c>
      <c r="X14" s="19"/>
      <c r="Y14" s="19"/>
      <c r="Z14" s="19"/>
    </row>
    <row r="15" spans="1:26" ht="16.5" customHeight="1" thickTop="1" thickBot="1">
      <c r="A15" s="119" t="s">
        <v>18</v>
      </c>
      <c r="B15" s="19"/>
      <c r="C15" s="19"/>
      <c r="D15" s="19"/>
      <c r="E15" s="19"/>
      <c r="F15" s="33"/>
      <c r="G15" s="149"/>
      <c r="H15" s="4" t="str">
        <f t="shared" si="1"/>
        <v>Rip</v>
      </c>
      <c r="I15" s="71"/>
      <c r="J15" s="72"/>
      <c r="K15" s="73" t="str">
        <f t="shared" si="2"/>
        <v/>
      </c>
      <c r="L15" s="74" t="str">
        <f>IF(K15="","",K15*5000000)</f>
        <v/>
      </c>
      <c r="M15" s="73" t="str">
        <f>IF(K15="","",K15*4000000)</f>
        <v/>
      </c>
      <c r="N15" s="75" t="str">
        <f>IF(K15="","",K15*1000000)</f>
        <v/>
      </c>
      <c r="O15" s="61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</row>
    <row r="16" spans="1:26" ht="16.5" customHeight="1">
      <c r="A16" s="119" t="s">
        <v>16</v>
      </c>
      <c r="B16" s="19"/>
      <c r="C16" s="19"/>
      <c r="D16" s="19"/>
      <c r="E16" s="19"/>
      <c r="F16" s="19"/>
      <c r="G16" s="149"/>
      <c r="H16" s="4" t="str">
        <f t="shared" si="1"/>
        <v>Interceptor</v>
      </c>
      <c r="I16" s="71"/>
      <c r="J16" s="72"/>
      <c r="K16" s="73" t="str">
        <f t="shared" si="2"/>
        <v/>
      </c>
      <c r="L16" s="74" t="str">
        <f>IF(K16="","",K16*30000)</f>
        <v/>
      </c>
      <c r="M16" s="73" t="str">
        <f>IF(K16="","",K16*40000)</f>
        <v/>
      </c>
      <c r="N16" s="75" t="str">
        <f>IF(K16="","",K16*15000)</f>
        <v/>
      </c>
      <c r="O16" s="61"/>
      <c r="P16" s="19"/>
      <c r="Q16" s="19"/>
      <c r="R16" s="28" t="str">
        <f>IF(S16="","","Verloren")</f>
        <v/>
      </c>
      <c r="S16" s="51" t="str">
        <f>IF(I66="","",I66)</f>
        <v/>
      </c>
      <c r="T16" s="29"/>
      <c r="U16" s="57">
        <f>SUM(L68:L80)</f>
        <v>0</v>
      </c>
      <c r="V16" s="57">
        <f t="shared" ref="V16:W16" si="10">SUM(M68:M80)</f>
        <v>0</v>
      </c>
      <c r="W16" s="58">
        <f t="shared" si="10"/>
        <v>0</v>
      </c>
      <c r="X16" s="19"/>
      <c r="Y16" s="19"/>
      <c r="Z16" s="19"/>
    </row>
    <row r="17" spans="1:26" ht="16.5" customHeight="1" thickBot="1">
      <c r="A17" s="120"/>
      <c r="B17" s="19"/>
      <c r="C17" s="19"/>
      <c r="D17" s="19"/>
      <c r="E17" s="19"/>
      <c r="F17" s="19"/>
      <c r="G17" s="19"/>
      <c r="H17" s="35"/>
      <c r="I17" s="36"/>
      <c r="J17" s="36"/>
      <c r="K17" s="36"/>
      <c r="L17" s="84">
        <f>I4*2000+I5*6000+I6*3000+I7*6000+I8*20000+I9*45000+I10*10000+I11*10000+I13*50000+I14*60000+I15*5000000+I16*30000</f>
        <v>0</v>
      </c>
      <c r="M17" s="84">
        <f>I4*2000+I5*6000+I6*1000+I7*4000+I8*7000+I9*15000+I10*20000+I11*6000+I12*1000+I13*25000+I14*50000+I15*4000000+I16*40000</f>
        <v>0</v>
      </c>
      <c r="N17" s="85">
        <f>I8*2000+I10*10000+I11*2000+I13*15000+I14*15000+I15*1000000+I16*15000</f>
        <v>0</v>
      </c>
      <c r="O17" s="32"/>
      <c r="P17" s="19"/>
      <c r="Q17" s="19"/>
      <c r="R17" s="30" t="str">
        <f>IF(S16="","","Verkregen")</f>
        <v/>
      </c>
      <c r="S17" s="31"/>
      <c r="T17" s="31"/>
      <c r="U17" s="59">
        <f>C32+C39</f>
        <v>0</v>
      </c>
      <c r="V17" s="59">
        <f t="shared" ref="V17" si="11">D32+D39</f>
        <v>0</v>
      </c>
      <c r="W17" s="60">
        <f>E32-F39</f>
        <v>0</v>
      </c>
      <c r="X17" s="19"/>
      <c r="Y17" s="19"/>
      <c r="Z17" s="19"/>
    </row>
    <row r="18" spans="1:26" ht="16.5" customHeight="1" thickBot="1">
      <c r="A18" s="120"/>
      <c r="B18" s="19"/>
      <c r="C18" s="19"/>
      <c r="D18" s="19"/>
      <c r="E18" s="19"/>
      <c r="F18" s="19"/>
      <c r="G18" s="154" t="str">
        <f>IF($D$2&gt;1,CONCATENATE($B$4," : ",$C$4),"")</f>
        <v/>
      </c>
      <c r="H18" s="37" t="s">
        <v>27</v>
      </c>
      <c r="I18" s="155" t="str">
        <f>IF(C4="","",C4)</f>
        <v/>
      </c>
      <c r="J18" s="156"/>
      <c r="K18" s="130" t="s">
        <v>31</v>
      </c>
      <c r="L18" s="130"/>
      <c r="M18" s="130"/>
      <c r="N18" s="131"/>
      <c r="O18" s="63" t="s">
        <v>39</v>
      </c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</row>
    <row r="19" spans="1:26" ht="16.5" customHeight="1" thickTop="1" thickBot="1">
      <c r="A19" s="120"/>
      <c r="B19" s="19"/>
      <c r="C19" s="21" t="s">
        <v>33</v>
      </c>
      <c r="D19" s="19"/>
      <c r="E19" s="19"/>
      <c r="F19" s="19"/>
      <c r="G19" s="154"/>
      <c r="H19" s="38" t="s">
        <v>28</v>
      </c>
      <c r="I19" s="25" t="s">
        <v>29</v>
      </c>
      <c r="J19" s="26" t="s">
        <v>30</v>
      </c>
      <c r="K19" s="25" t="s">
        <v>32</v>
      </c>
      <c r="L19" s="26" t="s">
        <v>11</v>
      </c>
      <c r="M19" s="25" t="s">
        <v>12</v>
      </c>
      <c r="N19" s="27" t="s">
        <v>17</v>
      </c>
      <c r="O19" s="64">
        <f>L33+M33+N33</f>
        <v>0</v>
      </c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</row>
    <row r="20" spans="1:26" ht="16.5" customHeight="1" thickTop="1" thickBot="1">
      <c r="A20" s="119" t="s">
        <v>0</v>
      </c>
      <c r="B20" s="32" t="s">
        <v>13</v>
      </c>
      <c r="C20" s="2"/>
      <c r="D20" s="19"/>
      <c r="E20" s="19"/>
      <c r="F20" s="19"/>
      <c r="G20" s="154"/>
      <c r="H20" s="4" t="str">
        <f>PROPER(A20)</f>
        <v>Klein Vrachtschip</v>
      </c>
      <c r="I20" s="76"/>
      <c r="J20" s="77"/>
      <c r="K20" s="73" t="str">
        <f>IF(I20="","",I20-J20)</f>
        <v/>
      </c>
      <c r="L20" s="74" t="str">
        <f>IF(K20="","",K20*2000)</f>
        <v/>
      </c>
      <c r="M20" s="73" t="str">
        <f>IF(K20="","",K20*2000)</f>
        <v/>
      </c>
      <c r="N20" s="75" t="str">
        <f>IF(K20="","",K20*0)</f>
        <v/>
      </c>
      <c r="O20" s="63" t="s">
        <v>40</v>
      </c>
      <c r="P20" s="19"/>
      <c r="Q20" s="19"/>
      <c r="R20" s="5" t="s">
        <v>44</v>
      </c>
      <c r="S20" s="5"/>
      <c r="T20" s="5"/>
      <c r="U20" s="52">
        <f>U5+U8+U11+U14+U17+C40+C41+C42+C43+C44-(U4+U7+U10+U13+U16)</f>
        <v>0</v>
      </c>
      <c r="V20" s="52">
        <f>V5+V8+V11+V14+V17+D40+D41+D42+D43+D44-(V4+V7+V10+V13+V16)</f>
        <v>0</v>
      </c>
      <c r="W20" s="52">
        <f>W5+W8+W11+W14+W17-(W4+W7+W10+W13+W16+F40+F41+F42+F43+F44)</f>
        <v>0</v>
      </c>
      <c r="X20" s="19"/>
      <c r="Y20" s="19"/>
      <c r="Z20" s="19"/>
    </row>
    <row r="21" spans="1:26" ht="16.5" customHeight="1" thickTop="1">
      <c r="A21" s="119" t="s">
        <v>1</v>
      </c>
      <c r="B21" s="32" t="s">
        <v>14</v>
      </c>
      <c r="C21" s="2"/>
      <c r="D21" s="19"/>
      <c r="E21" s="19"/>
      <c r="F21" s="19"/>
      <c r="G21" s="154"/>
      <c r="H21" s="4" t="str">
        <f t="shared" ref="H21:H32" si="12">PROPER(A21)</f>
        <v>Groot Vrachtschip</v>
      </c>
      <c r="I21" s="76"/>
      <c r="J21" s="77"/>
      <c r="K21" s="73" t="str">
        <f t="shared" ref="K21:K32" si="13">IF(I21="","",I21-J21)</f>
        <v/>
      </c>
      <c r="L21" s="74" t="str">
        <f>IF(K21="","",K21*6000)</f>
        <v/>
      </c>
      <c r="M21" s="73" t="str">
        <f>IF(K21="","",K21*6000)</f>
        <v/>
      </c>
      <c r="N21" s="75" t="str">
        <f t="shared" ref="N21:N23" si="14">IF(K21="","",K21*0)</f>
        <v/>
      </c>
      <c r="O21" s="64">
        <f>L33+M33*2+N33*3</f>
        <v>0</v>
      </c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</row>
    <row r="22" spans="1:26" ht="16.5" customHeight="1">
      <c r="A22" s="119" t="s">
        <v>2</v>
      </c>
      <c r="B22" s="32" t="s">
        <v>15</v>
      </c>
      <c r="C22" s="2"/>
      <c r="D22" s="19"/>
      <c r="E22" s="19"/>
      <c r="F22" s="19"/>
      <c r="G22" s="154"/>
      <c r="H22" s="4" t="str">
        <f t="shared" si="12"/>
        <v>Licht Gevechtschip</v>
      </c>
      <c r="I22" s="76"/>
      <c r="J22" s="77"/>
      <c r="K22" s="73" t="str">
        <f t="shared" si="13"/>
        <v/>
      </c>
      <c r="L22" s="74" t="str">
        <f>IF(K22="","",K22*3000)</f>
        <v/>
      </c>
      <c r="M22" s="73" t="str">
        <f>IF(K22="","",K22*1000)</f>
        <v/>
      </c>
      <c r="N22" s="75" t="str">
        <f t="shared" si="14"/>
        <v/>
      </c>
      <c r="O22" s="63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</row>
    <row r="23" spans="1:26" ht="16.5" customHeight="1" thickBot="1">
      <c r="A23" s="119" t="s">
        <v>3</v>
      </c>
      <c r="B23" s="32" t="s">
        <v>34</v>
      </c>
      <c r="C23" s="2"/>
      <c r="D23" s="19"/>
      <c r="E23" s="19"/>
      <c r="F23" s="19"/>
      <c r="G23" s="154"/>
      <c r="H23" s="4" t="str">
        <f t="shared" si="12"/>
        <v>Zwaar Gevechtschip</v>
      </c>
      <c r="I23" s="76"/>
      <c r="J23" s="77"/>
      <c r="K23" s="73" t="str">
        <f t="shared" si="13"/>
        <v/>
      </c>
      <c r="L23" s="74" t="str">
        <f>IF(K23="","",K23*6000)</f>
        <v/>
      </c>
      <c r="M23" s="73" t="str">
        <f>IF(K23="","",K23*4000)</f>
        <v/>
      </c>
      <c r="N23" s="75" t="str">
        <f t="shared" si="14"/>
        <v/>
      </c>
      <c r="O23" s="63"/>
      <c r="P23" s="19"/>
      <c r="Q23" s="19"/>
      <c r="R23" s="140" t="s">
        <v>45</v>
      </c>
      <c r="S23" s="140"/>
      <c r="T23" s="140"/>
      <c r="U23" s="19" t="s">
        <v>11</v>
      </c>
      <c r="V23" s="39" t="s">
        <v>12</v>
      </c>
      <c r="W23" s="19" t="s">
        <v>17</v>
      </c>
      <c r="X23" s="19"/>
      <c r="Y23" s="19"/>
      <c r="Z23" s="19"/>
    </row>
    <row r="24" spans="1:26" ht="16.5" customHeight="1" thickTop="1" thickBot="1">
      <c r="A24" s="119" t="s">
        <v>4</v>
      </c>
      <c r="B24" s="32" t="s">
        <v>35</v>
      </c>
      <c r="C24" s="2"/>
      <c r="D24" s="19"/>
      <c r="E24" s="19"/>
      <c r="F24" s="19"/>
      <c r="G24" s="154"/>
      <c r="H24" s="4" t="str">
        <f t="shared" si="12"/>
        <v>Kruiser</v>
      </c>
      <c r="I24" s="76"/>
      <c r="J24" s="77"/>
      <c r="K24" s="73" t="str">
        <f t="shared" si="13"/>
        <v/>
      </c>
      <c r="L24" s="74" t="str">
        <f>IF(K24="","",K24*20000)</f>
        <v/>
      </c>
      <c r="M24" s="73" t="str">
        <f>IF(K24="","",K24*7000)</f>
        <v/>
      </c>
      <c r="N24" s="75" t="str">
        <f>IF(K24="","",K24*2000)</f>
        <v/>
      </c>
      <c r="O24" s="63"/>
      <c r="P24" s="19"/>
      <c r="Q24" s="19"/>
      <c r="R24" s="141" t="str">
        <f>IF($S$4="","",$S$4)</f>
        <v/>
      </c>
      <c r="S24" s="141"/>
      <c r="T24" s="142"/>
      <c r="U24" s="53" t="str">
        <f>IF($D$2&gt;1,$U$20/$D$2-(U5-U4),"")</f>
        <v/>
      </c>
      <c r="V24" s="54" t="str">
        <f>IF($D$2&gt;1,$V$20/$D$2-(V5-V4),"")</f>
        <v/>
      </c>
      <c r="W24" s="53" t="str">
        <f>IF($D$2&gt;1,$W$20/$D$2-(W5-W4),"")</f>
        <v/>
      </c>
      <c r="X24" s="19"/>
      <c r="Y24" s="19"/>
      <c r="Z24" s="19"/>
    </row>
    <row r="25" spans="1:26" ht="16.5" customHeight="1" thickBot="1">
      <c r="A25" s="119" t="s">
        <v>5</v>
      </c>
      <c r="B25" s="19"/>
      <c r="C25" s="19"/>
      <c r="D25" s="19"/>
      <c r="E25" s="19"/>
      <c r="F25" s="19"/>
      <c r="G25" s="154"/>
      <c r="H25" s="4" t="str">
        <f t="shared" si="12"/>
        <v>Slagschip</v>
      </c>
      <c r="I25" s="76"/>
      <c r="J25" s="77"/>
      <c r="K25" s="73" t="str">
        <f t="shared" si="13"/>
        <v/>
      </c>
      <c r="L25" s="74" t="str">
        <f>IF(K25="","",K25*45000)</f>
        <v/>
      </c>
      <c r="M25" s="73" t="str">
        <f>IF(K25="","",K25*15000)</f>
        <v/>
      </c>
      <c r="N25" s="75" t="str">
        <f t="shared" ref="N25" si="15">IF(K25="","",K25*0)</f>
        <v/>
      </c>
      <c r="O25" s="63"/>
      <c r="P25" s="19"/>
      <c r="Q25" s="19"/>
      <c r="R25" s="143" t="str">
        <f>IF($S$7="","",$S$7)</f>
        <v/>
      </c>
      <c r="S25" s="143"/>
      <c r="T25" s="144"/>
      <c r="U25" s="53" t="str">
        <f>IF($D$2&gt;=2,$U$20/$D$2-(U8-U7),"")</f>
        <v/>
      </c>
      <c r="V25" s="54" t="str">
        <f>IF($D$2&gt;=2,$V$20/$D$2-(V8-V7),"")</f>
        <v/>
      </c>
      <c r="W25" s="53" t="str">
        <f>IF($D$2&gt;=2,$W$20/$D$2-(W8-W7),"")</f>
        <v/>
      </c>
      <c r="X25" s="19"/>
      <c r="Y25" s="19"/>
      <c r="Z25" s="19"/>
    </row>
    <row r="26" spans="1:26" ht="16.5" customHeight="1" thickBot="1">
      <c r="A26" s="119" t="s">
        <v>6</v>
      </c>
      <c r="B26" s="19"/>
      <c r="C26" s="19"/>
      <c r="D26" s="19"/>
      <c r="E26" s="19"/>
      <c r="F26" s="19"/>
      <c r="G26" s="154"/>
      <c r="H26" s="4" t="str">
        <f t="shared" si="12"/>
        <v>Kolonisatie Schip</v>
      </c>
      <c r="I26" s="76"/>
      <c r="J26" s="77"/>
      <c r="K26" s="73" t="str">
        <f t="shared" si="13"/>
        <v/>
      </c>
      <c r="L26" s="74" t="str">
        <f>IF(K26="","",K26*10000)</f>
        <v/>
      </c>
      <c r="M26" s="73" t="str">
        <f>IF(K26="","",K26*20000)</f>
        <v/>
      </c>
      <c r="N26" s="75" t="str">
        <f>IF(K26="","",K26*10000)</f>
        <v/>
      </c>
      <c r="O26" s="63"/>
      <c r="P26" s="19"/>
      <c r="Q26" s="19"/>
      <c r="R26" s="143" t="str">
        <f>IF($S$10="","",$S$10)</f>
        <v/>
      </c>
      <c r="S26" s="143"/>
      <c r="T26" s="144"/>
      <c r="U26" s="53" t="str">
        <f>IF($D$2&gt;=3,$U$20/$D$2-(U11-U10),"")</f>
        <v/>
      </c>
      <c r="V26" s="55" t="str">
        <f>IF($D$2&gt;=3,$V$20/$D$2-(V11-V10),"")</f>
        <v/>
      </c>
      <c r="W26" s="53" t="str">
        <f>IF($D$2&gt;=3,$W$20/$D$2-(W11-W10),"")</f>
        <v/>
      </c>
      <c r="X26" s="19"/>
      <c r="Y26" s="19"/>
      <c r="Z26" s="19"/>
    </row>
    <row r="27" spans="1:26" ht="16.5" customHeight="1" thickBot="1">
      <c r="A27" s="119" t="s">
        <v>7</v>
      </c>
      <c r="B27" s="19" t="s">
        <v>36</v>
      </c>
      <c r="C27" s="19" t="s">
        <v>11</v>
      </c>
      <c r="D27" s="39" t="s">
        <v>12</v>
      </c>
      <c r="E27" s="19" t="s">
        <v>17</v>
      </c>
      <c r="F27" s="19"/>
      <c r="G27" s="154"/>
      <c r="H27" s="4" t="str">
        <f t="shared" si="12"/>
        <v>Recycler</v>
      </c>
      <c r="I27" s="76"/>
      <c r="J27" s="77"/>
      <c r="K27" s="73" t="str">
        <f t="shared" si="13"/>
        <v/>
      </c>
      <c r="L27" s="74" t="str">
        <f>IF(K27="","",K27*10000)</f>
        <v/>
      </c>
      <c r="M27" s="73" t="str">
        <f>IF(K27="","",K27*6000)</f>
        <v/>
      </c>
      <c r="N27" s="75" t="str">
        <f>IF(K27="","",K27*2000)</f>
        <v/>
      </c>
      <c r="O27" s="63"/>
      <c r="P27" s="19"/>
      <c r="Q27" s="19"/>
      <c r="R27" s="143" t="str">
        <f>IF($S$13="","",$S$13)</f>
        <v/>
      </c>
      <c r="S27" s="143"/>
      <c r="T27" s="144"/>
      <c r="U27" s="53" t="str">
        <f>IF($D$2&gt;=4,$U$20/$D$2-(U14-U13),"")</f>
        <v/>
      </c>
      <c r="V27" s="56" t="str">
        <f>IF($D$2&gt;=4,$V$20/$D$2-(V14-V13),"")</f>
        <v/>
      </c>
      <c r="W27" s="53" t="str">
        <f>IF($D$2&gt;=4,$W$20/$D$2-(W14-W13),"")</f>
        <v/>
      </c>
      <c r="X27" s="19"/>
      <c r="Y27" s="19"/>
      <c r="Z27" s="19"/>
    </row>
    <row r="28" spans="1:26" ht="16.5" customHeight="1" thickBot="1">
      <c r="A28" s="119" t="s">
        <v>8</v>
      </c>
      <c r="B28" s="32" t="str">
        <f>IF(D2&gt;0,C3,"")</f>
        <v/>
      </c>
      <c r="C28" s="6"/>
      <c r="D28" s="7"/>
      <c r="E28" s="6"/>
      <c r="F28" s="19"/>
      <c r="G28" s="154"/>
      <c r="H28" s="4" t="str">
        <f t="shared" si="12"/>
        <v>Spionage Sonde</v>
      </c>
      <c r="I28" s="76"/>
      <c r="J28" s="77"/>
      <c r="K28" s="73" t="str">
        <f t="shared" si="13"/>
        <v/>
      </c>
      <c r="L28" s="74" t="str">
        <f>IF(K28="","",K28*0)</f>
        <v/>
      </c>
      <c r="M28" s="73" t="str">
        <f>IF(K28="","",K28*1000)</f>
        <v/>
      </c>
      <c r="N28" s="75" t="str">
        <f t="shared" ref="N28" si="16">IF(K28="","",K28*0)</f>
        <v/>
      </c>
      <c r="O28" s="63"/>
      <c r="P28" s="19"/>
      <c r="Q28" s="19"/>
      <c r="R28" s="143" t="str">
        <f>IF($S$16="","",$S$16)</f>
        <v/>
      </c>
      <c r="S28" s="143"/>
      <c r="T28" s="144"/>
      <c r="U28" s="53" t="str">
        <f>IF($D$2&gt;=5,$U$20/$D$2-(U17-U16),"")</f>
        <v/>
      </c>
      <c r="V28" s="56" t="str">
        <f>IF($D$2&gt;=5,$V$20/$D$2-(V17-V16),"")</f>
        <v/>
      </c>
      <c r="W28" s="53" t="str">
        <f>IF($D$2&gt;=5,$W$20/$D$2-(W17-W16),"")</f>
        <v/>
      </c>
      <c r="X28" s="19"/>
      <c r="Y28" s="19"/>
      <c r="Z28" s="19"/>
    </row>
    <row r="29" spans="1:26" ht="16.5" customHeight="1">
      <c r="A29" s="119" t="s">
        <v>9</v>
      </c>
      <c r="B29" s="32" t="str">
        <f>IF(D2&gt;1,C4,"")</f>
        <v/>
      </c>
      <c r="C29" s="8"/>
      <c r="D29" s="9"/>
      <c r="E29" s="8"/>
      <c r="F29" s="19"/>
      <c r="G29" s="154"/>
      <c r="H29" s="4" t="str">
        <f t="shared" si="12"/>
        <v>Bommenwerper</v>
      </c>
      <c r="I29" s="76"/>
      <c r="J29" s="77"/>
      <c r="K29" s="73" t="str">
        <f t="shared" si="13"/>
        <v/>
      </c>
      <c r="L29" s="74" t="str">
        <f>IF(K29="","",K29*50000)</f>
        <v/>
      </c>
      <c r="M29" s="73" t="str">
        <f>IF(K29="","",K29*25000)</f>
        <v/>
      </c>
      <c r="N29" s="75" t="str">
        <f>IF(K29="","",K29*15000)</f>
        <v/>
      </c>
      <c r="O29" s="63"/>
      <c r="P29" s="19"/>
      <c r="Q29" s="19"/>
      <c r="R29" s="145" t="str">
        <f>IF($C$20="","",$C$20)</f>
        <v/>
      </c>
      <c r="S29" s="145"/>
      <c r="T29" s="146"/>
      <c r="U29" s="40" t="str">
        <f>IF($R$29="","",-C40)</f>
        <v/>
      </c>
      <c r="V29" s="41" t="str">
        <f t="shared" ref="V29" si="17">IF($R$29="","",-D40)</f>
        <v/>
      </c>
      <c r="W29" s="40" t="str">
        <f>IF($R$29="","",E40)</f>
        <v/>
      </c>
      <c r="X29" s="19"/>
      <c r="Y29" s="19"/>
      <c r="Z29" s="19"/>
    </row>
    <row r="30" spans="1:26" ht="16.5" customHeight="1">
      <c r="A30" s="119" t="s">
        <v>10</v>
      </c>
      <c r="B30" s="32" t="str">
        <f>IF(D2&gt;2,C5,"")</f>
        <v/>
      </c>
      <c r="C30" s="10"/>
      <c r="D30" s="11"/>
      <c r="E30" s="10"/>
      <c r="F30" s="19"/>
      <c r="G30" s="154"/>
      <c r="H30" s="4" t="str">
        <f t="shared" si="12"/>
        <v>Vernietiger</v>
      </c>
      <c r="I30" s="76"/>
      <c r="J30" s="77"/>
      <c r="K30" s="73" t="str">
        <f t="shared" si="13"/>
        <v/>
      </c>
      <c r="L30" s="74" t="str">
        <f>IF(K30="","",K30*60000)</f>
        <v/>
      </c>
      <c r="M30" s="73" t="str">
        <f>IF(K30="","",K30*50000)</f>
        <v/>
      </c>
      <c r="N30" s="75" t="str">
        <f>IF(K30="","",K30*15000)</f>
        <v/>
      </c>
      <c r="O30" s="63"/>
      <c r="P30" s="19"/>
      <c r="Q30" s="19"/>
      <c r="R30" s="135" t="str">
        <f>IF($C$21="","",$C$21)</f>
        <v/>
      </c>
      <c r="S30" s="135"/>
      <c r="T30" s="136"/>
      <c r="U30" s="40" t="str">
        <f>IF($R$30="","",-C41)</f>
        <v/>
      </c>
      <c r="V30" s="41" t="str">
        <f t="shared" ref="V30" si="18">IF($R$30="","",-D41)</f>
        <v/>
      </c>
      <c r="W30" s="40" t="str">
        <f>IF($R$30="","",E41)</f>
        <v/>
      </c>
      <c r="X30" s="19"/>
      <c r="Y30" s="19"/>
      <c r="Z30" s="19"/>
    </row>
    <row r="31" spans="1:26" ht="16.5" customHeight="1">
      <c r="A31" s="119" t="s">
        <v>18</v>
      </c>
      <c r="B31" s="32" t="str">
        <f>IF(D2&gt;3,C6,"")</f>
        <v/>
      </c>
      <c r="C31" s="12"/>
      <c r="D31" s="13"/>
      <c r="E31" s="12"/>
      <c r="F31" s="19"/>
      <c r="G31" s="154"/>
      <c r="H31" s="4" t="str">
        <f t="shared" si="12"/>
        <v>Rip</v>
      </c>
      <c r="I31" s="76"/>
      <c r="J31" s="77"/>
      <c r="K31" s="73" t="str">
        <f t="shared" si="13"/>
        <v/>
      </c>
      <c r="L31" s="74" t="str">
        <f>IF(K31="","",K31*5000000)</f>
        <v/>
      </c>
      <c r="M31" s="73" t="str">
        <f>IF(K31="","",K31*4000000)</f>
        <v/>
      </c>
      <c r="N31" s="75" t="str">
        <f>IF(K31="","",K31*1000000)</f>
        <v/>
      </c>
      <c r="O31" s="63"/>
      <c r="P31" s="19"/>
      <c r="Q31" s="19"/>
      <c r="R31" s="135" t="str">
        <f>IF($C$22="","",$C$22)</f>
        <v/>
      </c>
      <c r="S31" s="135"/>
      <c r="T31" s="136"/>
      <c r="U31" s="40" t="str">
        <f>IF($R$31="","",-C42)</f>
        <v/>
      </c>
      <c r="V31" s="41" t="str">
        <f t="shared" ref="V31" si="19">IF($R$31="","",-D42)</f>
        <v/>
      </c>
      <c r="W31" s="40" t="str">
        <f>IF($R$31="","",E42)</f>
        <v/>
      </c>
      <c r="X31" s="19"/>
      <c r="Y31" s="19"/>
      <c r="Z31" s="19"/>
    </row>
    <row r="32" spans="1:26" ht="16.5" customHeight="1">
      <c r="A32" s="119" t="s">
        <v>16</v>
      </c>
      <c r="B32" s="32" t="str">
        <f>IF(D2&gt;4,C7,"")</f>
        <v/>
      </c>
      <c r="C32" s="14"/>
      <c r="D32" s="15"/>
      <c r="E32" s="14"/>
      <c r="F32" s="19"/>
      <c r="G32" s="154"/>
      <c r="H32" s="4" t="str">
        <f t="shared" si="12"/>
        <v>Interceptor</v>
      </c>
      <c r="I32" s="76"/>
      <c r="J32" s="77"/>
      <c r="K32" s="73" t="str">
        <f t="shared" si="13"/>
        <v/>
      </c>
      <c r="L32" s="74" t="str">
        <f>IF(K32="","",K32*30000)</f>
        <v/>
      </c>
      <c r="M32" s="73" t="str">
        <f>IF(K32="","",K32*40000)</f>
        <v/>
      </c>
      <c r="N32" s="75" t="str">
        <f>IF(K32="","",K32*15000)</f>
        <v/>
      </c>
      <c r="O32" s="63"/>
      <c r="P32" s="19"/>
      <c r="Q32" s="19"/>
      <c r="R32" s="135" t="str">
        <f>IF($C$23="","",$C$23)</f>
        <v/>
      </c>
      <c r="S32" s="135"/>
      <c r="T32" s="136"/>
      <c r="U32" s="40" t="str">
        <f>IF($R$32="","",-C43)</f>
        <v/>
      </c>
      <c r="V32" s="41" t="str">
        <f t="shared" ref="V32" si="20">IF($R$32="","",-D43)</f>
        <v/>
      </c>
      <c r="W32" s="40" t="str">
        <f>IF($R$32="","",E43)</f>
        <v/>
      </c>
      <c r="X32" s="19"/>
      <c r="Y32" s="19"/>
      <c r="Z32" s="19"/>
    </row>
    <row r="33" spans="1:26" ht="16.5" customHeight="1" thickBot="1">
      <c r="A33" s="120"/>
      <c r="B33" s="19"/>
      <c r="C33" s="19"/>
      <c r="D33" s="19"/>
      <c r="E33" s="19"/>
      <c r="F33" s="19"/>
      <c r="G33" s="19"/>
      <c r="H33" s="35"/>
      <c r="I33" s="36"/>
      <c r="J33" s="36"/>
      <c r="K33" s="36"/>
      <c r="L33" s="84">
        <f>I20*2000+I21*6000+I22*3000+I23*6000+I24*20000+I25*45000+I26*10000+I27*10000+I29*50000+I30*60000+I31*5000000+I32*30000</f>
        <v>0</v>
      </c>
      <c r="M33" s="84">
        <f>I20*2000+I21*6000+I22*1000+I23*4000+I24*7000+I25*15000+I26*20000+I27*6000+I28*1000+I29*25000+I30*50000+I31*4000000+I32*40000</f>
        <v>0</v>
      </c>
      <c r="N33" s="85">
        <f>I24*2000+I26*10000+I27*2000+I29*15000+I30*15000+I31*1000000+I32*15000</f>
        <v>0</v>
      </c>
      <c r="O33" s="32"/>
      <c r="P33" s="19"/>
      <c r="Q33" s="19"/>
      <c r="R33" s="135" t="str">
        <f>IF($C$24="","",$C$24)</f>
        <v/>
      </c>
      <c r="S33" s="135"/>
      <c r="T33" s="136"/>
      <c r="U33" s="40" t="str">
        <f>IF($R$33="","",-C44)</f>
        <v/>
      </c>
      <c r="V33" s="41" t="str">
        <f t="shared" ref="V33" si="21">IF($R$33="","",-D44)</f>
        <v/>
      </c>
      <c r="W33" s="40" t="str">
        <f>IF($R$33="","",E44)</f>
        <v/>
      </c>
      <c r="X33" s="19"/>
      <c r="Y33" s="19"/>
      <c r="Z33" s="19"/>
    </row>
    <row r="34" spans="1:26" ht="16.5" customHeight="1" thickBot="1">
      <c r="A34" s="120"/>
      <c r="B34" s="19" t="s">
        <v>37</v>
      </c>
      <c r="C34" s="19" t="s">
        <v>11</v>
      </c>
      <c r="D34" s="39" t="s">
        <v>12</v>
      </c>
      <c r="E34" s="19" t="s">
        <v>38</v>
      </c>
      <c r="F34" s="19"/>
      <c r="G34" s="137" t="str">
        <f>IF($D$2&gt;2,CONCATENATE($B$5," : ",$C$5),"")</f>
        <v/>
      </c>
      <c r="H34" s="37" t="s">
        <v>27</v>
      </c>
      <c r="I34" s="138" t="str">
        <f>IF(C5="","",C5)</f>
        <v/>
      </c>
      <c r="J34" s="139"/>
      <c r="K34" s="130" t="s">
        <v>31</v>
      </c>
      <c r="L34" s="130"/>
      <c r="M34" s="130"/>
      <c r="N34" s="131"/>
      <c r="O34" s="65" t="s">
        <v>39</v>
      </c>
      <c r="P34" s="19"/>
      <c r="Q34" s="19"/>
      <c r="R34" s="19"/>
      <c r="S34" s="19"/>
      <c r="T34" s="19"/>
      <c r="U34" s="16" t="s">
        <v>47</v>
      </c>
      <c r="V34" s="16"/>
      <c r="W34" s="16"/>
      <c r="X34" s="19"/>
      <c r="Y34" s="19"/>
      <c r="Z34" s="19"/>
    </row>
    <row r="35" spans="1:26" ht="16.5" customHeight="1" thickTop="1" thickBot="1">
      <c r="A35" s="120"/>
      <c r="B35" s="32" t="str">
        <f>IF(D2&gt;0,C3,"")</f>
        <v/>
      </c>
      <c r="C35" s="6"/>
      <c r="D35" s="7"/>
      <c r="E35" s="6"/>
      <c r="F35" s="42">
        <f>IF(E35&lt;0,SQRT(SUMSQ(E35)),E35)</f>
        <v>0</v>
      </c>
      <c r="G35" s="137"/>
      <c r="H35" s="38" t="s">
        <v>28</v>
      </c>
      <c r="I35" s="25" t="s">
        <v>29</v>
      </c>
      <c r="J35" s="26" t="s">
        <v>30</v>
      </c>
      <c r="K35" s="25" t="s">
        <v>32</v>
      </c>
      <c r="L35" s="26" t="s">
        <v>11</v>
      </c>
      <c r="M35" s="25" t="s">
        <v>12</v>
      </c>
      <c r="N35" s="27" t="s">
        <v>17</v>
      </c>
      <c r="O35" s="66">
        <f>L49+M49+N49</f>
        <v>0</v>
      </c>
      <c r="P35" s="19"/>
      <c r="Q35" s="19"/>
      <c r="R35" s="19"/>
      <c r="S35" s="19"/>
      <c r="T35" s="19"/>
      <c r="U35" s="16" t="s">
        <v>48</v>
      </c>
      <c r="V35" s="16"/>
      <c r="W35" s="16"/>
      <c r="X35" s="19"/>
      <c r="Y35" s="19"/>
      <c r="Z35" s="19"/>
    </row>
    <row r="36" spans="1:26" ht="16.5" customHeight="1" thickTop="1">
      <c r="A36" s="119" t="s">
        <v>0</v>
      </c>
      <c r="B36" s="32" t="str">
        <f>IF(D2&gt;1,C4,"")</f>
        <v/>
      </c>
      <c r="C36" s="8"/>
      <c r="D36" s="9"/>
      <c r="E36" s="8"/>
      <c r="F36" s="42">
        <f t="shared" ref="F36:F44" si="22">IF(E36&lt;0,SQRT(SUMSQ(E36)),E36)</f>
        <v>0</v>
      </c>
      <c r="G36" s="137"/>
      <c r="H36" s="4" t="str">
        <f>PROPER(A36)</f>
        <v>Klein Vrachtschip</v>
      </c>
      <c r="I36" s="78"/>
      <c r="J36" s="79"/>
      <c r="K36" s="73" t="str">
        <f>IF(I36="","",I36-J36)</f>
        <v/>
      </c>
      <c r="L36" s="74" t="str">
        <f>IF(K36="","",K36*2000)</f>
        <v/>
      </c>
      <c r="M36" s="73" t="str">
        <f>IF(K36="","",K36*2000)</f>
        <v/>
      </c>
      <c r="N36" s="75" t="str">
        <f>IF(K36="","",K36*0)</f>
        <v/>
      </c>
      <c r="O36" s="65" t="s">
        <v>40</v>
      </c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</row>
    <row r="37" spans="1:26" ht="16.5" customHeight="1" thickBot="1">
      <c r="A37" s="119" t="s">
        <v>1</v>
      </c>
      <c r="B37" s="32" t="str">
        <f>IF(D2&gt;2,C5,"")</f>
        <v/>
      </c>
      <c r="C37" s="10"/>
      <c r="D37" s="11"/>
      <c r="E37" s="10"/>
      <c r="F37" s="42">
        <f t="shared" si="22"/>
        <v>0</v>
      </c>
      <c r="G37" s="137"/>
      <c r="H37" s="4" t="str">
        <f t="shared" ref="H37:H48" si="23">PROPER(A37)</f>
        <v>Groot Vrachtschip</v>
      </c>
      <c r="I37" s="78"/>
      <c r="J37" s="79"/>
      <c r="K37" s="73" t="str">
        <f t="shared" ref="K37:K48" si="24">IF(I37="","",I37-J37)</f>
        <v/>
      </c>
      <c r="L37" s="74" t="str">
        <f>IF(K37="","",K37*6000)</f>
        <v/>
      </c>
      <c r="M37" s="73" t="str">
        <f>IF(K37="","",K37*6000)</f>
        <v/>
      </c>
      <c r="N37" s="75" t="str">
        <f t="shared" ref="N37:N39" si="25">IF(K37="","",K37*0)</f>
        <v/>
      </c>
      <c r="O37" s="66">
        <f>L49+M49*2+N49*3</f>
        <v>0</v>
      </c>
      <c r="P37" s="19"/>
      <c r="Q37" s="19"/>
      <c r="R37" s="140" t="s">
        <v>46</v>
      </c>
      <c r="S37" s="140"/>
      <c r="T37" s="140"/>
      <c r="U37" s="19" t="s">
        <v>11</v>
      </c>
      <c r="V37" s="39" t="s">
        <v>12</v>
      </c>
      <c r="W37" s="19" t="s">
        <v>17</v>
      </c>
      <c r="X37" s="19"/>
      <c r="Y37" s="19"/>
      <c r="Z37" s="19"/>
    </row>
    <row r="38" spans="1:26" ht="16.5" customHeight="1" thickTop="1" thickBot="1">
      <c r="A38" s="119" t="s">
        <v>2</v>
      </c>
      <c r="B38" s="32" t="str">
        <f>IF(D2&gt;3,C6,"")</f>
        <v/>
      </c>
      <c r="C38" s="12"/>
      <c r="D38" s="13"/>
      <c r="E38" s="12"/>
      <c r="F38" s="42">
        <f t="shared" si="22"/>
        <v>0</v>
      </c>
      <c r="G38" s="137"/>
      <c r="H38" s="4" t="str">
        <f t="shared" si="23"/>
        <v>Licht Gevechtschip</v>
      </c>
      <c r="I38" s="78"/>
      <c r="J38" s="79"/>
      <c r="K38" s="73" t="str">
        <f t="shared" si="24"/>
        <v/>
      </c>
      <c r="L38" s="74" t="str">
        <f>IF(K38="","",K38*3000)</f>
        <v/>
      </c>
      <c r="M38" s="73" t="str">
        <f>IF(K38="","",K38*1000)</f>
        <v/>
      </c>
      <c r="N38" s="75" t="str">
        <f t="shared" si="25"/>
        <v/>
      </c>
      <c r="O38" s="65"/>
      <c r="P38" s="19"/>
      <c r="Q38" s="19"/>
      <c r="R38" s="141" t="str">
        <f>IF($S$4="","",$S$4)</f>
        <v/>
      </c>
      <c r="S38" s="141"/>
      <c r="T38" s="142"/>
      <c r="U38" s="53" t="str">
        <f>IF(O3&gt;0,$U$20*E3/100-(U5-U4),"")</f>
        <v/>
      </c>
      <c r="V38" s="54" t="str">
        <f>IF(O3&gt;0,$V$20*E3/100-(V5-V4),"")</f>
        <v/>
      </c>
      <c r="W38" s="53" t="str">
        <f>IF(O3&gt;0,$W$20*E3/100-(W5-W4),"")</f>
        <v/>
      </c>
      <c r="X38" s="19"/>
      <c r="Y38" s="19"/>
      <c r="Z38" s="19"/>
    </row>
    <row r="39" spans="1:26" ht="16.5" customHeight="1" thickBot="1">
      <c r="A39" s="119" t="s">
        <v>3</v>
      </c>
      <c r="B39" s="32" t="str">
        <f>IF(D2&gt;4,C7,"")</f>
        <v/>
      </c>
      <c r="C39" s="14"/>
      <c r="D39" s="15"/>
      <c r="E39" s="14"/>
      <c r="F39" s="42">
        <f t="shared" si="22"/>
        <v>0</v>
      </c>
      <c r="G39" s="137"/>
      <c r="H39" s="4" t="str">
        <f t="shared" si="23"/>
        <v>Zwaar Gevechtschip</v>
      </c>
      <c r="I39" s="78"/>
      <c r="J39" s="79"/>
      <c r="K39" s="73" t="str">
        <f t="shared" si="24"/>
        <v/>
      </c>
      <c r="L39" s="74" t="str">
        <f>IF(K39="","",K39*6000)</f>
        <v/>
      </c>
      <c r="M39" s="73" t="str">
        <f>IF(K39="","",K39*4000)</f>
        <v/>
      </c>
      <c r="N39" s="75" t="str">
        <f t="shared" si="25"/>
        <v/>
      </c>
      <c r="O39" s="65"/>
      <c r="P39" s="19"/>
      <c r="Q39" s="19"/>
      <c r="R39" s="143" t="str">
        <f>IF($S$7="","",$S$7)</f>
        <v/>
      </c>
      <c r="S39" s="143"/>
      <c r="T39" s="144"/>
      <c r="U39" s="53" t="str">
        <f>IF(O19&gt;0,$U$20*E4/100-(U8-U7),"")</f>
        <v/>
      </c>
      <c r="V39" s="54" t="str">
        <f>IF(O19&gt;0,$V$20*E4/100-(V8-V7),"")</f>
        <v/>
      </c>
      <c r="W39" s="53" t="str">
        <f>IF(O19&gt;0,$W$20*E4/100-(W8-W7),"")</f>
        <v/>
      </c>
      <c r="X39" s="19"/>
      <c r="Y39" s="19"/>
      <c r="Z39" s="19"/>
    </row>
    <row r="40" spans="1:26" ht="16.5" customHeight="1" thickBot="1">
      <c r="A40" s="119" t="s">
        <v>4</v>
      </c>
      <c r="B40" s="32" t="str">
        <f>IF(C20="","",C20)</f>
        <v/>
      </c>
      <c r="C40" s="17"/>
      <c r="D40" s="18"/>
      <c r="E40" s="17"/>
      <c r="F40" s="42">
        <f t="shared" si="22"/>
        <v>0</v>
      </c>
      <c r="G40" s="137"/>
      <c r="H40" s="4" t="str">
        <f t="shared" si="23"/>
        <v>Kruiser</v>
      </c>
      <c r="I40" s="78"/>
      <c r="J40" s="79"/>
      <c r="K40" s="73" t="str">
        <f t="shared" si="24"/>
        <v/>
      </c>
      <c r="L40" s="74" t="str">
        <f>IF(K40="","",K40*20000)</f>
        <v/>
      </c>
      <c r="M40" s="73" t="str">
        <f>IF(K40="","",K40*7000)</f>
        <v/>
      </c>
      <c r="N40" s="75" t="str">
        <f>IF(K40="","",K40*2000)</f>
        <v/>
      </c>
      <c r="O40" s="65"/>
      <c r="P40" s="19"/>
      <c r="Q40" s="19"/>
      <c r="R40" s="143" t="str">
        <f>IF($S$10="","",$S$10)</f>
        <v/>
      </c>
      <c r="S40" s="143"/>
      <c r="T40" s="144"/>
      <c r="U40" s="53" t="str">
        <f>IF(O35&gt;0,$U$20*E5/100-(U11-U10),"")</f>
        <v/>
      </c>
      <c r="V40" s="54" t="str">
        <f>IF(O35&gt;0,$V$20*E5/100-(V11-V10),"")</f>
        <v/>
      </c>
      <c r="W40" s="53" t="str">
        <f>IF(O35&gt;0,$W$20*E5/100-(W11-W10),"")</f>
        <v/>
      </c>
      <c r="X40" s="19"/>
      <c r="Y40" s="19"/>
      <c r="Z40" s="19"/>
    </row>
    <row r="41" spans="1:26" ht="16.5" customHeight="1" thickBot="1">
      <c r="A41" s="119" t="s">
        <v>5</v>
      </c>
      <c r="B41" s="32" t="str">
        <f t="shared" ref="B41:B44" si="26">IF(C21="","",C21)</f>
        <v/>
      </c>
      <c r="C41" s="17"/>
      <c r="D41" s="18"/>
      <c r="E41" s="17"/>
      <c r="F41" s="42">
        <f t="shared" si="22"/>
        <v>0</v>
      </c>
      <c r="G41" s="137"/>
      <c r="H41" s="4" t="str">
        <f t="shared" si="23"/>
        <v>Slagschip</v>
      </c>
      <c r="I41" s="78"/>
      <c r="J41" s="79"/>
      <c r="K41" s="73" t="str">
        <f t="shared" si="24"/>
        <v/>
      </c>
      <c r="L41" s="74" t="str">
        <f>IF(K41="","",K41*45000)</f>
        <v/>
      </c>
      <c r="M41" s="73" t="str">
        <f>IF(K41="","",K41*15000)</f>
        <v/>
      </c>
      <c r="N41" s="75" t="str">
        <f t="shared" ref="N41" si="27">IF(K41="","",K41*0)</f>
        <v/>
      </c>
      <c r="O41" s="65"/>
      <c r="P41" s="19"/>
      <c r="Q41" s="19"/>
      <c r="R41" s="143" t="str">
        <f>IF($S$13="","",$S$13)</f>
        <v/>
      </c>
      <c r="S41" s="143"/>
      <c r="T41" s="144"/>
      <c r="U41" s="53" t="str">
        <f>IF(O51&gt;0,$U$20*E6/100-(U14-U13),"")</f>
        <v/>
      </c>
      <c r="V41" s="54" t="str">
        <f>IF(O51&gt;0,$V$20*E6/100-(V14-V13),"")</f>
        <v/>
      </c>
      <c r="W41" s="53" t="str">
        <f>IF(O51&gt;0,$W$20*E6/100-(W14-W13),"")</f>
        <v/>
      </c>
      <c r="X41" s="19"/>
      <c r="Y41" s="19"/>
      <c r="Z41" s="19"/>
    </row>
    <row r="42" spans="1:26" ht="16.5" customHeight="1" thickBot="1">
      <c r="A42" s="119" t="s">
        <v>6</v>
      </c>
      <c r="B42" s="32" t="str">
        <f t="shared" si="26"/>
        <v/>
      </c>
      <c r="C42" s="17"/>
      <c r="D42" s="18"/>
      <c r="E42" s="17"/>
      <c r="F42" s="42">
        <f t="shared" si="22"/>
        <v>0</v>
      </c>
      <c r="G42" s="137"/>
      <c r="H42" s="4" t="str">
        <f t="shared" si="23"/>
        <v>Kolonisatie Schip</v>
      </c>
      <c r="I42" s="78"/>
      <c r="J42" s="79"/>
      <c r="K42" s="73" t="str">
        <f t="shared" si="24"/>
        <v/>
      </c>
      <c r="L42" s="74" t="str">
        <f>IF(K42="","",K42*10000)</f>
        <v/>
      </c>
      <c r="M42" s="73" t="str">
        <f>IF(K42="","",K42*20000)</f>
        <v/>
      </c>
      <c r="N42" s="75" t="str">
        <f>IF(K42="","",K42*10000)</f>
        <v/>
      </c>
      <c r="O42" s="65"/>
      <c r="P42" s="19"/>
      <c r="Q42" s="19"/>
      <c r="R42" s="143" t="str">
        <f>IF($S$16="","",$S$16)</f>
        <v/>
      </c>
      <c r="S42" s="143"/>
      <c r="T42" s="144"/>
      <c r="U42" s="53" t="str">
        <f>IF(O67&gt;0,$U$20*E7/100-(U17-U16),"")</f>
        <v/>
      </c>
      <c r="V42" s="54" t="str">
        <f>IF(O67&gt;0,$V$20*E7/100-(V17-V16),"")</f>
        <v/>
      </c>
      <c r="W42" s="53" t="str">
        <f>IF(O67&gt;0,$W$20*E7/100-(W17-W16),"")</f>
        <v/>
      </c>
      <c r="X42" s="19"/>
      <c r="Y42" s="19"/>
      <c r="Z42" s="19"/>
    </row>
    <row r="43" spans="1:26" ht="16.5" customHeight="1">
      <c r="A43" s="119" t="s">
        <v>7</v>
      </c>
      <c r="B43" s="32" t="str">
        <f t="shared" si="26"/>
        <v/>
      </c>
      <c r="C43" s="17"/>
      <c r="D43" s="18"/>
      <c r="E43" s="17"/>
      <c r="F43" s="42">
        <f t="shared" si="22"/>
        <v>0</v>
      </c>
      <c r="G43" s="137"/>
      <c r="H43" s="4" t="str">
        <f t="shared" si="23"/>
        <v>Recycler</v>
      </c>
      <c r="I43" s="78"/>
      <c r="J43" s="79"/>
      <c r="K43" s="73" t="str">
        <f t="shared" si="24"/>
        <v/>
      </c>
      <c r="L43" s="74" t="str">
        <f>IF(K43="","",K43*10000)</f>
        <v/>
      </c>
      <c r="M43" s="73" t="str">
        <f>IF(K43="","",K43*6000)</f>
        <v/>
      </c>
      <c r="N43" s="75" t="str">
        <f>IF(K43="","",K43*2000)</f>
        <v/>
      </c>
      <c r="O43" s="65"/>
      <c r="P43" s="19"/>
      <c r="Q43" s="19"/>
      <c r="R43" s="145" t="str">
        <f>IF($C$20="","",$C$20)</f>
        <v/>
      </c>
      <c r="S43" s="145"/>
      <c r="T43" s="146"/>
      <c r="U43" s="43" t="str">
        <f>IF($R$29="","",-C40)</f>
        <v/>
      </c>
      <c r="V43" s="44" t="str">
        <f t="shared" ref="V43" si="28">IF($R$29="","",-D40)</f>
        <v/>
      </c>
      <c r="W43" s="43" t="str">
        <f>IF($R$29="","",E40)</f>
        <v/>
      </c>
      <c r="X43" s="19"/>
      <c r="Y43" s="19"/>
      <c r="Z43" s="19"/>
    </row>
    <row r="44" spans="1:26" ht="16.5" customHeight="1">
      <c r="A44" s="119" t="s">
        <v>8</v>
      </c>
      <c r="B44" s="32" t="str">
        <f t="shared" si="26"/>
        <v/>
      </c>
      <c r="C44" s="17"/>
      <c r="D44" s="18"/>
      <c r="E44" s="17"/>
      <c r="F44" s="42">
        <f t="shared" si="22"/>
        <v>0</v>
      </c>
      <c r="G44" s="137"/>
      <c r="H44" s="4" t="str">
        <f t="shared" si="23"/>
        <v>Spionage Sonde</v>
      </c>
      <c r="I44" s="78"/>
      <c r="J44" s="79"/>
      <c r="K44" s="73" t="str">
        <f t="shared" si="24"/>
        <v/>
      </c>
      <c r="L44" s="74" t="str">
        <f>IF(K44="","",K44*0)</f>
        <v/>
      </c>
      <c r="M44" s="73" t="str">
        <f>IF(K44="","",K44*1000)</f>
        <v/>
      </c>
      <c r="N44" s="75" t="str">
        <f t="shared" ref="N44" si="29">IF(K44="","",K44*0)</f>
        <v/>
      </c>
      <c r="O44" s="65"/>
      <c r="P44" s="19"/>
      <c r="Q44" s="19"/>
      <c r="R44" s="135" t="str">
        <f>IF($C$21="","",$C$21)</f>
        <v/>
      </c>
      <c r="S44" s="135"/>
      <c r="T44" s="136"/>
      <c r="U44" s="43" t="str">
        <f>IF($R$30="","",-C41)</f>
        <v/>
      </c>
      <c r="V44" s="44" t="str">
        <f t="shared" ref="V44" si="30">IF($R$30="","",-D41)</f>
        <v/>
      </c>
      <c r="W44" s="43" t="str">
        <f>IF($R$30="","",E41)</f>
        <v/>
      </c>
      <c r="X44" s="19"/>
      <c r="Y44" s="19"/>
      <c r="Z44" s="19"/>
    </row>
    <row r="45" spans="1:26" ht="16.5" customHeight="1">
      <c r="A45" s="119" t="s">
        <v>9</v>
      </c>
      <c r="B45" s="19"/>
      <c r="C45" s="19"/>
      <c r="D45" s="19"/>
      <c r="E45" s="19"/>
      <c r="F45" s="19"/>
      <c r="G45" s="137"/>
      <c r="H45" s="4" t="str">
        <f t="shared" si="23"/>
        <v>Bommenwerper</v>
      </c>
      <c r="I45" s="78"/>
      <c r="J45" s="79"/>
      <c r="K45" s="73" t="str">
        <f t="shared" si="24"/>
        <v/>
      </c>
      <c r="L45" s="74" t="str">
        <f>IF(K45="","",K45*50000)</f>
        <v/>
      </c>
      <c r="M45" s="73" t="str">
        <f>IF(K45="","",K45*25000)</f>
        <v/>
      </c>
      <c r="N45" s="75" t="str">
        <f>IF(K45="","",K45*15000)</f>
        <v/>
      </c>
      <c r="O45" s="65"/>
      <c r="P45" s="19"/>
      <c r="Q45" s="19"/>
      <c r="R45" s="135" t="str">
        <f>IF($C$22="","",$C$22)</f>
        <v/>
      </c>
      <c r="S45" s="135"/>
      <c r="T45" s="136"/>
      <c r="U45" s="43" t="str">
        <f>IF($R$31="","",-C42)</f>
        <v/>
      </c>
      <c r="V45" s="44" t="str">
        <f t="shared" ref="V45" si="31">IF($R$31="","",-D42)</f>
        <v/>
      </c>
      <c r="W45" s="43" t="str">
        <f>IF($R$31="","",E42)</f>
        <v/>
      </c>
      <c r="X45" s="19"/>
      <c r="Y45" s="19"/>
      <c r="Z45" s="19"/>
    </row>
    <row r="46" spans="1:26" ht="16.5" customHeight="1">
      <c r="A46" s="119" t="s">
        <v>10</v>
      </c>
      <c r="B46" s="19"/>
      <c r="C46" s="19"/>
      <c r="D46" s="19"/>
      <c r="E46" s="19"/>
      <c r="F46" s="19"/>
      <c r="G46" s="137"/>
      <c r="H46" s="4" t="str">
        <f t="shared" si="23"/>
        <v>Vernietiger</v>
      </c>
      <c r="I46" s="78"/>
      <c r="J46" s="79"/>
      <c r="K46" s="73" t="str">
        <f t="shared" si="24"/>
        <v/>
      </c>
      <c r="L46" s="74" t="str">
        <f>IF(K46="","",K46*60000)</f>
        <v/>
      </c>
      <c r="M46" s="73" t="str">
        <f>IF(K46="","",K46*50000)</f>
        <v/>
      </c>
      <c r="N46" s="75" t="str">
        <f>IF(K46="","",K46*15000)</f>
        <v/>
      </c>
      <c r="O46" s="65"/>
      <c r="P46" s="19"/>
      <c r="Q46" s="19"/>
      <c r="R46" s="135" t="str">
        <f>IF($C$23="","",$C$23)</f>
        <v/>
      </c>
      <c r="S46" s="135"/>
      <c r="T46" s="136"/>
      <c r="U46" s="43" t="str">
        <f>IF($R$32="","",-C43)</f>
        <v/>
      </c>
      <c r="V46" s="44" t="str">
        <f t="shared" ref="V46" si="32">IF($R$32="","",-D43)</f>
        <v/>
      </c>
      <c r="W46" s="43" t="str">
        <f>IF($R$32="","",E43)</f>
        <v/>
      </c>
      <c r="X46" s="19"/>
      <c r="Y46" s="19"/>
      <c r="Z46" s="19"/>
    </row>
    <row r="47" spans="1:26" ht="16.5" customHeight="1">
      <c r="A47" s="119" t="s">
        <v>18</v>
      </c>
      <c r="B47" s="19"/>
      <c r="C47" s="19"/>
      <c r="D47" s="19"/>
      <c r="E47" s="19"/>
      <c r="F47" s="19"/>
      <c r="G47" s="137"/>
      <c r="H47" s="4" t="str">
        <f t="shared" si="23"/>
        <v>Rip</v>
      </c>
      <c r="I47" s="78"/>
      <c r="J47" s="79"/>
      <c r="K47" s="73" t="str">
        <f t="shared" si="24"/>
        <v/>
      </c>
      <c r="L47" s="74" t="str">
        <f>IF(K47="","",K47*5000000)</f>
        <v/>
      </c>
      <c r="M47" s="73" t="str">
        <f>IF(K47="","",K47*4000000)</f>
        <v/>
      </c>
      <c r="N47" s="75" t="str">
        <f>IF(K47="","",K47*1000000)</f>
        <v/>
      </c>
      <c r="O47" s="65"/>
      <c r="P47" s="19"/>
      <c r="Q47" s="19"/>
      <c r="R47" s="135" t="str">
        <f>IF($C$24="","",$C$24)</f>
        <v/>
      </c>
      <c r="S47" s="135"/>
      <c r="T47" s="136"/>
      <c r="U47" s="43" t="str">
        <f>IF($R$33="","",-C44)</f>
        <v/>
      </c>
      <c r="V47" s="44" t="str">
        <f t="shared" ref="V47" si="33">IF($R$33="","",-D44)</f>
        <v/>
      </c>
      <c r="W47" s="43" t="str">
        <f>IF($R$33="","",E44)</f>
        <v/>
      </c>
      <c r="X47" s="19"/>
      <c r="Y47" s="19"/>
      <c r="Z47" s="19"/>
    </row>
    <row r="48" spans="1:26" ht="16.5" customHeight="1">
      <c r="A48" s="119" t="s">
        <v>16</v>
      </c>
      <c r="B48" s="19"/>
      <c r="C48" s="19"/>
      <c r="D48" s="19"/>
      <c r="E48" s="19"/>
      <c r="F48" s="19"/>
      <c r="G48" s="137"/>
      <c r="H48" s="4" t="str">
        <f t="shared" si="23"/>
        <v>Interceptor</v>
      </c>
      <c r="I48" s="78"/>
      <c r="J48" s="79"/>
      <c r="K48" s="73" t="str">
        <f t="shared" si="24"/>
        <v/>
      </c>
      <c r="L48" s="74" t="str">
        <f>IF(K48="","",K48*30000)</f>
        <v/>
      </c>
      <c r="M48" s="73" t="str">
        <f>IF(K48="","",K48*40000)</f>
        <v/>
      </c>
      <c r="N48" s="75" t="str">
        <f>IF(K48="","",K48*15000)</f>
        <v/>
      </c>
      <c r="O48" s="65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</row>
    <row r="49" spans="1:26" ht="16.5" customHeight="1" thickBot="1">
      <c r="A49" s="120"/>
      <c r="B49" s="19"/>
      <c r="C49" s="19"/>
      <c r="D49" s="19"/>
      <c r="E49" s="19"/>
      <c r="F49" s="19"/>
      <c r="G49" s="19"/>
      <c r="H49" s="35"/>
      <c r="I49" s="36"/>
      <c r="J49" s="36"/>
      <c r="K49" s="36"/>
      <c r="L49" s="84">
        <f>I36*2000+I37*6000+I38*3000+I39*6000+I40*20000+I41*45000+I42*10000+I43*10000+I45*50000+I46*60000+I47*5000000+I48*30000</f>
        <v>0</v>
      </c>
      <c r="M49" s="84">
        <f>I36*2000+I37*6000+I38*1000+I39*4000+I40*7000+I41*15000+I42*20000+I43*6000+I44*1000+I45*25000+I46*50000+I47*4000000+I48*40000</f>
        <v>0</v>
      </c>
      <c r="N49" s="85">
        <f>I40*2000+I42*10000+I43*2000+I45*15000+I46*15000+I47*1000000+I48*15000</f>
        <v>0</v>
      </c>
      <c r="O49" s="32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</row>
    <row r="50" spans="1:26" ht="16.5" customHeight="1" thickBot="1">
      <c r="A50" s="120"/>
      <c r="B50" s="19"/>
      <c r="C50" s="19"/>
      <c r="D50" s="19"/>
      <c r="E50" s="19"/>
      <c r="F50" s="19"/>
      <c r="G50" s="127" t="str">
        <f>IF($D$2&gt;3,CONCATENATE($B$6," : ",$C$6),"")</f>
        <v/>
      </c>
      <c r="H50" s="37" t="s">
        <v>27</v>
      </c>
      <c r="I50" s="128" t="str">
        <f>IF(C6="","",C6)</f>
        <v/>
      </c>
      <c r="J50" s="129"/>
      <c r="K50" s="130" t="s">
        <v>31</v>
      </c>
      <c r="L50" s="130"/>
      <c r="M50" s="130"/>
      <c r="N50" s="131"/>
      <c r="O50" s="67" t="s">
        <v>39</v>
      </c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</row>
    <row r="51" spans="1:26" ht="16.5" customHeight="1" thickTop="1" thickBot="1">
      <c r="A51" s="120"/>
      <c r="B51" s="19"/>
      <c r="C51" s="19"/>
      <c r="D51" s="19"/>
      <c r="E51" s="19"/>
      <c r="F51" s="19"/>
      <c r="G51" s="127"/>
      <c r="H51" s="38" t="s">
        <v>28</v>
      </c>
      <c r="I51" s="25" t="s">
        <v>29</v>
      </c>
      <c r="J51" s="26" t="s">
        <v>30</v>
      </c>
      <c r="K51" s="25" t="s">
        <v>32</v>
      </c>
      <c r="L51" s="26" t="s">
        <v>11</v>
      </c>
      <c r="M51" s="25" t="s">
        <v>12</v>
      </c>
      <c r="N51" s="27" t="s">
        <v>17</v>
      </c>
      <c r="O51" s="68">
        <f>L65+M65+N65</f>
        <v>0</v>
      </c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</row>
    <row r="52" spans="1:26" ht="16.5" customHeight="1" thickTop="1">
      <c r="A52" s="119" t="s">
        <v>0</v>
      </c>
      <c r="B52" s="19"/>
      <c r="C52" s="19"/>
      <c r="D52" s="19"/>
      <c r="E52" s="19"/>
      <c r="F52" s="19"/>
      <c r="G52" s="127"/>
      <c r="H52" s="4" t="str">
        <f>PROPER(A52)</f>
        <v>Klein Vrachtschip</v>
      </c>
      <c r="I52" s="80"/>
      <c r="J52" s="81"/>
      <c r="K52" s="73" t="str">
        <f>IF(I52="","",I52-J52)</f>
        <v/>
      </c>
      <c r="L52" s="74" t="str">
        <f>IF(K52="","",K52*2000)</f>
        <v/>
      </c>
      <c r="M52" s="73" t="str">
        <f>IF(K52="","",K52*2000)</f>
        <v/>
      </c>
      <c r="N52" s="75" t="str">
        <f>IF(K52="","",K52*0)</f>
        <v/>
      </c>
      <c r="O52" s="67" t="s">
        <v>40</v>
      </c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</row>
    <row r="53" spans="1:26" ht="16.5" customHeight="1">
      <c r="A53" s="119" t="s">
        <v>1</v>
      </c>
      <c r="B53" s="19"/>
      <c r="C53" s="19"/>
      <c r="D53" s="19"/>
      <c r="E53" s="19"/>
      <c r="F53" s="19"/>
      <c r="G53" s="127"/>
      <c r="H53" s="4" t="str">
        <f t="shared" ref="H53:H64" si="34">PROPER(A53)</f>
        <v>Groot Vrachtschip</v>
      </c>
      <c r="I53" s="80"/>
      <c r="J53" s="81"/>
      <c r="K53" s="73" t="str">
        <f t="shared" ref="K53:K64" si="35">IF(I53="","",I53-J53)</f>
        <v/>
      </c>
      <c r="L53" s="74" t="str">
        <f>IF(K53="","",K53*6000)</f>
        <v/>
      </c>
      <c r="M53" s="73" t="str">
        <f>IF(K53="","",K53*6000)</f>
        <v/>
      </c>
      <c r="N53" s="75" t="str">
        <f t="shared" ref="N53:N55" si="36">IF(K53="","",K53*0)</f>
        <v/>
      </c>
      <c r="O53" s="68">
        <f>L65+M65*2+N65*3</f>
        <v>0</v>
      </c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</row>
    <row r="54" spans="1:26" ht="16.5" customHeight="1">
      <c r="A54" s="119" t="s">
        <v>2</v>
      </c>
      <c r="B54" s="19"/>
      <c r="C54" s="19"/>
      <c r="D54" s="19"/>
      <c r="E54" s="19"/>
      <c r="F54" s="19"/>
      <c r="G54" s="127"/>
      <c r="H54" s="4" t="str">
        <f t="shared" si="34"/>
        <v>Licht Gevechtschip</v>
      </c>
      <c r="I54" s="80"/>
      <c r="J54" s="81"/>
      <c r="K54" s="73" t="str">
        <f t="shared" si="35"/>
        <v/>
      </c>
      <c r="L54" s="74" t="str">
        <f>IF(K54="","",K54*3000)</f>
        <v/>
      </c>
      <c r="M54" s="73" t="str">
        <f>IF(K54="","",K54*1000)</f>
        <v/>
      </c>
      <c r="N54" s="75" t="str">
        <f t="shared" si="36"/>
        <v/>
      </c>
      <c r="O54" s="67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</row>
    <row r="55" spans="1:26" ht="16.5" customHeight="1">
      <c r="A55" s="119" t="s">
        <v>3</v>
      </c>
      <c r="B55" s="19"/>
      <c r="C55" s="19"/>
      <c r="D55" s="19"/>
      <c r="E55" s="19"/>
      <c r="F55" s="19"/>
      <c r="G55" s="127"/>
      <c r="H55" s="4" t="str">
        <f t="shared" si="34"/>
        <v>Zwaar Gevechtschip</v>
      </c>
      <c r="I55" s="80"/>
      <c r="J55" s="81"/>
      <c r="K55" s="73" t="str">
        <f t="shared" si="35"/>
        <v/>
      </c>
      <c r="L55" s="74" t="str">
        <f>IF(K55="","",K55*6000)</f>
        <v/>
      </c>
      <c r="M55" s="73" t="str">
        <f>IF(K55="","",K55*4000)</f>
        <v/>
      </c>
      <c r="N55" s="75" t="str">
        <f t="shared" si="36"/>
        <v/>
      </c>
      <c r="O55" s="67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</row>
    <row r="56" spans="1:26" ht="16.5" customHeight="1">
      <c r="A56" s="119" t="s">
        <v>4</v>
      </c>
      <c r="B56" s="19"/>
      <c r="C56" s="19"/>
      <c r="D56" s="19"/>
      <c r="E56" s="19"/>
      <c r="F56" s="19"/>
      <c r="G56" s="127"/>
      <c r="H56" s="4" t="str">
        <f t="shared" si="34"/>
        <v>Kruiser</v>
      </c>
      <c r="I56" s="80"/>
      <c r="J56" s="81"/>
      <c r="K56" s="73" t="str">
        <f t="shared" si="35"/>
        <v/>
      </c>
      <c r="L56" s="74" t="str">
        <f>IF(K56="","",K56*20000)</f>
        <v/>
      </c>
      <c r="M56" s="73" t="str">
        <f>IF(K56="","",K56*7000)</f>
        <v/>
      </c>
      <c r="N56" s="75" t="str">
        <f>IF(K56="","",K56*2000)</f>
        <v/>
      </c>
      <c r="O56" s="67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</row>
    <row r="57" spans="1:26" ht="16.5" customHeight="1">
      <c r="A57" s="119" t="s">
        <v>5</v>
      </c>
      <c r="B57" s="19"/>
      <c r="C57" s="19"/>
      <c r="D57" s="19"/>
      <c r="E57" s="19"/>
      <c r="F57" s="19"/>
      <c r="G57" s="127"/>
      <c r="H57" s="4" t="str">
        <f t="shared" si="34"/>
        <v>Slagschip</v>
      </c>
      <c r="I57" s="80"/>
      <c r="J57" s="81"/>
      <c r="K57" s="73" t="str">
        <f t="shared" si="35"/>
        <v/>
      </c>
      <c r="L57" s="74" t="str">
        <f>IF(K57="","",K57*45000)</f>
        <v/>
      </c>
      <c r="M57" s="73" t="str">
        <f>IF(K57="","",K57*15000)</f>
        <v/>
      </c>
      <c r="N57" s="75" t="str">
        <f t="shared" ref="N57" si="37">IF(K57="","",K57*0)</f>
        <v/>
      </c>
      <c r="O57" s="67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</row>
    <row r="58" spans="1:26" ht="16.5" customHeight="1">
      <c r="A58" s="119" t="s">
        <v>6</v>
      </c>
      <c r="B58" s="19"/>
      <c r="C58" s="19"/>
      <c r="D58" s="19"/>
      <c r="E58" s="19"/>
      <c r="F58" s="19"/>
      <c r="G58" s="127"/>
      <c r="H58" s="4" t="str">
        <f t="shared" si="34"/>
        <v>Kolonisatie Schip</v>
      </c>
      <c r="I58" s="80"/>
      <c r="J58" s="81"/>
      <c r="K58" s="73" t="str">
        <f t="shared" si="35"/>
        <v/>
      </c>
      <c r="L58" s="74" t="str">
        <f>IF(K58="","",K58*10000)</f>
        <v/>
      </c>
      <c r="M58" s="73" t="str">
        <f>IF(K58="","",K58*20000)</f>
        <v/>
      </c>
      <c r="N58" s="75" t="str">
        <f>IF(K58="","",K58*10000)</f>
        <v/>
      </c>
      <c r="O58" s="67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</row>
    <row r="59" spans="1:26" ht="16.5" customHeight="1">
      <c r="A59" s="119" t="s">
        <v>7</v>
      </c>
      <c r="B59" s="19"/>
      <c r="C59" s="19"/>
      <c r="D59" s="19"/>
      <c r="E59" s="19"/>
      <c r="F59" s="19"/>
      <c r="G59" s="127"/>
      <c r="H59" s="4" t="str">
        <f t="shared" si="34"/>
        <v>Recycler</v>
      </c>
      <c r="I59" s="80"/>
      <c r="J59" s="81"/>
      <c r="K59" s="73" t="str">
        <f t="shared" si="35"/>
        <v/>
      </c>
      <c r="L59" s="74" t="str">
        <f>IF(K59="","",K59*10000)</f>
        <v/>
      </c>
      <c r="M59" s="73" t="str">
        <f>IF(K59="","",K59*6000)</f>
        <v/>
      </c>
      <c r="N59" s="75" t="str">
        <f>IF(K59="","",K59*2000)</f>
        <v/>
      </c>
      <c r="O59" s="67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</row>
    <row r="60" spans="1:26" ht="16.5" customHeight="1">
      <c r="A60" s="119" t="s">
        <v>8</v>
      </c>
      <c r="B60" s="19"/>
      <c r="C60" s="19"/>
      <c r="D60" s="19"/>
      <c r="E60" s="19"/>
      <c r="F60" s="19"/>
      <c r="G60" s="127"/>
      <c r="H60" s="4" t="str">
        <f t="shared" si="34"/>
        <v>Spionage Sonde</v>
      </c>
      <c r="I60" s="80"/>
      <c r="J60" s="81"/>
      <c r="K60" s="73" t="str">
        <f t="shared" si="35"/>
        <v/>
      </c>
      <c r="L60" s="74" t="str">
        <f>IF(K60="","",K60*0)</f>
        <v/>
      </c>
      <c r="M60" s="73" t="str">
        <f>IF(K60="","",K60*1000)</f>
        <v/>
      </c>
      <c r="N60" s="75" t="str">
        <f t="shared" ref="N60" si="38">IF(K60="","",K60*0)</f>
        <v/>
      </c>
      <c r="O60" s="67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</row>
    <row r="61" spans="1:26" ht="16.5" customHeight="1">
      <c r="A61" s="119" t="s">
        <v>9</v>
      </c>
      <c r="B61" s="19"/>
      <c r="C61" s="19"/>
      <c r="D61" s="19"/>
      <c r="E61" s="19"/>
      <c r="F61" s="19"/>
      <c r="G61" s="127"/>
      <c r="H61" s="4" t="str">
        <f t="shared" si="34"/>
        <v>Bommenwerper</v>
      </c>
      <c r="I61" s="80"/>
      <c r="J61" s="81"/>
      <c r="K61" s="73" t="str">
        <f t="shared" si="35"/>
        <v/>
      </c>
      <c r="L61" s="74" t="str">
        <f>IF(K61="","",K61*50000)</f>
        <v/>
      </c>
      <c r="M61" s="73" t="str">
        <f>IF(K61="","",K61*25000)</f>
        <v/>
      </c>
      <c r="N61" s="75" t="str">
        <f>IF(K61="","",K61*15000)</f>
        <v/>
      </c>
      <c r="O61" s="67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</row>
    <row r="62" spans="1:26" ht="16.5" customHeight="1">
      <c r="A62" s="119" t="s">
        <v>10</v>
      </c>
      <c r="B62" s="19"/>
      <c r="C62" s="19"/>
      <c r="D62" s="19"/>
      <c r="E62" s="19"/>
      <c r="F62" s="19"/>
      <c r="G62" s="127"/>
      <c r="H62" s="4" t="str">
        <f t="shared" si="34"/>
        <v>Vernietiger</v>
      </c>
      <c r="I62" s="80"/>
      <c r="J62" s="81"/>
      <c r="K62" s="73" t="str">
        <f t="shared" si="35"/>
        <v/>
      </c>
      <c r="L62" s="74" t="str">
        <f>IF(K62="","",K62*60000)</f>
        <v/>
      </c>
      <c r="M62" s="73" t="str">
        <f>IF(K62="","",K62*50000)</f>
        <v/>
      </c>
      <c r="N62" s="75" t="str">
        <f>IF(K62="","",K62*15000)</f>
        <v/>
      </c>
      <c r="O62" s="67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</row>
    <row r="63" spans="1:26" ht="16.5" customHeight="1">
      <c r="A63" s="119" t="s">
        <v>18</v>
      </c>
      <c r="B63" s="19"/>
      <c r="C63" s="19"/>
      <c r="D63" s="19"/>
      <c r="E63" s="19"/>
      <c r="F63" s="19"/>
      <c r="G63" s="127"/>
      <c r="H63" s="4" t="str">
        <f t="shared" si="34"/>
        <v>Rip</v>
      </c>
      <c r="I63" s="80"/>
      <c r="J63" s="81"/>
      <c r="K63" s="73" t="str">
        <f t="shared" si="35"/>
        <v/>
      </c>
      <c r="L63" s="74" t="str">
        <f>IF(K63="","",K63*5000000)</f>
        <v/>
      </c>
      <c r="M63" s="73" t="str">
        <f>IF(K63="","",K63*4000000)</f>
        <v/>
      </c>
      <c r="N63" s="75" t="str">
        <f>IF(K63="","",K63*1000000)</f>
        <v/>
      </c>
      <c r="O63" s="67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</row>
    <row r="64" spans="1:26" ht="16.5" customHeight="1">
      <c r="A64" s="119" t="s">
        <v>16</v>
      </c>
      <c r="B64" s="19"/>
      <c r="C64" s="19"/>
      <c r="D64" s="19"/>
      <c r="E64" s="19"/>
      <c r="F64" s="19"/>
      <c r="G64" s="127"/>
      <c r="H64" s="4" t="str">
        <f t="shared" si="34"/>
        <v>Interceptor</v>
      </c>
      <c r="I64" s="80"/>
      <c r="J64" s="81"/>
      <c r="K64" s="73" t="str">
        <f t="shared" si="35"/>
        <v/>
      </c>
      <c r="L64" s="74" t="str">
        <f>IF(K64="","",K64*30000)</f>
        <v/>
      </c>
      <c r="M64" s="73" t="str">
        <f>IF(K64="","",K64*40000)</f>
        <v/>
      </c>
      <c r="N64" s="75" t="str">
        <f>IF(K64="","",K64*15000)</f>
        <v/>
      </c>
      <c r="O64" s="67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</row>
    <row r="65" spans="1:26" ht="16.5" customHeight="1" thickBot="1">
      <c r="A65" s="120"/>
      <c r="B65" s="19"/>
      <c r="C65" s="19"/>
      <c r="D65" s="19"/>
      <c r="E65" s="19"/>
      <c r="F65" s="19"/>
      <c r="G65" s="19"/>
      <c r="H65" s="35"/>
      <c r="I65" s="36"/>
      <c r="J65" s="36"/>
      <c r="K65" s="36"/>
      <c r="L65" s="84">
        <f>I52*2000+I53*6000+I54*3000+I55*6000+I56*20000+I57*45000+I58*10000+I59*10000+I61*50000+I62*60000+I63*5000000+I64*30000</f>
        <v>0</v>
      </c>
      <c r="M65" s="84">
        <f>I52*2000+I53*6000+I54*1000+I55*4000+I56*7000+I57*15000+I58*20000+I59*6000+I60*1000+I61*25000+I62*50000+I63*4000000+I64*40000</f>
        <v>0</v>
      </c>
      <c r="N65" s="85">
        <f>I56*2000+I58*10000+I59*2000+I61*15000+I62*15000+I63*1000000+I64*15000</f>
        <v>0</v>
      </c>
      <c r="O65" s="32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</row>
    <row r="66" spans="1:26" ht="16.5" customHeight="1" thickBot="1">
      <c r="A66" s="120"/>
      <c r="B66" s="19"/>
      <c r="C66" s="19"/>
      <c r="D66" s="19"/>
      <c r="E66" s="19"/>
      <c r="F66" s="19"/>
      <c r="G66" s="132" t="str">
        <f>IF($D$2&gt;4,CONCATENATE($B$7," : ",$C$7),"")</f>
        <v/>
      </c>
      <c r="H66" s="37" t="s">
        <v>27</v>
      </c>
      <c r="I66" s="133" t="str">
        <f>IF(C7="","",C7)</f>
        <v/>
      </c>
      <c r="J66" s="134"/>
      <c r="K66" s="130" t="s">
        <v>31</v>
      </c>
      <c r="L66" s="130"/>
      <c r="M66" s="130"/>
      <c r="N66" s="131"/>
      <c r="O66" s="69" t="s">
        <v>39</v>
      </c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</row>
    <row r="67" spans="1:26" ht="16.5" customHeight="1" thickTop="1" thickBot="1">
      <c r="A67" s="120"/>
      <c r="B67" s="19"/>
      <c r="C67" s="19"/>
      <c r="D67" s="19"/>
      <c r="E67" s="19"/>
      <c r="F67" s="19"/>
      <c r="G67" s="132"/>
      <c r="H67" s="38" t="s">
        <v>28</v>
      </c>
      <c r="I67" s="25" t="s">
        <v>29</v>
      </c>
      <c r="J67" s="26" t="s">
        <v>30</v>
      </c>
      <c r="K67" s="25" t="s">
        <v>32</v>
      </c>
      <c r="L67" s="26" t="s">
        <v>11</v>
      </c>
      <c r="M67" s="25" t="s">
        <v>12</v>
      </c>
      <c r="N67" s="27" t="s">
        <v>17</v>
      </c>
      <c r="O67" s="70">
        <f>L81+M81+N81</f>
        <v>0</v>
      </c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</row>
    <row r="68" spans="1:26" ht="16.5" customHeight="1" thickTop="1">
      <c r="A68" s="119" t="s">
        <v>0</v>
      </c>
      <c r="B68" s="19"/>
      <c r="C68" s="19"/>
      <c r="D68" s="19"/>
      <c r="E68" s="19"/>
      <c r="F68" s="19"/>
      <c r="G68" s="132"/>
      <c r="H68" s="4" t="str">
        <f>PROPER(A68)</f>
        <v>Klein Vrachtschip</v>
      </c>
      <c r="I68" s="82"/>
      <c r="J68" s="83"/>
      <c r="K68" s="73" t="str">
        <f>IF(I68="","",I68-J68)</f>
        <v/>
      </c>
      <c r="L68" s="74" t="str">
        <f>IF(K68="","",K68*2000)</f>
        <v/>
      </c>
      <c r="M68" s="73" t="str">
        <f>IF(K68="","",K68*2000)</f>
        <v/>
      </c>
      <c r="N68" s="75" t="str">
        <f>IF(K68="","",K68*0)</f>
        <v/>
      </c>
      <c r="O68" s="69" t="s">
        <v>40</v>
      </c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</row>
    <row r="69" spans="1:26" ht="16.5" customHeight="1">
      <c r="A69" s="119" t="s">
        <v>1</v>
      </c>
      <c r="B69" s="19"/>
      <c r="C69" s="19"/>
      <c r="D69" s="19"/>
      <c r="E69" s="19"/>
      <c r="F69" s="19"/>
      <c r="G69" s="132"/>
      <c r="H69" s="4" t="str">
        <f t="shared" ref="H69:H80" si="39">PROPER(A69)</f>
        <v>Groot Vrachtschip</v>
      </c>
      <c r="I69" s="82"/>
      <c r="J69" s="83"/>
      <c r="K69" s="73" t="str">
        <f t="shared" ref="K69:K80" si="40">IF(I69="","",I69-J69)</f>
        <v/>
      </c>
      <c r="L69" s="74" t="str">
        <f>IF(K69="","",K69*6000)</f>
        <v/>
      </c>
      <c r="M69" s="73" t="str">
        <f>IF(K69="","",K69*6000)</f>
        <v/>
      </c>
      <c r="N69" s="75" t="str">
        <f t="shared" ref="N69:N71" si="41">IF(K69="","",K69*0)</f>
        <v/>
      </c>
      <c r="O69" s="70">
        <f>L81+M81*2+N81*3</f>
        <v>0</v>
      </c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</row>
    <row r="70" spans="1:26" ht="16.5" customHeight="1">
      <c r="A70" s="119" t="s">
        <v>2</v>
      </c>
      <c r="B70" s="19"/>
      <c r="C70" s="19"/>
      <c r="D70" s="19"/>
      <c r="E70" s="19"/>
      <c r="F70" s="19"/>
      <c r="G70" s="132"/>
      <c r="H70" s="4" t="str">
        <f t="shared" si="39"/>
        <v>Licht Gevechtschip</v>
      </c>
      <c r="I70" s="82"/>
      <c r="J70" s="83"/>
      <c r="K70" s="73" t="str">
        <f t="shared" si="40"/>
        <v/>
      </c>
      <c r="L70" s="74" t="str">
        <f>IF(K70="","",K70*3000)</f>
        <v/>
      </c>
      <c r="M70" s="73" t="str">
        <f>IF(K70="","",K70*1000)</f>
        <v/>
      </c>
      <c r="N70" s="75" t="str">
        <f t="shared" si="41"/>
        <v/>
      </c>
      <c r="O70" s="6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</row>
    <row r="71" spans="1:26" ht="16.5" customHeight="1">
      <c r="A71" s="119" t="s">
        <v>3</v>
      </c>
      <c r="B71" s="19"/>
      <c r="C71" s="19"/>
      <c r="D71" s="19"/>
      <c r="E71" s="19"/>
      <c r="F71" s="19"/>
      <c r="G71" s="132"/>
      <c r="H71" s="4" t="str">
        <f t="shared" si="39"/>
        <v>Zwaar Gevechtschip</v>
      </c>
      <c r="I71" s="82"/>
      <c r="J71" s="83"/>
      <c r="K71" s="73" t="str">
        <f t="shared" si="40"/>
        <v/>
      </c>
      <c r="L71" s="74" t="str">
        <f>IF(K71="","",K71*6000)</f>
        <v/>
      </c>
      <c r="M71" s="73" t="str">
        <f>IF(K71="","",K71*4000)</f>
        <v/>
      </c>
      <c r="N71" s="75" t="str">
        <f t="shared" si="41"/>
        <v/>
      </c>
      <c r="O71" s="6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</row>
    <row r="72" spans="1:26" ht="16.5" customHeight="1">
      <c r="A72" s="119" t="s">
        <v>4</v>
      </c>
      <c r="B72" s="19"/>
      <c r="C72" s="19"/>
      <c r="D72" s="19"/>
      <c r="E72" s="19"/>
      <c r="F72" s="19"/>
      <c r="G72" s="132"/>
      <c r="H72" s="4" t="str">
        <f t="shared" si="39"/>
        <v>Kruiser</v>
      </c>
      <c r="I72" s="82"/>
      <c r="J72" s="83"/>
      <c r="K72" s="73" t="str">
        <f t="shared" si="40"/>
        <v/>
      </c>
      <c r="L72" s="74" t="str">
        <f>IF(K72="","",K72*20000)</f>
        <v/>
      </c>
      <c r="M72" s="73" t="str">
        <f>IF(K72="","",K72*7000)</f>
        <v/>
      </c>
      <c r="N72" s="75" t="str">
        <f>IF(K72="","",K72*2000)</f>
        <v/>
      </c>
      <c r="O72" s="6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</row>
    <row r="73" spans="1:26" ht="16.5" customHeight="1">
      <c r="A73" s="119" t="s">
        <v>5</v>
      </c>
      <c r="B73" s="19"/>
      <c r="C73" s="19"/>
      <c r="D73" s="19"/>
      <c r="E73" s="19"/>
      <c r="F73" s="19"/>
      <c r="G73" s="132"/>
      <c r="H73" s="4" t="str">
        <f t="shared" si="39"/>
        <v>Slagschip</v>
      </c>
      <c r="I73" s="82"/>
      <c r="J73" s="83"/>
      <c r="K73" s="73" t="str">
        <f t="shared" si="40"/>
        <v/>
      </c>
      <c r="L73" s="74" t="str">
        <f>IF(K73="","",K73*45000)</f>
        <v/>
      </c>
      <c r="M73" s="73" t="str">
        <f>IF(K73="","",K73*15000)</f>
        <v/>
      </c>
      <c r="N73" s="75" t="str">
        <f t="shared" ref="N73" si="42">IF(K73="","",K73*0)</f>
        <v/>
      </c>
      <c r="O73" s="6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</row>
    <row r="74" spans="1:26" ht="16.5" customHeight="1">
      <c r="A74" s="119" t="s">
        <v>6</v>
      </c>
      <c r="B74" s="19"/>
      <c r="C74" s="19"/>
      <c r="D74" s="19"/>
      <c r="E74" s="19"/>
      <c r="F74" s="19"/>
      <c r="G74" s="132"/>
      <c r="H74" s="4" t="str">
        <f t="shared" si="39"/>
        <v>Kolonisatie Schip</v>
      </c>
      <c r="I74" s="82"/>
      <c r="J74" s="83"/>
      <c r="K74" s="73" t="str">
        <f t="shared" si="40"/>
        <v/>
      </c>
      <c r="L74" s="74" t="str">
        <f>IF(K74="","",K74*10000)</f>
        <v/>
      </c>
      <c r="M74" s="73" t="str">
        <f>IF(K74="","",K74*20000)</f>
        <v/>
      </c>
      <c r="N74" s="75" t="str">
        <f>IF(K74="","",K74*10000)</f>
        <v/>
      </c>
      <c r="O74" s="6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</row>
    <row r="75" spans="1:26" ht="16.5" customHeight="1">
      <c r="A75" s="119" t="s">
        <v>7</v>
      </c>
      <c r="B75" s="19"/>
      <c r="C75" s="19"/>
      <c r="D75" s="19"/>
      <c r="E75" s="19"/>
      <c r="F75" s="19"/>
      <c r="G75" s="132"/>
      <c r="H75" s="4" t="str">
        <f t="shared" si="39"/>
        <v>Recycler</v>
      </c>
      <c r="I75" s="82"/>
      <c r="J75" s="83"/>
      <c r="K75" s="73" t="str">
        <f t="shared" si="40"/>
        <v/>
      </c>
      <c r="L75" s="74" t="str">
        <f>IF(K75="","",K75*10000)</f>
        <v/>
      </c>
      <c r="M75" s="73" t="str">
        <f>IF(K75="","",K75*6000)</f>
        <v/>
      </c>
      <c r="N75" s="75" t="str">
        <f>IF(K75="","",K75*2000)</f>
        <v/>
      </c>
      <c r="O75" s="6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</row>
    <row r="76" spans="1:26" ht="16.5" customHeight="1">
      <c r="A76" s="119" t="s">
        <v>8</v>
      </c>
      <c r="B76" s="19"/>
      <c r="C76" s="19"/>
      <c r="D76" s="19"/>
      <c r="E76" s="19"/>
      <c r="F76" s="19"/>
      <c r="G76" s="132"/>
      <c r="H76" s="4" t="str">
        <f t="shared" si="39"/>
        <v>Spionage Sonde</v>
      </c>
      <c r="I76" s="82"/>
      <c r="J76" s="83"/>
      <c r="K76" s="73" t="str">
        <f t="shared" si="40"/>
        <v/>
      </c>
      <c r="L76" s="74" t="str">
        <f>IF(K76="","",K76*0)</f>
        <v/>
      </c>
      <c r="M76" s="73" t="str">
        <f>IF(K76="","",K76*1000)</f>
        <v/>
      </c>
      <c r="N76" s="75" t="str">
        <f t="shared" ref="N76" si="43">IF(K76="","",K76*0)</f>
        <v/>
      </c>
      <c r="O76" s="6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</row>
    <row r="77" spans="1:26" ht="16.5" customHeight="1">
      <c r="A77" s="119" t="s">
        <v>9</v>
      </c>
      <c r="B77" s="19"/>
      <c r="C77" s="19"/>
      <c r="D77" s="19"/>
      <c r="E77" s="19"/>
      <c r="F77" s="19"/>
      <c r="G77" s="132"/>
      <c r="H77" s="4" t="str">
        <f t="shared" si="39"/>
        <v>Bommenwerper</v>
      </c>
      <c r="I77" s="82"/>
      <c r="J77" s="83"/>
      <c r="K77" s="73" t="str">
        <f t="shared" si="40"/>
        <v/>
      </c>
      <c r="L77" s="74" t="str">
        <f>IF(K77="","",K77*50000)</f>
        <v/>
      </c>
      <c r="M77" s="73" t="str">
        <f>IF(K77="","",K77*25000)</f>
        <v/>
      </c>
      <c r="N77" s="75" t="str">
        <f>IF(K77="","",K77*15000)</f>
        <v/>
      </c>
      <c r="O77" s="6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</row>
    <row r="78" spans="1:26" ht="16.5" customHeight="1">
      <c r="A78" s="119" t="s">
        <v>10</v>
      </c>
      <c r="B78" s="19"/>
      <c r="C78" s="19"/>
      <c r="D78" s="19"/>
      <c r="E78" s="19"/>
      <c r="F78" s="19"/>
      <c r="G78" s="132"/>
      <c r="H78" s="4" t="str">
        <f t="shared" si="39"/>
        <v>Vernietiger</v>
      </c>
      <c r="I78" s="82"/>
      <c r="J78" s="83"/>
      <c r="K78" s="73" t="str">
        <f t="shared" si="40"/>
        <v/>
      </c>
      <c r="L78" s="74" t="str">
        <f>IF(K78="","",K78*60000)</f>
        <v/>
      </c>
      <c r="M78" s="73" t="str">
        <f>IF(K78="","",K78*50000)</f>
        <v/>
      </c>
      <c r="N78" s="75" t="str">
        <f>IF(K78="","",K78*15000)</f>
        <v/>
      </c>
      <c r="O78" s="6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</row>
    <row r="79" spans="1:26" ht="16.5" customHeight="1">
      <c r="A79" s="119" t="s">
        <v>18</v>
      </c>
      <c r="B79" s="19"/>
      <c r="C79" s="19"/>
      <c r="D79" s="19"/>
      <c r="E79" s="19"/>
      <c r="F79" s="19"/>
      <c r="G79" s="132"/>
      <c r="H79" s="4" t="str">
        <f t="shared" si="39"/>
        <v>Rip</v>
      </c>
      <c r="I79" s="82"/>
      <c r="J79" s="83"/>
      <c r="K79" s="73" t="str">
        <f t="shared" si="40"/>
        <v/>
      </c>
      <c r="L79" s="74" t="str">
        <f>IF(K79="","",K79*5000000)</f>
        <v/>
      </c>
      <c r="M79" s="73" t="str">
        <f>IF(K79="","",K79*4000000)</f>
        <v/>
      </c>
      <c r="N79" s="75" t="str">
        <f>IF(K79="","",K79*1000000)</f>
        <v/>
      </c>
      <c r="O79" s="6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</row>
    <row r="80" spans="1:26" ht="16.5" customHeight="1">
      <c r="A80" s="119" t="s">
        <v>16</v>
      </c>
      <c r="B80" s="19"/>
      <c r="C80" s="19"/>
      <c r="D80" s="19"/>
      <c r="E80" s="19"/>
      <c r="F80" s="19"/>
      <c r="G80" s="132"/>
      <c r="H80" s="4" t="str">
        <f t="shared" si="39"/>
        <v>Interceptor</v>
      </c>
      <c r="I80" s="82"/>
      <c r="J80" s="83"/>
      <c r="K80" s="73" t="str">
        <f t="shared" si="40"/>
        <v/>
      </c>
      <c r="L80" s="74" t="str">
        <f>IF(K80="","",K80*30000)</f>
        <v/>
      </c>
      <c r="M80" s="73" t="str">
        <f>IF(K80="","",K80*40000)</f>
        <v/>
      </c>
      <c r="N80" s="75" t="str">
        <f>IF(K80="","",K80*15000)</f>
        <v/>
      </c>
      <c r="O80" s="6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</row>
    <row r="81" spans="1:26" ht="16.5" customHeight="1" thickBot="1">
      <c r="A81" s="19"/>
      <c r="B81" s="19"/>
      <c r="C81" s="19"/>
      <c r="D81" s="19"/>
      <c r="E81" s="19"/>
      <c r="F81" s="19"/>
      <c r="G81" s="19"/>
      <c r="H81" s="35"/>
      <c r="I81" s="36"/>
      <c r="J81" s="36"/>
      <c r="K81" s="36"/>
      <c r="L81" s="84">
        <f>I68*2000+I69*6000+I70*3000+I71*6000+I72*20000+I73*45000+I74*10000+I75*10000+I77*50000+I78*60000+I79*5000000+I80*30000</f>
        <v>0</v>
      </c>
      <c r="M81" s="84">
        <f>I68*2000+I69*6000+I70*1000+I71*4000+I72*7000+I73*15000+I74*20000+I75*6000+I76*1000+I77*25000+I78*50000+I79*4000000+I80*40000</f>
        <v>0</v>
      </c>
      <c r="N81" s="85">
        <f>I72*2000+I74*10000+I75*2000+I77*15000+I78*15000+I79*1000000+I80*15000</f>
        <v>0</v>
      </c>
      <c r="O81" s="32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</row>
    <row r="82" spans="1:26" ht="16.5" customHeight="1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</row>
    <row r="83" spans="1:26" ht="16.5" customHeight="1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</row>
    <row r="84" spans="1:26" ht="16.5" customHeight="1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</row>
    <row r="85" spans="1:26" ht="16.5" customHeight="1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</row>
    <row r="86" spans="1:26" ht="16.5" customHeight="1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</row>
    <row r="87" spans="1:26" ht="16.5" customHeight="1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</row>
    <row r="88" spans="1:26" ht="16.5" customHeight="1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</row>
    <row r="89" spans="1:26" ht="16.5" customHeight="1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</row>
    <row r="90" spans="1:26" ht="16.5" customHeight="1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</row>
    <row r="91" spans="1:26" ht="16.5" customHeight="1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</row>
    <row r="92" spans="1:26" ht="16.5" customHeight="1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</row>
    <row r="93" spans="1:26" ht="16.5" customHeight="1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</row>
    <row r="94" spans="1:26" ht="16.5" customHeight="1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</row>
    <row r="95" spans="1:26" ht="16.5" customHeight="1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</row>
    <row r="96" spans="1:26" ht="16.5" customHeight="1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</row>
    <row r="97" spans="1:26" ht="16.5" customHeight="1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</row>
    <row r="98" spans="1:26" ht="16.5" customHeight="1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</row>
    <row r="99" spans="1:26" ht="16.5" customHeight="1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</row>
    <row r="100" spans="1:26" ht="16.5" customHeight="1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45" t="s">
        <v>49</v>
      </c>
    </row>
  </sheetData>
  <sheetProtection password="C9E1" sheet="1" objects="1" scenarios="1" selectLockedCells="1"/>
  <mergeCells count="38">
    <mergeCell ref="R31:T31"/>
    <mergeCell ref="R1:R3"/>
    <mergeCell ref="G2:G16"/>
    <mergeCell ref="I2:J2"/>
    <mergeCell ref="K2:N2"/>
    <mergeCell ref="G18:G32"/>
    <mergeCell ref="I18:J18"/>
    <mergeCell ref="K18:N18"/>
    <mergeCell ref="R23:T23"/>
    <mergeCell ref="R24:T24"/>
    <mergeCell ref="R25:T25"/>
    <mergeCell ref="R26:T26"/>
    <mergeCell ref="R27:T27"/>
    <mergeCell ref="R28:T28"/>
    <mergeCell ref="R29:T29"/>
    <mergeCell ref="R30:T30"/>
    <mergeCell ref="R47:T47"/>
    <mergeCell ref="R32:T32"/>
    <mergeCell ref="R33:T33"/>
    <mergeCell ref="G34:G48"/>
    <mergeCell ref="I34:J34"/>
    <mergeCell ref="K34:N34"/>
    <mergeCell ref="R37:T37"/>
    <mergeCell ref="R38:T38"/>
    <mergeCell ref="R39:T39"/>
    <mergeCell ref="R40:T40"/>
    <mergeCell ref="R41:T41"/>
    <mergeCell ref="R42:T42"/>
    <mergeCell ref="R43:T43"/>
    <mergeCell ref="R44:T44"/>
    <mergeCell ref="R45:T45"/>
    <mergeCell ref="R46:T46"/>
    <mergeCell ref="G50:G64"/>
    <mergeCell ref="I50:J50"/>
    <mergeCell ref="K50:N50"/>
    <mergeCell ref="G66:G80"/>
    <mergeCell ref="I66:J66"/>
    <mergeCell ref="K66:N6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V111"/>
  <sheetViews>
    <sheetView workbookViewId="0">
      <selection activeCell="C3" sqref="C3"/>
    </sheetView>
  </sheetViews>
  <sheetFormatPr defaultRowHeight="16.5" customHeight="1"/>
  <cols>
    <col min="1" max="1" width="2.85546875" style="20" customWidth="1"/>
    <col min="2" max="3" width="22.85546875" style="20" customWidth="1"/>
    <col min="4" max="4" width="15.7109375" style="20" bestFit="1" customWidth="1"/>
    <col min="5" max="5" width="17.85546875" style="20" customWidth="1"/>
    <col min="6" max="6" width="3.5703125" style="20" customWidth="1"/>
    <col min="7" max="7" width="9.140625" style="20"/>
    <col min="8" max="8" width="21.42578125" style="20" customWidth="1"/>
    <col min="9" max="14" width="14.28515625" style="20" customWidth="1"/>
    <col min="15" max="15" width="20" style="20" customWidth="1"/>
    <col min="16" max="17" width="3.5703125" style="20" customWidth="1"/>
    <col min="18" max="18" width="13.42578125" style="20" bestFit="1" customWidth="1"/>
    <col min="19" max="19" width="21.42578125" style="20" customWidth="1"/>
    <col min="20" max="20" width="9.140625" style="20"/>
    <col min="21" max="23" width="17.85546875" style="20" customWidth="1"/>
    <col min="24" max="47" width="9.140625" style="20"/>
    <col min="48" max="48" width="10.28515625" style="20" bestFit="1" customWidth="1"/>
    <col min="49" max="16384" width="9.140625" style="20"/>
  </cols>
  <sheetData>
    <row r="1" spans="1:48" ht="16.5" customHeight="1" thickBot="1">
      <c r="A1" s="19"/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47" t="s">
        <v>42</v>
      </c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19"/>
      <c r="AL1" s="19"/>
      <c r="AM1" s="19"/>
      <c r="AN1" s="19"/>
      <c r="AO1" s="19"/>
      <c r="AP1" s="19"/>
      <c r="AQ1" s="19"/>
      <c r="AR1" s="19"/>
      <c r="AS1" s="19"/>
      <c r="AT1" s="19"/>
      <c r="AU1" s="19"/>
      <c r="AV1" s="19"/>
    </row>
    <row r="2" spans="1:48" ht="16.5" customHeight="1" thickBot="1">
      <c r="A2" s="19"/>
      <c r="B2" s="19"/>
      <c r="C2" s="19" t="str">
        <f>IF(D2=1,"Aanvaller","Aanvallers")</f>
        <v>Aanvallers</v>
      </c>
      <c r="D2" s="32">
        <f>COUNTA(C3:C7)</f>
        <v>0</v>
      </c>
      <c r="E2" s="19"/>
      <c r="F2" s="19"/>
      <c r="G2" s="157" t="str">
        <f>IF($D$11&gt;0,CONCATENATE($B$12," : ",$C$12),"")</f>
        <v/>
      </c>
      <c r="H2" s="87" t="s">
        <v>27</v>
      </c>
      <c r="I2" s="150" t="str">
        <f>IF(C12="","",C12)</f>
        <v/>
      </c>
      <c r="J2" s="151"/>
      <c r="K2" s="152" t="s">
        <v>31</v>
      </c>
      <c r="L2" s="152"/>
      <c r="M2" s="152"/>
      <c r="N2" s="153"/>
      <c r="O2" s="61" t="s">
        <v>64</v>
      </c>
      <c r="P2" s="19"/>
      <c r="Q2" s="19"/>
      <c r="R2" s="147"/>
      <c r="S2" s="19" t="s">
        <v>43</v>
      </c>
      <c r="T2" s="19"/>
      <c r="U2" s="22" t="s">
        <v>11</v>
      </c>
      <c r="V2" s="22" t="s">
        <v>12</v>
      </c>
      <c r="W2" s="22" t="s">
        <v>17</v>
      </c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</row>
    <row r="3" spans="1:48" ht="16.5" customHeight="1" thickTop="1" thickBot="1">
      <c r="A3" s="19"/>
      <c r="B3" s="32" t="s">
        <v>20</v>
      </c>
      <c r="C3" s="2"/>
      <c r="D3" s="19"/>
      <c r="E3" s="23"/>
      <c r="F3" s="24"/>
      <c r="G3" s="157"/>
      <c r="H3" s="88" t="s">
        <v>28</v>
      </c>
      <c r="I3" s="25" t="s">
        <v>29</v>
      </c>
      <c r="J3" s="26" t="s">
        <v>30</v>
      </c>
      <c r="K3" s="25" t="s">
        <v>32</v>
      </c>
      <c r="L3" s="26" t="s">
        <v>11</v>
      </c>
      <c r="M3" s="25" t="s">
        <v>12</v>
      </c>
      <c r="N3" s="27" t="s">
        <v>17</v>
      </c>
      <c r="O3" s="62">
        <f>L28+M28+N28</f>
        <v>0</v>
      </c>
      <c r="P3" s="19"/>
      <c r="Q3" s="19"/>
      <c r="R3" s="148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</row>
    <row r="4" spans="1:48" ht="16.5" customHeight="1" thickTop="1">
      <c r="A4" s="123" t="s">
        <v>0</v>
      </c>
      <c r="B4" s="32" t="s">
        <v>21</v>
      </c>
      <c r="C4" s="2"/>
      <c r="D4" s="19"/>
      <c r="E4" s="23"/>
      <c r="F4" s="24"/>
      <c r="G4" s="157"/>
      <c r="H4" s="89" t="str">
        <f>PROPER(A4)</f>
        <v>Klein Vrachtschip</v>
      </c>
      <c r="I4" s="71"/>
      <c r="J4" s="72"/>
      <c r="K4" s="73" t="str">
        <f>IF(I4="","",I4-J4)</f>
        <v/>
      </c>
      <c r="L4" s="74" t="str">
        <f>IF(K4="","",K4*2000)</f>
        <v/>
      </c>
      <c r="M4" s="73" t="str">
        <f>IF(K4="","",K4*2000)</f>
        <v/>
      </c>
      <c r="N4" s="75" t="str">
        <f>IF(K4="","",K4*0)</f>
        <v/>
      </c>
      <c r="O4" s="61" t="s">
        <v>65</v>
      </c>
      <c r="P4" s="19"/>
      <c r="Q4" s="19"/>
      <c r="R4" s="28" t="str">
        <f>IF(S4="","","Verloren")</f>
        <v/>
      </c>
      <c r="S4" s="47" t="str">
        <f>IF(I2="","",I2)</f>
        <v/>
      </c>
      <c r="T4" s="29"/>
      <c r="U4" s="57">
        <f>SUM(L4:L16)+SUM(L18:L27)</f>
        <v>0</v>
      </c>
      <c r="V4" s="57">
        <f>SUM(M4:M16)+SUM(M18:M26)</f>
        <v>0</v>
      </c>
      <c r="W4" s="58">
        <f>SUM(N4:N16)+SUM(N18:N26)</f>
        <v>0</v>
      </c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19"/>
      <c r="AL4" s="19"/>
      <c r="AM4" s="19"/>
      <c r="AN4" s="19"/>
      <c r="AO4" s="19"/>
      <c r="AP4" s="19"/>
      <c r="AQ4" s="19"/>
      <c r="AR4" s="19"/>
      <c r="AS4" s="19"/>
      <c r="AT4" s="19"/>
      <c r="AU4" s="19"/>
      <c r="AV4" s="19"/>
    </row>
    <row r="5" spans="1:48" ht="16.5" customHeight="1" thickBot="1">
      <c r="A5" s="123" t="s">
        <v>1</v>
      </c>
      <c r="B5" s="32" t="s">
        <v>22</v>
      </c>
      <c r="C5" s="2"/>
      <c r="D5" s="19"/>
      <c r="E5" s="23"/>
      <c r="F5" s="24"/>
      <c r="G5" s="157"/>
      <c r="H5" s="89" t="str">
        <f t="shared" ref="H5:H16" si="0">PROPER(A5)</f>
        <v>Groot Vrachtschip</v>
      </c>
      <c r="I5" s="71"/>
      <c r="J5" s="72"/>
      <c r="K5" s="73" t="str">
        <f t="shared" ref="K5:K18" si="1">IF(I5="","",I5-J5)</f>
        <v/>
      </c>
      <c r="L5" s="74" t="str">
        <f>IF(K5="","",K5*6000)</f>
        <v/>
      </c>
      <c r="M5" s="73" t="str">
        <f>IF(K5="","",K5*6000)</f>
        <v/>
      </c>
      <c r="N5" s="75" t="str">
        <f t="shared" ref="N5:N12" si="2">IF(K5="","",K5*0)</f>
        <v/>
      </c>
      <c r="O5" s="62">
        <f>L28+M28*2+N28*3</f>
        <v>0</v>
      </c>
      <c r="P5" s="19"/>
      <c r="Q5" s="19"/>
      <c r="R5" s="30" t="str">
        <f>IF(S4="","","Verkregen")</f>
        <v/>
      </c>
      <c r="S5" s="31"/>
      <c r="T5" s="31"/>
      <c r="U5" s="59">
        <f>C28+C35</f>
        <v>0</v>
      </c>
      <c r="V5" s="59">
        <f>D28+D35</f>
        <v>0</v>
      </c>
      <c r="W5" s="60">
        <f>E28-F46</f>
        <v>0</v>
      </c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/>
    </row>
    <row r="6" spans="1:48" ht="16.5" customHeight="1" thickTop="1" thickBot="1">
      <c r="A6" s="123" t="s">
        <v>2</v>
      </c>
      <c r="B6" s="32" t="s">
        <v>23</v>
      </c>
      <c r="C6" s="2"/>
      <c r="D6" s="19"/>
      <c r="E6" s="23"/>
      <c r="F6" s="24"/>
      <c r="G6" s="157"/>
      <c r="H6" s="89" t="str">
        <f t="shared" si="0"/>
        <v>Licht Gevechtschip</v>
      </c>
      <c r="I6" s="71"/>
      <c r="J6" s="72"/>
      <c r="K6" s="73" t="str">
        <f t="shared" si="1"/>
        <v/>
      </c>
      <c r="L6" s="74" t="str">
        <f>IF(K6="","",K6*3000)</f>
        <v/>
      </c>
      <c r="M6" s="73" t="str">
        <f>IF(K6="","",K6*1000)</f>
        <v/>
      </c>
      <c r="N6" s="75" t="str">
        <f t="shared" si="2"/>
        <v/>
      </c>
      <c r="O6" s="61" t="s">
        <v>39</v>
      </c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</row>
    <row r="7" spans="1:48" ht="16.5" customHeight="1">
      <c r="A7" s="123" t="s">
        <v>3</v>
      </c>
      <c r="B7" s="32" t="s">
        <v>24</v>
      </c>
      <c r="C7" s="2"/>
      <c r="D7" s="19"/>
      <c r="E7" s="23"/>
      <c r="F7" s="24"/>
      <c r="G7" s="157"/>
      <c r="H7" s="89" t="str">
        <f t="shared" si="0"/>
        <v>Zwaar Gevechtschip</v>
      </c>
      <c r="I7" s="71"/>
      <c r="J7" s="72"/>
      <c r="K7" s="73" t="str">
        <f t="shared" si="1"/>
        <v/>
      </c>
      <c r="L7" s="74" t="str">
        <f>IF(K7="","",K7*6000)</f>
        <v/>
      </c>
      <c r="M7" s="73" t="str">
        <f>IF(K7="","",K7*4000)</f>
        <v/>
      </c>
      <c r="N7" s="75" t="str">
        <f t="shared" si="2"/>
        <v/>
      </c>
      <c r="O7" s="62">
        <f>L17+M17+N17</f>
        <v>0</v>
      </c>
      <c r="P7" s="19"/>
      <c r="Q7" s="19"/>
      <c r="R7" s="28" t="str">
        <f>IF(S7="","","Verloren")</f>
        <v/>
      </c>
      <c r="S7" s="48" t="str">
        <f>IF(I29="","",I29)</f>
        <v/>
      </c>
      <c r="T7" s="29"/>
      <c r="U7" s="57">
        <f>SUM(L31:L43)</f>
        <v>0</v>
      </c>
      <c r="V7" s="57">
        <f t="shared" ref="V7:W7" si="3">SUM(M31:M43)</f>
        <v>0</v>
      </c>
      <c r="W7" s="58">
        <f t="shared" si="3"/>
        <v>0</v>
      </c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</row>
    <row r="8" spans="1:48" ht="16.5" customHeight="1" thickBot="1">
      <c r="A8" s="123" t="s">
        <v>4</v>
      </c>
      <c r="B8" s="19"/>
      <c r="C8" s="19"/>
      <c r="D8" s="32"/>
      <c r="E8" s="46"/>
      <c r="F8" s="33"/>
      <c r="G8" s="157"/>
      <c r="H8" s="89" t="str">
        <f t="shared" si="0"/>
        <v>Kruiser</v>
      </c>
      <c r="I8" s="71"/>
      <c r="J8" s="72"/>
      <c r="K8" s="73" t="str">
        <f t="shared" si="1"/>
        <v/>
      </c>
      <c r="L8" s="74" t="str">
        <f>IF(K8="","",K8*20000)</f>
        <v/>
      </c>
      <c r="M8" s="73" t="str">
        <f>IF(K8="","",K8*7000)</f>
        <v/>
      </c>
      <c r="N8" s="75" t="str">
        <f>IF(K8="","",K8*2000)</f>
        <v/>
      </c>
      <c r="O8" s="61" t="s">
        <v>40</v>
      </c>
      <c r="P8" s="19"/>
      <c r="Q8" s="19"/>
      <c r="R8" s="30" t="str">
        <f>IF(S7="","","Verkregen")</f>
        <v/>
      </c>
      <c r="S8" s="31"/>
      <c r="T8" s="31"/>
      <c r="U8" s="59">
        <f>C29+C36</f>
        <v>0</v>
      </c>
      <c r="V8" s="59">
        <f>D29+D36</f>
        <v>0</v>
      </c>
      <c r="W8" s="60">
        <f>E29-F47</f>
        <v>0</v>
      </c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</row>
    <row r="9" spans="1:48" ht="16.5" customHeight="1" thickTop="1" thickBot="1">
      <c r="A9" s="123" t="s">
        <v>5</v>
      </c>
      <c r="B9" s="19"/>
      <c r="C9" s="19" t="s">
        <v>25</v>
      </c>
      <c r="D9" s="19"/>
      <c r="E9" s="40"/>
      <c r="F9" s="33"/>
      <c r="G9" s="157"/>
      <c r="H9" s="89" t="str">
        <f t="shared" si="0"/>
        <v>Slagschip</v>
      </c>
      <c r="I9" s="71"/>
      <c r="J9" s="72"/>
      <c r="K9" s="73" t="str">
        <f t="shared" si="1"/>
        <v/>
      </c>
      <c r="L9" s="74" t="str">
        <f>IF(K9="","",K9*45000)</f>
        <v/>
      </c>
      <c r="M9" s="73" t="str">
        <f>IF(K9="","",K9*15000)</f>
        <v/>
      </c>
      <c r="N9" s="75" t="str">
        <f t="shared" si="2"/>
        <v/>
      </c>
      <c r="O9" s="62">
        <f>L17+M17*2+N17*3</f>
        <v>0</v>
      </c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</row>
    <row r="10" spans="1:48" ht="16.5" customHeight="1">
      <c r="A10" s="123" t="s">
        <v>6</v>
      </c>
      <c r="B10" s="19"/>
      <c r="C10" s="19"/>
      <c r="D10" s="19"/>
      <c r="E10" s="19"/>
      <c r="F10" s="33"/>
      <c r="G10" s="157"/>
      <c r="H10" s="89" t="str">
        <f t="shared" si="0"/>
        <v>Kolonisatie Schip</v>
      </c>
      <c r="I10" s="71"/>
      <c r="J10" s="72"/>
      <c r="K10" s="73" t="str">
        <f t="shared" si="1"/>
        <v/>
      </c>
      <c r="L10" s="74" t="str">
        <f>IF(K10="","",K10*10000)</f>
        <v/>
      </c>
      <c r="M10" s="73" t="str">
        <f>IF(K10="","",K10*20000)</f>
        <v/>
      </c>
      <c r="N10" s="75" t="str">
        <f>IF(K10="","",K10*10000)</f>
        <v/>
      </c>
      <c r="O10" s="61"/>
      <c r="P10" s="19"/>
      <c r="Q10" s="19"/>
      <c r="R10" s="28" t="str">
        <f>IF(S10="","","Verloren")</f>
        <v/>
      </c>
      <c r="S10" s="49" t="str">
        <f>IF(I45="","",I45)</f>
        <v/>
      </c>
      <c r="T10" s="29"/>
      <c r="U10" s="57">
        <f>SUM(L47:L59)</f>
        <v>0</v>
      </c>
      <c r="V10" s="57">
        <f t="shared" ref="V10:W10" si="4">SUM(M47:M59)</f>
        <v>0</v>
      </c>
      <c r="W10" s="58">
        <f t="shared" si="4"/>
        <v>0</v>
      </c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</row>
    <row r="11" spans="1:48" ht="16.5" customHeight="1" thickBot="1">
      <c r="A11" s="123" t="s">
        <v>7</v>
      </c>
      <c r="B11" s="118" t="b">
        <v>0</v>
      </c>
      <c r="C11" s="19" t="str">
        <f>IF(D11=1,"Verdediger","Verdedigers")</f>
        <v>Verdedigers</v>
      </c>
      <c r="D11" s="19">
        <f>COUNTA(C12:C16)</f>
        <v>0</v>
      </c>
      <c r="E11" s="19" t="str">
        <f>IF(E12="","","Vloot verhouding")</f>
        <v/>
      </c>
      <c r="F11" s="19"/>
      <c r="G11" s="157"/>
      <c r="H11" s="89" t="str">
        <f t="shared" si="0"/>
        <v>Recycler</v>
      </c>
      <c r="I11" s="71"/>
      <c r="J11" s="72"/>
      <c r="K11" s="73" t="str">
        <f t="shared" si="1"/>
        <v/>
      </c>
      <c r="L11" s="74" t="str">
        <f>IF(K11="","",K11*10000)</f>
        <v/>
      </c>
      <c r="M11" s="73" t="str">
        <f>IF(K11="","",K11*6000)</f>
        <v/>
      </c>
      <c r="N11" s="75" t="str">
        <f>IF(K11="","",K11*2000)</f>
        <v/>
      </c>
      <c r="O11" s="62"/>
      <c r="P11" s="19"/>
      <c r="Q11" s="19"/>
      <c r="R11" s="30" t="str">
        <f>IF(S10="","","Verkregen")</f>
        <v/>
      </c>
      <c r="S11" s="31"/>
      <c r="T11" s="31"/>
      <c r="U11" s="59">
        <f>C30+C37</f>
        <v>0</v>
      </c>
      <c r="V11" s="59">
        <f>D30+D37</f>
        <v>0</v>
      </c>
      <c r="W11" s="60">
        <f>E30-F48</f>
        <v>0</v>
      </c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</row>
    <row r="12" spans="1:48" ht="16.5" customHeight="1" thickTop="1" thickBot="1">
      <c r="A12" s="123" t="s">
        <v>8</v>
      </c>
      <c r="B12" s="32" t="s">
        <v>26</v>
      </c>
      <c r="C12" s="2"/>
      <c r="D12" s="19"/>
      <c r="E12" s="23" t="str">
        <f>IF(O5&gt;0,(O5/$E$17*100),"")</f>
        <v/>
      </c>
      <c r="F12" s="24" t="str">
        <f>IF(E12="","","%")</f>
        <v/>
      </c>
      <c r="G12" s="157"/>
      <c r="H12" s="89" t="str">
        <f t="shared" si="0"/>
        <v>Spionage Sonde</v>
      </c>
      <c r="I12" s="71"/>
      <c r="J12" s="72"/>
      <c r="K12" s="73" t="str">
        <f t="shared" si="1"/>
        <v/>
      </c>
      <c r="L12" s="74" t="str">
        <f>IF(K12="","",K12*0)</f>
        <v/>
      </c>
      <c r="M12" s="73" t="str">
        <f>IF(K12="","",K12*1000)</f>
        <v/>
      </c>
      <c r="N12" s="75" t="str">
        <f t="shared" si="2"/>
        <v/>
      </c>
      <c r="O12" s="61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</row>
    <row r="13" spans="1:48" ht="16.5" customHeight="1">
      <c r="A13" s="123" t="s">
        <v>9</v>
      </c>
      <c r="B13" s="32" t="s">
        <v>51</v>
      </c>
      <c r="C13" s="2"/>
      <c r="D13" s="19"/>
      <c r="E13" s="23" t="str">
        <f>IF(O32&gt;0,(O32/$E$17*100),"")</f>
        <v/>
      </c>
      <c r="F13" s="24" t="str">
        <f t="shared" ref="F13:F16" si="5">IF(E13="","","%")</f>
        <v/>
      </c>
      <c r="G13" s="157"/>
      <c r="H13" s="89" t="str">
        <f t="shared" si="0"/>
        <v>Bommenwerper</v>
      </c>
      <c r="I13" s="71"/>
      <c r="J13" s="72"/>
      <c r="K13" s="73" t="str">
        <f t="shared" si="1"/>
        <v/>
      </c>
      <c r="L13" s="74" t="str">
        <f>IF(K13="","",K13*50000)</f>
        <v/>
      </c>
      <c r="M13" s="73" t="str">
        <f>IF(K13="","",K13*25000)</f>
        <v/>
      </c>
      <c r="N13" s="75" t="str">
        <f>IF(K13="","",K13*15000)</f>
        <v/>
      </c>
      <c r="O13" s="62"/>
      <c r="P13" s="19"/>
      <c r="Q13" s="19"/>
      <c r="R13" s="28" t="str">
        <f>IF(S13="","","Verloren")</f>
        <v/>
      </c>
      <c r="S13" s="50" t="str">
        <f>IF(I61="","",I61)</f>
        <v/>
      </c>
      <c r="T13" s="29"/>
      <c r="U13" s="57">
        <f>SUM(L63:L75)</f>
        <v>0</v>
      </c>
      <c r="V13" s="57">
        <f t="shared" ref="V13:W13" si="6">SUM(M63:M75)</f>
        <v>0</v>
      </c>
      <c r="W13" s="58">
        <f t="shared" si="6"/>
        <v>0</v>
      </c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</row>
    <row r="14" spans="1:48" ht="16.5" customHeight="1" thickBot="1">
      <c r="A14" s="123" t="s">
        <v>10</v>
      </c>
      <c r="B14" s="32" t="s">
        <v>52</v>
      </c>
      <c r="C14" s="2"/>
      <c r="D14" s="19"/>
      <c r="E14" s="23" t="str">
        <f>IF(O48&gt;0,(O48/$E$17*100),"")</f>
        <v/>
      </c>
      <c r="F14" s="24" t="str">
        <f t="shared" si="5"/>
        <v/>
      </c>
      <c r="G14" s="157"/>
      <c r="H14" s="89" t="str">
        <f t="shared" si="0"/>
        <v>Vernietiger</v>
      </c>
      <c r="I14" s="71"/>
      <c r="J14" s="72"/>
      <c r="K14" s="73" t="str">
        <f t="shared" si="1"/>
        <v/>
      </c>
      <c r="L14" s="74" t="str">
        <f>IF(K14="","",K14*60000)</f>
        <v/>
      </c>
      <c r="M14" s="73" t="str">
        <f>IF(K14="","",K14*50000)</f>
        <v/>
      </c>
      <c r="N14" s="75" t="str">
        <f>IF(K14="","",K14*15000)</f>
        <v/>
      </c>
      <c r="O14" s="61"/>
      <c r="P14" s="19"/>
      <c r="Q14" s="19"/>
      <c r="R14" s="30" t="str">
        <f>IF(S13="","","Verkregen")</f>
        <v/>
      </c>
      <c r="S14" s="31"/>
      <c r="T14" s="31"/>
      <c r="U14" s="59">
        <f>C31+C38</f>
        <v>0</v>
      </c>
      <c r="V14" s="59">
        <f>D31+D38</f>
        <v>0</v>
      </c>
      <c r="W14" s="60">
        <f>E31-F49</f>
        <v>0</v>
      </c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</row>
    <row r="15" spans="1:48" ht="16.5" customHeight="1" thickTop="1" thickBot="1">
      <c r="A15" s="123" t="s">
        <v>18</v>
      </c>
      <c r="B15" s="32" t="s">
        <v>53</v>
      </c>
      <c r="C15" s="2"/>
      <c r="D15" s="19"/>
      <c r="E15" s="23" t="str">
        <f>IF(O64&gt;0,(O64/$E$17*100),"")</f>
        <v/>
      </c>
      <c r="F15" s="24" t="str">
        <f t="shared" si="5"/>
        <v/>
      </c>
      <c r="G15" s="157"/>
      <c r="H15" s="89" t="str">
        <f t="shared" si="0"/>
        <v>Rip</v>
      </c>
      <c r="I15" s="71"/>
      <c r="J15" s="72"/>
      <c r="K15" s="73" t="str">
        <f t="shared" si="1"/>
        <v/>
      </c>
      <c r="L15" s="74" t="str">
        <f>IF(K15="","",K15*5000000)</f>
        <v/>
      </c>
      <c r="M15" s="73" t="str">
        <f>IF(K15="","",K15*4000000)</f>
        <v/>
      </c>
      <c r="N15" s="75" t="str">
        <f>IF(K15="","",K15*1000000)</f>
        <v/>
      </c>
      <c r="O15" s="61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</row>
    <row r="16" spans="1:48" ht="16.5" customHeight="1">
      <c r="A16" s="123" t="s">
        <v>16</v>
      </c>
      <c r="B16" s="32" t="s">
        <v>54</v>
      </c>
      <c r="C16" s="2"/>
      <c r="D16" s="19"/>
      <c r="E16" s="23" t="str">
        <f>IF(O80&gt;0,(O80/$E$17*100),"")</f>
        <v/>
      </c>
      <c r="F16" s="24" t="str">
        <f t="shared" si="5"/>
        <v/>
      </c>
      <c r="G16" s="157"/>
      <c r="H16" s="89" t="str">
        <f t="shared" si="0"/>
        <v>Interceptor</v>
      </c>
      <c r="I16" s="71"/>
      <c r="J16" s="72"/>
      <c r="K16" s="73" t="str">
        <f t="shared" si="1"/>
        <v/>
      </c>
      <c r="L16" s="74" t="str">
        <f>IF(K16="","",K16*30000)</f>
        <v/>
      </c>
      <c r="M16" s="73" t="str">
        <f>IF(K16="","",K16*40000)</f>
        <v/>
      </c>
      <c r="N16" s="75" t="str">
        <f>IF(K16="","",K16*15000)</f>
        <v/>
      </c>
      <c r="O16" s="61"/>
      <c r="P16" s="19"/>
      <c r="Q16" s="19"/>
      <c r="R16" s="28" t="str">
        <f>IF(S16="","","Verloren")</f>
        <v/>
      </c>
      <c r="S16" s="51" t="str">
        <f>IF(I77="","",I77)</f>
        <v/>
      </c>
      <c r="T16" s="29"/>
      <c r="U16" s="57">
        <f>SUM(L79:L91)</f>
        <v>0</v>
      </c>
      <c r="V16" s="57">
        <f t="shared" ref="V16:W16" si="7">SUM(M79:M91)</f>
        <v>0</v>
      </c>
      <c r="W16" s="58">
        <f t="shared" si="7"/>
        <v>0</v>
      </c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</row>
    <row r="17" spans="1:48" ht="16.5" customHeight="1" thickBot="1">
      <c r="A17" s="124"/>
      <c r="B17" s="113"/>
      <c r="C17" s="114"/>
      <c r="D17" s="113" t="s">
        <v>68</v>
      </c>
      <c r="E17" s="115">
        <f>O5+O32+O48+O64+O80</f>
        <v>0</v>
      </c>
      <c r="F17" s="19"/>
      <c r="G17" s="157"/>
      <c r="H17" s="158" t="s">
        <v>69</v>
      </c>
      <c r="I17" s="159"/>
      <c r="J17" s="159"/>
      <c r="K17" s="160"/>
      <c r="L17" s="100">
        <f>I4*2000+I5*6000+I6*3000+I7*6000+I8*20000+I9*45000+I10*10000+I11*10000+I13*50000+I14*60000+I15*5000000+I16*30000</f>
        <v>0</v>
      </c>
      <c r="M17" s="101">
        <f>I4*2000+I5*6000+I6*1000+I7*4000+I8*7000+I9*15000+I10*20000+I11*6000+I12*1000+I13*25000+I14*50000+I15*4000000+I16*40000</f>
        <v>0</v>
      </c>
      <c r="N17" s="102">
        <f>I8*2000+I10*10000+I11*2000+I13*15000+I14*15000+I15*1000000+I16*15000</f>
        <v>0</v>
      </c>
      <c r="O17" s="61"/>
      <c r="P17" s="19"/>
      <c r="Q17" s="19"/>
      <c r="R17" s="30" t="str">
        <f>IF(S16="","","Verkregen")</f>
        <v/>
      </c>
      <c r="S17" s="31"/>
      <c r="T17" s="31"/>
      <c r="U17" s="59">
        <f>C32+C39</f>
        <v>0</v>
      </c>
      <c r="V17" s="59">
        <f>D32+D39</f>
        <v>0</v>
      </c>
      <c r="W17" s="60">
        <f>E32-F50</f>
        <v>0</v>
      </c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</row>
    <row r="18" spans="1:48" ht="16.5" customHeight="1" thickTop="1">
      <c r="A18" s="125" t="s">
        <v>63</v>
      </c>
      <c r="B18" s="113"/>
      <c r="C18" s="114"/>
      <c r="D18" s="108"/>
      <c r="E18" s="108"/>
      <c r="F18" s="19"/>
      <c r="G18" s="157"/>
      <c r="H18" s="19" t="str">
        <f>PROPER(A18)</f>
        <v>Zonne-Energiesatelliet</v>
      </c>
      <c r="I18" s="71"/>
      <c r="J18" s="72"/>
      <c r="K18" s="73" t="str">
        <f t="shared" si="1"/>
        <v/>
      </c>
      <c r="L18" s="74" t="str">
        <f>IF(K18="","",K18*0)</f>
        <v/>
      </c>
      <c r="M18" s="73" t="str">
        <f>IF(K18="","",K18*2000)</f>
        <v/>
      </c>
      <c r="N18" s="75" t="str">
        <f>IF(K18="","",K18*500)</f>
        <v/>
      </c>
      <c r="O18" s="61" t="s">
        <v>66</v>
      </c>
      <c r="P18" s="19"/>
      <c r="Q18" s="19"/>
      <c r="R18" s="91"/>
      <c r="S18" s="92"/>
      <c r="T18" s="91"/>
      <c r="U18" s="93"/>
      <c r="V18" s="93"/>
      <c r="W18" s="93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</row>
    <row r="19" spans="1:48" ht="16.5" customHeight="1">
      <c r="A19" s="123" t="s">
        <v>55</v>
      </c>
      <c r="B19" s="108"/>
      <c r="C19" s="116" t="s">
        <v>33</v>
      </c>
      <c r="D19" s="108"/>
      <c r="E19" s="108"/>
      <c r="F19" s="19"/>
      <c r="G19" s="157"/>
      <c r="H19" s="19" t="str">
        <f t="shared" ref="H19:H26" si="8">PROPER(A19)</f>
        <v>Raketlanceerder</v>
      </c>
      <c r="I19" s="71"/>
      <c r="J19" s="72"/>
      <c r="K19" s="73" t="str">
        <f>IF(I19="","",CEILING(P19-Q19,1))</f>
        <v/>
      </c>
      <c r="L19" s="74" t="str">
        <f>IF(K19="","",K19*2000)</f>
        <v/>
      </c>
      <c r="M19" s="73" t="str">
        <f>IF(K19="","",K19*0)</f>
        <v/>
      </c>
      <c r="N19" s="75" t="str">
        <f t="shared" ref="N19:N25" si="9">IF(K19="","",K19*0)</f>
        <v/>
      </c>
      <c r="O19" s="62">
        <f>L27+M27+N27</f>
        <v>0</v>
      </c>
      <c r="P19" s="94" t="str">
        <f>IF(I19="","",I19-J19)</f>
        <v/>
      </c>
      <c r="Q19" s="95" t="e">
        <f>P19/100*$I$27</f>
        <v>#VALUE!</v>
      </c>
      <c r="R19" s="86"/>
      <c r="S19" s="90"/>
      <c r="T19" s="86"/>
      <c r="U19" s="74"/>
      <c r="V19" s="74"/>
      <c r="W19" s="74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</row>
    <row r="20" spans="1:48" ht="16.5" customHeight="1" thickBot="1">
      <c r="A20" s="123" t="s">
        <v>56</v>
      </c>
      <c r="B20" s="32" t="s">
        <v>13</v>
      </c>
      <c r="C20" s="2"/>
      <c r="D20" s="19"/>
      <c r="E20" s="19"/>
      <c r="F20" s="19"/>
      <c r="G20" s="157"/>
      <c r="H20" s="19" t="str">
        <f t="shared" si="8"/>
        <v>Kleine Laser</v>
      </c>
      <c r="I20" s="71"/>
      <c r="J20" s="72"/>
      <c r="K20" s="73" t="str">
        <f t="shared" ref="K20:K25" si="10">IF(I20="","",CEILING(P20-Q20,1))</f>
        <v/>
      </c>
      <c r="L20" s="74" t="str">
        <f>IF(K20="","",K20*1500)</f>
        <v/>
      </c>
      <c r="M20" s="73" t="str">
        <f>IF(K20="","",K20*500)</f>
        <v/>
      </c>
      <c r="N20" s="75" t="str">
        <f t="shared" si="9"/>
        <v/>
      </c>
      <c r="O20" s="61" t="s">
        <v>67</v>
      </c>
      <c r="P20" s="94" t="str">
        <f t="shared" ref="P20:P26" si="11">IF(I20="","",I20-J20)</f>
        <v/>
      </c>
      <c r="Q20" s="95" t="e">
        <f t="shared" ref="Q20:Q26" si="12">P20/100*$I$27</f>
        <v>#VALUE!</v>
      </c>
      <c r="R20" s="5" t="s">
        <v>44</v>
      </c>
      <c r="S20" s="5"/>
      <c r="T20" s="5"/>
      <c r="U20" s="52">
        <f>U5+U8+U11+U14+U17+C40+C41+C42+C43+C44-(U4+U7+U10+U13+U16)</f>
        <v>0</v>
      </c>
      <c r="V20" s="52">
        <f>V5+V8+V11+V14+V17+D40+D41+D42+D43+D44-(V4+V7+V10+V13+V16)</f>
        <v>0</v>
      </c>
      <c r="W20" s="52">
        <f>W5+W8+W11+W14+W17-(W4+W7+W10+W13+W16+F51+F52+F53+F54+F55)</f>
        <v>0</v>
      </c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</row>
    <row r="21" spans="1:48" ht="16.5" customHeight="1" thickTop="1">
      <c r="A21" s="123" t="s">
        <v>57</v>
      </c>
      <c r="B21" s="32" t="s">
        <v>14</v>
      </c>
      <c r="C21" s="2"/>
      <c r="D21" s="19"/>
      <c r="E21" s="19"/>
      <c r="F21" s="19"/>
      <c r="G21" s="157"/>
      <c r="H21" s="19" t="str">
        <f t="shared" si="8"/>
        <v>Grote Laser</v>
      </c>
      <c r="I21" s="71"/>
      <c r="J21" s="72"/>
      <c r="K21" s="73" t="str">
        <f t="shared" si="10"/>
        <v/>
      </c>
      <c r="L21" s="74" t="str">
        <f>IF(K21="","",K21*6000)</f>
        <v/>
      </c>
      <c r="M21" s="73" t="str">
        <f>IF(K21="","",K21*2000)</f>
        <v/>
      </c>
      <c r="N21" s="75" t="str">
        <f>IF(K21="","",K21*0)</f>
        <v/>
      </c>
      <c r="O21" s="62">
        <f>L27+M27*2+N27*3</f>
        <v>0</v>
      </c>
      <c r="P21" s="94" t="str">
        <f t="shared" si="11"/>
        <v/>
      </c>
      <c r="Q21" s="95" t="e">
        <f t="shared" si="12"/>
        <v>#VALUE!</v>
      </c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</row>
    <row r="22" spans="1:48" ht="16.5" customHeight="1">
      <c r="A22" s="123" t="s">
        <v>58</v>
      </c>
      <c r="B22" s="32" t="s">
        <v>15</v>
      </c>
      <c r="C22" s="2"/>
      <c r="D22" s="19"/>
      <c r="E22" s="19"/>
      <c r="F22" s="19"/>
      <c r="G22" s="157"/>
      <c r="H22" s="19" t="str">
        <f t="shared" si="8"/>
        <v>Gausskanon</v>
      </c>
      <c r="I22" s="71"/>
      <c r="J22" s="72"/>
      <c r="K22" s="73" t="str">
        <f t="shared" si="10"/>
        <v/>
      </c>
      <c r="L22" s="74" t="str">
        <f>IF(K22="","",K22*20000)</f>
        <v/>
      </c>
      <c r="M22" s="73" t="str">
        <f>IF(K22="","",K22*15000)</f>
        <v/>
      </c>
      <c r="N22" s="75" t="str">
        <f>IF(K22="","",K22*2000)</f>
        <v/>
      </c>
      <c r="O22" s="61"/>
      <c r="P22" s="94" t="str">
        <f t="shared" si="11"/>
        <v/>
      </c>
      <c r="Q22" s="95" t="e">
        <f t="shared" si="12"/>
        <v>#VALUE!</v>
      </c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</row>
    <row r="23" spans="1:48" ht="16.5" customHeight="1" thickBot="1">
      <c r="A23" s="123" t="s">
        <v>59</v>
      </c>
      <c r="B23" s="32" t="s">
        <v>34</v>
      </c>
      <c r="C23" s="2"/>
      <c r="D23" s="19"/>
      <c r="E23" s="19"/>
      <c r="F23" s="19"/>
      <c r="G23" s="157"/>
      <c r="H23" s="19" t="str">
        <f t="shared" si="8"/>
        <v>Ionkanon</v>
      </c>
      <c r="I23" s="71"/>
      <c r="J23" s="72"/>
      <c r="K23" s="73" t="str">
        <f t="shared" si="10"/>
        <v/>
      </c>
      <c r="L23" s="74" t="str">
        <f>IF(K23="","",K23*2000)</f>
        <v/>
      </c>
      <c r="M23" s="73" t="str">
        <f>IF(K23="","",K23*6000)</f>
        <v/>
      </c>
      <c r="N23" s="75" t="str">
        <f>IF(K23="","",K23*0)</f>
        <v/>
      </c>
      <c r="O23" s="61"/>
      <c r="P23" s="94" t="str">
        <f t="shared" si="11"/>
        <v/>
      </c>
      <c r="Q23" s="95" t="e">
        <f t="shared" si="12"/>
        <v>#VALUE!</v>
      </c>
      <c r="R23" s="140" t="s">
        <v>45</v>
      </c>
      <c r="S23" s="140"/>
      <c r="T23" s="140"/>
      <c r="U23" s="19" t="s">
        <v>11</v>
      </c>
      <c r="V23" s="39" t="s">
        <v>12</v>
      </c>
      <c r="W23" s="19" t="s">
        <v>17</v>
      </c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</row>
    <row r="24" spans="1:48" ht="16.5" customHeight="1" thickTop="1" thickBot="1">
      <c r="A24" s="123" t="s">
        <v>60</v>
      </c>
      <c r="B24" s="32" t="s">
        <v>35</v>
      </c>
      <c r="C24" s="2"/>
      <c r="D24" s="19"/>
      <c r="E24" s="19"/>
      <c r="F24" s="19"/>
      <c r="G24" s="157"/>
      <c r="H24" s="19" t="str">
        <f t="shared" si="8"/>
        <v>Plasmakanon</v>
      </c>
      <c r="I24" s="71"/>
      <c r="J24" s="72"/>
      <c r="K24" s="73" t="str">
        <f t="shared" si="10"/>
        <v/>
      </c>
      <c r="L24" s="74" t="str">
        <f>IF(K24="","",K24*50000)</f>
        <v/>
      </c>
      <c r="M24" s="73" t="str">
        <f>IF(K24="","",K24*50000)</f>
        <v/>
      </c>
      <c r="N24" s="75" t="str">
        <f>IF(K24="","",K24*30000)</f>
        <v/>
      </c>
      <c r="O24" s="61"/>
      <c r="P24" s="94" t="str">
        <f t="shared" si="11"/>
        <v/>
      </c>
      <c r="Q24" s="95" t="e">
        <f t="shared" si="12"/>
        <v>#VALUE!</v>
      </c>
      <c r="R24" s="141" t="str">
        <f>IF($S$4="","",$S$4)</f>
        <v/>
      </c>
      <c r="S24" s="141"/>
      <c r="T24" s="142"/>
      <c r="U24" s="53" t="str">
        <f>IF($D$2&gt;1,$U$20/$D$2-(U5-U4),"")</f>
        <v/>
      </c>
      <c r="V24" s="54" t="str">
        <f>IF($D$2&gt;1,$V$20/$D$2-(V5-V4),"")</f>
        <v/>
      </c>
      <c r="W24" s="53" t="str">
        <f>IF($D$2&gt;1,$W$20/$D$2-(W5-W4),"")</f>
        <v/>
      </c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</row>
    <row r="25" spans="1:48" ht="16.5" customHeight="1" thickBot="1">
      <c r="A25" s="123" t="s">
        <v>61</v>
      </c>
      <c r="B25" s="108"/>
      <c r="C25" s="108"/>
      <c r="D25" s="108"/>
      <c r="E25" s="108"/>
      <c r="F25" s="19"/>
      <c r="G25" s="157"/>
      <c r="H25" s="19" t="str">
        <f t="shared" si="8"/>
        <v>Kleine Koepel</v>
      </c>
      <c r="I25" s="71"/>
      <c r="J25" s="72"/>
      <c r="K25" s="73" t="str">
        <f t="shared" si="10"/>
        <v/>
      </c>
      <c r="L25" s="74" t="str">
        <f>IF(K25="","",K25*10000)</f>
        <v/>
      </c>
      <c r="M25" s="73" t="str">
        <f>IF(K25="","",K25*10000)</f>
        <v/>
      </c>
      <c r="N25" s="75" t="str">
        <f t="shared" si="9"/>
        <v/>
      </c>
      <c r="O25" s="61"/>
      <c r="P25" s="94" t="str">
        <f t="shared" si="11"/>
        <v/>
      </c>
      <c r="Q25" s="95" t="e">
        <f t="shared" si="12"/>
        <v>#VALUE!</v>
      </c>
      <c r="R25" s="143" t="str">
        <f>IF($S$7="","",$S$7)</f>
        <v/>
      </c>
      <c r="S25" s="143"/>
      <c r="T25" s="144"/>
      <c r="U25" s="53" t="str">
        <f>IF($D$2&gt;=2,$U$20/$D$2-(U8-U7),"")</f>
        <v/>
      </c>
      <c r="V25" s="54" t="str">
        <f>IF($D$2&gt;=2,$V$20/$D$2-(V8-V7),"")</f>
        <v/>
      </c>
      <c r="W25" s="53" t="str">
        <f>IF($D$2&gt;=2,$W$20/$D$2-(W8-W7),"")</f>
        <v/>
      </c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</row>
    <row r="26" spans="1:48" ht="16.5" customHeight="1" thickBot="1">
      <c r="A26" s="123" t="s">
        <v>62</v>
      </c>
      <c r="B26" s="108"/>
      <c r="C26" s="108"/>
      <c r="D26" s="108"/>
      <c r="E26" s="108"/>
      <c r="F26" s="19"/>
      <c r="G26" s="157"/>
      <c r="H26" s="19" t="str">
        <f t="shared" si="8"/>
        <v>Grote Koepel</v>
      </c>
      <c r="I26" s="71"/>
      <c r="J26" s="72"/>
      <c r="K26" s="73" t="str">
        <f>IF(I26="","",CEILING(P26-Q26,1))</f>
        <v/>
      </c>
      <c r="L26" s="74" t="str">
        <f>IF(K26="","",K26*50000)</f>
        <v/>
      </c>
      <c r="M26" s="73" t="str">
        <f>IF(K26="","",K26*50000)</f>
        <v/>
      </c>
      <c r="N26" s="75" t="str">
        <f>IF(K26="","",K26*0)</f>
        <v/>
      </c>
      <c r="O26" s="61"/>
      <c r="P26" s="94" t="str">
        <f t="shared" si="11"/>
        <v/>
      </c>
      <c r="Q26" s="95" t="e">
        <f t="shared" si="12"/>
        <v>#VALUE!</v>
      </c>
      <c r="R26" s="143" t="str">
        <f>IF($S$10="","",$S$10)</f>
        <v/>
      </c>
      <c r="S26" s="143"/>
      <c r="T26" s="144"/>
      <c r="U26" s="53" t="str">
        <f>IF($D$2&gt;=3,$U$20/$D$2-(U11-U10),"")</f>
        <v/>
      </c>
      <c r="V26" s="55" t="str">
        <f>IF($D$2&gt;=3,$V$20/$D$2-(V11-V10),"")</f>
        <v/>
      </c>
      <c r="W26" s="53" t="str">
        <f>IF($D$2&gt;=3,$W$20/$D$2-(W11-W10),"")</f>
        <v/>
      </c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</row>
    <row r="27" spans="1:48" ht="16.5" customHeight="1" thickBot="1">
      <c r="A27" s="120"/>
      <c r="B27" s="109"/>
      <c r="C27" s="109"/>
      <c r="D27" s="109"/>
      <c r="E27" s="109"/>
      <c r="F27" s="19"/>
      <c r="G27" s="157"/>
      <c r="H27" s="117" t="str">
        <f>IF(B11=FALSE,"70% rebuild","85% rebuild")</f>
        <v>70% rebuild</v>
      </c>
      <c r="I27" s="111">
        <f>IF(B11=FALSE,70,85)</f>
        <v>70</v>
      </c>
      <c r="J27" s="112"/>
      <c r="K27" s="75"/>
      <c r="L27" s="74">
        <f>I19*2000+I20*1500+I21*6000+I22*20000+I23*2000+I24*50000+I25*10000+I26*50000</f>
        <v>0</v>
      </c>
      <c r="M27" s="73">
        <f>I18*2000+I20*500+I21*2000+I22*15000+I23*6000+I24*50000+I25*10000+I26*50000</f>
        <v>0</v>
      </c>
      <c r="N27" s="75">
        <f>I18*500+I22*2000+I24*30000</f>
        <v>0</v>
      </c>
      <c r="O27" s="61"/>
      <c r="P27" s="94"/>
      <c r="Q27" s="95"/>
      <c r="R27" s="143" t="str">
        <f>IF($S$13="","",$S$13)</f>
        <v/>
      </c>
      <c r="S27" s="143"/>
      <c r="T27" s="144"/>
      <c r="U27" s="53" t="str">
        <f>IF($D$2&gt;=4,$U$20/$D$2-(U14-U13),"")</f>
        <v/>
      </c>
      <c r="V27" s="56" t="str">
        <f>IF($D$2&gt;=4,$V$20/$D$2-(V14-V13),"")</f>
        <v/>
      </c>
      <c r="W27" s="53" t="str">
        <f>IF($D$2&gt;=4,$W$20/$D$2-(W14-W13),"")</f>
        <v/>
      </c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</row>
    <row r="28" spans="1:48" ht="16.5" customHeight="1" thickBot="1">
      <c r="A28" s="120"/>
      <c r="B28" s="110"/>
      <c r="C28" s="103"/>
      <c r="D28" s="103"/>
      <c r="E28" s="103"/>
      <c r="F28" s="19"/>
      <c r="G28" s="19"/>
      <c r="H28" s="35"/>
      <c r="I28" s="36"/>
      <c r="J28" s="36"/>
      <c r="K28" s="36"/>
      <c r="L28" s="84">
        <f>L17+L27</f>
        <v>0</v>
      </c>
      <c r="M28" s="84">
        <f>M17+M27</f>
        <v>0</v>
      </c>
      <c r="N28" s="85">
        <f>N17+N27</f>
        <v>0</v>
      </c>
      <c r="O28" s="32"/>
      <c r="P28" s="19"/>
      <c r="Q28" s="19"/>
      <c r="R28" s="143" t="str">
        <f>IF($S$16="","",$S$16)</f>
        <v/>
      </c>
      <c r="S28" s="143"/>
      <c r="T28" s="144"/>
      <c r="U28" s="53" t="str">
        <f>IF($D$2&gt;=5,$U$20/$D$2-(U17-U16),"")</f>
        <v/>
      </c>
      <c r="V28" s="56" t="str">
        <f>IF($D$2&gt;=5,$V$20/$D$2-(V17-V16),"")</f>
        <v/>
      </c>
      <c r="W28" s="53" t="str">
        <f>IF($D$2&gt;=5,$W$20/$D$2-(W17-W16),"")</f>
        <v/>
      </c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</row>
    <row r="29" spans="1:48" ht="16.5" customHeight="1" thickBot="1">
      <c r="A29" s="120"/>
      <c r="B29" s="110"/>
      <c r="C29" s="104"/>
      <c r="D29" s="104"/>
      <c r="E29" s="104"/>
      <c r="F29" s="19"/>
      <c r="G29" s="154" t="str">
        <f>IF($D$11&gt;1,CONCATENATE($B$13," : ",$C$13),"")</f>
        <v/>
      </c>
      <c r="H29" s="37" t="s">
        <v>27</v>
      </c>
      <c r="I29" s="155" t="str">
        <f>IF(C13="","",C13)</f>
        <v/>
      </c>
      <c r="J29" s="156"/>
      <c r="K29" s="130" t="s">
        <v>31</v>
      </c>
      <c r="L29" s="130"/>
      <c r="M29" s="130"/>
      <c r="N29" s="131"/>
      <c r="O29" s="63" t="s">
        <v>39</v>
      </c>
      <c r="P29" s="19"/>
      <c r="Q29" s="19"/>
      <c r="R29" s="96" t="str">
        <f>IF($C$20="","",$C$20)</f>
        <v/>
      </c>
      <c r="S29" s="96"/>
      <c r="T29" s="97"/>
      <c r="U29" s="40" t="str">
        <f>IF($R$29="","",-C40)</f>
        <v/>
      </c>
      <c r="V29" s="41" t="str">
        <f>IF($R$29="","",-D40)</f>
        <v/>
      </c>
      <c r="W29" s="40" t="str">
        <f>IF($R$29="","",E40)</f>
        <v/>
      </c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</row>
    <row r="30" spans="1:48" ht="16.5" customHeight="1" thickTop="1" thickBot="1">
      <c r="A30" s="120"/>
      <c r="B30" s="110"/>
      <c r="C30" s="105"/>
      <c r="D30" s="105"/>
      <c r="E30" s="105"/>
      <c r="F30" s="19"/>
      <c r="G30" s="154"/>
      <c r="H30" s="38" t="s">
        <v>28</v>
      </c>
      <c r="I30" s="25" t="s">
        <v>29</v>
      </c>
      <c r="J30" s="26" t="s">
        <v>30</v>
      </c>
      <c r="K30" s="25" t="s">
        <v>32</v>
      </c>
      <c r="L30" s="26" t="s">
        <v>11</v>
      </c>
      <c r="M30" s="25" t="s">
        <v>12</v>
      </c>
      <c r="N30" s="27" t="s">
        <v>17</v>
      </c>
      <c r="O30" s="64">
        <f>L44+M44+N44</f>
        <v>0</v>
      </c>
      <c r="P30" s="19"/>
      <c r="Q30" s="19"/>
      <c r="R30" s="98" t="str">
        <f>IF($C$21="","",$C$21)</f>
        <v/>
      </c>
      <c r="S30" s="98"/>
      <c r="T30" s="99"/>
      <c r="U30" s="40" t="str">
        <f>IF($R$30="","",-C41)</f>
        <v/>
      </c>
      <c r="V30" s="41" t="str">
        <f>IF($R$30="","",-D41)</f>
        <v/>
      </c>
      <c r="W30" s="40" t="str">
        <f>IF($R$30="","",E41)</f>
        <v/>
      </c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</row>
    <row r="31" spans="1:48" ht="16.5" customHeight="1" thickTop="1">
      <c r="A31" s="126" t="s">
        <v>0</v>
      </c>
      <c r="B31" s="110"/>
      <c r="C31" s="106"/>
      <c r="D31" s="106"/>
      <c r="E31" s="106"/>
      <c r="F31" s="19"/>
      <c r="G31" s="154"/>
      <c r="H31" s="121" t="str">
        <f>PROPER(A31)</f>
        <v>Klein Vrachtschip</v>
      </c>
      <c r="I31" s="76"/>
      <c r="J31" s="77"/>
      <c r="K31" s="73" t="str">
        <f>IF(I31="","",I31-J31)</f>
        <v/>
      </c>
      <c r="L31" s="74" t="str">
        <f>IF(K31="","",K31*2000)</f>
        <v/>
      </c>
      <c r="M31" s="73" t="str">
        <f>IF(K31="","",K31*2000)</f>
        <v/>
      </c>
      <c r="N31" s="75" t="str">
        <f>IF(K31="","",K31*0)</f>
        <v/>
      </c>
      <c r="O31" s="63" t="s">
        <v>40</v>
      </c>
      <c r="P31" s="19"/>
      <c r="Q31" s="19"/>
      <c r="R31" s="98" t="str">
        <f>IF($C$22="","",$C$22)</f>
        <v/>
      </c>
      <c r="S31" s="98"/>
      <c r="T31" s="99"/>
      <c r="U31" s="40" t="str">
        <f>IF($R$31="","",-C42)</f>
        <v/>
      </c>
      <c r="V31" s="41" t="str">
        <f>IF($R$31="","",-D42)</f>
        <v/>
      </c>
      <c r="W31" s="40" t="str">
        <f>IF($R$31="","",E42)</f>
        <v/>
      </c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</row>
    <row r="32" spans="1:48" ht="16.5" customHeight="1">
      <c r="A32" s="126" t="s">
        <v>1</v>
      </c>
      <c r="B32" s="110"/>
      <c r="C32" s="107"/>
      <c r="D32" s="107"/>
      <c r="E32" s="107"/>
      <c r="F32" s="19"/>
      <c r="G32" s="154"/>
      <c r="H32" s="122" t="str">
        <f t="shared" ref="H32:H43" si="13">PROPER(A32)</f>
        <v>Groot Vrachtschip</v>
      </c>
      <c r="I32" s="76"/>
      <c r="J32" s="77"/>
      <c r="K32" s="73" t="str">
        <f t="shared" ref="K32:K43" si="14">IF(I32="","",I32-J32)</f>
        <v/>
      </c>
      <c r="L32" s="74" t="str">
        <f>IF(K32="","",K32*6000)</f>
        <v/>
      </c>
      <c r="M32" s="73" t="str">
        <f>IF(K32="","",K32*6000)</f>
        <v/>
      </c>
      <c r="N32" s="75" t="str">
        <f t="shared" ref="N32:N34" si="15">IF(K32="","",K32*0)</f>
        <v/>
      </c>
      <c r="O32" s="64">
        <f>L44+M44*2+N44*3</f>
        <v>0</v>
      </c>
      <c r="P32" s="19"/>
      <c r="Q32" s="19"/>
      <c r="R32" s="98" t="str">
        <f>IF($C$23="","",$C$23)</f>
        <v/>
      </c>
      <c r="S32" s="98"/>
      <c r="T32" s="99"/>
      <c r="U32" s="40" t="str">
        <f>IF($R$32="","",-C43)</f>
        <v/>
      </c>
      <c r="V32" s="41" t="str">
        <f>IF($R$32="","",-D43)</f>
        <v/>
      </c>
      <c r="W32" s="40" t="str">
        <f>IF($R$32="","",E43)</f>
        <v/>
      </c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</row>
    <row r="33" spans="1:48" ht="16.5" customHeight="1">
      <c r="A33" s="126" t="s">
        <v>2</v>
      </c>
      <c r="B33" s="108"/>
      <c r="C33" s="108"/>
      <c r="D33" s="108"/>
      <c r="E33" s="108"/>
      <c r="F33" s="19"/>
      <c r="G33" s="154"/>
      <c r="H33" s="122" t="str">
        <f t="shared" si="13"/>
        <v>Licht Gevechtschip</v>
      </c>
      <c r="I33" s="76"/>
      <c r="J33" s="77"/>
      <c r="K33" s="73" t="str">
        <f t="shared" si="14"/>
        <v/>
      </c>
      <c r="L33" s="74" t="str">
        <f>IF(K33="","",K33*3000)</f>
        <v/>
      </c>
      <c r="M33" s="73" t="str">
        <f>IF(K33="","",K33*1000)</f>
        <v/>
      </c>
      <c r="N33" s="75" t="str">
        <f t="shared" si="15"/>
        <v/>
      </c>
      <c r="O33" s="63"/>
      <c r="P33" s="19"/>
      <c r="Q33" s="19"/>
      <c r="R33" s="98" t="str">
        <f>IF($C$24="","",$C$24)</f>
        <v/>
      </c>
      <c r="S33" s="98"/>
      <c r="T33" s="99"/>
      <c r="U33" s="40" t="str">
        <f>IF($R$33="","",-C44)</f>
        <v/>
      </c>
      <c r="V33" s="41" t="str">
        <f>IF($R$33="","",-D44)</f>
        <v/>
      </c>
      <c r="W33" s="40" t="str">
        <f>IF($R$33="","",E44)</f>
        <v/>
      </c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</row>
    <row r="34" spans="1:48" ht="16.5" customHeight="1">
      <c r="A34" s="126" t="s">
        <v>3</v>
      </c>
      <c r="B34" s="19" t="s">
        <v>37</v>
      </c>
      <c r="C34" s="19" t="s">
        <v>11</v>
      </c>
      <c r="D34" s="39" t="s">
        <v>12</v>
      </c>
      <c r="E34" s="19" t="s">
        <v>38</v>
      </c>
      <c r="F34" s="19"/>
      <c r="G34" s="154"/>
      <c r="H34" s="122" t="str">
        <f t="shared" si="13"/>
        <v>Zwaar Gevechtschip</v>
      </c>
      <c r="I34" s="76"/>
      <c r="J34" s="77"/>
      <c r="K34" s="73" t="str">
        <f t="shared" si="14"/>
        <v/>
      </c>
      <c r="L34" s="74" t="str">
        <f>IF(K34="","",K34*6000)</f>
        <v/>
      </c>
      <c r="M34" s="73" t="str">
        <f>IF(K34="","",K34*4000)</f>
        <v/>
      </c>
      <c r="N34" s="75" t="str">
        <f t="shared" si="15"/>
        <v/>
      </c>
      <c r="O34" s="63"/>
      <c r="P34" s="19"/>
      <c r="Q34" s="19"/>
      <c r="R34" s="19"/>
      <c r="S34" s="19"/>
      <c r="T34" s="19"/>
      <c r="U34" s="16" t="s">
        <v>47</v>
      </c>
      <c r="V34" s="16"/>
      <c r="W34" s="16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</row>
    <row r="35" spans="1:48" ht="16.5" customHeight="1">
      <c r="A35" s="126" t="s">
        <v>4</v>
      </c>
      <c r="B35" s="32" t="str">
        <f>IF(D11&gt;0,C12,"")</f>
        <v/>
      </c>
      <c r="C35" s="6"/>
      <c r="D35" s="7"/>
      <c r="E35" s="6"/>
      <c r="F35" s="19"/>
      <c r="G35" s="154"/>
      <c r="H35" s="122" t="str">
        <f t="shared" si="13"/>
        <v>Kruiser</v>
      </c>
      <c r="I35" s="76"/>
      <c r="J35" s="77"/>
      <c r="K35" s="73" t="str">
        <f t="shared" si="14"/>
        <v/>
      </c>
      <c r="L35" s="74" t="str">
        <f>IF(K35="","",K35*20000)</f>
        <v/>
      </c>
      <c r="M35" s="73" t="str">
        <f>IF(K35="","",K35*7000)</f>
        <v/>
      </c>
      <c r="N35" s="75" t="str">
        <f>IF(K35="","",K35*2000)</f>
        <v/>
      </c>
      <c r="O35" s="63"/>
      <c r="P35" s="19"/>
      <c r="Q35" s="19"/>
      <c r="R35" s="19"/>
      <c r="S35" s="19"/>
      <c r="T35" s="19"/>
      <c r="U35" s="16" t="s">
        <v>48</v>
      </c>
      <c r="V35" s="16"/>
      <c r="W35" s="16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</row>
    <row r="36" spans="1:48" ht="16.5" customHeight="1">
      <c r="A36" s="126" t="s">
        <v>5</v>
      </c>
      <c r="B36" s="32" t="str">
        <f>IF(D11&gt;1,C13,"")</f>
        <v/>
      </c>
      <c r="C36" s="8"/>
      <c r="D36" s="9"/>
      <c r="E36" s="8"/>
      <c r="F36" s="19"/>
      <c r="G36" s="154"/>
      <c r="H36" s="122" t="str">
        <f t="shared" si="13"/>
        <v>Slagschip</v>
      </c>
      <c r="I36" s="76"/>
      <c r="J36" s="77"/>
      <c r="K36" s="73" t="str">
        <f t="shared" si="14"/>
        <v/>
      </c>
      <c r="L36" s="74" t="str">
        <f>IF(K36="","",K36*45000)</f>
        <v/>
      </c>
      <c r="M36" s="73" t="str">
        <f>IF(K36="","",K36*15000)</f>
        <v/>
      </c>
      <c r="N36" s="75" t="str">
        <f t="shared" ref="N36" si="16">IF(K36="","",K36*0)</f>
        <v/>
      </c>
      <c r="O36" s="63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</row>
    <row r="37" spans="1:48" ht="16.5" customHeight="1" thickBot="1">
      <c r="A37" s="126" t="s">
        <v>6</v>
      </c>
      <c r="B37" s="32" t="str">
        <f>IF(D11&gt;2,C14,"")</f>
        <v/>
      </c>
      <c r="C37" s="10"/>
      <c r="D37" s="11"/>
      <c r="E37" s="10"/>
      <c r="F37" s="19"/>
      <c r="G37" s="154"/>
      <c r="H37" s="122" t="str">
        <f t="shared" si="13"/>
        <v>Kolonisatie Schip</v>
      </c>
      <c r="I37" s="76"/>
      <c r="J37" s="77"/>
      <c r="K37" s="73" t="str">
        <f t="shared" si="14"/>
        <v/>
      </c>
      <c r="L37" s="74" t="str">
        <f>IF(K37="","",K37*10000)</f>
        <v/>
      </c>
      <c r="M37" s="73" t="str">
        <f>IF(K37="","",K37*20000)</f>
        <v/>
      </c>
      <c r="N37" s="75" t="str">
        <f>IF(K37="","",K37*10000)</f>
        <v/>
      </c>
      <c r="O37" s="63"/>
      <c r="P37" s="19"/>
      <c r="Q37" s="19"/>
      <c r="R37" s="140" t="s">
        <v>46</v>
      </c>
      <c r="S37" s="140"/>
      <c r="T37" s="140"/>
      <c r="U37" s="19" t="s">
        <v>11</v>
      </c>
      <c r="V37" s="39" t="s">
        <v>12</v>
      </c>
      <c r="W37" s="19" t="s">
        <v>17</v>
      </c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</row>
    <row r="38" spans="1:48" ht="16.5" customHeight="1" thickTop="1" thickBot="1">
      <c r="A38" s="126" t="s">
        <v>7</v>
      </c>
      <c r="B38" s="32" t="str">
        <f>IF(D11&gt;3,C15,"")</f>
        <v/>
      </c>
      <c r="C38" s="12"/>
      <c r="D38" s="13"/>
      <c r="E38" s="12"/>
      <c r="F38" s="19"/>
      <c r="G38" s="154"/>
      <c r="H38" s="122" t="str">
        <f t="shared" si="13"/>
        <v>Recycler</v>
      </c>
      <c r="I38" s="76"/>
      <c r="J38" s="77"/>
      <c r="K38" s="73" t="str">
        <f t="shared" si="14"/>
        <v/>
      </c>
      <c r="L38" s="74" t="str">
        <f>IF(K38="","",K38*10000)</f>
        <v/>
      </c>
      <c r="M38" s="73" t="str">
        <f>IF(K38="","",K38*6000)</f>
        <v/>
      </c>
      <c r="N38" s="75" t="str">
        <f>IF(K38="","",K38*2000)</f>
        <v/>
      </c>
      <c r="O38" s="63"/>
      <c r="P38" s="19"/>
      <c r="Q38" s="19"/>
      <c r="R38" s="141" t="str">
        <f>IF($S$4="","",$S$4)</f>
        <v/>
      </c>
      <c r="S38" s="141"/>
      <c r="T38" s="142"/>
      <c r="U38" s="53" t="str">
        <f>IF(O3&gt;0,$U$20*E12/100-(U5-U4),"")</f>
        <v/>
      </c>
      <c r="V38" s="54" t="str">
        <f>IF(O3&gt;0,$V$20*E12/100-(V5-V4),"")</f>
        <v/>
      </c>
      <c r="W38" s="53" t="str">
        <f>IF(O3&gt;0,$W$20*E3/100-(W5-W4),"")</f>
        <v/>
      </c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</row>
    <row r="39" spans="1:48" ht="16.5" customHeight="1" thickBot="1">
      <c r="A39" s="126" t="s">
        <v>8</v>
      </c>
      <c r="B39" s="32" t="str">
        <f>IF(D11&gt;4,C16,"")</f>
        <v/>
      </c>
      <c r="C39" s="14"/>
      <c r="D39" s="15"/>
      <c r="E39" s="14"/>
      <c r="F39" s="19"/>
      <c r="G39" s="154"/>
      <c r="H39" s="122" t="str">
        <f t="shared" si="13"/>
        <v>Spionage Sonde</v>
      </c>
      <c r="I39" s="76"/>
      <c r="J39" s="77"/>
      <c r="K39" s="73" t="str">
        <f t="shared" si="14"/>
        <v/>
      </c>
      <c r="L39" s="74" t="str">
        <f>IF(K39="","",K39*0)</f>
        <v/>
      </c>
      <c r="M39" s="73" t="str">
        <f>IF(K39="","",K39*1000)</f>
        <v/>
      </c>
      <c r="N39" s="75" t="str">
        <f t="shared" ref="N39" si="17">IF(K39="","",K39*0)</f>
        <v/>
      </c>
      <c r="O39" s="63"/>
      <c r="P39" s="19"/>
      <c r="Q39" s="19"/>
      <c r="R39" s="143" t="str">
        <f>IF($S$7="","",$S$7)</f>
        <v/>
      </c>
      <c r="S39" s="143"/>
      <c r="T39" s="144"/>
      <c r="U39" s="53" t="str">
        <f>IF(O30&gt;0,$U$20*E13/100-(U8-U7),"")</f>
        <v/>
      </c>
      <c r="V39" s="54" t="str">
        <f>IF(O30&gt;0,$V$20*E13/100-(V8-V7),"")</f>
        <v/>
      </c>
      <c r="W39" s="53" t="str">
        <f>IF(O30&gt;0,$W$20*E4/100-(W8-W7),"")</f>
        <v/>
      </c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</row>
    <row r="40" spans="1:48" ht="16.5" customHeight="1" thickBot="1">
      <c r="A40" s="126" t="s">
        <v>9</v>
      </c>
      <c r="B40" s="32" t="str">
        <f>IF(C20="","",C20)</f>
        <v/>
      </c>
      <c r="C40" s="17"/>
      <c r="D40" s="18"/>
      <c r="E40" s="17"/>
      <c r="F40" s="19"/>
      <c r="G40" s="154"/>
      <c r="H40" s="122" t="str">
        <f t="shared" si="13"/>
        <v>Bommenwerper</v>
      </c>
      <c r="I40" s="76"/>
      <c r="J40" s="77"/>
      <c r="K40" s="73" t="str">
        <f t="shared" si="14"/>
        <v/>
      </c>
      <c r="L40" s="74" t="str">
        <f>IF(K40="","",K40*50000)</f>
        <v/>
      </c>
      <c r="M40" s="73" t="str">
        <f>IF(K40="","",K40*25000)</f>
        <v/>
      </c>
      <c r="N40" s="75" t="str">
        <f>IF(K40="","",K40*15000)</f>
        <v/>
      </c>
      <c r="O40" s="63"/>
      <c r="P40" s="19"/>
      <c r="Q40" s="19"/>
      <c r="R40" s="143" t="str">
        <f>IF($S$10="","",$S$10)</f>
        <v/>
      </c>
      <c r="S40" s="143"/>
      <c r="T40" s="144"/>
      <c r="U40" s="53" t="str">
        <f>IF(O46&gt;0,$U$20*E14/100-(U11-U10),"")</f>
        <v/>
      </c>
      <c r="V40" s="54" t="str">
        <f>IF(O46&gt;0,$V$20*E14/100-(V11-V10),"")</f>
        <v/>
      </c>
      <c r="W40" s="53" t="str">
        <f>IF(O46&gt;0,$W$20*E5/100-(W11-W10),"")</f>
        <v/>
      </c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</row>
    <row r="41" spans="1:48" ht="16.5" customHeight="1" thickBot="1">
      <c r="A41" s="126" t="s">
        <v>10</v>
      </c>
      <c r="B41" s="32" t="str">
        <f t="shared" ref="B41:B44" si="18">IF(C21="","",C21)</f>
        <v/>
      </c>
      <c r="C41" s="17"/>
      <c r="D41" s="18"/>
      <c r="E41" s="17"/>
      <c r="F41" s="19"/>
      <c r="G41" s="154"/>
      <c r="H41" s="122" t="str">
        <f t="shared" si="13"/>
        <v>Vernietiger</v>
      </c>
      <c r="I41" s="76"/>
      <c r="J41" s="77"/>
      <c r="K41" s="73" t="str">
        <f t="shared" si="14"/>
        <v/>
      </c>
      <c r="L41" s="74" t="str">
        <f>IF(K41="","",K41*60000)</f>
        <v/>
      </c>
      <c r="M41" s="73" t="str">
        <f>IF(K41="","",K41*50000)</f>
        <v/>
      </c>
      <c r="N41" s="75" t="str">
        <f>IF(K41="","",K41*15000)</f>
        <v/>
      </c>
      <c r="O41" s="63"/>
      <c r="P41" s="19"/>
      <c r="Q41" s="19"/>
      <c r="R41" s="143" t="str">
        <f>IF($S$13="","",$S$13)</f>
        <v/>
      </c>
      <c r="S41" s="143"/>
      <c r="T41" s="144"/>
      <c r="U41" s="53" t="str">
        <f>IF(O62&gt;0,$U$20*E15/100-(U14-U13),"")</f>
        <v/>
      </c>
      <c r="V41" s="54" t="str">
        <f>IF(O62&gt;0,$V$20*E15/100-(V14-V13),"")</f>
        <v/>
      </c>
      <c r="W41" s="53" t="str">
        <f>IF(O62&gt;0,$W$20*E6/100-(W14-W13),"")</f>
        <v/>
      </c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</row>
    <row r="42" spans="1:48" ht="16.5" customHeight="1" thickBot="1">
      <c r="A42" s="126" t="s">
        <v>18</v>
      </c>
      <c r="B42" s="32" t="str">
        <f t="shared" si="18"/>
        <v/>
      </c>
      <c r="C42" s="17"/>
      <c r="D42" s="18"/>
      <c r="E42" s="17"/>
      <c r="F42" s="19"/>
      <c r="G42" s="154"/>
      <c r="H42" s="122" t="str">
        <f t="shared" si="13"/>
        <v>Rip</v>
      </c>
      <c r="I42" s="76"/>
      <c r="J42" s="77"/>
      <c r="K42" s="73" t="str">
        <f t="shared" si="14"/>
        <v/>
      </c>
      <c r="L42" s="74" t="str">
        <f>IF(K42="","",K42*5000000)</f>
        <v/>
      </c>
      <c r="M42" s="73" t="str">
        <f>IF(K42="","",K42*4000000)</f>
        <v/>
      </c>
      <c r="N42" s="75" t="str">
        <f>IF(K42="","",K42*1000000)</f>
        <v/>
      </c>
      <c r="O42" s="63"/>
      <c r="P42" s="19"/>
      <c r="Q42" s="19"/>
      <c r="R42" s="143" t="str">
        <f>IF($S$16="","",$S$16)</f>
        <v/>
      </c>
      <c r="S42" s="143"/>
      <c r="T42" s="144"/>
      <c r="U42" s="53" t="str">
        <f>IF(O78&gt;0,$U$20*E16/100-(U17-U16),"")</f>
        <v/>
      </c>
      <c r="V42" s="54" t="str">
        <f>IF(O78&gt;0,$V$20*E16/100-(V17-V16),"")</f>
        <v/>
      </c>
      <c r="W42" s="53" t="str">
        <f>IF(O78&gt;0,$W$20*E7/100-(W17-W16),"")</f>
        <v/>
      </c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</row>
    <row r="43" spans="1:48" ht="16.5" customHeight="1">
      <c r="A43" s="126" t="s">
        <v>16</v>
      </c>
      <c r="B43" s="32" t="str">
        <f t="shared" si="18"/>
        <v/>
      </c>
      <c r="C43" s="17"/>
      <c r="D43" s="18"/>
      <c r="E43" s="17"/>
      <c r="F43" s="19"/>
      <c r="G43" s="154"/>
      <c r="H43" s="122" t="str">
        <f t="shared" si="13"/>
        <v>Interceptor</v>
      </c>
      <c r="I43" s="76"/>
      <c r="J43" s="77"/>
      <c r="K43" s="73" t="str">
        <f t="shared" si="14"/>
        <v/>
      </c>
      <c r="L43" s="74" t="str">
        <f>IF(K43="","",K43*30000)</f>
        <v/>
      </c>
      <c r="M43" s="73" t="str">
        <f>IF(K43="","",K43*40000)</f>
        <v/>
      </c>
      <c r="N43" s="75" t="str">
        <f>IF(K43="","",K43*15000)</f>
        <v/>
      </c>
      <c r="O43" s="63"/>
      <c r="P43" s="19"/>
      <c r="Q43" s="19"/>
      <c r="R43" s="145" t="str">
        <f>IF($C$20="","",$C$20)</f>
        <v/>
      </c>
      <c r="S43" s="145"/>
      <c r="T43" s="146"/>
      <c r="U43" s="43" t="str">
        <f>IF($R$29="","",-C40)</f>
        <v/>
      </c>
      <c r="V43" s="44" t="str">
        <f>IF($R$29="","",-D40)</f>
        <v/>
      </c>
      <c r="W43" s="43" t="str">
        <f>IF($R$29="","",E40)</f>
        <v/>
      </c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19"/>
      <c r="AV43" s="19"/>
    </row>
    <row r="44" spans="1:48" ht="16.5" customHeight="1" thickBot="1">
      <c r="A44" s="120"/>
      <c r="B44" s="32" t="str">
        <f t="shared" si="18"/>
        <v/>
      </c>
      <c r="C44" s="17"/>
      <c r="D44" s="18"/>
      <c r="E44" s="17"/>
      <c r="F44" s="19"/>
      <c r="G44" s="19"/>
      <c r="H44" s="35"/>
      <c r="I44" s="36"/>
      <c r="J44" s="36"/>
      <c r="K44" s="36"/>
      <c r="L44" s="84">
        <f>I31*2000+I32*6000+I33*3000+I34*6000+I35*20000+I36*45000+I37*10000+I38*10000+I40*50000+I41*60000+I42*5000000+I43*30000</f>
        <v>0</v>
      </c>
      <c r="M44" s="84">
        <f>I31*2000+I32*6000+I33*1000+I34*4000+I35*7000+I36*15000+I37*20000+I38*6000+I39*1000+I40*25000+I41*50000+I42*4000000+I43*40000</f>
        <v>0</v>
      </c>
      <c r="N44" s="85">
        <f>I35*2000+I37*10000+I38*2000+I40*15000+I41*15000+I42*1000000+I43*15000</f>
        <v>0</v>
      </c>
      <c r="O44" s="32"/>
      <c r="P44" s="19"/>
      <c r="Q44" s="19"/>
      <c r="R44" s="135" t="str">
        <f>IF($C$21="","",$C$21)</f>
        <v/>
      </c>
      <c r="S44" s="135"/>
      <c r="T44" s="136"/>
      <c r="U44" s="43" t="str">
        <f>IF($R$30="","",-C41)</f>
        <v/>
      </c>
      <c r="V44" s="44" t="str">
        <f>IF($R$30="","",-D41)</f>
        <v/>
      </c>
      <c r="W44" s="43" t="str">
        <f>IF($R$30="","",E41)</f>
        <v/>
      </c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</row>
    <row r="45" spans="1:48" ht="16.5" customHeight="1" thickBot="1">
      <c r="A45" s="120"/>
      <c r="B45" s="19"/>
      <c r="C45" s="19"/>
      <c r="D45" s="19"/>
      <c r="E45" s="19"/>
      <c r="F45" s="19"/>
      <c r="G45" s="137" t="str">
        <f>IF($D$11&gt;2,CONCATENATE($B$14," : ",$C$14),"")</f>
        <v/>
      </c>
      <c r="H45" s="37" t="s">
        <v>27</v>
      </c>
      <c r="I45" s="138" t="str">
        <f>IF(C14="","",C14)</f>
        <v/>
      </c>
      <c r="J45" s="139"/>
      <c r="K45" s="130" t="s">
        <v>31</v>
      </c>
      <c r="L45" s="130"/>
      <c r="M45" s="130"/>
      <c r="N45" s="131"/>
      <c r="O45" s="65" t="s">
        <v>39</v>
      </c>
      <c r="P45" s="19"/>
      <c r="Q45" s="19"/>
      <c r="R45" s="135" t="str">
        <f>IF($C$22="","",$C$22)</f>
        <v/>
      </c>
      <c r="S45" s="135"/>
      <c r="T45" s="136"/>
      <c r="U45" s="43" t="str">
        <f>IF($R$31="","",-C42)</f>
        <v/>
      </c>
      <c r="V45" s="44" t="str">
        <f>IF($R$31="","",-D42)</f>
        <v/>
      </c>
      <c r="W45" s="43" t="str">
        <f>IF($R$31="","",E42)</f>
        <v/>
      </c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19"/>
      <c r="AT45" s="19"/>
      <c r="AU45" s="19"/>
      <c r="AV45" s="19"/>
    </row>
    <row r="46" spans="1:48" ht="16.5" customHeight="1" thickTop="1" thickBot="1">
      <c r="A46" s="120"/>
      <c r="B46" s="19"/>
      <c r="C46" s="19"/>
      <c r="D46" s="19"/>
      <c r="E46" s="19"/>
      <c r="F46" s="42">
        <f t="shared" ref="F46:F55" si="19">IF(E35&lt;0,SQRT(SUMSQ(E35)),E35)</f>
        <v>0</v>
      </c>
      <c r="G46" s="137"/>
      <c r="H46" s="38" t="s">
        <v>28</v>
      </c>
      <c r="I46" s="25" t="s">
        <v>29</v>
      </c>
      <c r="J46" s="26" t="s">
        <v>30</v>
      </c>
      <c r="K46" s="25" t="s">
        <v>32</v>
      </c>
      <c r="L46" s="26" t="s">
        <v>11</v>
      </c>
      <c r="M46" s="25" t="s">
        <v>12</v>
      </c>
      <c r="N46" s="27" t="s">
        <v>17</v>
      </c>
      <c r="O46" s="66">
        <f>L60+M60+N60</f>
        <v>0</v>
      </c>
      <c r="P46" s="19"/>
      <c r="Q46" s="19"/>
      <c r="R46" s="135" t="str">
        <f>IF($C$23="","",$C$23)</f>
        <v/>
      </c>
      <c r="S46" s="135"/>
      <c r="T46" s="136"/>
      <c r="U46" s="43" t="str">
        <f>IF($R$32="","",-C43)</f>
        <v/>
      </c>
      <c r="V46" s="44" t="str">
        <f>IF($R$32="","",-D43)</f>
        <v/>
      </c>
      <c r="W46" s="43" t="str">
        <f>IF($R$32="","",E43)</f>
        <v/>
      </c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19"/>
      <c r="AT46" s="19"/>
      <c r="AU46" s="19"/>
      <c r="AV46" s="19"/>
    </row>
    <row r="47" spans="1:48" ht="16.5" customHeight="1" thickTop="1">
      <c r="A47" s="126" t="s">
        <v>0</v>
      </c>
      <c r="B47" s="19"/>
      <c r="C47" s="19"/>
      <c r="D47" s="19"/>
      <c r="E47" s="19"/>
      <c r="F47" s="42">
        <f t="shared" si="19"/>
        <v>0</v>
      </c>
      <c r="G47" s="137"/>
      <c r="H47" s="121" t="str">
        <f>PROPER(A47)</f>
        <v>Klein Vrachtschip</v>
      </c>
      <c r="I47" s="78"/>
      <c r="J47" s="79"/>
      <c r="K47" s="73" t="str">
        <f>IF(I47="","",I47-J47)</f>
        <v/>
      </c>
      <c r="L47" s="74" t="str">
        <f>IF(K47="","",K47*2000)</f>
        <v/>
      </c>
      <c r="M47" s="73" t="str">
        <f>IF(K47="","",K47*2000)</f>
        <v/>
      </c>
      <c r="N47" s="75" t="str">
        <f>IF(K47="","",K47*0)</f>
        <v/>
      </c>
      <c r="O47" s="65" t="s">
        <v>40</v>
      </c>
      <c r="P47" s="19"/>
      <c r="Q47" s="19"/>
      <c r="R47" s="135" t="str">
        <f>IF($C$24="","",$C$24)</f>
        <v/>
      </c>
      <c r="S47" s="135"/>
      <c r="T47" s="136"/>
      <c r="U47" s="43" t="str">
        <f>IF($R$33="","",-C44)</f>
        <v/>
      </c>
      <c r="V47" s="44" t="str">
        <f>IF($R$33="","",-D44)</f>
        <v/>
      </c>
      <c r="W47" s="43" t="str">
        <f>IF($R$33="","",E44)</f>
        <v/>
      </c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19"/>
      <c r="AT47" s="19"/>
      <c r="AU47" s="19"/>
      <c r="AV47" s="19"/>
    </row>
    <row r="48" spans="1:48" ht="16.5" customHeight="1">
      <c r="A48" s="126" t="s">
        <v>1</v>
      </c>
      <c r="B48" s="19"/>
      <c r="C48" s="19"/>
      <c r="D48" s="19"/>
      <c r="E48" s="19"/>
      <c r="F48" s="42">
        <f t="shared" si="19"/>
        <v>0</v>
      </c>
      <c r="G48" s="137"/>
      <c r="H48" s="122" t="str">
        <f t="shared" ref="H48:H59" si="20">PROPER(A48)</f>
        <v>Groot Vrachtschip</v>
      </c>
      <c r="I48" s="78"/>
      <c r="J48" s="79"/>
      <c r="K48" s="73" t="str">
        <f t="shared" ref="K48:K59" si="21">IF(I48="","",I48-J48)</f>
        <v/>
      </c>
      <c r="L48" s="74" t="str">
        <f>IF(K48="","",K48*6000)</f>
        <v/>
      </c>
      <c r="M48" s="73" t="str">
        <f>IF(K48="","",K48*6000)</f>
        <v/>
      </c>
      <c r="N48" s="75" t="str">
        <f t="shared" ref="N48:N50" si="22">IF(K48="","",K48*0)</f>
        <v/>
      </c>
      <c r="O48" s="66">
        <f>L60+M60*2+N60*3</f>
        <v>0</v>
      </c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19"/>
      <c r="AT48" s="19"/>
      <c r="AU48" s="19"/>
      <c r="AV48" s="19"/>
    </row>
    <row r="49" spans="1:48" ht="16.5" customHeight="1">
      <c r="A49" s="126" t="s">
        <v>2</v>
      </c>
      <c r="B49" s="19"/>
      <c r="C49" s="19"/>
      <c r="D49" s="19"/>
      <c r="E49" s="19"/>
      <c r="F49" s="42">
        <f t="shared" si="19"/>
        <v>0</v>
      </c>
      <c r="G49" s="137"/>
      <c r="H49" s="122" t="str">
        <f t="shared" si="20"/>
        <v>Licht Gevechtschip</v>
      </c>
      <c r="I49" s="78"/>
      <c r="J49" s="79"/>
      <c r="K49" s="73" t="str">
        <f t="shared" si="21"/>
        <v/>
      </c>
      <c r="L49" s="74" t="str">
        <f>IF(K49="","",K49*3000)</f>
        <v/>
      </c>
      <c r="M49" s="73" t="str">
        <f>IF(K49="","",K49*1000)</f>
        <v/>
      </c>
      <c r="N49" s="75" t="str">
        <f t="shared" si="22"/>
        <v/>
      </c>
      <c r="O49" s="65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19"/>
      <c r="AT49" s="19"/>
      <c r="AU49" s="19"/>
      <c r="AV49" s="19"/>
    </row>
    <row r="50" spans="1:48" ht="16.5" customHeight="1">
      <c r="A50" s="126" t="s">
        <v>3</v>
      </c>
      <c r="B50" s="19"/>
      <c r="C50" s="19"/>
      <c r="D50" s="19"/>
      <c r="E50" s="19"/>
      <c r="F50" s="42">
        <f t="shared" si="19"/>
        <v>0</v>
      </c>
      <c r="G50" s="137"/>
      <c r="H50" s="122" t="str">
        <f t="shared" si="20"/>
        <v>Zwaar Gevechtschip</v>
      </c>
      <c r="I50" s="78"/>
      <c r="J50" s="79"/>
      <c r="K50" s="73" t="str">
        <f t="shared" si="21"/>
        <v/>
      </c>
      <c r="L50" s="74" t="str">
        <f>IF(K50="","",K50*6000)</f>
        <v/>
      </c>
      <c r="M50" s="73" t="str">
        <f>IF(K50="","",K50*4000)</f>
        <v/>
      </c>
      <c r="N50" s="75" t="str">
        <f t="shared" si="22"/>
        <v/>
      </c>
      <c r="O50" s="65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19"/>
      <c r="AT50" s="19"/>
      <c r="AU50" s="19"/>
      <c r="AV50" s="19"/>
    </row>
    <row r="51" spans="1:48" ht="16.5" customHeight="1">
      <c r="A51" s="126" t="s">
        <v>4</v>
      </c>
      <c r="B51" s="19"/>
      <c r="C51" s="19"/>
      <c r="D51" s="19"/>
      <c r="E51" s="19"/>
      <c r="F51" s="42">
        <f t="shared" si="19"/>
        <v>0</v>
      </c>
      <c r="G51" s="137"/>
      <c r="H51" s="122" t="str">
        <f t="shared" si="20"/>
        <v>Kruiser</v>
      </c>
      <c r="I51" s="78"/>
      <c r="J51" s="79"/>
      <c r="K51" s="73" t="str">
        <f t="shared" si="21"/>
        <v/>
      </c>
      <c r="L51" s="74" t="str">
        <f>IF(K51="","",K51*20000)</f>
        <v/>
      </c>
      <c r="M51" s="73" t="str">
        <f>IF(K51="","",K51*7000)</f>
        <v/>
      </c>
      <c r="N51" s="75" t="str">
        <f>IF(K51="","",K51*2000)</f>
        <v/>
      </c>
      <c r="O51" s="65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19"/>
      <c r="AT51" s="19"/>
      <c r="AU51" s="19"/>
      <c r="AV51" s="19"/>
    </row>
    <row r="52" spans="1:48" ht="16.5" customHeight="1">
      <c r="A52" s="126" t="s">
        <v>5</v>
      </c>
      <c r="B52" s="19"/>
      <c r="C52" s="19"/>
      <c r="D52" s="19"/>
      <c r="E52" s="19"/>
      <c r="F52" s="42">
        <f t="shared" si="19"/>
        <v>0</v>
      </c>
      <c r="G52" s="137"/>
      <c r="H52" s="122" t="str">
        <f t="shared" si="20"/>
        <v>Slagschip</v>
      </c>
      <c r="I52" s="78"/>
      <c r="J52" s="79"/>
      <c r="K52" s="73" t="str">
        <f t="shared" si="21"/>
        <v/>
      </c>
      <c r="L52" s="74" t="str">
        <f>IF(K52="","",K52*45000)</f>
        <v/>
      </c>
      <c r="M52" s="73" t="str">
        <f>IF(K52="","",K52*15000)</f>
        <v/>
      </c>
      <c r="N52" s="75" t="str">
        <f t="shared" ref="N52" si="23">IF(K52="","",K52*0)</f>
        <v/>
      </c>
      <c r="O52" s="65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  <c r="AQ52" s="19"/>
      <c r="AR52" s="19"/>
      <c r="AS52" s="19"/>
      <c r="AT52" s="19"/>
      <c r="AU52" s="19"/>
      <c r="AV52" s="19"/>
    </row>
    <row r="53" spans="1:48" ht="16.5" customHeight="1">
      <c r="A53" s="126" t="s">
        <v>6</v>
      </c>
      <c r="B53" s="19"/>
      <c r="C53" s="19"/>
      <c r="D53" s="19"/>
      <c r="E53" s="19"/>
      <c r="F53" s="42">
        <f t="shared" si="19"/>
        <v>0</v>
      </c>
      <c r="G53" s="137"/>
      <c r="H53" s="122" t="str">
        <f t="shared" si="20"/>
        <v>Kolonisatie Schip</v>
      </c>
      <c r="I53" s="78"/>
      <c r="J53" s="79"/>
      <c r="K53" s="73" t="str">
        <f t="shared" si="21"/>
        <v/>
      </c>
      <c r="L53" s="74" t="str">
        <f>IF(K53="","",K53*10000)</f>
        <v/>
      </c>
      <c r="M53" s="73" t="str">
        <f>IF(K53="","",K53*20000)</f>
        <v/>
      </c>
      <c r="N53" s="75" t="str">
        <f>IF(K53="","",K53*10000)</f>
        <v/>
      </c>
      <c r="O53" s="65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M53" s="19"/>
      <c r="AN53" s="19"/>
      <c r="AO53" s="19"/>
      <c r="AP53" s="19"/>
      <c r="AQ53" s="19"/>
      <c r="AR53" s="19"/>
      <c r="AS53" s="19"/>
      <c r="AT53" s="19"/>
      <c r="AU53" s="19"/>
      <c r="AV53" s="19"/>
    </row>
    <row r="54" spans="1:48" ht="16.5" customHeight="1">
      <c r="A54" s="126" t="s">
        <v>7</v>
      </c>
      <c r="B54" s="19"/>
      <c r="C54" s="19"/>
      <c r="D54" s="19"/>
      <c r="E54" s="19"/>
      <c r="F54" s="42">
        <f t="shared" si="19"/>
        <v>0</v>
      </c>
      <c r="G54" s="137"/>
      <c r="H54" s="122" t="str">
        <f t="shared" si="20"/>
        <v>Recycler</v>
      </c>
      <c r="I54" s="78"/>
      <c r="J54" s="79"/>
      <c r="K54" s="73" t="str">
        <f t="shared" si="21"/>
        <v/>
      </c>
      <c r="L54" s="74" t="str">
        <f>IF(K54="","",K54*10000)</f>
        <v/>
      </c>
      <c r="M54" s="73" t="str">
        <f>IF(K54="","",K54*6000)</f>
        <v/>
      </c>
      <c r="N54" s="75" t="str">
        <f>IF(K54="","",K54*2000)</f>
        <v/>
      </c>
      <c r="O54" s="65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19"/>
      <c r="AQ54" s="19"/>
      <c r="AR54" s="19"/>
      <c r="AS54" s="19"/>
      <c r="AT54" s="19"/>
      <c r="AU54" s="19"/>
      <c r="AV54" s="19"/>
    </row>
    <row r="55" spans="1:48" ht="16.5" customHeight="1">
      <c r="A55" s="126" t="s">
        <v>8</v>
      </c>
      <c r="B55" s="19"/>
      <c r="C55" s="19"/>
      <c r="D55" s="19"/>
      <c r="E55" s="19"/>
      <c r="F55" s="42">
        <f t="shared" si="19"/>
        <v>0</v>
      </c>
      <c r="G55" s="137"/>
      <c r="H55" s="122" t="str">
        <f t="shared" si="20"/>
        <v>Spionage Sonde</v>
      </c>
      <c r="I55" s="78"/>
      <c r="J55" s="79"/>
      <c r="K55" s="73" t="str">
        <f t="shared" si="21"/>
        <v/>
      </c>
      <c r="L55" s="74" t="str">
        <f>IF(K55="","",K55*0)</f>
        <v/>
      </c>
      <c r="M55" s="73" t="str">
        <f>IF(K55="","",K55*1000)</f>
        <v/>
      </c>
      <c r="N55" s="75" t="str">
        <f t="shared" ref="N55" si="24">IF(K55="","",K55*0)</f>
        <v/>
      </c>
      <c r="O55" s="65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  <c r="AH55" s="19"/>
      <c r="AI55" s="19"/>
      <c r="AJ55" s="19"/>
      <c r="AK55" s="19"/>
      <c r="AL55" s="19"/>
      <c r="AM55" s="19"/>
      <c r="AN55" s="19"/>
      <c r="AO55" s="19"/>
      <c r="AP55" s="19"/>
      <c r="AQ55" s="19"/>
      <c r="AR55" s="19"/>
      <c r="AS55" s="19"/>
      <c r="AT55" s="19"/>
      <c r="AU55" s="19"/>
      <c r="AV55" s="19"/>
    </row>
    <row r="56" spans="1:48" ht="16.5" customHeight="1">
      <c r="A56" s="126" t="s">
        <v>9</v>
      </c>
      <c r="B56" s="19"/>
      <c r="C56" s="19"/>
      <c r="D56" s="19"/>
      <c r="E56" s="19"/>
      <c r="F56" s="19"/>
      <c r="G56" s="137"/>
      <c r="H56" s="122" t="str">
        <f t="shared" si="20"/>
        <v>Bommenwerper</v>
      </c>
      <c r="I56" s="78"/>
      <c r="J56" s="79"/>
      <c r="K56" s="73" t="str">
        <f t="shared" si="21"/>
        <v/>
      </c>
      <c r="L56" s="74" t="str">
        <f>IF(K56="","",K56*50000)</f>
        <v/>
      </c>
      <c r="M56" s="73" t="str">
        <f>IF(K56="","",K56*25000)</f>
        <v/>
      </c>
      <c r="N56" s="75" t="str">
        <f>IF(K56="","",K56*15000)</f>
        <v/>
      </c>
      <c r="O56" s="65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19"/>
      <c r="AJ56" s="19"/>
      <c r="AK56" s="19"/>
      <c r="AL56" s="19"/>
      <c r="AM56" s="19"/>
      <c r="AN56" s="19"/>
      <c r="AO56" s="19"/>
      <c r="AP56" s="19"/>
      <c r="AQ56" s="19"/>
      <c r="AR56" s="19"/>
      <c r="AS56" s="19"/>
      <c r="AT56" s="19"/>
      <c r="AU56" s="19"/>
      <c r="AV56" s="19"/>
    </row>
    <row r="57" spans="1:48" ht="16.5" customHeight="1">
      <c r="A57" s="126" t="s">
        <v>10</v>
      </c>
      <c r="B57" s="19"/>
      <c r="C57" s="19"/>
      <c r="D57" s="19"/>
      <c r="E57" s="19"/>
      <c r="F57" s="19"/>
      <c r="G57" s="137"/>
      <c r="H57" s="122" t="str">
        <f t="shared" si="20"/>
        <v>Vernietiger</v>
      </c>
      <c r="I57" s="78"/>
      <c r="J57" s="79"/>
      <c r="K57" s="73" t="str">
        <f t="shared" si="21"/>
        <v/>
      </c>
      <c r="L57" s="74" t="str">
        <f>IF(K57="","",K57*60000)</f>
        <v/>
      </c>
      <c r="M57" s="73" t="str">
        <f>IF(K57="","",K57*50000)</f>
        <v/>
      </c>
      <c r="N57" s="75" t="str">
        <f>IF(K57="","",K57*15000)</f>
        <v/>
      </c>
      <c r="O57" s="65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  <c r="AH57" s="19"/>
      <c r="AI57" s="19"/>
      <c r="AJ57" s="19"/>
      <c r="AK57" s="19"/>
      <c r="AL57" s="19"/>
      <c r="AM57" s="19"/>
      <c r="AN57" s="19"/>
      <c r="AO57" s="19"/>
      <c r="AP57" s="19"/>
      <c r="AQ57" s="19"/>
      <c r="AR57" s="19"/>
      <c r="AS57" s="19"/>
      <c r="AT57" s="19"/>
      <c r="AU57" s="19"/>
      <c r="AV57" s="19"/>
    </row>
    <row r="58" spans="1:48" ht="16.5" customHeight="1">
      <c r="A58" s="126" t="s">
        <v>18</v>
      </c>
      <c r="B58" s="19"/>
      <c r="C58" s="19"/>
      <c r="D58" s="19"/>
      <c r="E58" s="19"/>
      <c r="F58" s="19"/>
      <c r="G58" s="137"/>
      <c r="H58" s="122" t="str">
        <f t="shared" si="20"/>
        <v>Rip</v>
      </c>
      <c r="I58" s="78"/>
      <c r="J58" s="79"/>
      <c r="K58" s="73" t="str">
        <f t="shared" si="21"/>
        <v/>
      </c>
      <c r="L58" s="74" t="str">
        <f>IF(K58="","",K58*5000000)</f>
        <v/>
      </c>
      <c r="M58" s="73" t="str">
        <f>IF(K58="","",K58*4000000)</f>
        <v/>
      </c>
      <c r="N58" s="75" t="str">
        <f>IF(K58="","",K58*1000000)</f>
        <v/>
      </c>
      <c r="O58" s="65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19"/>
      <c r="AM58" s="19"/>
      <c r="AN58" s="19"/>
      <c r="AO58" s="19"/>
      <c r="AP58" s="19"/>
      <c r="AQ58" s="19"/>
      <c r="AR58" s="19"/>
      <c r="AS58" s="19"/>
      <c r="AT58" s="19"/>
      <c r="AU58" s="19"/>
      <c r="AV58" s="19"/>
    </row>
    <row r="59" spans="1:48" ht="16.5" customHeight="1">
      <c r="A59" s="126" t="s">
        <v>16</v>
      </c>
      <c r="B59" s="19"/>
      <c r="C59" s="19"/>
      <c r="D59" s="19"/>
      <c r="E59" s="19"/>
      <c r="F59" s="19"/>
      <c r="G59" s="137"/>
      <c r="H59" s="122" t="str">
        <f t="shared" si="20"/>
        <v>Interceptor</v>
      </c>
      <c r="I59" s="78"/>
      <c r="J59" s="79"/>
      <c r="K59" s="73" t="str">
        <f t="shared" si="21"/>
        <v/>
      </c>
      <c r="L59" s="74" t="str">
        <f>IF(K59="","",K59*30000)</f>
        <v/>
      </c>
      <c r="M59" s="73" t="str">
        <f>IF(K59="","",K59*40000)</f>
        <v/>
      </c>
      <c r="N59" s="75" t="str">
        <f>IF(K59="","",K59*15000)</f>
        <v/>
      </c>
      <c r="O59" s="65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  <c r="AH59" s="19"/>
      <c r="AI59" s="19"/>
      <c r="AJ59" s="19"/>
      <c r="AK59" s="19"/>
      <c r="AL59" s="19"/>
      <c r="AM59" s="19"/>
      <c r="AN59" s="19"/>
      <c r="AO59" s="19"/>
      <c r="AP59" s="19"/>
      <c r="AQ59" s="19"/>
      <c r="AR59" s="19"/>
      <c r="AS59" s="19"/>
      <c r="AT59" s="19"/>
      <c r="AU59" s="19"/>
      <c r="AV59" s="19"/>
    </row>
    <row r="60" spans="1:48" ht="16.5" customHeight="1" thickBot="1">
      <c r="A60" s="120"/>
      <c r="B60" s="19"/>
      <c r="C60" s="19"/>
      <c r="D60" s="19"/>
      <c r="E60" s="19"/>
      <c r="F60" s="19"/>
      <c r="G60" s="19"/>
      <c r="H60" s="35"/>
      <c r="I60" s="36"/>
      <c r="J60" s="36"/>
      <c r="K60" s="36"/>
      <c r="L60" s="84">
        <f>I47*2000+I48*6000+I49*3000+I50*6000+I51*20000+I52*45000+I53*10000+I54*10000+I56*50000+I57*60000+I58*5000000+I59*30000</f>
        <v>0</v>
      </c>
      <c r="M60" s="84">
        <f>I47*2000+I48*6000+I49*1000+I50*4000+I51*7000+I52*15000+I53*20000+I54*6000+I55*1000+I56*25000+I57*50000+I58*4000000+I59*40000</f>
        <v>0</v>
      </c>
      <c r="N60" s="85">
        <f>I51*2000+I53*10000+I54*2000+I56*15000+I57*15000+I58*1000000+I59*15000</f>
        <v>0</v>
      </c>
      <c r="O60" s="32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/>
      <c r="AJ60" s="19"/>
      <c r="AK60" s="19"/>
      <c r="AL60" s="19"/>
      <c r="AM60" s="19"/>
      <c r="AN60" s="19"/>
      <c r="AO60" s="19"/>
      <c r="AP60" s="19"/>
      <c r="AQ60" s="19"/>
      <c r="AR60" s="19"/>
      <c r="AS60" s="19"/>
      <c r="AT60" s="19"/>
      <c r="AU60" s="19"/>
      <c r="AV60" s="19"/>
    </row>
    <row r="61" spans="1:48" ht="16.5" customHeight="1" thickBot="1">
      <c r="A61" s="120"/>
      <c r="B61" s="19"/>
      <c r="C61" s="19"/>
      <c r="D61" s="19"/>
      <c r="E61" s="19"/>
      <c r="F61" s="19"/>
      <c r="G61" s="127" t="str">
        <f>IF($D$11&gt;3,CONCATENATE($B$15," : ",$C$15),"")</f>
        <v/>
      </c>
      <c r="H61" s="37" t="s">
        <v>27</v>
      </c>
      <c r="I61" s="128" t="str">
        <f>IF(C15="","",C15)</f>
        <v/>
      </c>
      <c r="J61" s="129"/>
      <c r="K61" s="130" t="s">
        <v>31</v>
      </c>
      <c r="L61" s="130"/>
      <c r="M61" s="130"/>
      <c r="N61" s="131"/>
      <c r="O61" s="67" t="s">
        <v>39</v>
      </c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  <c r="AH61" s="19"/>
      <c r="AI61" s="19"/>
      <c r="AJ61" s="19"/>
      <c r="AK61" s="19"/>
      <c r="AL61" s="19"/>
      <c r="AM61" s="19"/>
      <c r="AN61" s="19"/>
      <c r="AO61" s="19"/>
      <c r="AP61" s="19"/>
      <c r="AQ61" s="19"/>
      <c r="AR61" s="19"/>
      <c r="AS61" s="19"/>
      <c r="AT61" s="19"/>
      <c r="AU61" s="19"/>
      <c r="AV61" s="19"/>
    </row>
    <row r="62" spans="1:48" ht="16.5" customHeight="1" thickTop="1" thickBot="1">
      <c r="A62" s="120"/>
      <c r="B62" s="19"/>
      <c r="C62" s="19"/>
      <c r="D62" s="19"/>
      <c r="E62" s="19"/>
      <c r="F62" s="19"/>
      <c r="G62" s="127"/>
      <c r="H62" s="38" t="s">
        <v>28</v>
      </c>
      <c r="I62" s="25" t="s">
        <v>29</v>
      </c>
      <c r="J62" s="26" t="s">
        <v>30</v>
      </c>
      <c r="K62" s="25" t="s">
        <v>32</v>
      </c>
      <c r="L62" s="26" t="s">
        <v>11</v>
      </c>
      <c r="M62" s="25" t="s">
        <v>12</v>
      </c>
      <c r="N62" s="27" t="s">
        <v>17</v>
      </c>
      <c r="O62" s="68">
        <f>L76+M76+N76</f>
        <v>0</v>
      </c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  <c r="AH62" s="19"/>
      <c r="AI62" s="19"/>
      <c r="AJ62" s="19"/>
      <c r="AK62" s="19"/>
      <c r="AL62" s="19"/>
      <c r="AM62" s="19"/>
      <c r="AN62" s="19"/>
      <c r="AO62" s="19"/>
      <c r="AP62" s="19"/>
      <c r="AQ62" s="19"/>
      <c r="AR62" s="19"/>
      <c r="AS62" s="19"/>
      <c r="AT62" s="19"/>
      <c r="AU62" s="19"/>
      <c r="AV62" s="19"/>
    </row>
    <row r="63" spans="1:48" ht="16.5" customHeight="1" thickTop="1">
      <c r="A63" s="126" t="s">
        <v>0</v>
      </c>
      <c r="B63" s="19"/>
      <c r="C63" s="19"/>
      <c r="D63" s="19"/>
      <c r="E63" s="19"/>
      <c r="F63" s="19"/>
      <c r="G63" s="127"/>
      <c r="H63" s="121" t="str">
        <f>PROPER(A63)</f>
        <v>Klein Vrachtschip</v>
      </c>
      <c r="I63" s="80"/>
      <c r="J63" s="81"/>
      <c r="K63" s="73" t="str">
        <f>IF(I63="","",I63-J63)</f>
        <v/>
      </c>
      <c r="L63" s="74" t="str">
        <f>IF(K63="","",K63*2000)</f>
        <v/>
      </c>
      <c r="M63" s="73" t="str">
        <f>IF(K63="","",K63*2000)</f>
        <v/>
      </c>
      <c r="N63" s="75" t="str">
        <f>IF(K63="","",K63*0)</f>
        <v/>
      </c>
      <c r="O63" s="67" t="s">
        <v>40</v>
      </c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  <c r="AH63" s="19"/>
      <c r="AI63" s="19"/>
      <c r="AJ63" s="19"/>
      <c r="AK63" s="19"/>
      <c r="AL63" s="19"/>
      <c r="AM63" s="19"/>
      <c r="AN63" s="19"/>
      <c r="AO63" s="19"/>
      <c r="AP63" s="19"/>
      <c r="AQ63" s="19"/>
      <c r="AR63" s="19"/>
      <c r="AS63" s="19"/>
      <c r="AT63" s="19"/>
      <c r="AU63" s="19"/>
      <c r="AV63" s="19"/>
    </row>
    <row r="64" spans="1:48" ht="16.5" customHeight="1">
      <c r="A64" s="126" t="s">
        <v>1</v>
      </c>
      <c r="B64" s="19"/>
      <c r="C64" s="19"/>
      <c r="D64" s="19"/>
      <c r="E64" s="19"/>
      <c r="F64" s="19"/>
      <c r="G64" s="127"/>
      <c r="H64" s="122" t="str">
        <f t="shared" ref="H64:H75" si="25">PROPER(A64)</f>
        <v>Groot Vrachtschip</v>
      </c>
      <c r="I64" s="80"/>
      <c r="J64" s="81"/>
      <c r="K64" s="73" t="str">
        <f t="shared" ref="K64:K75" si="26">IF(I64="","",I64-J64)</f>
        <v/>
      </c>
      <c r="L64" s="74" t="str">
        <f>IF(K64="","",K64*6000)</f>
        <v/>
      </c>
      <c r="M64" s="73" t="str">
        <f>IF(K64="","",K64*6000)</f>
        <v/>
      </c>
      <c r="N64" s="75" t="str">
        <f t="shared" ref="N64:N66" si="27">IF(K64="","",K64*0)</f>
        <v/>
      </c>
      <c r="O64" s="68">
        <f>L76+M76*2+N76*3</f>
        <v>0</v>
      </c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  <c r="AM64" s="19"/>
      <c r="AN64" s="19"/>
      <c r="AO64" s="19"/>
      <c r="AP64" s="19"/>
      <c r="AQ64" s="19"/>
      <c r="AR64" s="19"/>
      <c r="AS64" s="19"/>
      <c r="AT64" s="19"/>
      <c r="AU64" s="19"/>
      <c r="AV64" s="19"/>
    </row>
    <row r="65" spans="1:48" ht="16.5" customHeight="1">
      <c r="A65" s="126" t="s">
        <v>2</v>
      </c>
      <c r="B65" s="19"/>
      <c r="C65" s="19"/>
      <c r="D65" s="19"/>
      <c r="E65" s="19"/>
      <c r="F65" s="19"/>
      <c r="G65" s="127"/>
      <c r="H65" s="122" t="str">
        <f t="shared" si="25"/>
        <v>Licht Gevechtschip</v>
      </c>
      <c r="I65" s="80"/>
      <c r="J65" s="81"/>
      <c r="K65" s="73" t="str">
        <f t="shared" si="26"/>
        <v/>
      </c>
      <c r="L65" s="74" t="str">
        <f>IF(K65="","",K65*3000)</f>
        <v/>
      </c>
      <c r="M65" s="73" t="str">
        <f>IF(K65="","",K65*1000)</f>
        <v/>
      </c>
      <c r="N65" s="75" t="str">
        <f t="shared" si="27"/>
        <v/>
      </c>
      <c r="O65" s="67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9"/>
      <c r="AM65" s="19"/>
      <c r="AN65" s="19"/>
      <c r="AO65" s="19"/>
      <c r="AP65" s="19"/>
      <c r="AQ65" s="19"/>
      <c r="AR65" s="19"/>
      <c r="AS65" s="19"/>
      <c r="AT65" s="19"/>
      <c r="AU65" s="19"/>
      <c r="AV65" s="19"/>
    </row>
    <row r="66" spans="1:48" ht="16.5" customHeight="1">
      <c r="A66" s="126" t="s">
        <v>3</v>
      </c>
      <c r="B66" s="19"/>
      <c r="C66" s="19"/>
      <c r="D66" s="19"/>
      <c r="E66" s="19"/>
      <c r="F66" s="19"/>
      <c r="G66" s="127"/>
      <c r="H66" s="122" t="str">
        <f t="shared" si="25"/>
        <v>Zwaar Gevechtschip</v>
      </c>
      <c r="I66" s="80"/>
      <c r="J66" s="81"/>
      <c r="K66" s="73" t="str">
        <f t="shared" si="26"/>
        <v/>
      </c>
      <c r="L66" s="74" t="str">
        <f>IF(K66="","",K66*6000)</f>
        <v/>
      </c>
      <c r="M66" s="73" t="str">
        <f>IF(K66="","",K66*4000)</f>
        <v/>
      </c>
      <c r="N66" s="75" t="str">
        <f t="shared" si="27"/>
        <v/>
      </c>
      <c r="O66" s="67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  <c r="AM66" s="19"/>
      <c r="AN66" s="19"/>
      <c r="AO66" s="19"/>
      <c r="AP66" s="19"/>
      <c r="AQ66" s="19"/>
      <c r="AR66" s="19"/>
      <c r="AS66" s="19"/>
      <c r="AT66" s="19"/>
      <c r="AU66" s="19"/>
      <c r="AV66" s="19"/>
    </row>
    <row r="67" spans="1:48" ht="16.5" customHeight="1">
      <c r="A67" s="126" t="s">
        <v>4</v>
      </c>
      <c r="B67" s="19"/>
      <c r="C67" s="19"/>
      <c r="D67" s="19"/>
      <c r="E67" s="19"/>
      <c r="F67" s="19"/>
      <c r="G67" s="127"/>
      <c r="H67" s="122" t="str">
        <f t="shared" si="25"/>
        <v>Kruiser</v>
      </c>
      <c r="I67" s="80"/>
      <c r="J67" s="81"/>
      <c r="K67" s="73" t="str">
        <f t="shared" si="26"/>
        <v/>
      </c>
      <c r="L67" s="74" t="str">
        <f>IF(K67="","",K67*20000)</f>
        <v/>
      </c>
      <c r="M67" s="73" t="str">
        <f>IF(K67="","",K67*7000)</f>
        <v/>
      </c>
      <c r="N67" s="75" t="str">
        <f>IF(K67="","",K67*2000)</f>
        <v/>
      </c>
      <c r="O67" s="67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  <c r="AM67" s="19"/>
      <c r="AN67" s="19"/>
      <c r="AO67" s="19"/>
      <c r="AP67" s="19"/>
      <c r="AQ67" s="19"/>
      <c r="AR67" s="19"/>
      <c r="AS67" s="19"/>
      <c r="AT67" s="19"/>
      <c r="AU67" s="19"/>
      <c r="AV67" s="19"/>
    </row>
    <row r="68" spans="1:48" ht="16.5" customHeight="1">
      <c r="A68" s="126" t="s">
        <v>5</v>
      </c>
      <c r="B68" s="19"/>
      <c r="C68" s="19"/>
      <c r="D68" s="19"/>
      <c r="E68" s="19"/>
      <c r="F68" s="19"/>
      <c r="G68" s="127"/>
      <c r="H68" s="122" t="str">
        <f t="shared" si="25"/>
        <v>Slagschip</v>
      </c>
      <c r="I68" s="80"/>
      <c r="J68" s="81"/>
      <c r="K68" s="73" t="str">
        <f t="shared" si="26"/>
        <v/>
      </c>
      <c r="L68" s="74" t="str">
        <f>IF(K68="","",K68*45000)</f>
        <v/>
      </c>
      <c r="M68" s="73" t="str">
        <f>IF(K68="","",K68*15000)</f>
        <v/>
      </c>
      <c r="N68" s="75" t="str">
        <f t="shared" ref="N68" si="28">IF(K68="","",K68*0)</f>
        <v/>
      </c>
      <c r="O68" s="67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  <c r="AM68" s="19"/>
      <c r="AN68" s="19"/>
      <c r="AO68" s="19"/>
      <c r="AP68" s="19"/>
      <c r="AQ68" s="19"/>
      <c r="AR68" s="19"/>
      <c r="AS68" s="19"/>
      <c r="AT68" s="19"/>
      <c r="AU68" s="19"/>
      <c r="AV68" s="19"/>
    </row>
    <row r="69" spans="1:48" ht="16.5" customHeight="1">
      <c r="A69" s="126" t="s">
        <v>6</v>
      </c>
      <c r="B69" s="19"/>
      <c r="C69" s="19"/>
      <c r="D69" s="19"/>
      <c r="E69" s="19"/>
      <c r="F69" s="19"/>
      <c r="G69" s="127"/>
      <c r="H69" s="122" t="str">
        <f t="shared" si="25"/>
        <v>Kolonisatie Schip</v>
      </c>
      <c r="I69" s="80"/>
      <c r="J69" s="81"/>
      <c r="K69" s="73" t="str">
        <f t="shared" si="26"/>
        <v/>
      </c>
      <c r="L69" s="74" t="str">
        <f>IF(K69="","",K69*10000)</f>
        <v/>
      </c>
      <c r="M69" s="73" t="str">
        <f>IF(K69="","",K69*20000)</f>
        <v/>
      </c>
      <c r="N69" s="75" t="str">
        <f>IF(K69="","",K69*10000)</f>
        <v/>
      </c>
      <c r="O69" s="67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  <c r="AM69" s="19"/>
      <c r="AN69" s="19"/>
      <c r="AO69" s="19"/>
      <c r="AP69" s="19"/>
      <c r="AQ69" s="19"/>
      <c r="AR69" s="19"/>
      <c r="AS69" s="19"/>
      <c r="AT69" s="19"/>
      <c r="AU69" s="19"/>
      <c r="AV69" s="19"/>
    </row>
    <row r="70" spans="1:48" ht="16.5" customHeight="1">
      <c r="A70" s="126" t="s">
        <v>7</v>
      </c>
      <c r="B70" s="19"/>
      <c r="C70" s="19"/>
      <c r="D70" s="19"/>
      <c r="E70" s="19"/>
      <c r="F70" s="19"/>
      <c r="G70" s="127"/>
      <c r="H70" s="122" t="str">
        <f t="shared" si="25"/>
        <v>Recycler</v>
      </c>
      <c r="I70" s="80"/>
      <c r="J70" s="81"/>
      <c r="K70" s="73" t="str">
        <f t="shared" si="26"/>
        <v/>
      </c>
      <c r="L70" s="74" t="str">
        <f>IF(K70="","",K70*10000)</f>
        <v/>
      </c>
      <c r="M70" s="73" t="str">
        <f>IF(K70="","",K70*6000)</f>
        <v/>
      </c>
      <c r="N70" s="75" t="str">
        <f>IF(K70="","",K70*2000)</f>
        <v/>
      </c>
      <c r="O70" s="67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  <c r="AM70" s="19"/>
      <c r="AN70" s="19"/>
      <c r="AO70" s="19"/>
      <c r="AP70" s="19"/>
      <c r="AQ70" s="19"/>
      <c r="AR70" s="19"/>
      <c r="AS70" s="19"/>
      <c r="AT70" s="19"/>
      <c r="AU70" s="19"/>
      <c r="AV70" s="19"/>
    </row>
    <row r="71" spans="1:48" ht="16.5" customHeight="1">
      <c r="A71" s="126" t="s">
        <v>8</v>
      </c>
      <c r="B71" s="19"/>
      <c r="C71" s="19"/>
      <c r="D71" s="19"/>
      <c r="E71" s="19"/>
      <c r="F71" s="19"/>
      <c r="G71" s="127"/>
      <c r="H71" s="122" t="str">
        <f t="shared" si="25"/>
        <v>Spionage Sonde</v>
      </c>
      <c r="I71" s="80"/>
      <c r="J71" s="81"/>
      <c r="K71" s="73" t="str">
        <f t="shared" si="26"/>
        <v/>
      </c>
      <c r="L71" s="74" t="str">
        <f>IF(K71="","",K71*0)</f>
        <v/>
      </c>
      <c r="M71" s="73" t="str">
        <f>IF(K71="","",K71*1000)</f>
        <v/>
      </c>
      <c r="N71" s="75" t="str">
        <f t="shared" ref="N71" si="29">IF(K71="","",K71*0)</f>
        <v/>
      </c>
      <c r="O71" s="67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/>
      <c r="AM71" s="19"/>
      <c r="AN71" s="19"/>
      <c r="AO71" s="19"/>
      <c r="AP71" s="19"/>
      <c r="AQ71" s="19"/>
      <c r="AR71" s="19"/>
      <c r="AS71" s="19"/>
      <c r="AT71" s="19"/>
      <c r="AU71" s="19"/>
      <c r="AV71" s="19"/>
    </row>
    <row r="72" spans="1:48" ht="16.5" customHeight="1">
      <c r="A72" s="126" t="s">
        <v>9</v>
      </c>
      <c r="B72" s="19"/>
      <c r="C72" s="19"/>
      <c r="D72" s="19"/>
      <c r="E72" s="19"/>
      <c r="F72" s="19"/>
      <c r="G72" s="127"/>
      <c r="H72" s="122" t="str">
        <f t="shared" si="25"/>
        <v>Bommenwerper</v>
      </c>
      <c r="I72" s="80"/>
      <c r="J72" s="81"/>
      <c r="K72" s="73" t="str">
        <f t="shared" si="26"/>
        <v/>
      </c>
      <c r="L72" s="74" t="str">
        <f>IF(K72="","",K72*50000)</f>
        <v/>
      </c>
      <c r="M72" s="73" t="str">
        <f>IF(K72="","",K72*25000)</f>
        <v/>
      </c>
      <c r="N72" s="75" t="str">
        <f>IF(K72="","",K72*15000)</f>
        <v/>
      </c>
      <c r="O72" s="67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  <c r="AM72" s="19"/>
      <c r="AN72" s="19"/>
      <c r="AO72" s="19"/>
      <c r="AP72" s="19"/>
      <c r="AQ72" s="19"/>
      <c r="AR72" s="19"/>
      <c r="AS72" s="19"/>
      <c r="AT72" s="19"/>
      <c r="AU72" s="19"/>
      <c r="AV72" s="19"/>
    </row>
    <row r="73" spans="1:48" ht="16.5" customHeight="1">
      <c r="A73" s="126" t="s">
        <v>10</v>
      </c>
      <c r="B73" s="19"/>
      <c r="C73" s="19"/>
      <c r="D73" s="19"/>
      <c r="E73" s="19"/>
      <c r="F73" s="19"/>
      <c r="G73" s="127"/>
      <c r="H73" s="122" t="str">
        <f t="shared" si="25"/>
        <v>Vernietiger</v>
      </c>
      <c r="I73" s="80"/>
      <c r="J73" s="81"/>
      <c r="K73" s="73" t="str">
        <f t="shared" si="26"/>
        <v/>
      </c>
      <c r="L73" s="74" t="str">
        <f>IF(K73="","",K73*60000)</f>
        <v/>
      </c>
      <c r="M73" s="73" t="str">
        <f>IF(K73="","",K73*50000)</f>
        <v/>
      </c>
      <c r="N73" s="75" t="str">
        <f>IF(K73="","",K73*15000)</f>
        <v/>
      </c>
      <c r="O73" s="67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  <c r="AJ73" s="19"/>
      <c r="AK73" s="19"/>
      <c r="AL73" s="19"/>
      <c r="AM73" s="19"/>
      <c r="AN73" s="19"/>
      <c r="AO73" s="19"/>
      <c r="AP73" s="19"/>
      <c r="AQ73" s="19"/>
      <c r="AR73" s="19"/>
      <c r="AS73" s="19"/>
      <c r="AT73" s="19"/>
      <c r="AU73" s="19"/>
      <c r="AV73" s="19"/>
    </row>
    <row r="74" spans="1:48" ht="16.5" customHeight="1">
      <c r="A74" s="126" t="s">
        <v>18</v>
      </c>
      <c r="B74" s="19"/>
      <c r="C74" s="19"/>
      <c r="D74" s="19"/>
      <c r="E74" s="19"/>
      <c r="F74" s="19"/>
      <c r="G74" s="127"/>
      <c r="H74" s="122" t="str">
        <f t="shared" si="25"/>
        <v>Rip</v>
      </c>
      <c r="I74" s="80"/>
      <c r="J74" s="81"/>
      <c r="K74" s="73" t="str">
        <f t="shared" si="26"/>
        <v/>
      </c>
      <c r="L74" s="74" t="str">
        <f>IF(K74="","",K74*5000000)</f>
        <v/>
      </c>
      <c r="M74" s="73" t="str">
        <f>IF(K74="","",K74*4000000)</f>
        <v/>
      </c>
      <c r="N74" s="75" t="str">
        <f>IF(K74="","",K74*1000000)</f>
        <v/>
      </c>
      <c r="O74" s="67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  <c r="AJ74" s="19"/>
      <c r="AK74" s="19"/>
      <c r="AL74" s="19"/>
      <c r="AM74" s="19"/>
      <c r="AN74" s="19"/>
      <c r="AO74" s="19"/>
      <c r="AP74" s="19"/>
      <c r="AQ74" s="19"/>
      <c r="AR74" s="19"/>
      <c r="AS74" s="19"/>
      <c r="AT74" s="19"/>
      <c r="AU74" s="19"/>
      <c r="AV74" s="19"/>
    </row>
    <row r="75" spans="1:48" ht="16.5" customHeight="1">
      <c r="A75" s="126" t="s">
        <v>16</v>
      </c>
      <c r="B75" s="19"/>
      <c r="C75" s="19"/>
      <c r="D75" s="19"/>
      <c r="E75" s="19"/>
      <c r="F75" s="19"/>
      <c r="G75" s="127"/>
      <c r="H75" s="122" t="str">
        <f t="shared" si="25"/>
        <v>Interceptor</v>
      </c>
      <c r="I75" s="80"/>
      <c r="J75" s="81"/>
      <c r="K75" s="73" t="str">
        <f t="shared" si="26"/>
        <v/>
      </c>
      <c r="L75" s="74" t="str">
        <f>IF(K75="","",K75*30000)</f>
        <v/>
      </c>
      <c r="M75" s="73" t="str">
        <f>IF(K75="","",K75*40000)</f>
        <v/>
      </c>
      <c r="N75" s="75" t="str">
        <f>IF(K75="","",K75*15000)</f>
        <v/>
      </c>
      <c r="O75" s="67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19"/>
      <c r="AI75" s="19"/>
      <c r="AJ75" s="19"/>
      <c r="AK75" s="19"/>
      <c r="AL75" s="19"/>
      <c r="AM75" s="19"/>
      <c r="AN75" s="19"/>
      <c r="AO75" s="19"/>
      <c r="AP75" s="19"/>
      <c r="AQ75" s="19"/>
      <c r="AR75" s="19"/>
      <c r="AS75" s="19"/>
      <c r="AT75" s="19"/>
      <c r="AU75" s="19"/>
      <c r="AV75" s="19"/>
    </row>
    <row r="76" spans="1:48" ht="16.5" customHeight="1" thickBot="1">
      <c r="A76" s="120"/>
      <c r="B76" s="19"/>
      <c r="C76" s="19"/>
      <c r="D76" s="19"/>
      <c r="E76" s="19"/>
      <c r="F76" s="19"/>
      <c r="G76" s="19"/>
      <c r="H76" s="35"/>
      <c r="I76" s="36"/>
      <c r="J76" s="36"/>
      <c r="K76" s="36"/>
      <c r="L76" s="84">
        <f>I63*2000+I64*6000+I65*3000+I66*6000+I67*20000+I68*45000+I69*10000+I70*10000+I72*50000+I73*60000+I74*5000000+I75*30000</f>
        <v>0</v>
      </c>
      <c r="M76" s="84">
        <f>I63*2000+I64*6000+I65*1000+I66*4000+I67*7000+I68*15000+I69*20000+I70*6000+I71*1000+I72*25000+I73*50000+I74*4000000+I75*40000</f>
        <v>0</v>
      </c>
      <c r="N76" s="85">
        <f>I67*2000+I69*10000+I70*2000+I72*15000+I73*15000+I74*1000000+I75*15000</f>
        <v>0</v>
      </c>
      <c r="O76" s="32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  <c r="AI76" s="19"/>
      <c r="AJ76" s="19"/>
      <c r="AK76" s="19"/>
      <c r="AL76" s="19"/>
      <c r="AM76" s="19"/>
      <c r="AN76" s="19"/>
      <c r="AO76" s="19"/>
      <c r="AP76" s="19"/>
      <c r="AQ76" s="19"/>
      <c r="AR76" s="19"/>
      <c r="AS76" s="19"/>
      <c r="AT76" s="19"/>
      <c r="AU76" s="19"/>
      <c r="AV76" s="19"/>
    </row>
    <row r="77" spans="1:48" ht="16.5" customHeight="1" thickBot="1">
      <c r="A77" s="120"/>
      <c r="B77" s="19"/>
      <c r="C77" s="19"/>
      <c r="D77" s="19"/>
      <c r="E77" s="19"/>
      <c r="F77" s="19"/>
      <c r="G77" s="132" t="str">
        <f>IF($D$11&gt;4,CONCATENATE($B$16," : ",$C$16),"")</f>
        <v/>
      </c>
      <c r="H77" s="37" t="s">
        <v>27</v>
      </c>
      <c r="I77" s="133" t="str">
        <f>IF(C16="","",C16)</f>
        <v/>
      </c>
      <c r="J77" s="134"/>
      <c r="K77" s="130" t="s">
        <v>31</v>
      </c>
      <c r="L77" s="130"/>
      <c r="M77" s="130"/>
      <c r="N77" s="131"/>
      <c r="O77" s="69" t="s">
        <v>39</v>
      </c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  <c r="AI77" s="19"/>
      <c r="AJ77" s="19"/>
      <c r="AK77" s="19"/>
      <c r="AL77" s="19"/>
      <c r="AM77" s="19"/>
      <c r="AN77" s="19"/>
      <c r="AO77" s="19"/>
      <c r="AP77" s="19"/>
      <c r="AQ77" s="19"/>
      <c r="AR77" s="19"/>
      <c r="AS77" s="19"/>
      <c r="AT77" s="19"/>
      <c r="AU77" s="19"/>
      <c r="AV77" s="19"/>
    </row>
    <row r="78" spans="1:48" ht="16.5" customHeight="1" thickTop="1" thickBot="1">
      <c r="A78" s="120"/>
      <c r="B78" s="19"/>
      <c r="C78" s="19"/>
      <c r="D78" s="19"/>
      <c r="E78" s="19"/>
      <c r="F78" s="19"/>
      <c r="G78" s="132"/>
      <c r="H78" s="38" t="s">
        <v>28</v>
      </c>
      <c r="I78" s="25" t="s">
        <v>29</v>
      </c>
      <c r="J78" s="26" t="s">
        <v>30</v>
      </c>
      <c r="K78" s="25" t="s">
        <v>32</v>
      </c>
      <c r="L78" s="26" t="s">
        <v>11</v>
      </c>
      <c r="M78" s="25" t="s">
        <v>12</v>
      </c>
      <c r="N78" s="27" t="s">
        <v>17</v>
      </c>
      <c r="O78" s="70">
        <f>L92+M92+N92</f>
        <v>0</v>
      </c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  <c r="AH78" s="19"/>
      <c r="AI78" s="19"/>
      <c r="AJ78" s="19"/>
      <c r="AK78" s="19"/>
      <c r="AL78" s="19"/>
      <c r="AM78" s="19"/>
      <c r="AN78" s="19"/>
      <c r="AO78" s="19"/>
      <c r="AP78" s="19"/>
      <c r="AQ78" s="19"/>
      <c r="AR78" s="19"/>
      <c r="AS78" s="19"/>
      <c r="AT78" s="19"/>
      <c r="AU78" s="19"/>
      <c r="AV78" s="19"/>
    </row>
    <row r="79" spans="1:48" ht="16.5" customHeight="1" thickTop="1">
      <c r="A79" s="126" t="s">
        <v>0</v>
      </c>
      <c r="B79" s="19"/>
      <c r="C79" s="19"/>
      <c r="D79" s="19"/>
      <c r="E79" s="19"/>
      <c r="F79" s="19"/>
      <c r="G79" s="132"/>
      <c r="H79" s="121" t="str">
        <f>PROPER(A79)</f>
        <v>Klein Vrachtschip</v>
      </c>
      <c r="I79" s="82"/>
      <c r="J79" s="83"/>
      <c r="K79" s="73" t="str">
        <f>IF(I79="","",I79-J79)</f>
        <v/>
      </c>
      <c r="L79" s="74" t="str">
        <f>IF(K79="","",K79*2000)</f>
        <v/>
      </c>
      <c r="M79" s="73" t="str">
        <f>IF(K79="","",K79*2000)</f>
        <v/>
      </c>
      <c r="N79" s="75" t="str">
        <f>IF(K79="","",K79*0)</f>
        <v/>
      </c>
      <c r="O79" s="69" t="s">
        <v>40</v>
      </c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  <c r="AH79" s="19"/>
      <c r="AI79" s="19"/>
      <c r="AJ79" s="19"/>
      <c r="AK79" s="19"/>
      <c r="AL79" s="19"/>
      <c r="AM79" s="19"/>
      <c r="AN79" s="19"/>
      <c r="AO79" s="19"/>
      <c r="AP79" s="19"/>
      <c r="AQ79" s="19"/>
      <c r="AR79" s="19"/>
      <c r="AS79" s="19"/>
      <c r="AT79" s="19"/>
      <c r="AU79" s="19"/>
      <c r="AV79" s="19"/>
    </row>
    <row r="80" spans="1:48" ht="16.5" customHeight="1">
      <c r="A80" s="126" t="s">
        <v>1</v>
      </c>
      <c r="B80" s="19"/>
      <c r="C80" s="19"/>
      <c r="D80" s="19"/>
      <c r="E80" s="19"/>
      <c r="F80" s="19"/>
      <c r="G80" s="132"/>
      <c r="H80" s="122" t="str">
        <f t="shared" ref="H80:H91" si="30">PROPER(A80)</f>
        <v>Groot Vrachtschip</v>
      </c>
      <c r="I80" s="82"/>
      <c r="J80" s="83"/>
      <c r="K80" s="73" t="str">
        <f t="shared" ref="K80:K91" si="31">IF(I80="","",I80-J80)</f>
        <v/>
      </c>
      <c r="L80" s="74" t="str">
        <f>IF(K80="","",K80*6000)</f>
        <v/>
      </c>
      <c r="M80" s="73" t="str">
        <f>IF(K80="","",K80*6000)</f>
        <v/>
      </c>
      <c r="N80" s="75" t="str">
        <f t="shared" ref="N80:N82" si="32">IF(K80="","",K80*0)</f>
        <v/>
      </c>
      <c r="O80" s="70">
        <f>L92+M92*2+N92*3</f>
        <v>0</v>
      </c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  <c r="AH80" s="19"/>
      <c r="AI80" s="19"/>
      <c r="AJ80" s="19"/>
      <c r="AK80" s="19"/>
      <c r="AL80" s="19"/>
      <c r="AM80" s="19"/>
      <c r="AN80" s="19"/>
      <c r="AO80" s="19"/>
      <c r="AP80" s="19"/>
      <c r="AQ80" s="19"/>
      <c r="AR80" s="19"/>
      <c r="AS80" s="19"/>
      <c r="AT80" s="19"/>
      <c r="AU80" s="19"/>
      <c r="AV80" s="19"/>
    </row>
    <row r="81" spans="1:48" ht="16.5" customHeight="1">
      <c r="A81" s="126" t="s">
        <v>2</v>
      </c>
      <c r="B81" s="19"/>
      <c r="C81" s="19"/>
      <c r="D81" s="19"/>
      <c r="E81" s="19"/>
      <c r="F81" s="19"/>
      <c r="G81" s="132"/>
      <c r="H81" s="122" t="str">
        <f t="shared" si="30"/>
        <v>Licht Gevechtschip</v>
      </c>
      <c r="I81" s="82"/>
      <c r="J81" s="83"/>
      <c r="K81" s="73" t="str">
        <f t="shared" si="31"/>
        <v/>
      </c>
      <c r="L81" s="74" t="str">
        <f>IF(K81="","",K81*3000)</f>
        <v/>
      </c>
      <c r="M81" s="73" t="str">
        <f>IF(K81="","",K81*1000)</f>
        <v/>
      </c>
      <c r="N81" s="75" t="str">
        <f t="shared" si="32"/>
        <v/>
      </c>
      <c r="O81" s="6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  <c r="AM81" s="19"/>
      <c r="AN81" s="19"/>
      <c r="AO81" s="19"/>
      <c r="AP81" s="19"/>
      <c r="AQ81" s="19"/>
      <c r="AR81" s="19"/>
      <c r="AS81" s="19"/>
      <c r="AT81" s="19"/>
      <c r="AU81" s="19"/>
      <c r="AV81" s="19"/>
    </row>
    <row r="82" spans="1:48" ht="16.5" customHeight="1">
      <c r="A82" s="126" t="s">
        <v>3</v>
      </c>
      <c r="B82" s="19"/>
      <c r="C82" s="19"/>
      <c r="D82" s="19"/>
      <c r="E82" s="19"/>
      <c r="F82" s="19"/>
      <c r="G82" s="132"/>
      <c r="H82" s="122" t="str">
        <f t="shared" si="30"/>
        <v>Zwaar Gevechtschip</v>
      </c>
      <c r="I82" s="82"/>
      <c r="J82" s="83"/>
      <c r="K82" s="73" t="str">
        <f t="shared" si="31"/>
        <v/>
      </c>
      <c r="L82" s="74" t="str">
        <f>IF(K82="","",K82*6000)</f>
        <v/>
      </c>
      <c r="M82" s="73" t="str">
        <f>IF(K82="","",K82*4000)</f>
        <v/>
      </c>
      <c r="N82" s="75" t="str">
        <f t="shared" si="32"/>
        <v/>
      </c>
      <c r="O82" s="6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  <c r="AH82" s="19"/>
      <c r="AI82" s="19"/>
      <c r="AJ82" s="19"/>
      <c r="AK82" s="19"/>
      <c r="AL82" s="19"/>
      <c r="AM82" s="19"/>
      <c r="AN82" s="19"/>
      <c r="AO82" s="19"/>
      <c r="AP82" s="19"/>
      <c r="AQ82" s="19"/>
      <c r="AR82" s="19"/>
      <c r="AS82" s="19"/>
      <c r="AT82" s="19"/>
      <c r="AU82" s="19"/>
      <c r="AV82" s="19"/>
    </row>
    <row r="83" spans="1:48" ht="16.5" customHeight="1">
      <c r="A83" s="126" t="s">
        <v>4</v>
      </c>
      <c r="B83" s="19"/>
      <c r="C83" s="19"/>
      <c r="D83" s="19"/>
      <c r="E83" s="19"/>
      <c r="F83" s="19"/>
      <c r="G83" s="132"/>
      <c r="H83" s="122" t="str">
        <f t="shared" si="30"/>
        <v>Kruiser</v>
      </c>
      <c r="I83" s="82"/>
      <c r="J83" s="83"/>
      <c r="K83" s="73" t="str">
        <f t="shared" si="31"/>
        <v/>
      </c>
      <c r="L83" s="74" t="str">
        <f>IF(K83="","",K83*20000)</f>
        <v/>
      </c>
      <c r="M83" s="73" t="str">
        <f>IF(K83="","",K83*7000)</f>
        <v/>
      </c>
      <c r="N83" s="75" t="str">
        <f>IF(K83="","",K83*2000)</f>
        <v/>
      </c>
      <c r="O83" s="6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  <c r="AI83" s="19"/>
      <c r="AJ83" s="19"/>
      <c r="AK83" s="19"/>
      <c r="AL83" s="19"/>
      <c r="AM83" s="19"/>
      <c r="AN83" s="19"/>
      <c r="AO83" s="19"/>
      <c r="AP83" s="19"/>
      <c r="AQ83" s="19"/>
      <c r="AR83" s="19"/>
      <c r="AS83" s="19"/>
      <c r="AT83" s="19"/>
      <c r="AU83" s="19"/>
      <c r="AV83" s="19"/>
    </row>
    <row r="84" spans="1:48" ht="16.5" customHeight="1">
      <c r="A84" s="126" t="s">
        <v>5</v>
      </c>
      <c r="B84" s="19"/>
      <c r="C84" s="19"/>
      <c r="D84" s="19"/>
      <c r="E84" s="19"/>
      <c r="F84" s="19"/>
      <c r="G84" s="132"/>
      <c r="H84" s="122" t="str">
        <f t="shared" si="30"/>
        <v>Slagschip</v>
      </c>
      <c r="I84" s="82"/>
      <c r="J84" s="83"/>
      <c r="K84" s="73" t="str">
        <f t="shared" si="31"/>
        <v/>
      </c>
      <c r="L84" s="74" t="str">
        <f>IF(K84="","",K84*45000)</f>
        <v/>
      </c>
      <c r="M84" s="73" t="str">
        <f>IF(K84="","",K84*15000)</f>
        <v/>
      </c>
      <c r="N84" s="75" t="str">
        <f t="shared" ref="N84" si="33">IF(K84="","",K84*0)</f>
        <v/>
      </c>
      <c r="O84" s="6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19"/>
      <c r="AI84" s="19"/>
      <c r="AJ84" s="19"/>
      <c r="AK84" s="19"/>
      <c r="AL84" s="19"/>
      <c r="AM84" s="19"/>
      <c r="AN84" s="19"/>
      <c r="AO84" s="19"/>
      <c r="AP84" s="19"/>
      <c r="AQ84" s="19"/>
      <c r="AR84" s="19"/>
      <c r="AS84" s="19"/>
      <c r="AT84" s="19"/>
      <c r="AU84" s="19"/>
      <c r="AV84" s="19"/>
    </row>
    <row r="85" spans="1:48" ht="16.5" customHeight="1">
      <c r="A85" s="126" t="s">
        <v>6</v>
      </c>
      <c r="B85" s="19"/>
      <c r="C85" s="19"/>
      <c r="D85" s="19"/>
      <c r="E85" s="19"/>
      <c r="F85" s="19"/>
      <c r="G85" s="132"/>
      <c r="H85" s="122" t="str">
        <f t="shared" si="30"/>
        <v>Kolonisatie Schip</v>
      </c>
      <c r="I85" s="82"/>
      <c r="J85" s="83"/>
      <c r="K85" s="73" t="str">
        <f t="shared" si="31"/>
        <v/>
      </c>
      <c r="L85" s="74" t="str">
        <f>IF(K85="","",K85*10000)</f>
        <v/>
      </c>
      <c r="M85" s="73" t="str">
        <f>IF(K85="","",K85*20000)</f>
        <v/>
      </c>
      <c r="N85" s="75" t="str">
        <f>IF(K85="","",K85*10000)</f>
        <v/>
      </c>
      <c r="O85" s="6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  <c r="AI85" s="19"/>
      <c r="AJ85" s="19"/>
      <c r="AK85" s="19"/>
      <c r="AL85" s="19"/>
      <c r="AM85" s="19"/>
      <c r="AN85" s="19"/>
      <c r="AO85" s="19"/>
      <c r="AP85" s="19"/>
      <c r="AQ85" s="19"/>
      <c r="AR85" s="19"/>
      <c r="AS85" s="19"/>
      <c r="AT85" s="19"/>
      <c r="AU85" s="19"/>
      <c r="AV85" s="19"/>
    </row>
    <row r="86" spans="1:48" ht="16.5" customHeight="1">
      <c r="A86" s="126" t="s">
        <v>7</v>
      </c>
      <c r="B86" s="19"/>
      <c r="C86" s="19"/>
      <c r="D86" s="19"/>
      <c r="E86" s="19"/>
      <c r="F86" s="19"/>
      <c r="G86" s="132"/>
      <c r="H86" s="122" t="str">
        <f t="shared" si="30"/>
        <v>Recycler</v>
      </c>
      <c r="I86" s="82"/>
      <c r="J86" s="83"/>
      <c r="K86" s="73" t="str">
        <f t="shared" si="31"/>
        <v/>
      </c>
      <c r="L86" s="74" t="str">
        <f>IF(K86="","",K86*10000)</f>
        <v/>
      </c>
      <c r="M86" s="73" t="str">
        <f>IF(K86="","",K86*6000)</f>
        <v/>
      </c>
      <c r="N86" s="75" t="str">
        <f>IF(K86="","",K86*2000)</f>
        <v/>
      </c>
      <c r="O86" s="6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  <c r="AH86" s="19"/>
      <c r="AI86" s="19"/>
      <c r="AJ86" s="19"/>
      <c r="AK86" s="19"/>
      <c r="AL86" s="19"/>
      <c r="AM86" s="19"/>
      <c r="AN86" s="19"/>
      <c r="AO86" s="19"/>
      <c r="AP86" s="19"/>
      <c r="AQ86" s="19"/>
      <c r="AR86" s="19"/>
      <c r="AS86" s="19"/>
      <c r="AT86" s="19"/>
      <c r="AU86" s="19"/>
      <c r="AV86" s="19"/>
    </row>
    <row r="87" spans="1:48" ht="16.5" customHeight="1">
      <c r="A87" s="126" t="s">
        <v>8</v>
      </c>
      <c r="B87" s="19"/>
      <c r="C87" s="19"/>
      <c r="D87" s="19"/>
      <c r="E87" s="19"/>
      <c r="F87" s="19"/>
      <c r="G87" s="132"/>
      <c r="H87" s="122" t="str">
        <f t="shared" si="30"/>
        <v>Spionage Sonde</v>
      </c>
      <c r="I87" s="82"/>
      <c r="J87" s="83"/>
      <c r="K87" s="73" t="str">
        <f t="shared" si="31"/>
        <v/>
      </c>
      <c r="L87" s="74" t="str">
        <f>IF(K87="","",K87*0)</f>
        <v/>
      </c>
      <c r="M87" s="73" t="str">
        <f>IF(K87="","",K87*1000)</f>
        <v/>
      </c>
      <c r="N87" s="75" t="str">
        <f t="shared" ref="N87" si="34">IF(K87="","",K87*0)</f>
        <v/>
      </c>
      <c r="O87" s="6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19"/>
      <c r="AI87" s="19"/>
      <c r="AJ87" s="19"/>
      <c r="AK87" s="19"/>
      <c r="AL87" s="19"/>
      <c r="AM87" s="19"/>
      <c r="AN87" s="19"/>
      <c r="AO87" s="19"/>
      <c r="AP87" s="19"/>
      <c r="AQ87" s="19"/>
      <c r="AR87" s="19"/>
      <c r="AS87" s="19"/>
      <c r="AT87" s="19"/>
      <c r="AU87" s="19"/>
      <c r="AV87" s="19"/>
    </row>
    <row r="88" spans="1:48" ht="16.5" customHeight="1">
      <c r="A88" s="126" t="s">
        <v>9</v>
      </c>
      <c r="B88" s="19"/>
      <c r="C88" s="19"/>
      <c r="D88" s="19"/>
      <c r="E88" s="19"/>
      <c r="F88" s="19"/>
      <c r="G88" s="132"/>
      <c r="H88" s="122" t="str">
        <f t="shared" si="30"/>
        <v>Bommenwerper</v>
      </c>
      <c r="I88" s="82"/>
      <c r="J88" s="83"/>
      <c r="K88" s="73" t="str">
        <f t="shared" si="31"/>
        <v/>
      </c>
      <c r="L88" s="74" t="str">
        <f>IF(K88="","",K88*50000)</f>
        <v/>
      </c>
      <c r="M88" s="73" t="str">
        <f>IF(K88="","",K88*25000)</f>
        <v/>
      </c>
      <c r="N88" s="75" t="str">
        <f>IF(K88="","",K88*15000)</f>
        <v/>
      </c>
      <c r="O88" s="6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19"/>
      <c r="AM88" s="19"/>
      <c r="AN88" s="19"/>
      <c r="AO88" s="19"/>
      <c r="AP88" s="19"/>
      <c r="AQ88" s="19"/>
      <c r="AR88" s="19"/>
      <c r="AS88" s="19"/>
      <c r="AT88" s="19"/>
      <c r="AU88" s="19"/>
      <c r="AV88" s="19"/>
    </row>
    <row r="89" spans="1:48" ht="16.5" customHeight="1">
      <c r="A89" s="126" t="s">
        <v>10</v>
      </c>
      <c r="B89" s="19"/>
      <c r="C89" s="19"/>
      <c r="D89" s="19"/>
      <c r="E89" s="19"/>
      <c r="F89" s="19"/>
      <c r="G89" s="132"/>
      <c r="H89" s="122" t="str">
        <f t="shared" si="30"/>
        <v>Vernietiger</v>
      </c>
      <c r="I89" s="82"/>
      <c r="J89" s="83"/>
      <c r="K89" s="73" t="str">
        <f t="shared" si="31"/>
        <v/>
      </c>
      <c r="L89" s="74" t="str">
        <f>IF(K89="","",K89*60000)</f>
        <v/>
      </c>
      <c r="M89" s="73" t="str">
        <f>IF(K89="","",K89*50000)</f>
        <v/>
      </c>
      <c r="N89" s="75" t="str">
        <f>IF(K89="","",K89*15000)</f>
        <v/>
      </c>
      <c r="O89" s="6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  <c r="AH89" s="19"/>
      <c r="AI89" s="19"/>
      <c r="AJ89" s="19"/>
      <c r="AK89" s="19"/>
      <c r="AL89" s="19"/>
      <c r="AM89" s="19"/>
      <c r="AN89" s="19"/>
      <c r="AO89" s="19"/>
      <c r="AP89" s="19"/>
      <c r="AQ89" s="19"/>
      <c r="AR89" s="19"/>
      <c r="AS89" s="19"/>
      <c r="AT89" s="19"/>
      <c r="AU89" s="19"/>
      <c r="AV89" s="19"/>
    </row>
    <row r="90" spans="1:48" ht="16.5" customHeight="1">
      <c r="A90" s="126" t="s">
        <v>18</v>
      </c>
      <c r="B90" s="19"/>
      <c r="C90" s="19"/>
      <c r="D90" s="19"/>
      <c r="E90" s="19"/>
      <c r="F90" s="19"/>
      <c r="G90" s="132"/>
      <c r="H90" s="122" t="str">
        <f t="shared" si="30"/>
        <v>Rip</v>
      </c>
      <c r="I90" s="82"/>
      <c r="J90" s="83"/>
      <c r="K90" s="73" t="str">
        <f t="shared" si="31"/>
        <v/>
      </c>
      <c r="L90" s="74" t="str">
        <f>IF(K90="","",K90*5000000)</f>
        <v/>
      </c>
      <c r="M90" s="73" t="str">
        <f>IF(K90="","",K90*4000000)</f>
        <v/>
      </c>
      <c r="N90" s="75" t="str">
        <f>IF(K90="","",K90*1000000)</f>
        <v/>
      </c>
      <c r="O90" s="6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  <c r="AH90" s="19"/>
      <c r="AI90" s="19"/>
      <c r="AJ90" s="19"/>
      <c r="AK90" s="19"/>
      <c r="AL90" s="19"/>
      <c r="AM90" s="19"/>
      <c r="AN90" s="19"/>
      <c r="AO90" s="19"/>
      <c r="AP90" s="19"/>
      <c r="AQ90" s="19"/>
      <c r="AR90" s="19"/>
      <c r="AS90" s="19"/>
      <c r="AT90" s="19"/>
      <c r="AU90" s="19"/>
      <c r="AV90" s="19"/>
    </row>
    <row r="91" spans="1:48" ht="16.5" customHeight="1">
      <c r="A91" s="126" t="s">
        <v>16</v>
      </c>
      <c r="B91" s="19"/>
      <c r="C91" s="19"/>
      <c r="D91" s="19"/>
      <c r="E91" s="19"/>
      <c r="F91" s="19"/>
      <c r="G91" s="132"/>
      <c r="H91" s="122" t="str">
        <f t="shared" si="30"/>
        <v>Interceptor</v>
      </c>
      <c r="I91" s="82"/>
      <c r="J91" s="83"/>
      <c r="K91" s="73" t="str">
        <f t="shared" si="31"/>
        <v/>
      </c>
      <c r="L91" s="74" t="str">
        <f>IF(K91="","",K91*30000)</f>
        <v/>
      </c>
      <c r="M91" s="73" t="str">
        <f>IF(K91="","",K91*40000)</f>
        <v/>
      </c>
      <c r="N91" s="75" t="str">
        <f>IF(K91="","",K91*15000)</f>
        <v/>
      </c>
      <c r="O91" s="6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19"/>
      <c r="AE91" s="19"/>
      <c r="AF91" s="19"/>
      <c r="AG91" s="19"/>
      <c r="AH91" s="19"/>
      <c r="AI91" s="19"/>
      <c r="AJ91" s="19"/>
      <c r="AK91" s="19"/>
      <c r="AL91" s="19"/>
      <c r="AM91" s="19"/>
      <c r="AN91" s="19"/>
      <c r="AO91" s="19"/>
      <c r="AP91" s="19"/>
      <c r="AQ91" s="19"/>
      <c r="AR91" s="19"/>
      <c r="AS91" s="19"/>
      <c r="AT91" s="19"/>
      <c r="AU91" s="19"/>
      <c r="AV91" s="19"/>
    </row>
    <row r="92" spans="1:48" ht="16.5" customHeight="1" thickBot="1">
      <c r="A92" s="19"/>
      <c r="B92" s="19"/>
      <c r="C92" s="19"/>
      <c r="D92" s="19"/>
      <c r="E92" s="19"/>
      <c r="F92" s="19"/>
      <c r="G92" s="19"/>
      <c r="H92" s="35"/>
      <c r="I92" s="36"/>
      <c r="J92" s="36"/>
      <c r="K92" s="36"/>
      <c r="L92" s="84">
        <f>I79*2000+I80*6000+I81*3000+I82*6000+I83*20000+I84*45000+I85*10000+I86*10000+I88*50000+I89*60000+I90*5000000+I91*30000</f>
        <v>0</v>
      </c>
      <c r="M92" s="84">
        <f>I79*2000+I80*6000+I81*1000+I82*4000+I83*7000+I84*15000+I85*20000+I86*6000+I87*1000+I88*25000+I89*50000+I90*4000000+I91*40000</f>
        <v>0</v>
      </c>
      <c r="N92" s="85">
        <f>I83*2000+I85*10000+I86*2000+I88*15000+I89*15000+I90*1000000+I91*15000</f>
        <v>0</v>
      </c>
      <c r="O92" s="32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 s="19"/>
      <c r="AH92" s="19"/>
      <c r="AI92" s="19"/>
      <c r="AJ92" s="19"/>
      <c r="AK92" s="19"/>
      <c r="AL92" s="19"/>
      <c r="AM92" s="19"/>
      <c r="AN92" s="19"/>
      <c r="AO92" s="19"/>
      <c r="AP92" s="19"/>
      <c r="AQ92" s="19"/>
      <c r="AR92" s="19"/>
      <c r="AS92" s="19"/>
      <c r="AT92" s="19"/>
      <c r="AU92" s="19"/>
      <c r="AV92" s="19"/>
    </row>
    <row r="93" spans="1:48" ht="16.5" customHeight="1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  <c r="AE93" s="19"/>
      <c r="AF93" s="19"/>
      <c r="AG93" s="19"/>
      <c r="AH93" s="19"/>
      <c r="AI93" s="19"/>
      <c r="AJ93" s="19"/>
      <c r="AK93" s="19"/>
      <c r="AL93" s="19"/>
      <c r="AM93" s="19"/>
      <c r="AN93" s="19"/>
      <c r="AO93" s="19"/>
      <c r="AP93" s="19"/>
      <c r="AQ93" s="19"/>
      <c r="AR93" s="19"/>
      <c r="AS93" s="19"/>
      <c r="AT93" s="19"/>
      <c r="AU93" s="19"/>
      <c r="AV93" s="19"/>
    </row>
    <row r="94" spans="1:48" ht="16.5" customHeight="1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  <c r="AD94" s="19"/>
      <c r="AE94" s="19"/>
      <c r="AF94" s="19"/>
      <c r="AG94" s="19"/>
      <c r="AH94" s="19"/>
      <c r="AI94" s="19"/>
      <c r="AJ94" s="19"/>
      <c r="AK94" s="19"/>
      <c r="AL94" s="19"/>
      <c r="AM94" s="19"/>
      <c r="AN94" s="19"/>
      <c r="AO94" s="19"/>
      <c r="AP94" s="19"/>
      <c r="AQ94" s="19"/>
      <c r="AR94" s="19"/>
      <c r="AS94" s="19"/>
      <c r="AT94" s="19"/>
      <c r="AU94" s="19"/>
      <c r="AV94" s="19"/>
    </row>
    <row r="95" spans="1:48" ht="16.5" customHeight="1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  <c r="AH95" s="19"/>
      <c r="AI95" s="19"/>
      <c r="AJ95" s="19"/>
      <c r="AK95" s="19"/>
      <c r="AL95" s="19"/>
      <c r="AM95" s="19"/>
      <c r="AN95" s="19"/>
      <c r="AO95" s="19"/>
      <c r="AP95" s="19"/>
      <c r="AQ95" s="19"/>
      <c r="AR95" s="19"/>
      <c r="AS95" s="19"/>
      <c r="AT95" s="19"/>
      <c r="AU95" s="19"/>
      <c r="AV95" s="19"/>
    </row>
    <row r="96" spans="1:48" ht="16.5" customHeight="1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  <c r="AH96" s="19"/>
      <c r="AI96" s="19"/>
      <c r="AJ96" s="19"/>
      <c r="AK96" s="19"/>
      <c r="AL96" s="19"/>
      <c r="AM96" s="19"/>
      <c r="AN96" s="19"/>
      <c r="AO96" s="19"/>
      <c r="AP96" s="19"/>
      <c r="AQ96" s="19"/>
      <c r="AR96" s="19"/>
      <c r="AS96" s="19"/>
      <c r="AT96" s="19"/>
      <c r="AU96" s="19"/>
      <c r="AV96" s="19"/>
    </row>
    <row r="97" spans="1:48" ht="16.5" customHeight="1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  <c r="AH97" s="19"/>
      <c r="AI97" s="19"/>
      <c r="AJ97" s="19"/>
      <c r="AK97" s="19"/>
      <c r="AL97" s="19"/>
      <c r="AM97" s="19"/>
      <c r="AN97" s="19"/>
      <c r="AO97" s="19"/>
      <c r="AP97" s="19"/>
      <c r="AQ97" s="19"/>
      <c r="AR97" s="19"/>
      <c r="AS97" s="19"/>
      <c r="AT97" s="19"/>
      <c r="AU97" s="19"/>
      <c r="AV97" s="19"/>
    </row>
    <row r="98" spans="1:48" ht="16.5" customHeight="1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  <c r="AH98" s="19"/>
      <c r="AI98" s="19"/>
      <c r="AJ98" s="19"/>
      <c r="AK98" s="19"/>
      <c r="AL98" s="19"/>
      <c r="AM98" s="19"/>
      <c r="AN98" s="19"/>
      <c r="AO98" s="19"/>
      <c r="AP98" s="19"/>
      <c r="AQ98" s="19"/>
      <c r="AR98" s="19"/>
      <c r="AS98" s="19"/>
      <c r="AT98" s="19"/>
      <c r="AU98" s="19"/>
      <c r="AV98" s="19"/>
    </row>
    <row r="99" spans="1:48" ht="16.5" customHeight="1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  <c r="AH99" s="19"/>
      <c r="AI99" s="19"/>
      <c r="AJ99" s="19"/>
      <c r="AK99" s="19"/>
      <c r="AL99" s="19"/>
      <c r="AM99" s="19"/>
      <c r="AN99" s="19"/>
      <c r="AO99" s="19"/>
      <c r="AP99" s="19"/>
      <c r="AQ99" s="19"/>
      <c r="AR99" s="19"/>
      <c r="AS99" s="19"/>
      <c r="AT99" s="19"/>
      <c r="AU99" s="19"/>
      <c r="AV99" s="19"/>
    </row>
    <row r="100" spans="1:48" ht="16.5" customHeight="1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  <c r="AH100" s="19"/>
      <c r="AI100" s="19"/>
      <c r="AJ100" s="19"/>
      <c r="AK100" s="19"/>
      <c r="AL100" s="19"/>
      <c r="AM100" s="19"/>
      <c r="AN100" s="19"/>
      <c r="AO100" s="19"/>
      <c r="AP100" s="19"/>
      <c r="AQ100" s="19"/>
      <c r="AR100" s="19"/>
      <c r="AS100" s="19"/>
      <c r="AT100" s="19"/>
      <c r="AU100" s="19"/>
      <c r="AV100" s="19"/>
    </row>
    <row r="101" spans="1:48" ht="16.5" customHeight="1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  <c r="AH101" s="19"/>
      <c r="AI101" s="19"/>
      <c r="AJ101" s="19"/>
      <c r="AK101" s="19"/>
      <c r="AL101" s="19"/>
      <c r="AM101" s="19"/>
      <c r="AN101" s="19"/>
      <c r="AO101" s="19"/>
      <c r="AP101" s="19"/>
      <c r="AQ101" s="19"/>
      <c r="AR101" s="19"/>
      <c r="AS101" s="19"/>
      <c r="AT101" s="19"/>
      <c r="AU101" s="19"/>
      <c r="AV101" s="19"/>
    </row>
    <row r="102" spans="1:48" ht="16.5" customHeight="1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  <c r="AH102" s="19"/>
      <c r="AI102" s="19"/>
      <c r="AJ102" s="19"/>
      <c r="AK102" s="19"/>
      <c r="AL102" s="19"/>
      <c r="AM102" s="19"/>
      <c r="AN102" s="19"/>
      <c r="AO102" s="19"/>
      <c r="AP102" s="19"/>
      <c r="AQ102" s="19"/>
      <c r="AR102" s="19"/>
      <c r="AS102" s="19"/>
      <c r="AT102" s="19"/>
      <c r="AU102" s="19"/>
      <c r="AV102" s="19"/>
    </row>
    <row r="103" spans="1:48" ht="16.5" customHeight="1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  <c r="AD103" s="19"/>
      <c r="AE103" s="19"/>
      <c r="AF103" s="19"/>
      <c r="AG103" s="19"/>
      <c r="AH103" s="19"/>
      <c r="AI103" s="19"/>
      <c r="AJ103" s="19"/>
      <c r="AK103" s="19"/>
      <c r="AL103" s="19"/>
      <c r="AM103" s="19"/>
      <c r="AN103" s="19"/>
      <c r="AO103" s="19"/>
      <c r="AP103" s="19"/>
      <c r="AQ103" s="19"/>
      <c r="AR103" s="19"/>
      <c r="AS103" s="19"/>
      <c r="AT103" s="19"/>
      <c r="AU103" s="19"/>
      <c r="AV103" s="19"/>
    </row>
    <row r="104" spans="1:48" ht="16.5" customHeight="1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  <c r="AD104" s="19"/>
      <c r="AE104" s="19"/>
      <c r="AF104" s="19"/>
      <c r="AG104" s="19"/>
      <c r="AH104" s="19"/>
      <c r="AI104" s="19"/>
      <c r="AJ104" s="19"/>
      <c r="AK104" s="19"/>
      <c r="AL104" s="19"/>
      <c r="AM104" s="19"/>
      <c r="AN104" s="19"/>
      <c r="AO104" s="19"/>
      <c r="AP104" s="19"/>
      <c r="AQ104" s="19"/>
      <c r="AR104" s="19"/>
      <c r="AS104" s="19"/>
      <c r="AT104" s="19"/>
      <c r="AU104" s="19"/>
      <c r="AV104" s="19"/>
    </row>
    <row r="105" spans="1:48" ht="16.5" customHeight="1">
      <c r="A105" s="19"/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  <c r="AH105" s="19"/>
      <c r="AI105" s="19"/>
      <c r="AJ105" s="19"/>
      <c r="AK105" s="19"/>
      <c r="AL105" s="19"/>
      <c r="AM105" s="19"/>
      <c r="AN105" s="19"/>
      <c r="AO105" s="19"/>
      <c r="AP105" s="19"/>
      <c r="AQ105" s="19"/>
      <c r="AR105" s="19"/>
      <c r="AS105" s="19"/>
      <c r="AT105" s="19"/>
      <c r="AU105" s="19"/>
      <c r="AV105" s="19"/>
    </row>
    <row r="106" spans="1:48" ht="16.5" customHeight="1">
      <c r="A106" s="19"/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  <c r="AH106" s="19"/>
      <c r="AI106" s="19"/>
      <c r="AJ106" s="19"/>
      <c r="AK106" s="19"/>
      <c r="AL106" s="19"/>
      <c r="AM106" s="19"/>
      <c r="AN106" s="19"/>
      <c r="AO106" s="19"/>
      <c r="AP106" s="19"/>
      <c r="AQ106" s="19"/>
      <c r="AR106" s="19"/>
      <c r="AS106" s="19"/>
      <c r="AT106" s="19"/>
      <c r="AU106" s="19"/>
      <c r="AV106" s="19"/>
    </row>
    <row r="107" spans="1:48" ht="16.5" customHeight="1">
      <c r="A107" s="19"/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  <c r="AD107" s="19"/>
      <c r="AE107" s="19"/>
      <c r="AF107" s="19"/>
      <c r="AG107" s="19"/>
      <c r="AH107" s="19"/>
      <c r="AI107" s="19"/>
      <c r="AJ107" s="19"/>
      <c r="AK107" s="19"/>
      <c r="AL107" s="19"/>
      <c r="AM107" s="19"/>
      <c r="AN107" s="19"/>
      <c r="AO107" s="19"/>
      <c r="AP107" s="19"/>
      <c r="AQ107" s="19"/>
      <c r="AR107" s="19"/>
      <c r="AS107" s="19"/>
      <c r="AT107" s="19"/>
      <c r="AU107" s="19"/>
      <c r="AV107" s="19"/>
    </row>
    <row r="108" spans="1:48" ht="16.5" customHeight="1">
      <c r="A108" s="19"/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  <c r="AD108" s="19"/>
      <c r="AE108" s="19"/>
      <c r="AF108" s="19"/>
      <c r="AG108" s="19"/>
      <c r="AH108" s="19"/>
      <c r="AI108" s="19"/>
      <c r="AJ108" s="19"/>
      <c r="AK108" s="19"/>
      <c r="AL108" s="19"/>
      <c r="AM108" s="19"/>
      <c r="AN108" s="19"/>
      <c r="AO108" s="19"/>
      <c r="AP108" s="19"/>
      <c r="AQ108" s="19"/>
      <c r="AR108" s="19"/>
      <c r="AS108" s="19"/>
      <c r="AT108" s="19"/>
      <c r="AU108" s="19"/>
      <c r="AV108" s="19"/>
    </row>
    <row r="109" spans="1:48" ht="16.5" customHeight="1">
      <c r="A109" s="19"/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  <c r="AH109" s="19"/>
      <c r="AI109" s="19"/>
      <c r="AJ109" s="19"/>
      <c r="AK109" s="19"/>
      <c r="AL109" s="19"/>
      <c r="AM109" s="19"/>
      <c r="AN109" s="19"/>
      <c r="AO109" s="19"/>
      <c r="AP109" s="19"/>
      <c r="AQ109" s="19"/>
      <c r="AR109" s="19"/>
      <c r="AS109" s="19"/>
      <c r="AT109" s="19"/>
      <c r="AU109" s="19"/>
      <c r="AV109" s="19"/>
    </row>
    <row r="110" spans="1:48" ht="16.5" customHeight="1">
      <c r="A110" s="19"/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  <c r="AH110" s="19"/>
      <c r="AI110" s="19"/>
      <c r="AJ110" s="19"/>
      <c r="AK110" s="19"/>
      <c r="AL110" s="19"/>
      <c r="AM110" s="19"/>
      <c r="AN110" s="19"/>
      <c r="AO110" s="19"/>
      <c r="AP110" s="19"/>
      <c r="AQ110" s="19"/>
      <c r="AR110" s="19"/>
      <c r="AS110" s="19"/>
      <c r="AT110" s="19"/>
      <c r="AU110" s="19"/>
      <c r="AV110" s="19"/>
    </row>
    <row r="111" spans="1:48" ht="16.5" customHeight="1">
      <c r="A111" s="19"/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  <c r="AD111" s="19"/>
      <c r="AE111" s="19"/>
      <c r="AF111" s="19"/>
      <c r="AG111" s="19"/>
      <c r="AH111" s="19"/>
      <c r="AI111" s="19"/>
      <c r="AJ111" s="19"/>
      <c r="AK111" s="19"/>
      <c r="AL111" s="19"/>
      <c r="AM111" s="19"/>
      <c r="AN111" s="19"/>
      <c r="AO111" s="19"/>
      <c r="AP111" s="19"/>
      <c r="AQ111" s="19"/>
      <c r="AR111" s="19"/>
      <c r="AS111" s="19"/>
      <c r="AT111" s="19"/>
      <c r="AU111" s="19"/>
      <c r="AV111" s="45" t="s">
        <v>49</v>
      </c>
    </row>
  </sheetData>
  <sheetProtection password="C9E1" sheet="1" objects="1" scenarios="1" selectLockedCells="1"/>
  <mergeCells count="34">
    <mergeCell ref="G2:G27"/>
    <mergeCell ref="H17:K17"/>
    <mergeCell ref="R28:T28"/>
    <mergeCell ref="R27:T27"/>
    <mergeCell ref="R26:T26"/>
    <mergeCell ref="R25:T25"/>
    <mergeCell ref="R24:T24"/>
    <mergeCell ref="R23:T23"/>
    <mergeCell ref="R1:R3"/>
    <mergeCell ref="I2:J2"/>
    <mergeCell ref="K2:N2"/>
    <mergeCell ref="R46:T46"/>
    <mergeCell ref="G61:G75"/>
    <mergeCell ref="I61:J61"/>
    <mergeCell ref="K61:N61"/>
    <mergeCell ref="G77:G91"/>
    <mergeCell ref="I77:J77"/>
    <mergeCell ref="K77:N77"/>
    <mergeCell ref="R47:T47"/>
    <mergeCell ref="G45:G59"/>
    <mergeCell ref="I45:J45"/>
    <mergeCell ref="K45:N45"/>
    <mergeCell ref="R37:T37"/>
    <mergeCell ref="R38:T38"/>
    <mergeCell ref="R39:T39"/>
    <mergeCell ref="R40:T40"/>
    <mergeCell ref="R41:T41"/>
    <mergeCell ref="G29:G43"/>
    <mergeCell ref="I29:J29"/>
    <mergeCell ref="K29:N29"/>
    <mergeCell ref="R42:T42"/>
    <mergeCell ref="R43:T43"/>
    <mergeCell ref="R44:T44"/>
    <mergeCell ref="R45:T45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Aanvallend</vt:lpstr>
      <vt:lpstr>Verdedigend</vt:lpstr>
    </vt:vector>
  </TitlesOfParts>
  <Company>x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idc</dc:creator>
  <cp:lastModifiedBy>Stuit</cp:lastModifiedBy>
  <dcterms:created xsi:type="dcterms:W3CDTF">2006-09-02T12:34:59Z</dcterms:created>
  <dcterms:modified xsi:type="dcterms:W3CDTF">2013-04-28T19:27:27Z</dcterms:modified>
</cp:coreProperties>
</file>