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1001f90ae3f5bff9/Office AKC^MSQT/1. Waseem 20-12-21/2. Sole/Year 2022/5. May Sole- 2022/"/>
    </mc:Choice>
  </mc:AlternateContent>
  <xr:revisionPtr revIDLastSave="37" documentId="11_E8F7B07CABB5D7C50202D90763FAE049FE2D00FD" xr6:coauthVersionLast="47" xr6:coauthVersionMax="47" xr10:uidLastSave="{502AE0FB-858A-4B60-B72F-6D4FF5A27AD7}"/>
  <bookViews>
    <workbookView xWindow="-120" yWindow="-120" windowWidth="20730" windowHeight="11160" tabRatio="961" xr2:uid="{00000000-000D-0000-FFFF-FFFF00000000}"/>
  </bookViews>
  <sheets>
    <sheet name="Expense Detail New (2)" sheetId="14" r:id="rId1"/>
  </sheets>
  <definedNames>
    <definedName name="_xlnm._FilterDatabase" localSheetId="0" hidden="1">'Expense Detail New (2)'!#REF!</definedName>
    <definedName name="_xlnm.Print_Area" localSheetId="0">'Expense Detail New (2)'!$A$2:$G$70</definedName>
    <definedName name="_xlnm.Print_Titles" localSheetId="0">'Expense Detail New (2)'!$A:$D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1" i="14" l="1"/>
  <c r="O81" i="14"/>
  <c r="N81" i="14"/>
  <c r="M81" i="14"/>
  <c r="L81" i="14"/>
  <c r="K81" i="14"/>
  <c r="J81" i="14"/>
  <c r="I81" i="14"/>
  <c r="H81" i="14"/>
  <c r="G81" i="14"/>
  <c r="F81" i="14"/>
  <c r="E81" i="14"/>
  <c r="P136" i="14"/>
  <c r="P107" i="14" l="1"/>
  <c r="P71" i="14" l="1"/>
  <c r="P122" i="14"/>
  <c r="P113" i="14"/>
  <c r="P106" i="14"/>
  <c r="P105" i="14"/>
  <c r="P104" i="14"/>
  <c r="P103" i="14"/>
  <c r="P102" i="14"/>
  <c r="P56" i="14" l="1"/>
  <c r="P54" i="14"/>
  <c r="P50" i="14"/>
  <c r="P49" i="14"/>
  <c r="P46" i="14"/>
  <c r="P36" i="14"/>
  <c r="P35" i="14"/>
  <c r="P32" i="14"/>
  <c r="P29" i="14"/>
  <c r="P13" i="14"/>
  <c r="P12" i="14"/>
  <c r="P6" i="14"/>
  <c r="P58" i="14" l="1"/>
  <c r="E58" i="14"/>
  <c r="O57" i="14"/>
  <c r="L57" i="14"/>
  <c r="G57" i="14"/>
  <c r="G58" i="14" s="1"/>
  <c r="N56" i="14"/>
  <c r="M56" i="14"/>
  <c r="J56" i="14"/>
  <c r="I56" i="14"/>
  <c r="F56" i="14"/>
  <c r="F58" i="14" s="1"/>
  <c r="J55" i="14"/>
  <c r="J54" i="14"/>
  <c r="J52" i="14"/>
  <c r="O50" i="14"/>
  <c r="N50" i="14"/>
  <c r="M50" i="14"/>
  <c r="L50" i="14"/>
  <c r="K50" i="14"/>
  <c r="K58" i="14" s="1"/>
  <c r="J50" i="14"/>
  <c r="I50" i="14"/>
  <c r="H50" i="14"/>
  <c r="H58" i="14" s="1"/>
  <c r="O49" i="14"/>
  <c r="M49" i="14"/>
  <c r="P134" i="14"/>
  <c r="P135" i="14" s="1"/>
  <c r="O134" i="14"/>
  <c r="O135" i="14" s="1"/>
  <c r="N134" i="14"/>
  <c r="N135" i="14" s="1"/>
  <c r="M134" i="14"/>
  <c r="M135" i="14" s="1"/>
  <c r="L134" i="14"/>
  <c r="L135" i="14" s="1"/>
  <c r="K134" i="14"/>
  <c r="K135" i="14" s="1"/>
  <c r="J134" i="14"/>
  <c r="J135" i="14" s="1"/>
  <c r="I134" i="14"/>
  <c r="I135" i="14" s="1"/>
  <c r="H134" i="14"/>
  <c r="H135" i="14" s="1"/>
  <c r="G134" i="14"/>
  <c r="G135" i="14" s="1"/>
  <c r="F134" i="14"/>
  <c r="F135" i="14" s="1"/>
  <c r="E134" i="14"/>
  <c r="E135" i="14" s="1"/>
  <c r="Q240" i="14"/>
  <c r="P167" i="14"/>
  <c r="O167" i="14"/>
  <c r="N167" i="14"/>
  <c r="M167" i="14"/>
  <c r="L167" i="14"/>
  <c r="K167" i="14"/>
  <c r="F167" i="14"/>
  <c r="E167" i="14"/>
  <c r="P157" i="14"/>
  <c r="O157" i="14"/>
  <c r="N157" i="14"/>
  <c r="M157" i="14"/>
  <c r="L157" i="14"/>
  <c r="K157" i="14"/>
  <c r="J157" i="14"/>
  <c r="I157" i="14"/>
  <c r="H157" i="14"/>
  <c r="G157" i="14"/>
  <c r="F157" i="14"/>
  <c r="E157" i="14"/>
  <c r="P147" i="14"/>
  <c r="M147" i="14"/>
  <c r="E147" i="14"/>
  <c r="P130" i="14"/>
  <c r="O130" i="14"/>
  <c r="M130" i="14"/>
  <c r="E130" i="14"/>
  <c r="P120" i="14"/>
  <c r="N120" i="14"/>
  <c r="L120" i="14"/>
  <c r="K120" i="14"/>
  <c r="I120" i="14"/>
  <c r="G120" i="14"/>
  <c r="F120" i="14"/>
  <c r="E120" i="14"/>
  <c r="P11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P90" i="14"/>
  <c r="I58" i="14" l="1"/>
  <c r="M58" i="14"/>
  <c r="O58" i="14"/>
  <c r="J58" i="14"/>
  <c r="N58" i="14"/>
  <c r="L58" i="14"/>
  <c r="J124" i="14" l="1"/>
  <c r="J130" i="14" s="1"/>
  <c r="J162" i="14"/>
  <c r="J167" i="14" s="1"/>
  <c r="J159" i="14"/>
  <c r="I162" i="14"/>
  <c r="I167" i="14" s="1"/>
  <c r="I159" i="14"/>
  <c r="H162" i="14"/>
  <c r="H167" i="14" s="1"/>
  <c r="H159" i="14"/>
  <c r="G162" i="14"/>
  <c r="G167" i="14" s="1"/>
  <c r="G159" i="14"/>
  <c r="N124" i="14"/>
  <c r="N130" i="14" s="1"/>
  <c r="N123" i="14"/>
  <c r="L124" i="14"/>
  <c r="L130" i="14" s="1"/>
  <c r="L123" i="14"/>
  <c r="K124" i="14"/>
  <c r="K130" i="14" s="1"/>
  <c r="K123" i="14"/>
  <c r="J123" i="14"/>
  <c r="I124" i="14"/>
  <c r="I123" i="14"/>
  <c r="H125" i="14"/>
  <c r="H123" i="14"/>
  <c r="G124" i="14"/>
  <c r="G130" i="14" s="1"/>
  <c r="G123" i="14"/>
  <c r="F125" i="14"/>
  <c r="F122" i="14"/>
  <c r="O104" i="14"/>
  <c r="O105" i="14"/>
  <c r="O103" i="14"/>
  <c r="O102" i="14"/>
  <c r="N104" i="14"/>
  <c r="N105" i="14"/>
  <c r="N103" i="14"/>
  <c r="N102" i="14"/>
  <c r="M104" i="14"/>
  <c r="M105" i="14"/>
  <c r="M103" i="14"/>
  <c r="M102" i="14"/>
  <c r="L104" i="14"/>
  <c r="L105" i="14"/>
  <c r="L103" i="14"/>
  <c r="L102" i="14"/>
  <c r="K104" i="14"/>
  <c r="K105" i="14"/>
  <c r="K103" i="14"/>
  <c r="K102" i="14"/>
  <c r="J104" i="14"/>
  <c r="J105" i="14"/>
  <c r="J103" i="14"/>
  <c r="J102" i="14"/>
  <c r="I104" i="14"/>
  <c r="I105" i="14"/>
  <c r="I103" i="14"/>
  <c r="I102" i="14"/>
  <c r="H104" i="14"/>
  <c r="H105" i="14"/>
  <c r="H103" i="14"/>
  <c r="H102" i="14"/>
  <c r="G104" i="14"/>
  <c r="G105" i="14"/>
  <c r="G103" i="14"/>
  <c r="G102" i="14"/>
  <c r="F104" i="14"/>
  <c r="F105" i="14"/>
  <c r="F103" i="14"/>
  <c r="F102" i="14"/>
  <c r="E104" i="14"/>
  <c r="E105" i="14"/>
  <c r="E103" i="14"/>
  <c r="E102" i="14"/>
  <c r="O115" i="14"/>
  <c r="O120" i="14" s="1"/>
  <c r="O112" i="14"/>
  <c r="J115" i="14"/>
  <c r="J112" i="14"/>
  <c r="H115" i="14"/>
  <c r="H112" i="14"/>
  <c r="O85" i="14"/>
  <c r="O90" i="14" s="1"/>
  <c r="O82" i="14"/>
  <c r="N85" i="14"/>
  <c r="N90" i="14" s="1"/>
  <c r="N82" i="14"/>
  <c r="M85" i="14"/>
  <c r="M90" i="14" s="1"/>
  <c r="M82" i="14"/>
  <c r="L85" i="14"/>
  <c r="L90" i="14" s="1"/>
  <c r="L82" i="14"/>
  <c r="K85" i="14"/>
  <c r="K90" i="14" s="1"/>
  <c r="K82" i="14"/>
  <c r="J82" i="14"/>
  <c r="J85" i="14"/>
  <c r="J90" i="14" s="1"/>
  <c r="I85" i="14"/>
  <c r="I90" i="14" s="1"/>
  <c r="I82" i="14"/>
  <c r="H82" i="14"/>
  <c r="H85" i="14"/>
  <c r="H90" i="14" s="1"/>
  <c r="G85" i="14"/>
  <c r="G90" i="14" s="1"/>
  <c r="G82" i="14"/>
  <c r="F85" i="14"/>
  <c r="F90" i="14" s="1"/>
  <c r="F82" i="14"/>
  <c r="E85" i="14"/>
  <c r="E90" i="14" s="1"/>
  <c r="E82" i="14"/>
  <c r="P168" i="14"/>
  <c r="O168" i="14"/>
  <c r="N168" i="14"/>
  <c r="M168" i="14"/>
  <c r="L168" i="14"/>
  <c r="K168" i="14"/>
  <c r="F168" i="14"/>
  <c r="E168" i="14"/>
  <c r="P158" i="14"/>
  <c r="O158" i="14"/>
  <c r="N158" i="14"/>
  <c r="M158" i="14"/>
  <c r="L158" i="14"/>
  <c r="K158" i="14"/>
  <c r="J158" i="14"/>
  <c r="I158" i="14"/>
  <c r="H158" i="14"/>
  <c r="G158" i="14"/>
  <c r="F158" i="14"/>
  <c r="E158" i="14"/>
  <c r="P148" i="14"/>
  <c r="E148" i="14"/>
  <c r="P131" i="14"/>
  <c r="P121" i="14"/>
  <c r="N121" i="14"/>
  <c r="L121" i="14"/>
  <c r="K121" i="14"/>
  <c r="I121" i="14"/>
  <c r="G121" i="14"/>
  <c r="F121" i="14"/>
  <c r="E121" i="14"/>
  <c r="P11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P91" i="14"/>
  <c r="H130" i="14" l="1"/>
  <c r="F130" i="14"/>
  <c r="P138" i="14" l="1"/>
  <c r="O138" i="14"/>
  <c r="N138" i="14"/>
  <c r="M138" i="14"/>
  <c r="L138" i="14"/>
  <c r="K138" i="14"/>
  <c r="J138" i="14"/>
  <c r="I138" i="14"/>
  <c r="H138" i="14"/>
  <c r="G138" i="14"/>
  <c r="F138" i="14"/>
  <c r="E138" i="14"/>
  <c r="O146" i="14" l="1"/>
  <c r="N146" i="14"/>
  <c r="M146" i="14"/>
  <c r="L146" i="14"/>
  <c r="K146" i="14"/>
  <c r="J146" i="14"/>
  <c r="I146" i="14"/>
  <c r="H146" i="14"/>
  <c r="G146" i="14"/>
  <c r="F146" i="14"/>
  <c r="L145" i="14"/>
  <c r="O143" i="14"/>
  <c r="N143" i="14"/>
  <c r="L143" i="14"/>
  <c r="K143" i="14"/>
  <c r="J143" i="14"/>
  <c r="I143" i="14"/>
  <c r="H143" i="14"/>
  <c r="G143" i="14"/>
  <c r="F143" i="14"/>
  <c r="O129" i="14"/>
  <c r="N129" i="14"/>
  <c r="M129" i="14"/>
  <c r="L129" i="14"/>
  <c r="K129" i="14"/>
  <c r="J129" i="14"/>
  <c r="I129" i="14"/>
  <c r="H129" i="14"/>
  <c r="G129" i="14"/>
  <c r="F129" i="14"/>
  <c r="E129" i="14"/>
  <c r="O128" i="14"/>
  <c r="N128" i="14"/>
  <c r="M128" i="14"/>
  <c r="L128" i="14"/>
  <c r="K128" i="14"/>
  <c r="J128" i="14"/>
  <c r="I128" i="14"/>
  <c r="H128" i="14"/>
  <c r="G128" i="14"/>
  <c r="F128" i="14"/>
  <c r="E128" i="14"/>
  <c r="I126" i="14"/>
  <c r="M116" i="14"/>
  <c r="M120" i="14" s="1"/>
  <c r="J116" i="14"/>
  <c r="J120" i="14" s="1"/>
  <c r="H116" i="14"/>
  <c r="H120" i="14" s="1"/>
  <c r="O107" i="14"/>
  <c r="M107" i="14"/>
  <c r="M110" i="14" s="1"/>
  <c r="J107" i="14"/>
  <c r="H107" i="14"/>
  <c r="G107" i="14"/>
  <c r="F107" i="14"/>
  <c r="E107" i="14"/>
  <c r="O106" i="14"/>
  <c r="N106" i="14"/>
  <c r="N110" i="14" s="1"/>
  <c r="L106" i="14"/>
  <c r="L110" i="14" s="1"/>
  <c r="K106" i="14"/>
  <c r="K110" i="14" s="1"/>
  <c r="J106" i="14"/>
  <c r="I106" i="14"/>
  <c r="I110" i="14" s="1"/>
  <c r="H106" i="14"/>
  <c r="G106" i="14"/>
  <c r="F106" i="14"/>
  <c r="E106" i="14"/>
  <c r="O92" i="14"/>
  <c r="G92" i="14"/>
  <c r="N91" i="14"/>
  <c r="P80" i="14"/>
  <c r="N80" i="14"/>
  <c r="L80" i="14"/>
  <c r="K80" i="14"/>
  <c r="I80" i="14"/>
  <c r="H80" i="14"/>
  <c r="G80" i="14"/>
  <c r="F80" i="14"/>
  <c r="E80" i="14"/>
  <c r="J79" i="14"/>
  <c r="J80" i="14" s="1"/>
  <c r="O74" i="14"/>
  <c r="O73" i="14"/>
  <c r="M73" i="14"/>
  <c r="M80" i="14" s="1"/>
  <c r="P69" i="14"/>
  <c r="O69" i="14"/>
  <c r="N69" i="14"/>
  <c r="M69" i="14"/>
  <c r="L69" i="14"/>
  <c r="K69" i="14"/>
  <c r="J69" i="14"/>
  <c r="I69" i="14"/>
  <c r="H69" i="14"/>
  <c r="G69" i="14"/>
  <c r="F69" i="14"/>
  <c r="E69" i="14"/>
  <c r="P47" i="14"/>
  <c r="J47" i="14"/>
  <c r="I47" i="14"/>
  <c r="G47" i="14"/>
  <c r="F47" i="14"/>
  <c r="O46" i="14"/>
  <c r="O47" i="14" s="1"/>
  <c r="N46" i="14"/>
  <c r="N47" i="14" s="1"/>
  <c r="M46" i="14"/>
  <c r="L46" i="14"/>
  <c r="L47" i="14" s="1"/>
  <c r="K46" i="14"/>
  <c r="K47" i="14" s="1"/>
  <c r="H45" i="14"/>
  <c r="H47" i="14" s="1"/>
  <c r="E45" i="14"/>
  <c r="E47" i="14" s="1"/>
  <c r="M41" i="14"/>
  <c r="P37" i="14"/>
  <c r="K37" i="14"/>
  <c r="I37" i="14"/>
  <c r="G37" i="14"/>
  <c r="E37" i="14"/>
  <c r="O36" i="14"/>
  <c r="M36" i="14"/>
  <c r="L36" i="14"/>
  <c r="J36" i="14"/>
  <c r="H36" i="14"/>
  <c r="N35" i="14"/>
  <c r="M35" i="14"/>
  <c r="J35" i="14"/>
  <c r="H35" i="14"/>
  <c r="F35" i="14"/>
  <c r="J34" i="14"/>
  <c r="O32" i="14"/>
  <c r="M32" i="14"/>
  <c r="L32" i="14"/>
  <c r="J32" i="14"/>
  <c r="H32" i="14"/>
  <c r="F32" i="14"/>
  <c r="N31" i="14"/>
  <c r="O29" i="14"/>
  <c r="N29" i="14"/>
  <c r="M29" i="14"/>
  <c r="L29" i="14"/>
  <c r="J29" i="14"/>
  <c r="H29" i="14"/>
  <c r="F29" i="14"/>
  <c r="J28" i="14"/>
  <c r="J27" i="14"/>
  <c r="J26" i="14"/>
  <c r="P25" i="14"/>
  <c r="K25" i="14"/>
  <c r="O24" i="14"/>
  <c r="M24" i="14"/>
  <c r="L24" i="14"/>
  <c r="J24" i="14"/>
  <c r="H24" i="14"/>
  <c r="N23" i="14"/>
  <c r="J23" i="14"/>
  <c r="I23" i="14"/>
  <c r="H23" i="14"/>
  <c r="H25" i="14" s="1"/>
  <c r="G23" i="14"/>
  <c r="G25" i="14" s="1"/>
  <c r="E23" i="14"/>
  <c r="E25" i="14" s="1"/>
  <c r="O22" i="14"/>
  <c r="N22" i="14"/>
  <c r="L22" i="14"/>
  <c r="I22" i="14"/>
  <c r="O21" i="14"/>
  <c r="I21" i="14"/>
  <c r="O20" i="14"/>
  <c r="J20" i="14"/>
  <c r="I20" i="14"/>
  <c r="O19" i="14"/>
  <c r="M19" i="14"/>
  <c r="M25" i="14" s="1"/>
  <c r="L19" i="14"/>
  <c r="J19" i="14"/>
  <c r="I19" i="14"/>
  <c r="F19" i="14"/>
  <c r="F25" i="14" s="1"/>
  <c r="O17" i="14"/>
  <c r="L17" i="14"/>
  <c r="J17" i="14"/>
  <c r="J16" i="14"/>
  <c r="J15" i="14"/>
  <c r="P14" i="14"/>
  <c r="E14" i="14"/>
  <c r="O13" i="14"/>
  <c r="L13" i="14"/>
  <c r="I13" i="14"/>
  <c r="H13" i="14"/>
  <c r="F13" i="14"/>
  <c r="F14" i="14" s="1"/>
  <c r="N12" i="14"/>
  <c r="N14" i="14" s="1"/>
  <c r="M12" i="14"/>
  <c r="M14" i="14" s="1"/>
  <c r="J12" i="14"/>
  <c r="H12" i="14"/>
  <c r="G12" i="14"/>
  <c r="G14" i="14" s="1"/>
  <c r="J11" i="14"/>
  <c r="K10" i="14"/>
  <c r="K14" i="14" s="1"/>
  <c r="J10" i="14"/>
  <c r="I10" i="14"/>
  <c r="H10" i="14"/>
  <c r="J9" i="14"/>
  <c r="J8" i="14"/>
  <c r="L6" i="14"/>
  <c r="L14" i="14" s="1"/>
  <c r="J6" i="14"/>
  <c r="O5" i="14"/>
  <c r="J5" i="14"/>
  <c r="J4" i="14"/>
  <c r="I4" i="14"/>
  <c r="F131" i="14" l="1"/>
  <c r="N131" i="14"/>
  <c r="J110" i="14"/>
  <c r="J111" i="14" s="1"/>
  <c r="O131" i="14"/>
  <c r="E110" i="14"/>
  <c r="E111" i="14" s="1"/>
  <c r="H131" i="14"/>
  <c r="H110" i="14"/>
  <c r="H111" i="14" s="1"/>
  <c r="J131" i="14"/>
  <c r="J147" i="14"/>
  <c r="J148" i="14" s="1"/>
  <c r="K147" i="14"/>
  <c r="K148" i="14" s="1"/>
  <c r="O110" i="14"/>
  <c r="O111" i="14" s="1"/>
  <c r="H147" i="14"/>
  <c r="H148" i="14" s="1"/>
  <c r="L147" i="14"/>
  <c r="L148" i="14" s="1"/>
  <c r="F147" i="14"/>
  <c r="F148" i="14" s="1"/>
  <c r="O147" i="14"/>
  <c r="O148" i="14" s="1"/>
  <c r="I130" i="14"/>
  <c r="I131" i="14" s="1"/>
  <c r="G147" i="14"/>
  <c r="G148" i="14" s="1"/>
  <c r="M148" i="14"/>
  <c r="F110" i="14"/>
  <c r="F111" i="14" s="1"/>
  <c r="G110" i="14"/>
  <c r="G111" i="14" s="1"/>
  <c r="I147" i="14"/>
  <c r="I148" i="14" s="1"/>
  <c r="N147" i="14"/>
  <c r="N148" i="14" s="1"/>
  <c r="E131" i="14"/>
  <c r="M131" i="14"/>
  <c r="K131" i="14"/>
  <c r="G131" i="14"/>
  <c r="L131" i="14"/>
  <c r="K111" i="14"/>
  <c r="H121" i="14"/>
  <c r="L111" i="14"/>
  <c r="M111" i="14"/>
  <c r="J168" i="14"/>
  <c r="G168" i="14"/>
  <c r="H168" i="14"/>
  <c r="I168" i="14"/>
  <c r="L91" i="14"/>
  <c r="E91" i="14"/>
  <c r="I91" i="14"/>
  <c r="M91" i="14"/>
  <c r="I111" i="14"/>
  <c r="J121" i="14"/>
  <c r="M121" i="14"/>
  <c r="H91" i="14"/>
  <c r="F91" i="14"/>
  <c r="J91" i="14"/>
  <c r="N111" i="14"/>
  <c r="O121" i="14"/>
  <c r="G91" i="14"/>
  <c r="K91" i="14"/>
  <c r="O91" i="14"/>
  <c r="I14" i="14"/>
  <c r="O14" i="14"/>
  <c r="J37" i="14"/>
  <c r="L37" i="14"/>
  <c r="M37" i="14"/>
  <c r="O37" i="14"/>
  <c r="J25" i="14"/>
  <c r="H14" i="14"/>
  <c r="H37" i="14"/>
  <c r="J14" i="14"/>
  <c r="L25" i="14"/>
  <c r="I25" i="14"/>
  <c r="O25" i="14"/>
  <c r="N25" i="14"/>
  <c r="F37" i="14"/>
  <c r="M47" i="14"/>
  <c r="O80" i="14"/>
  <c r="N36" i="14"/>
  <c r="N37" i="14" s="1"/>
</calcChain>
</file>

<file path=xl/sharedStrings.xml><?xml version="1.0" encoding="utf-8"?>
<sst xmlns="http://schemas.openxmlformats.org/spreadsheetml/2006/main" count="677" uniqueCount="79">
  <si>
    <t>Region</t>
  </si>
  <si>
    <t>Multan</t>
  </si>
  <si>
    <t>Salaries of Admin Staff</t>
  </si>
  <si>
    <t>Salaries of loader Staff</t>
  </si>
  <si>
    <t>Frieght local</t>
  </si>
  <si>
    <t>Frieght  outstation</t>
  </si>
  <si>
    <t>Miscellaneous expenses</t>
  </si>
  <si>
    <t>Sukkur</t>
  </si>
  <si>
    <t>ISB/RWP</t>
  </si>
  <si>
    <t>Hyderabad</t>
  </si>
  <si>
    <t>Head ( expenses)</t>
  </si>
  <si>
    <t>KPK</t>
  </si>
  <si>
    <t>Total</t>
  </si>
  <si>
    <t>Detail of Expenses</t>
  </si>
  <si>
    <t>Rent Expense</t>
  </si>
  <si>
    <t>Utility Expenses</t>
  </si>
  <si>
    <t>January</t>
  </si>
  <si>
    <t>Feburary</t>
  </si>
  <si>
    <t>Entertainment Expenses</t>
  </si>
  <si>
    <t>Loading/Unloading Expenses</t>
  </si>
  <si>
    <t>Salaries of Salesmen</t>
  </si>
  <si>
    <t>March</t>
  </si>
  <si>
    <t>April</t>
  </si>
  <si>
    <t>Karachi</t>
  </si>
  <si>
    <t>May</t>
  </si>
  <si>
    <t>Frieght Local</t>
  </si>
  <si>
    <t>June</t>
  </si>
  <si>
    <t>July</t>
  </si>
  <si>
    <t>August</t>
  </si>
  <si>
    <t>September</t>
  </si>
  <si>
    <t>Rent AKC</t>
  </si>
  <si>
    <t>Rent SQT</t>
  </si>
  <si>
    <t>Utility Expenses AKC</t>
  </si>
  <si>
    <t>Salaries of waseem</t>
  </si>
  <si>
    <t>Salaries of aqeel/usman</t>
  </si>
  <si>
    <t>Aqeel alam AKC</t>
  </si>
  <si>
    <t>Aqeel alam SQT</t>
  </si>
  <si>
    <t>Aqeel alam AKT</t>
  </si>
  <si>
    <t>Aqeel alam IPO and marketiers</t>
  </si>
  <si>
    <t>HO-AKC</t>
  </si>
  <si>
    <t>HO-SQT</t>
  </si>
  <si>
    <t>HO-AKT</t>
  </si>
  <si>
    <t>Freight</t>
  </si>
  <si>
    <t>Sole</t>
  </si>
  <si>
    <t>TTS</t>
  </si>
  <si>
    <t>Income</t>
  </si>
  <si>
    <t>October</t>
  </si>
  <si>
    <t>Sationery+Water+Internet+tonner</t>
  </si>
  <si>
    <t>Type</t>
  </si>
  <si>
    <t>Primary Sale</t>
  </si>
  <si>
    <t>Fruitien</t>
  </si>
  <si>
    <t>COS</t>
  </si>
  <si>
    <t>Sole Allocated</t>
  </si>
  <si>
    <t>Freight Allocated</t>
  </si>
  <si>
    <t>2. Freight of SQT in AKC</t>
  </si>
  <si>
    <t>1. Freight of SQT in AKC</t>
  </si>
  <si>
    <t>ABT</t>
  </si>
  <si>
    <t>QTA</t>
  </si>
  <si>
    <t>Total Expenses</t>
  </si>
  <si>
    <t>1. TTS of SQT in AKC</t>
  </si>
  <si>
    <t>2. TTS of SQT in AKC</t>
  </si>
  <si>
    <t>COS.</t>
  </si>
  <si>
    <t>Sationery, Courior and MISC</t>
  </si>
  <si>
    <t>Expenses-Salaries</t>
  </si>
  <si>
    <t>Expenses-Entertainment</t>
  </si>
  <si>
    <t>Expenses-Rent</t>
  </si>
  <si>
    <t>Expenses-Utilities</t>
  </si>
  <si>
    <t>Expenses-Freight</t>
  </si>
  <si>
    <t>Expenses-Misc</t>
  </si>
  <si>
    <t>Expenses-Professional Charges</t>
  </si>
  <si>
    <t>Reference</t>
  </si>
  <si>
    <t>November</t>
  </si>
  <si>
    <t>December</t>
  </si>
  <si>
    <t>0.4% Expense</t>
  </si>
  <si>
    <t>Expense</t>
  </si>
  <si>
    <t>Sole LMT's</t>
  </si>
  <si>
    <t>LMT's</t>
  </si>
  <si>
    <t>2. Adjustment of 0.4% exp.</t>
  </si>
  <si>
    <t>1. Adjustment of 0.4% 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</si>
</sst>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.00_-;\-* #,##0.00_-;_-* &quot;-&quot;??_-;_-@_-"/>
    <numFmt numFmtId="165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0.499984740745262"/>
      <name val="Times New Roman"/>
      <family val="1"/>
    </font>
    <font>
      <sz val="1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14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5" fontId="3" fillId="0" borderId="0" xfId="1" applyNumberFormat="1" applyFont="1"/>
    <xf numFmtId="165" fontId="3" fillId="0" borderId="0" xfId="0" applyNumberFormat="1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5" fontId="3" fillId="3" borderId="4" xfId="0" applyNumberFormat="1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165" fontId="3" fillId="3" borderId="8" xfId="1" applyNumberFormat="1" applyFont="1" applyFill="1" applyBorder="1" applyAlignment="1">
      <alignment horizontal="center"/>
    </xf>
    <xf numFmtId="165" fontId="3" fillId="3" borderId="5" xfId="1" applyNumberFormat="1" applyFont="1" applyFill="1" applyBorder="1" applyAlignment="1">
      <alignment horizontal="center"/>
    </xf>
    <xf numFmtId="165" fontId="3" fillId="3" borderId="7" xfId="0" applyNumberFormat="1" applyFont="1" applyFill="1" applyBorder="1" applyAlignment="1">
      <alignment horizontal="center"/>
    </xf>
    <xf numFmtId="165" fontId="3" fillId="3" borderId="10" xfId="0" applyNumberFormat="1" applyFont="1" applyFill="1" applyBorder="1"/>
    <xf numFmtId="165" fontId="3" fillId="3" borderId="7" xfId="0" applyNumberFormat="1" applyFont="1" applyFill="1" applyBorder="1"/>
    <xf numFmtId="165" fontId="3" fillId="3" borderId="7" xfId="2" applyNumberFormat="1" applyFont="1" applyFill="1" applyBorder="1"/>
    <xf numFmtId="0" fontId="3" fillId="3" borderId="4" xfId="0" applyFont="1" applyFill="1" applyBorder="1" applyAlignment="1">
      <alignment horizontal="left" vertical="center"/>
    </xf>
    <xf numFmtId="165" fontId="3" fillId="3" borderId="8" xfId="0" applyNumberFormat="1" applyFont="1" applyFill="1" applyBorder="1" applyAlignment="1">
      <alignment horizontal="center"/>
    </xf>
    <xf numFmtId="165" fontId="3" fillId="3" borderId="8" xfId="0" applyNumberFormat="1" applyFont="1" applyFill="1" applyBorder="1"/>
    <xf numFmtId="165" fontId="3" fillId="3" borderId="8" xfId="2" applyNumberFormat="1" applyFont="1" applyFill="1" applyBorder="1"/>
    <xf numFmtId="165" fontId="3" fillId="3" borderId="4" xfId="0" applyNumberFormat="1" applyFont="1" applyFill="1" applyBorder="1"/>
    <xf numFmtId="0" fontId="3" fillId="0" borderId="4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5" xfId="1" applyNumberFormat="1" applyFont="1" applyBorder="1" applyAlignment="1">
      <alignment horizontal="center" vertical="center"/>
    </xf>
    <xf numFmtId="165" fontId="3" fillId="0" borderId="8" xfId="0" applyNumberFormat="1" applyFont="1" applyBorder="1"/>
    <xf numFmtId="165" fontId="3" fillId="0" borderId="8" xfId="2" applyNumberFormat="1" applyFont="1" applyBorder="1"/>
    <xf numFmtId="165" fontId="3" fillId="0" borderId="4" xfId="0" applyNumberFormat="1" applyFont="1" applyBorder="1"/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165" fontId="3" fillId="4" borderId="5" xfId="1" applyNumberFormat="1" applyFont="1" applyFill="1" applyBorder="1" applyAlignment="1">
      <alignment horizontal="center" vertical="center"/>
    </xf>
    <xf numFmtId="165" fontId="3" fillId="4" borderId="8" xfId="0" applyNumberFormat="1" applyFont="1" applyFill="1" applyBorder="1"/>
    <xf numFmtId="165" fontId="3" fillId="4" borderId="8" xfId="2" applyNumberFormat="1" applyFont="1" applyFill="1" applyBorder="1"/>
    <xf numFmtId="0" fontId="3" fillId="5" borderId="4" xfId="0" applyFont="1" applyFill="1" applyBorder="1" applyAlignment="1">
      <alignment horizontal="left" vertical="center"/>
    </xf>
    <xf numFmtId="0" fontId="3" fillId="5" borderId="8" xfId="0" applyFont="1" applyFill="1" applyBorder="1" applyAlignment="1">
      <alignment horizontal="left" vertical="center"/>
    </xf>
    <xf numFmtId="165" fontId="3" fillId="5" borderId="8" xfId="1" applyNumberFormat="1" applyFont="1" applyFill="1" applyBorder="1" applyAlignment="1">
      <alignment horizontal="center" vertical="center"/>
    </xf>
    <xf numFmtId="165" fontId="3" fillId="5" borderId="5" xfId="1" applyNumberFormat="1" applyFont="1" applyFill="1" applyBorder="1" applyAlignment="1">
      <alignment horizontal="center" vertical="center"/>
    </xf>
    <xf numFmtId="165" fontId="3" fillId="5" borderId="8" xfId="0" applyNumberFormat="1" applyFont="1" applyFill="1" applyBorder="1"/>
    <xf numFmtId="165" fontId="3" fillId="5" borderId="8" xfId="0" applyNumberFormat="1" applyFont="1" applyFill="1" applyBorder="1" applyAlignment="1">
      <alignment horizontal="right" vertical="center"/>
    </xf>
    <xf numFmtId="165" fontId="3" fillId="5" borderId="4" xfId="0" applyNumberFormat="1" applyFont="1" applyFill="1" applyBorder="1"/>
    <xf numFmtId="165" fontId="3" fillId="5" borderId="8" xfId="2" applyNumberFormat="1" applyFont="1" applyFill="1" applyBorder="1"/>
    <xf numFmtId="0" fontId="3" fillId="0" borderId="9" xfId="0" applyFont="1" applyBorder="1" applyAlignment="1">
      <alignment horizontal="left" vertical="center"/>
    </xf>
    <xf numFmtId="165" fontId="3" fillId="0" borderId="8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165" fontId="4" fillId="0" borderId="6" xfId="1" applyNumberFormat="1" applyFont="1" applyBorder="1" applyAlignment="1">
      <alignment horizontal="center" vertical="center"/>
    </xf>
    <xf numFmtId="165" fontId="4" fillId="0" borderId="6" xfId="3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/>
    </xf>
    <xf numFmtId="165" fontId="3" fillId="3" borderId="8" xfId="1" applyNumberFormat="1" applyFont="1" applyFill="1" applyBorder="1" applyAlignment="1">
      <alignment horizontal="center" vertical="center"/>
    </xf>
    <xf numFmtId="165" fontId="3" fillId="3" borderId="5" xfId="1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right"/>
    </xf>
    <xf numFmtId="165" fontId="3" fillId="4" borderId="8" xfId="1" applyNumberFormat="1" applyFont="1" applyFill="1" applyBorder="1" applyAlignment="1">
      <alignment horizontal="center" vertical="center"/>
    </xf>
    <xf numFmtId="165" fontId="3" fillId="4" borderId="4" xfId="0" applyNumberFormat="1" applyFont="1" applyFill="1" applyBorder="1"/>
    <xf numFmtId="165" fontId="3" fillId="3" borderId="8" xfId="0" applyNumberFormat="1" applyFont="1" applyFill="1" applyBorder="1" applyAlignment="1">
      <alignment wrapText="1"/>
    </xf>
    <xf numFmtId="165" fontId="3" fillId="3" borderId="8" xfId="1" applyNumberFormat="1" applyFont="1" applyFill="1" applyBorder="1" applyAlignment="1">
      <alignment wrapText="1"/>
    </xf>
    <xf numFmtId="165" fontId="3" fillId="3" borderId="8" xfId="3" applyNumberFormat="1" applyFont="1" applyFill="1" applyBorder="1" applyAlignment="1">
      <alignment wrapText="1"/>
    </xf>
    <xf numFmtId="165" fontId="3" fillId="3" borderId="4" xfId="1" applyNumberFormat="1" applyFont="1" applyFill="1" applyBorder="1" applyAlignment="1">
      <alignment wrapText="1"/>
    </xf>
    <xf numFmtId="165" fontId="3" fillId="0" borderId="8" xfId="1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/>
    <xf numFmtId="165" fontId="3" fillId="0" borderId="8" xfId="3" applyNumberFormat="1" applyFont="1" applyFill="1" applyBorder="1"/>
    <xf numFmtId="165" fontId="3" fillId="0" borderId="4" xfId="1" applyNumberFormat="1" applyFont="1" applyFill="1" applyBorder="1"/>
    <xf numFmtId="165" fontId="3" fillId="5" borderId="8" xfId="0" applyNumberFormat="1" applyFont="1" applyFill="1" applyBorder="1" applyAlignment="1">
      <alignment horizontal="right"/>
    </xf>
    <xf numFmtId="165" fontId="3" fillId="3" borderId="7" xfId="1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165" fontId="3" fillId="3" borderId="8" xfId="2" applyNumberFormat="1" applyFont="1" applyFill="1" applyBorder="1" applyAlignment="1">
      <alignment horizontal="center" vertical="center"/>
    </xf>
    <xf numFmtId="165" fontId="3" fillId="3" borderId="4" xfId="0" applyNumberFormat="1" applyFont="1" applyFill="1" applyBorder="1" applyAlignment="1">
      <alignment horizontal="center" vertical="center"/>
    </xf>
    <xf numFmtId="165" fontId="3" fillId="0" borderId="9" xfId="1" applyNumberFormat="1" applyFont="1" applyFill="1" applyBorder="1" applyAlignment="1">
      <alignment horizontal="center" vertical="center"/>
    </xf>
    <xf numFmtId="165" fontId="3" fillId="0" borderId="9" xfId="1" applyNumberFormat="1" applyFont="1" applyBorder="1" applyAlignment="1">
      <alignment horizontal="center" vertical="center"/>
    </xf>
    <xf numFmtId="165" fontId="3" fillId="3" borderId="8" xfId="3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center" vertical="center"/>
    </xf>
    <xf numFmtId="165" fontId="3" fillId="0" borderId="8" xfId="1" applyNumberFormat="1" applyFont="1" applyFill="1" applyBorder="1" applyAlignment="1">
      <alignment horizontal="right" vertical="center"/>
    </xf>
    <xf numFmtId="165" fontId="3" fillId="0" borderId="8" xfId="3" applyNumberFormat="1" applyFont="1" applyFill="1" applyBorder="1" applyAlignment="1">
      <alignment horizontal="center" vertical="center"/>
    </xf>
    <xf numFmtId="165" fontId="3" fillId="0" borderId="4" xfId="1" applyNumberFormat="1" applyFont="1" applyFill="1" applyBorder="1" applyAlignment="1">
      <alignment horizontal="center" vertical="center"/>
    </xf>
    <xf numFmtId="165" fontId="3" fillId="4" borderId="8" xfId="3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165" fontId="3" fillId="6" borderId="8" xfId="1" applyNumberFormat="1" applyFont="1" applyFill="1" applyBorder="1" applyAlignment="1">
      <alignment horizontal="center" vertical="center"/>
    </xf>
    <xf numFmtId="165" fontId="3" fillId="6" borderId="8" xfId="3" applyNumberFormat="1" applyFont="1" applyFill="1" applyBorder="1" applyAlignment="1">
      <alignment horizontal="center" vertical="center"/>
    </xf>
    <xf numFmtId="165" fontId="3" fillId="6" borderId="4" xfId="1" applyNumberFormat="1" applyFont="1" applyFill="1" applyBorder="1" applyAlignment="1">
      <alignment horizontal="center" vertical="center"/>
    </xf>
    <xf numFmtId="165" fontId="3" fillId="2" borderId="8" xfId="1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165" fontId="3" fillId="6" borderId="9" xfId="1" applyNumberFormat="1" applyFont="1" applyFill="1" applyBorder="1" applyAlignment="1">
      <alignment horizontal="center" vertical="center"/>
    </xf>
    <xf numFmtId="165" fontId="3" fillId="2" borderId="8" xfId="3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165" fontId="4" fillId="0" borderId="3" xfId="0" applyNumberFormat="1" applyFont="1" applyBorder="1"/>
    <xf numFmtId="165" fontId="4" fillId="0" borderId="3" xfId="2" applyNumberFormat="1" applyFont="1" applyBorder="1"/>
    <xf numFmtId="165" fontId="4" fillId="0" borderId="2" xfId="0" applyNumberFormat="1" applyFont="1" applyBorder="1"/>
    <xf numFmtId="165" fontId="4" fillId="0" borderId="3" xfId="1" applyNumberFormat="1" applyFont="1" applyBorder="1" applyAlignment="1">
      <alignment horizontal="center" vertical="center"/>
    </xf>
    <xf numFmtId="0" fontId="5" fillId="8" borderId="7" xfId="0" applyFont="1" applyFill="1" applyBorder="1" applyAlignment="1">
      <alignment horizontal="left" vertical="center"/>
    </xf>
    <xf numFmtId="0" fontId="5" fillId="8" borderId="7" xfId="0" applyFont="1" applyFill="1" applyBorder="1"/>
    <xf numFmtId="165" fontId="5" fillId="8" borderId="7" xfId="1" applyNumberFormat="1" applyFont="1" applyFill="1" applyBorder="1"/>
    <xf numFmtId="165" fontId="5" fillId="8" borderId="7" xfId="1" applyNumberFormat="1" applyFont="1" applyFill="1" applyBorder="1" applyAlignment="1">
      <alignment wrapText="1"/>
    </xf>
    <xf numFmtId="165" fontId="5" fillId="8" borderId="10" xfId="1" applyNumberFormat="1" applyFont="1" applyFill="1" applyBorder="1" applyAlignment="1">
      <alignment wrapText="1"/>
    </xf>
    <xf numFmtId="165" fontId="5" fillId="8" borderId="10" xfId="1" applyNumberFormat="1" applyFont="1" applyFill="1" applyBorder="1"/>
    <xf numFmtId="0" fontId="3" fillId="7" borderId="8" xfId="0" applyFont="1" applyFill="1" applyBorder="1" applyAlignment="1">
      <alignment horizontal="left" vertical="center"/>
    </xf>
    <xf numFmtId="0" fontId="3" fillId="7" borderId="8" xfId="0" applyFont="1" applyFill="1" applyBorder="1"/>
    <xf numFmtId="165" fontId="3" fillId="7" borderId="8" xfId="1" applyNumberFormat="1" applyFont="1" applyFill="1" applyBorder="1"/>
    <xf numFmtId="165" fontId="3" fillId="7" borderId="8" xfId="1" applyNumberFormat="1" applyFont="1" applyFill="1" applyBorder="1" applyAlignment="1">
      <alignment wrapText="1"/>
    </xf>
    <xf numFmtId="165" fontId="3" fillId="7" borderId="4" xfId="1" applyNumberFormat="1" applyFont="1" applyFill="1" applyBorder="1" applyAlignment="1">
      <alignment wrapText="1"/>
    </xf>
    <xf numFmtId="165" fontId="3" fillId="7" borderId="4" xfId="1" applyNumberFormat="1" applyFont="1" applyFill="1" applyBorder="1"/>
    <xf numFmtId="0" fontId="3" fillId="9" borderId="8" xfId="0" applyFont="1" applyFill="1" applyBorder="1" applyAlignment="1">
      <alignment horizontal="left" vertical="center"/>
    </xf>
    <xf numFmtId="0" fontId="3" fillId="9" borderId="8" xfId="0" applyFont="1" applyFill="1" applyBorder="1"/>
    <xf numFmtId="165" fontId="3" fillId="9" borderId="8" xfId="1" applyNumberFormat="1" applyFont="1" applyFill="1" applyBorder="1"/>
    <xf numFmtId="165" fontId="3" fillId="9" borderId="4" xfId="1" applyNumberFormat="1" applyFont="1" applyFill="1" applyBorder="1"/>
    <xf numFmtId="0" fontId="4" fillId="0" borderId="6" xfId="0" applyFont="1" applyBorder="1" applyAlignment="1">
      <alignment horizontal="left" vertical="center"/>
    </xf>
    <xf numFmtId="0" fontId="4" fillId="0" borderId="6" xfId="0" applyFont="1" applyBorder="1"/>
    <xf numFmtId="165" fontId="4" fillId="0" borderId="6" xfId="1" applyNumberFormat="1" applyFont="1" applyFill="1" applyBorder="1"/>
    <xf numFmtId="0" fontId="5" fillId="8" borderId="8" xfId="0" applyFont="1" applyFill="1" applyBorder="1" applyAlignment="1">
      <alignment horizontal="left" vertical="center"/>
    </xf>
    <xf numFmtId="0" fontId="5" fillId="8" borderId="8" xfId="0" applyFont="1" applyFill="1" applyBorder="1"/>
    <xf numFmtId="165" fontId="5" fillId="8" borderId="8" xfId="1" applyNumberFormat="1" applyFont="1" applyFill="1" applyBorder="1"/>
    <xf numFmtId="165" fontId="5" fillId="8" borderId="8" xfId="1" applyNumberFormat="1" applyFont="1" applyFill="1" applyBorder="1" applyAlignment="1">
      <alignment wrapText="1"/>
    </xf>
    <xf numFmtId="165" fontId="5" fillId="8" borderId="4" xfId="1" applyNumberFormat="1" applyFont="1" applyFill="1" applyBorder="1" applyAlignment="1">
      <alignment wrapText="1"/>
    </xf>
    <xf numFmtId="165" fontId="5" fillId="8" borderId="4" xfId="1" applyNumberFormat="1" applyFont="1" applyFill="1" applyBorder="1"/>
    <xf numFmtId="165" fontId="5" fillId="8" borderId="7" xfId="1" applyNumberFormat="1" applyFont="1" applyFill="1" applyBorder="1" applyAlignment="1">
      <alignment vertical="center" wrapText="1"/>
    </xf>
    <xf numFmtId="165" fontId="5" fillId="8" borderId="10" xfId="1" applyNumberFormat="1" applyFont="1" applyFill="1" applyBorder="1" applyAlignment="1">
      <alignment vertical="center" wrapText="1"/>
    </xf>
    <xf numFmtId="165" fontId="5" fillId="8" borderId="10" xfId="1" applyNumberFormat="1" applyFont="1" applyFill="1" applyBorder="1" applyAlignment="1">
      <alignment vertical="center"/>
    </xf>
    <xf numFmtId="165" fontId="5" fillId="8" borderId="8" xfId="1" applyNumberFormat="1" applyFont="1" applyFill="1" applyBorder="1" applyAlignment="1">
      <alignment vertical="center" wrapText="1"/>
    </xf>
    <xf numFmtId="165" fontId="5" fillId="8" borderId="4" xfId="1" applyNumberFormat="1" applyFont="1" applyFill="1" applyBorder="1" applyAlignment="1">
      <alignment vertical="center" wrapText="1"/>
    </xf>
    <xf numFmtId="165" fontId="5" fillId="8" borderId="4" xfId="1" applyNumberFormat="1" applyFont="1" applyFill="1" applyBorder="1" applyAlignment="1">
      <alignment vertical="center"/>
    </xf>
    <xf numFmtId="165" fontId="3" fillId="7" borderId="8" xfId="1" applyNumberFormat="1" applyFont="1" applyFill="1" applyBorder="1" applyAlignment="1">
      <alignment vertical="center" wrapText="1"/>
    </xf>
    <xf numFmtId="165" fontId="3" fillId="7" borderId="4" xfId="1" applyNumberFormat="1" applyFont="1" applyFill="1" applyBorder="1" applyAlignment="1">
      <alignment vertical="center" wrapText="1"/>
    </xf>
    <xf numFmtId="165" fontId="3" fillId="7" borderId="4" xfId="1" applyNumberFormat="1" applyFont="1" applyFill="1" applyBorder="1" applyAlignment="1">
      <alignment vertical="center"/>
    </xf>
    <xf numFmtId="165" fontId="3" fillId="7" borderId="8" xfId="1" applyNumberFormat="1" applyFont="1" applyFill="1" applyBorder="1" applyAlignment="1">
      <alignment vertical="center"/>
    </xf>
    <xf numFmtId="165" fontId="3" fillId="9" borderId="8" xfId="1" applyNumberFormat="1" applyFont="1" applyFill="1" applyBorder="1" applyAlignment="1">
      <alignment vertical="center"/>
    </xf>
    <xf numFmtId="165" fontId="3" fillId="9" borderId="4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7" xfId="0" applyFont="1" applyFill="1" applyBorder="1"/>
    <xf numFmtId="165" fontId="6" fillId="7" borderId="7" xfId="1" applyNumberFormat="1" applyFont="1" applyFill="1" applyBorder="1"/>
    <xf numFmtId="165" fontId="6" fillId="7" borderId="7" xfId="1" applyNumberFormat="1" applyFont="1" applyFill="1" applyBorder="1" applyAlignment="1">
      <alignment wrapText="1"/>
    </xf>
    <xf numFmtId="165" fontId="6" fillId="7" borderId="10" xfId="1" applyNumberFormat="1" applyFont="1" applyFill="1" applyBorder="1" applyAlignment="1">
      <alignment wrapText="1"/>
    </xf>
    <xf numFmtId="165" fontId="6" fillId="7" borderId="10" xfId="1" applyNumberFormat="1" applyFont="1" applyFill="1" applyBorder="1"/>
    <xf numFmtId="165" fontId="1" fillId="0" borderId="0" xfId="1" applyNumberFormat="1" applyFont="1"/>
    <xf numFmtId="165" fontId="1" fillId="0" borderId="0" xfId="1" applyNumberFormat="1" applyFont="1" applyFill="1" applyBorder="1"/>
    <xf numFmtId="165" fontId="1" fillId="0" borderId="0" xfId="1" applyNumberFormat="1" applyFont="1" applyAlignment="1">
      <alignment horizontal="left"/>
    </xf>
    <xf numFmtId="0" fontId="0" fillId="0" borderId="0" xfId="0" applyAlignment="1">
      <alignment horizontal="left"/>
    </xf>
  </cellXfs>
  <cellStyles count="4">
    <cellStyle name="Comma" xfId="1" builtinId="3"/>
    <cellStyle name="Comma 3" xfId="3" xr:uid="{00000000-0005-0000-0000-000001000000}"/>
    <cellStyle name="Normal" xfId="0" builtinId="0"/>
    <cellStyle name="Normal 2" xfId="2" xr:uid="{00000000-0005-0000-0000-000003000000}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165" formatCode="_-* #,##0_-;\-* #,##0_-;_-* &quot;-&quot;??_-;_-@_-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" displayName="Table1" ref="A3:P168" totalsRowShown="0" headerRowDxfId="19" dataDxfId="17" headerRowBorderDxfId="18" tableBorderDxfId="16" dataCellStyle="Comma">
  <autoFilter ref="A3:P168" xr:uid="{00000000-0009-0000-0100-000004000000}"/>
  <tableColumns count="16">
    <tableColumn id="1" xr3:uid="{00000000-0010-0000-0000-000001000000}" name="Region" dataDxfId="15"/>
    <tableColumn id="2" xr3:uid="{00000000-0010-0000-0000-000002000000}" name="Type" dataDxfId="14"/>
    <tableColumn id="14" xr3:uid="{00000000-0010-0000-0000-00000E000000}" name="Reference" dataDxfId="13"/>
    <tableColumn id="3" xr3:uid="{00000000-0010-0000-0000-000003000000}" name="Head ( expenses)" dataDxfId="12"/>
    <tableColumn id="4" xr3:uid="{00000000-0010-0000-0000-000004000000}" name="January" dataDxfId="11" dataCellStyle="Comma"/>
    <tableColumn id="5" xr3:uid="{00000000-0010-0000-0000-000005000000}" name="Feburary" dataDxfId="10" dataCellStyle="Comma"/>
    <tableColumn id="6" xr3:uid="{00000000-0010-0000-0000-000006000000}" name="March" dataDxfId="9" dataCellStyle="Comma"/>
    <tableColumn id="7" xr3:uid="{00000000-0010-0000-0000-000007000000}" name="April" dataDxfId="8" dataCellStyle="Comma"/>
    <tableColumn id="8" xr3:uid="{00000000-0010-0000-0000-000008000000}" name="May" dataDxfId="7" dataCellStyle="Comma"/>
    <tableColumn id="9" xr3:uid="{00000000-0010-0000-0000-000009000000}" name="June" dataDxfId="6" dataCellStyle="Comma"/>
    <tableColumn id="10" xr3:uid="{00000000-0010-0000-0000-00000A000000}" name="July" dataDxfId="5" dataCellStyle="Comma"/>
    <tableColumn id="11" xr3:uid="{00000000-0010-0000-0000-00000B000000}" name="August" dataDxfId="4" dataCellStyle="Comma"/>
    <tableColumn id="12" xr3:uid="{00000000-0010-0000-0000-00000C000000}" name="September" dataDxfId="3" dataCellStyle="Comma"/>
    <tableColumn id="15" xr3:uid="{00000000-0010-0000-0000-00000F000000}" name="October" dataDxfId="2" dataCellStyle="Comma"/>
    <tableColumn id="16" xr3:uid="{00000000-0010-0000-0000-000010000000}" name="November" dataDxfId="1" dataCellStyle="Comma"/>
    <tableColumn id="13" xr3:uid="{00000000-0010-0000-0000-00000D000000}" name="December" dataDxfId="0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W240"/>
  <sheetViews>
    <sheetView showGridLines="0" tabSelected="1" zoomScale="80" zoomScaleNormal="80" zoomScaleSheetLayoutView="73" workbookViewId="0">
      <selection activeCell="F3" sqref="F3"/>
    </sheetView>
  </sheetViews>
  <sheetFormatPr defaultColWidth="9.140625" defaultRowHeight="15" x14ac:dyDescent="0.25"/>
  <cols>
    <col min="1" max="1" width="24.5703125" bestFit="1" customWidth="1"/>
    <col min="2" max="3" width="27.28515625" style="140" hidden="1" customWidth="1"/>
    <col min="4" max="4" width="29.28515625" bestFit="1" customWidth="1"/>
    <col min="5" max="5" width="13.5703125" customWidth="1"/>
    <col min="6" max="6" width="14.7109375" customWidth="1"/>
    <col min="7" max="12" width="13.5703125" customWidth="1"/>
    <col min="13" max="13" width="16.28515625" customWidth="1"/>
    <col min="14" max="14" width="14" customWidth="1"/>
    <col min="15" max="15" width="16.140625" customWidth="1"/>
    <col min="16" max="16" width="16" bestFit="1" customWidth="1"/>
    <col min="17" max="18" width="13.85546875" bestFit="1" customWidth="1"/>
    <col min="19" max="19" width="7.7109375" bestFit="1" customWidth="1"/>
    <col min="20" max="21" width="11.28515625" bestFit="1" customWidth="1"/>
    <col min="23" max="23" width="13.85546875" bestFit="1" customWidth="1"/>
    <col min="24" max="24" width="11.28515625" bestFit="1" customWidth="1"/>
    <col min="25" max="25" width="8.7109375" customWidth="1"/>
  </cols>
  <sheetData>
    <row r="1" spans="1:22" x14ac:dyDescent="0.25">
      <c r="A1" s="3"/>
      <c r="B1" s="4"/>
      <c r="C1" s="4"/>
      <c r="D1" s="3"/>
      <c r="E1" s="3"/>
      <c r="F1" s="3"/>
      <c r="G1" s="3"/>
      <c r="H1" s="5"/>
      <c r="I1" s="5"/>
      <c r="J1" s="6"/>
      <c r="K1" s="3"/>
      <c r="L1" s="3"/>
      <c r="M1" s="3"/>
      <c r="N1" s="3"/>
      <c r="O1" s="3"/>
      <c r="P1" s="3"/>
    </row>
    <row r="2" spans="1:22" ht="35.1" customHeight="1" x14ac:dyDescent="0.25">
      <c r="A2" s="7" t="s">
        <v>13</v>
      </c>
      <c r="B2" s="8"/>
      <c r="C2" s="8"/>
      <c r="D2" s="7"/>
      <c r="E2" s="7"/>
      <c r="F2" s="7"/>
      <c r="G2" s="3"/>
      <c r="H2" s="3"/>
      <c r="I2" s="3"/>
      <c r="J2" s="3"/>
      <c r="K2" s="3"/>
      <c r="L2" s="3"/>
      <c r="M2" s="3"/>
      <c r="N2" s="3"/>
      <c r="O2" s="3"/>
      <c r="P2" s="3"/>
    </row>
    <row r="3" spans="1:22" ht="15.75" thickBot="1" x14ac:dyDescent="0.3">
      <c r="A3" s="9" t="s">
        <v>0</v>
      </c>
      <c r="B3" s="10" t="s">
        <v>48</v>
      </c>
      <c r="C3" s="10" t="s">
        <v>70</v>
      </c>
      <c r="D3" s="9" t="s">
        <v>10</v>
      </c>
      <c r="E3" s="9" t="s">
        <v>16</v>
      </c>
      <c r="F3" s="9" t="s">
        <v>17</v>
      </c>
      <c r="G3" s="9" t="s">
        <v>21</v>
      </c>
      <c r="H3" s="9" t="s">
        <v>22</v>
      </c>
      <c r="I3" s="9" t="s">
        <v>24</v>
      </c>
      <c r="J3" s="11" t="s">
        <v>26</v>
      </c>
      <c r="K3" s="9" t="s">
        <v>27</v>
      </c>
      <c r="L3" s="9" t="s">
        <v>28</v>
      </c>
      <c r="M3" s="9" t="s">
        <v>29</v>
      </c>
      <c r="N3" s="12" t="s">
        <v>46</v>
      </c>
      <c r="O3" s="12" t="s">
        <v>71</v>
      </c>
      <c r="P3" s="12" t="s">
        <v>72</v>
      </c>
      <c r="S3" s="137"/>
    </row>
    <row r="4" spans="1:22" x14ac:dyDescent="0.25">
      <c r="A4" s="21" t="s">
        <v>1</v>
      </c>
      <c r="B4" s="13" t="s">
        <v>63</v>
      </c>
      <c r="C4" s="13" t="s">
        <v>63</v>
      </c>
      <c r="D4" s="14" t="s">
        <v>2</v>
      </c>
      <c r="E4" s="15">
        <v>26370.967741935485</v>
      </c>
      <c r="F4" s="16">
        <v>42500</v>
      </c>
      <c r="G4" s="17">
        <v>42500</v>
      </c>
      <c r="H4" s="17">
        <v>42500</v>
      </c>
      <c r="I4" s="18">
        <f>42500+6854</f>
        <v>49354</v>
      </c>
      <c r="J4" s="19">
        <f>42500</f>
        <v>42500</v>
      </c>
      <c r="K4" s="19">
        <v>42500</v>
      </c>
      <c r="L4" s="19">
        <v>42500</v>
      </c>
      <c r="M4" s="19">
        <v>42500</v>
      </c>
      <c r="N4" s="19">
        <v>42500</v>
      </c>
      <c r="O4" s="20">
        <v>42500</v>
      </c>
      <c r="P4" s="18">
        <v>42500</v>
      </c>
      <c r="Q4" s="138"/>
      <c r="R4" s="137"/>
    </row>
    <row r="5" spans="1:22" ht="20.100000000000001" customHeight="1" x14ac:dyDescent="0.25">
      <c r="A5" s="21" t="s">
        <v>1</v>
      </c>
      <c r="B5" s="21" t="s">
        <v>63</v>
      </c>
      <c r="C5" s="21" t="s">
        <v>63</v>
      </c>
      <c r="D5" s="14" t="s">
        <v>3</v>
      </c>
      <c r="E5" s="15">
        <v>35000</v>
      </c>
      <c r="F5" s="16">
        <v>35000</v>
      </c>
      <c r="G5" s="22">
        <v>35000</v>
      </c>
      <c r="H5" s="22">
        <v>35000</v>
      </c>
      <c r="I5" s="23">
        <v>35000</v>
      </c>
      <c r="J5" s="23">
        <f>35000</f>
        <v>35000</v>
      </c>
      <c r="K5" s="23">
        <v>35000</v>
      </c>
      <c r="L5" s="23">
        <v>35000</v>
      </c>
      <c r="M5" s="23">
        <v>35000</v>
      </c>
      <c r="N5" s="23">
        <v>35000</v>
      </c>
      <c r="O5" s="24">
        <f>17500+17500</f>
        <v>35000</v>
      </c>
      <c r="P5" s="25">
        <v>35000</v>
      </c>
      <c r="Q5" s="138"/>
    </row>
    <row r="6" spans="1:22" x14ac:dyDescent="0.25">
      <c r="A6" s="26" t="s">
        <v>1</v>
      </c>
      <c r="B6" s="26" t="s">
        <v>64</v>
      </c>
      <c r="C6" s="26" t="s">
        <v>64</v>
      </c>
      <c r="D6" s="27" t="s">
        <v>18</v>
      </c>
      <c r="E6" s="28">
        <v>0</v>
      </c>
      <c r="F6" s="29">
        <v>6000</v>
      </c>
      <c r="G6" s="30">
        <v>9000</v>
      </c>
      <c r="H6" s="30">
        <v>4400</v>
      </c>
      <c r="I6" s="30">
        <v>6500</v>
      </c>
      <c r="J6" s="30">
        <f>9355</f>
        <v>9355</v>
      </c>
      <c r="K6" s="30">
        <v>6800</v>
      </c>
      <c r="L6" s="30">
        <f>5300</f>
        <v>5300</v>
      </c>
      <c r="M6" s="30">
        <v>6000</v>
      </c>
      <c r="N6" s="30">
        <v>5800</v>
      </c>
      <c r="O6" s="31">
        <v>5400</v>
      </c>
      <c r="P6" s="32">
        <f>7500</f>
        <v>7500</v>
      </c>
      <c r="Q6" s="138"/>
    </row>
    <row r="7" spans="1:22" x14ac:dyDescent="0.25">
      <c r="A7" s="33" t="s">
        <v>1</v>
      </c>
      <c r="B7" s="33" t="s">
        <v>65</v>
      </c>
      <c r="C7" s="33" t="s">
        <v>65</v>
      </c>
      <c r="D7" s="34" t="s">
        <v>14</v>
      </c>
      <c r="E7" s="35">
        <v>44000</v>
      </c>
      <c r="F7" s="35">
        <v>44000</v>
      </c>
      <c r="G7" s="36">
        <v>44000</v>
      </c>
      <c r="H7" s="36">
        <v>44000</v>
      </c>
      <c r="I7" s="36">
        <v>44000</v>
      </c>
      <c r="J7" s="36">
        <v>44000</v>
      </c>
      <c r="K7" s="36">
        <v>44000</v>
      </c>
      <c r="L7" s="36">
        <v>44000</v>
      </c>
      <c r="M7" s="36">
        <v>44000</v>
      </c>
      <c r="N7" s="36">
        <v>44000</v>
      </c>
      <c r="O7" s="37">
        <v>44000</v>
      </c>
      <c r="P7" s="37">
        <v>44000</v>
      </c>
      <c r="Q7" s="138"/>
    </row>
    <row r="8" spans="1:22" x14ac:dyDescent="0.25">
      <c r="A8" s="26" t="s">
        <v>1</v>
      </c>
      <c r="B8" s="26" t="s">
        <v>66</v>
      </c>
      <c r="C8" s="26" t="s">
        <v>66</v>
      </c>
      <c r="D8" s="27" t="s">
        <v>15</v>
      </c>
      <c r="E8" s="28">
        <v>0</v>
      </c>
      <c r="F8" s="29">
        <v>6788</v>
      </c>
      <c r="G8" s="30">
        <v>5912</v>
      </c>
      <c r="H8" s="30">
        <v>5802</v>
      </c>
      <c r="I8" s="30">
        <v>6506</v>
      </c>
      <c r="J8" s="30">
        <f>9366</f>
        <v>9366</v>
      </c>
      <c r="K8" s="30">
        <v>10716</v>
      </c>
      <c r="L8" s="30">
        <v>16411</v>
      </c>
      <c r="M8" s="30">
        <v>15493</v>
      </c>
      <c r="N8" s="30">
        <v>14963</v>
      </c>
      <c r="O8" s="31">
        <v>12843</v>
      </c>
      <c r="P8" s="32">
        <v>7304</v>
      </c>
      <c r="Q8" s="138"/>
    </row>
    <row r="9" spans="1:22" x14ac:dyDescent="0.25">
      <c r="A9" s="38" t="s">
        <v>1</v>
      </c>
      <c r="B9" s="38" t="s">
        <v>67</v>
      </c>
      <c r="C9" s="38" t="s">
        <v>67</v>
      </c>
      <c r="D9" s="39" t="s">
        <v>25</v>
      </c>
      <c r="E9" s="40">
        <v>16270</v>
      </c>
      <c r="F9" s="41">
        <v>0</v>
      </c>
      <c r="G9" s="42">
        <v>0</v>
      </c>
      <c r="H9" s="42">
        <v>0</v>
      </c>
      <c r="I9" s="42">
        <v>0</v>
      </c>
      <c r="J9" s="42">
        <f>2000</f>
        <v>2000</v>
      </c>
      <c r="K9" s="42">
        <v>1700</v>
      </c>
      <c r="L9" s="42">
        <v>0</v>
      </c>
      <c r="M9" s="43">
        <v>1050</v>
      </c>
      <c r="N9" s="42">
        <v>0</v>
      </c>
      <c r="O9" s="44">
        <v>0</v>
      </c>
      <c r="P9" s="44">
        <v>0</v>
      </c>
      <c r="Q9" s="138"/>
    </row>
    <row r="10" spans="1:22" x14ac:dyDescent="0.25">
      <c r="A10" s="38" t="s">
        <v>1</v>
      </c>
      <c r="B10" s="38" t="s">
        <v>67</v>
      </c>
      <c r="C10" s="38" t="s">
        <v>67</v>
      </c>
      <c r="D10" s="39" t="s">
        <v>5</v>
      </c>
      <c r="E10" s="40">
        <v>68100</v>
      </c>
      <c r="F10" s="41">
        <v>183680</v>
      </c>
      <c r="G10" s="42">
        <v>263840</v>
      </c>
      <c r="H10" s="42">
        <f>217170-500</f>
        <v>216670</v>
      </c>
      <c r="I10" s="42">
        <f>280900+22140</f>
        <v>303040</v>
      </c>
      <c r="J10" s="42">
        <f>182200+1700</f>
        <v>183900</v>
      </c>
      <c r="K10" s="42">
        <f>2300+90000</f>
        <v>92300</v>
      </c>
      <c r="L10" s="42">
        <v>141600</v>
      </c>
      <c r="M10" s="42">
        <v>110000</v>
      </c>
      <c r="N10" s="42">
        <v>55000</v>
      </c>
      <c r="O10" s="45">
        <v>48500</v>
      </c>
      <c r="P10" s="44">
        <v>13370</v>
      </c>
      <c r="Q10" s="138"/>
      <c r="T10" s="2"/>
      <c r="U10" s="2"/>
    </row>
    <row r="11" spans="1:22" x14ac:dyDescent="0.25">
      <c r="A11" s="26" t="s">
        <v>1</v>
      </c>
      <c r="B11" s="26" t="s">
        <v>67</v>
      </c>
      <c r="C11" s="26" t="s">
        <v>67</v>
      </c>
      <c r="D11" s="27" t="s">
        <v>19</v>
      </c>
      <c r="E11" s="28">
        <v>0</v>
      </c>
      <c r="F11" s="29">
        <v>15300</v>
      </c>
      <c r="G11" s="30">
        <v>15300</v>
      </c>
      <c r="H11" s="30">
        <v>16150</v>
      </c>
      <c r="I11" s="30">
        <v>20895</v>
      </c>
      <c r="J11" s="30">
        <f>16225</f>
        <v>16225</v>
      </c>
      <c r="K11" s="30">
        <v>4065</v>
      </c>
      <c r="L11" s="30">
        <v>5118</v>
      </c>
      <c r="M11" s="30">
        <v>5120</v>
      </c>
      <c r="N11" s="30">
        <v>1370</v>
      </c>
      <c r="O11" s="31">
        <v>1200</v>
      </c>
      <c r="P11" s="32">
        <v>0</v>
      </c>
      <c r="Q11" s="138"/>
    </row>
    <row r="12" spans="1:22" x14ac:dyDescent="0.25">
      <c r="A12" s="26" t="s">
        <v>1</v>
      </c>
      <c r="B12" s="26" t="s">
        <v>68</v>
      </c>
      <c r="C12" s="26" t="s">
        <v>68</v>
      </c>
      <c r="D12" s="27" t="s">
        <v>62</v>
      </c>
      <c r="E12" s="28">
        <v>0</v>
      </c>
      <c r="F12" s="29">
        <v>3000</v>
      </c>
      <c r="G12" s="30">
        <f>327+420</f>
        <v>747</v>
      </c>
      <c r="H12" s="30">
        <f>990+540</f>
        <v>1530</v>
      </c>
      <c r="I12" s="30">
        <v>2500</v>
      </c>
      <c r="J12" s="30">
        <f>850+470</f>
        <v>1320</v>
      </c>
      <c r="K12" s="30">
        <v>2760</v>
      </c>
      <c r="L12" s="30">
        <v>0</v>
      </c>
      <c r="M12" s="30">
        <f>4012+470+1000</f>
        <v>5482</v>
      </c>
      <c r="N12" s="30">
        <f>1500+600+287+450</f>
        <v>2837</v>
      </c>
      <c r="O12" s="32">
        <v>0</v>
      </c>
      <c r="P12" s="32">
        <f>762+600</f>
        <v>1362</v>
      </c>
      <c r="Q12" s="138"/>
      <c r="V12" s="2"/>
    </row>
    <row r="13" spans="1:22" ht="15.75" thickBot="1" x14ac:dyDescent="0.3">
      <c r="A13" s="26" t="s">
        <v>1</v>
      </c>
      <c r="B13" s="26" t="s">
        <v>68</v>
      </c>
      <c r="C13" s="26" t="s">
        <v>68</v>
      </c>
      <c r="D13" s="46" t="s">
        <v>6</v>
      </c>
      <c r="E13" s="28">
        <v>0</v>
      </c>
      <c r="F13" s="29">
        <f>3780+933</f>
        <v>4713</v>
      </c>
      <c r="G13" s="30">
        <v>2300</v>
      </c>
      <c r="H13" s="30">
        <f>1500</f>
        <v>1500</v>
      </c>
      <c r="I13" s="30">
        <f>1670+710</f>
        <v>2380</v>
      </c>
      <c r="J13" s="30">
        <v>10190</v>
      </c>
      <c r="K13" s="30">
        <v>1300</v>
      </c>
      <c r="L13" s="30">
        <f>887+660+2000+310</f>
        <v>3857</v>
      </c>
      <c r="M13" s="47">
        <v>0</v>
      </c>
      <c r="N13" s="30">
        <v>0</v>
      </c>
      <c r="O13" s="31">
        <f>3585+570+500</f>
        <v>4655</v>
      </c>
      <c r="P13" s="32">
        <f>3510+2850</f>
        <v>6360</v>
      </c>
      <c r="Q13" s="138"/>
    </row>
    <row r="14" spans="1:22" ht="15.75" thickBot="1" x14ac:dyDescent="0.3">
      <c r="A14" s="130" t="s">
        <v>12</v>
      </c>
      <c r="B14" s="48" t="s">
        <v>12</v>
      </c>
      <c r="C14" s="48" t="s">
        <v>12</v>
      </c>
      <c r="D14" s="49" t="s">
        <v>12</v>
      </c>
      <c r="E14" s="50">
        <f t="shared" ref="E14:P14" si="0">SUM(E4:E13)</f>
        <v>189740.96774193548</v>
      </c>
      <c r="F14" s="50">
        <f t="shared" si="0"/>
        <v>340981</v>
      </c>
      <c r="G14" s="50">
        <f t="shared" si="0"/>
        <v>418599</v>
      </c>
      <c r="H14" s="50">
        <f t="shared" si="0"/>
        <v>367552</v>
      </c>
      <c r="I14" s="50">
        <f t="shared" si="0"/>
        <v>470175</v>
      </c>
      <c r="J14" s="50">
        <f t="shared" si="0"/>
        <v>353856</v>
      </c>
      <c r="K14" s="50">
        <f t="shared" si="0"/>
        <v>241141</v>
      </c>
      <c r="L14" s="50">
        <f t="shared" si="0"/>
        <v>293786</v>
      </c>
      <c r="M14" s="50">
        <f t="shared" si="0"/>
        <v>264645</v>
      </c>
      <c r="N14" s="50">
        <f t="shared" ref="N14:O14" si="1">SUM(N4:N13)</f>
        <v>201470</v>
      </c>
      <c r="O14" s="51">
        <f t="shared" si="1"/>
        <v>194098</v>
      </c>
      <c r="P14" s="52">
        <f t="shared" si="0"/>
        <v>157396</v>
      </c>
      <c r="Q14" s="138"/>
    </row>
    <row r="15" spans="1:22" x14ac:dyDescent="0.25">
      <c r="A15" s="21" t="s">
        <v>7</v>
      </c>
      <c r="B15" s="21" t="s">
        <v>63</v>
      </c>
      <c r="C15" s="21" t="s">
        <v>63</v>
      </c>
      <c r="D15" s="53" t="s">
        <v>2</v>
      </c>
      <c r="E15" s="54">
        <v>9226</v>
      </c>
      <c r="F15" s="55">
        <v>22000</v>
      </c>
      <c r="G15" s="23">
        <v>0</v>
      </c>
      <c r="H15" s="23">
        <v>37000</v>
      </c>
      <c r="I15" s="23">
        <v>37000</v>
      </c>
      <c r="J15" s="23">
        <f>15000+11000</f>
        <v>26000</v>
      </c>
      <c r="K15" s="23">
        <v>18000</v>
      </c>
      <c r="L15" s="23">
        <v>18000</v>
      </c>
      <c r="M15" s="23">
        <v>18000</v>
      </c>
      <c r="N15" s="23">
        <v>18000</v>
      </c>
      <c r="O15" s="24">
        <v>25000</v>
      </c>
      <c r="P15" s="25">
        <v>24193.548387096773</v>
      </c>
      <c r="Q15" s="138"/>
    </row>
    <row r="16" spans="1:22" x14ac:dyDescent="0.25">
      <c r="A16" s="21" t="s">
        <v>7</v>
      </c>
      <c r="B16" s="21" t="s">
        <v>63</v>
      </c>
      <c r="C16" s="21" t="s">
        <v>63</v>
      </c>
      <c r="D16" s="14" t="s">
        <v>3</v>
      </c>
      <c r="E16" s="54">
        <v>18968</v>
      </c>
      <c r="F16" s="55">
        <v>28000</v>
      </c>
      <c r="G16" s="23">
        <v>60550</v>
      </c>
      <c r="H16" s="23">
        <v>37240</v>
      </c>
      <c r="I16" s="23">
        <v>34000</v>
      </c>
      <c r="J16" s="23">
        <f>17000+17000</f>
        <v>34000</v>
      </c>
      <c r="K16" s="23">
        <v>34000</v>
      </c>
      <c r="L16" s="23">
        <v>34000</v>
      </c>
      <c r="M16" s="56">
        <v>34000</v>
      </c>
      <c r="N16" s="23">
        <v>34000</v>
      </c>
      <c r="O16" s="24">
        <v>34000</v>
      </c>
      <c r="P16" s="25">
        <v>34000</v>
      </c>
      <c r="Q16" s="138"/>
    </row>
    <row r="17" spans="1:17" x14ac:dyDescent="0.25">
      <c r="A17" s="26" t="s">
        <v>7</v>
      </c>
      <c r="B17" s="26" t="s">
        <v>64</v>
      </c>
      <c r="C17" s="26" t="s">
        <v>64</v>
      </c>
      <c r="D17" s="27" t="s">
        <v>18</v>
      </c>
      <c r="E17" s="28">
        <v>0</v>
      </c>
      <c r="F17" s="29">
        <v>0</v>
      </c>
      <c r="G17" s="30">
        <v>0</v>
      </c>
      <c r="H17" s="30">
        <v>0</v>
      </c>
      <c r="I17" s="30">
        <v>0</v>
      </c>
      <c r="J17" s="30">
        <f>380+240</f>
        <v>620</v>
      </c>
      <c r="K17" s="30">
        <v>2070</v>
      </c>
      <c r="L17" s="30">
        <f>2030+600</f>
        <v>2630</v>
      </c>
      <c r="M17" s="30">
        <v>4280</v>
      </c>
      <c r="N17" s="30">
        <v>4710</v>
      </c>
      <c r="O17" s="31">
        <f>3080+2010+230+1800+290</f>
        <v>7410</v>
      </c>
      <c r="P17" s="32">
        <v>2960</v>
      </c>
      <c r="Q17" s="138"/>
    </row>
    <row r="18" spans="1:17" x14ac:dyDescent="0.25">
      <c r="A18" s="33" t="s">
        <v>7</v>
      </c>
      <c r="B18" s="33" t="s">
        <v>65</v>
      </c>
      <c r="C18" s="33" t="s">
        <v>65</v>
      </c>
      <c r="D18" s="34" t="s">
        <v>14</v>
      </c>
      <c r="E18" s="57">
        <v>29000</v>
      </c>
      <c r="F18" s="35">
        <v>29000</v>
      </c>
      <c r="G18" s="36">
        <v>29000</v>
      </c>
      <c r="H18" s="36">
        <v>29000</v>
      </c>
      <c r="I18" s="36">
        <v>29000</v>
      </c>
      <c r="J18" s="36">
        <v>29000</v>
      </c>
      <c r="K18" s="36">
        <v>29000</v>
      </c>
      <c r="L18" s="36">
        <v>29000</v>
      </c>
      <c r="M18" s="36">
        <v>29000</v>
      </c>
      <c r="N18" s="36">
        <v>29000</v>
      </c>
      <c r="O18" s="37">
        <v>29000</v>
      </c>
      <c r="P18" s="58">
        <v>31500</v>
      </c>
      <c r="Q18" s="138"/>
    </row>
    <row r="19" spans="1:17" x14ac:dyDescent="0.25">
      <c r="A19" s="26" t="s">
        <v>7</v>
      </c>
      <c r="B19" s="26" t="s">
        <v>66</v>
      </c>
      <c r="C19" s="26" t="s">
        <v>66</v>
      </c>
      <c r="D19" s="27" t="s">
        <v>15</v>
      </c>
      <c r="E19" s="28">
        <v>3000</v>
      </c>
      <c r="F19" s="29">
        <f>7550</f>
        <v>7550</v>
      </c>
      <c r="G19" s="30">
        <v>5500</v>
      </c>
      <c r="H19" s="30">
        <v>0</v>
      </c>
      <c r="I19" s="30">
        <f>3000+3760</f>
        <v>6760</v>
      </c>
      <c r="J19" s="30">
        <f>1780+3000</f>
        <v>4780</v>
      </c>
      <c r="K19" s="30">
        <v>4000</v>
      </c>
      <c r="L19" s="30">
        <f>3770+450+4000</f>
        <v>8220</v>
      </c>
      <c r="M19" s="30">
        <f>5000+1820</f>
        <v>6820</v>
      </c>
      <c r="N19" s="30">
        <v>6320</v>
      </c>
      <c r="O19" s="31">
        <f>4000+1900+510</f>
        <v>6410</v>
      </c>
      <c r="P19" s="32">
        <v>5910</v>
      </c>
      <c r="Q19" s="138"/>
    </row>
    <row r="20" spans="1:17" x14ac:dyDescent="0.25">
      <c r="A20" s="38" t="s">
        <v>7</v>
      </c>
      <c r="B20" s="38" t="s">
        <v>67</v>
      </c>
      <c r="C20" s="38" t="s">
        <v>67</v>
      </c>
      <c r="D20" s="39" t="s">
        <v>4</v>
      </c>
      <c r="E20" s="40">
        <v>5000</v>
      </c>
      <c r="F20" s="41">
        <v>0</v>
      </c>
      <c r="G20" s="42">
        <v>0</v>
      </c>
      <c r="H20" s="42">
        <v>0</v>
      </c>
      <c r="I20" s="42">
        <f>1000+500+500+2500+3000</f>
        <v>7500</v>
      </c>
      <c r="J20" s="42">
        <f>8800</f>
        <v>8800</v>
      </c>
      <c r="K20" s="42">
        <v>300</v>
      </c>
      <c r="L20" s="42">
        <v>3600</v>
      </c>
      <c r="M20" s="42">
        <v>9300</v>
      </c>
      <c r="N20" s="42">
        <v>11650</v>
      </c>
      <c r="O20" s="45">
        <f>500+800+500+2700+800+450</f>
        <v>5750</v>
      </c>
      <c r="P20" s="44">
        <v>800</v>
      </c>
      <c r="Q20" s="138"/>
    </row>
    <row r="21" spans="1:17" x14ac:dyDescent="0.25">
      <c r="A21" s="38" t="s">
        <v>7</v>
      </c>
      <c r="B21" s="38" t="s">
        <v>67</v>
      </c>
      <c r="C21" s="38" t="s">
        <v>67</v>
      </c>
      <c r="D21" s="39" t="s">
        <v>5</v>
      </c>
      <c r="E21" s="40">
        <v>5500</v>
      </c>
      <c r="F21" s="41">
        <v>68800</v>
      </c>
      <c r="G21" s="42">
        <v>114900</v>
      </c>
      <c r="H21" s="42">
        <v>178600</v>
      </c>
      <c r="I21" s="42">
        <f>1200+1000+4000+2000+4000+5500+4000+2000+6000+7500+2000+4500+5000+9500+12000+4000+2500+4500+8500+2700+2700+7000+5500+1700+9000+6500+11000+17200</f>
        <v>153000</v>
      </c>
      <c r="J21" s="42">
        <v>150400</v>
      </c>
      <c r="K21" s="42">
        <v>109900</v>
      </c>
      <c r="L21" s="42">
        <v>75000</v>
      </c>
      <c r="M21" s="42">
        <v>43100</v>
      </c>
      <c r="N21" s="42">
        <v>35900</v>
      </c>
      <c r="O21" s="45">
        <f>1500+2800+5500+9300+3500+2300+1700+9000+9000+1400</f>
        <v>46000</v>
      </c>
      <c r="P21" s="44">
        <v>38400</v>
      </c>
      <c r="Q21" s="138"/>
    </row>
    <row r="22" spans="1:17" x14ac:dyDescent="0.25">
      <c r="A22" s="26" t="s">
        <v>7</v>
      </c>
      <c r="B22" s="26" t="s">
        <v>68</v>
      </c>
      <c r="C22" s="26" t="s">
        <v>68</v>
      </c>
      <c r="D22" s="27" t="s">
        <v>19</v>
      </c>
      <c r="E22" s="28">
        <v>1260</v>
      </c>
      <c r="F22" s="29">
        <v>2700</v>
      </c>
      <c r="G22" s="30">
        <v>5800</v>
      </c>
      <c r="H22" s="30">
        <v>11800</v>
      </c>
      <c r="I22" s="30">
        <f>600+1200+600+1000+1500+2200+2500+2100</f>
        <v>11700</v>
      </c>
      <c r="J22" s="30">
        <v>10000</v>
      </c>
      <c r="K22" s="30">
        <v>8500</v>
      </c>
      <c r="L22" s="30">
        <f>2400+200</f>
        <v>2600</v>
      </c>
      <c r="M22" s="30">
        <v>2850</v>
      </c>
      <c r="N22" s="30">
        <f>3600+350</f>
        <v>3950</v>
      </c>
      <c r="O22" s="31">
        <f>600+600+600+600</f>
        <v>2400</v>
      </c>
      <c r="P22" s="32">
        <v>1200</v>
      </c>
      <c r="Q22" s="138"/>
    </row>
    <row r="23" spans="1:17" x14ac:dyDescent="0.25">
      <c r="A23" s="26" t="s">
        <v>7</v>
      </c>
      <c r="B23" s="26" t="s">
        <v>68</v>
      </c>
      <c r="C23" s="26" t="s">
        <v>68</v>
      </c>
      <c r="D23" s="27" t="s">
        <v>62</v>
      </c>
      <c r="E23" s="28">
        <f>1220+200</f>
        <v>1420</v>
      </c>
      <c r="F23" s="29">
        <v>370</v>
      </c>
      <c r="G23" s="30">
        <f>600+750</f>
        <v>1350</v>
      </c>
      <c r="H23" s="30">
        <f>700+690</f>
        <v>1390</v>
      </c>
      <c r="I23" s="30">
        <f>5960+420</f>
        <v>6380</v>
      </c>
      <c r="J23" s="30">
        <f>4560</f>
        <v>4560</v>
      </c>
      <c r="K23" s="30">
        <v>1660</v>
      </c>
      <c r="L23" s="30">
        <v>0</v>
      </c>
      <c r="M23" s="30">
        <v>3883</v>
      </c>
      <c r="N23" s="30">
        <f>910+270+270+400</f>
        <v>1850</v>
      </c>
      <c r="O23" s="32">
        <v>0</v>
      </c>
      <c r="P23" s="32">
        <v>2270</v>
      </c>
      <c r="Q23" s="138"/>
    </row>
    <row r="24" spans="1:17" ht="15.75" thickBot="1" x14ac:dyDescent="0.3">
      <c r="A24" s="26" t="s">
        <v>7</v>
      </c>
      <c r="B24" s="26" t="s">
        <v>68</v>
      </c>
      <c r="C24" s="26" t="s">
        <v>68</v>
      </c>
      <c r="D24" s="46" t="s">
        <v>6</v>
      </c>
      <c r="E24" s="28">
        <v>0</v>
      </c>
      <c r="F24" s="29">
        <v>8250</v>
      </c>
      <c r="G24" s="30">
        <v>3707</v>
      </c>
      <c r="H24" s="30">
        <f>8080-4200</f>
        <v>3880</v>
      </c>
      <c r="I24" s="30">
        <v>0</v>
      </c>
      <c r="J24" s="30">
        <f>16550</f>
        <v>16550</v>
      </c>
      <c r="K24" s="30">
        <v>1700</v>
      </c>
      <c r="L24" s="30">
        <f>1030+2364+300+800</f>
        <v>4494</v>
      </c>
      <c r="M24" s="30">
        <f>3600</f>
        <v>3600</v>
      </c>
      <c r="N24" s="30">
        <v>0</v>
      </c>
      <c r="O24" s="31">
        <f>680+270+270+75+270+200+270+910+200</f>
        <v>3145</v>
      </c>
      <c r="P24" s="32">
        <v>14000</v>
      </c>
      <c r="Q24" s="138"/>
    </row>
    <row r="25" spans="1:17" ht="15.75" thickBot="1" x14ac:dyDescent="0.3">
      <c r="A25" s="130" t="s">
        <v>12</v>
      </c>
      <c r="B25" s="48" t="s">
        <v>12</v>
      </c>
      <c r="C25" s="48" t="s">
        <v>12</v>
      </c>
      <c r="D25" s="49" t="s">
        <v>12</v>
      </c>
      <c r="E25" s="50">
        <f t="shared" ref="E25:P25" si="2">SUM(E15:E24)</f>
        <v>73374</v>
      </c>
      <c r="F25" s="50">
        <f t="shared" si="2"/>
        <v>166670</v>
      </c>
      <c r="G25" s="50">
        <f t="shared" si="2"/>
        <v>220807</v>
      </c>
      <c r="H25" s="50">
        <f t="shared" si="2"/>
        <v>298910</v>
      </c>
      <c r="I25" s="50">
        <f t="shared" si="2"/>
        <v>285340</v>
      </c>
      <c r="J25" s="50">
        <f t="shared" si="2"/>
        <v>284710</v>
      </c>
      <c r="K25" s="50">
        <f t="shared" si="2"/>
        <v>209130</v>
      </c>
      <c r="L25" s="50">
        <f t="shared" si="2"/>
        <v>177544</v>
      </c>
      <c r="M25" s="50">
        <f t="shared" si="2"/>
        <v>154833</v>
      </c>
      <c r="N25" s="50">
        <f t="shared" si="2"/>
        <v>145380</v>
      </c>
      <c r="O25" s="51">
        <f t="shared" si="2"/>
        <v>159115</v>
      </c>
      <c r="P25" s="52">
        <f t="shared" si="2"/>
        <v>155233.54838709679</v>
      </c>
      <c r="Q25" s="138"/>
    </row>
    <row r="26" spans="1:17" x14ac:dyDescent="0.25">
      <c r="A26" s="21" t="s">
        <v>8</v>
      </c>
      <c r="B26" s="21" t="s">
        <v>63</v>
      </c>
      <c r="C26" s="21" t="s">
        <v>63</v>
      </c>
      <c r="D26" s="53" t="s">
        <v>2</v>
      </c>
      <c r="E26" s="54">
        <v>0</v>
      </c>
      <c r="F26" s="55">
        <v>35000</v>
      </c>
      <c r="G26" s="59">
        <v>35000</v>
      </c>
      <c r="H26" s="59">
        <v>59200</v>
      </c>
      <c r="I26" s="59">
        <v>36129.032258064515</v>
      </c>
      <c r="J26" s="59">
        <f>50167</f>
        <v>50167</v>
      </c>
      <c r="K26" s="59">
        <v>35000</v>
      </c>
      <c r="L26" s="59">
        <v>35000</v>
      </c>
      <c r="M26" s="59">
        <v>35000</v>
      </c>
      <c r="N26" s="60">
        <v>35000</v>
      </c>
      <c r="O26" s="61">
        <v>41167</v>
      </c>
      <c r="P26" s="62">
        <v>35000</v>
      </c>
      <c r="Q26" s="138"/>
    </row>
    <row r="27" spans="1:17" x14ac:dyDescent="0.25">
      <c r="A27" s="21" t="s">
        <v>8</v>
      </c>
      <c r="B27" s="21" t="s">
        <v>63</v>
      </c>
      <c r="C27" s="21" t="s">
        <v>63</v>
      </c>
      <c r="D27" s="14" t="s">
        <v>20</v>
      </c>
      <c r="E27" s="54">
        <v>0</v>
      </c>
      <c r="F27" s="55">
        <v>35000</v>
      </c>
      <c r="G27" s="59">
        <v>17500</v>
      </c>
      <c r="H27" s="59">
        <v>31500</v>
      </c>
      <c r="I27" s="59">
        <v>35000</v>
      </c>
      <c r="J27" s="59">
        <f>35000</f>
        <v>35000</v>
      </c>
      <c r="K27" s="59">
        <v>35000</v>
      </c>
      <c r="L27" s="59">
        <v>17500</v>
      </c>
      <c r="M27" s="59">
        <v>17500</v>
      </c>
      <c r="N27" s="60">
        <v>23145</v>
      </c>
      <c r="O27" s="61">
        <v>35000</v>
      </c>
      <c r="P27" s="62">
        <v>25967</v>
      </c>
      <c r="Q27" s="138"/>
    </row>
    <row r="28" spans="1:17" x14ac:dyDescent="0.25">
      <c r="A28" s="21" t="s">
        <v>8</v>
      </c>
      <c r="B28" s="21" t="s">
        <v>63</v>
      </c>
      <c r="C28" s="21" t="s">
        <v>63</v>
      </c>
      <c r="D28" s="14" t="s">
        <v>3</v>
      </c>
      <c r="E28" s="54">
        <v>0</v>
      </c>
      <c r="F28" s="55">
        <v>70000</v>
      </c>
      <c r="G28" s="59">
        <v>70000</v>
      </c>
      <c r="H28" s="59">
        <v>70000</v>
      </c>
      <c r="I28" s="59">
        <v>72258.06451612903</v>
      </c>
      <c r="J28" s="59">
        <f>70000</f>
        <v>70000</v>
      </c>
      <c r="K28" s="59">
        <v>70000</v>
      </c>
      <c r="L28" s="59">
        <v>70000</v>
      </c>
      <c r="M28" s="59">
        <v>70000</v>
      </c>
      <c r="N28" s="60">
        <v>70000</v>
      </c>
      <c r="O28" s="61">
        <v>70000</v>
      </c>
      <c r="P28" s="62">
        <v>69999.240000000005</v>
      </c>
      <c r="Q28" s="138"/>
    </row>
    <row r="29" spans="1:17" x14ac:dyDescent="0.25">
      <c r="A29" s="26" t="s">
        <v>8</v>
      </c>
      <c r="B29" s="26" t="s">
        <v>64</v>
      </c>
      <c r="C29" s="26" t="s">
        <v>64</v>
      </c>
      <c r="D29" s="27" t="s">
        <v>18</v>
      </c>
      <c r="E29" s="63">
        <v>0</v>
      </c>
      <c r="F29" s="29">
        <f>4800+10200</f>
        <v>15000</v>
      </c>
      <c r="G29" s="30">
        <v>16400</v>
      </c>
      <c r="H29" s="30">
        <f>10400+2700</f>
        <v>13100</v>
      </c>
      <c r="I29" s="30">
        <v>11800</v>
      </c>
      <c r="J29" s="30">
        <f>10400+5570</f>
        <v>15970</v>
      </c>
      <c r="K29" s="30">
        <v>15770</v>
      </c>
      <c r="L29" s="30">
        <f>9060+10000</f>
        <v>19060</v>
      </c>
      <c r="M29" s="30">
        <f>10400+9150</f>
        <v>19550</v>
      </c>
      <c r="N29" s="64">
        <f>10000+7560</f>
        <v>17560</v>
      </c>
      <c r="O29" s="65">
        <f>10400+7400</f>
        <v>17800</v>
      </c>
      <c r="P29" s="66">
        <f>10800+6350</f>
        <v>17150</v>
      </c>
      <c r="Q29" s="138"/>
    </row>
    <row r="30" spans="1:17" x14ac:dyDescent="0.25">
      <c r="A30" s="33" t="s">
        <v>8</v>
      </c>
      <c r="B30" s="33" t="s">
        <v>65</v>
      </c>
      <c r="C30" s="33" t="s">
        <v>65</v>
      </c>
      <c r="D30" s="34" t="s">
        <v>14</v>
      </c>
      <c r="E30" s="57">
        <v>35000</v>
      </c>
      <c r="F30" s="35">
        <v>70000</v>
      </c>
      <c r="G30" s="35">
        <v>70000</v>
      </c>
      <c r="H30" s="36">
        <v>70000</v>
      </c>
      <c r="I30" s="36">
        <v>70000</v>
      </c>
      <c r="J30" s="36">
        <v>70000</v>
      </c>
      <c r="K30" s="36">
        <v>70000</v>
      </c>
      <c r="L30" s="36">
        <v>70000</v>
      </c>
      <c r="M30" s="36">
        <v>70000</v>
      </c>
      <c r="N30" s="36">
        <v>70000</v>
      </c>
      <c r="O30" s="37">
        <v>70000</v>
      </c>
      <c r="P30" s="58">
        <v>70000</v>
      </c>
      <c r="Q30" s="138"/>
    </row>
    <row r="31" spans="1:17" x14ac:dyDescent="0.25">
      <c r="A31" s="26" t="s">
        <v>8</v>
      </c>
      <c r="B31" s="26" t="s">
        <v>66</v>
      </c>
      <c r="C31" s="26" t="s">
        <v>66</v>
      </c>
      <c r="D31" s="27" t="s">
        <v>15</v>
      </c>
      <c r="E31" s="63">
        <v>0</v>
      </c>
      <c r="F31" s="29">
        <v>5000</v>
      </c>
      <c r="G31" s="30">
        <v>0</v>
      </c>
      <c r="H31" s="30">
        <v>24771</v>
      </c>
      <c r="I31" s="30">
        <v>0</v>
      </c>
      <c r="J31" s="30">
        <v>0</v>
      </c>
      <c r="K31" s="30">
        <v>0</v>
      </c>
      <c r="L31" s="30">
        <v>32495</v>
      </c>
      <c r="M31" s="30">
        <v>20882</v>
      </c>
      <c r="N31" s="30">
        <f>13200</f>
        <v>13200</v>
      </c>
      <c r="O31" s="32">
        <v>0</v>
      </c>
      <c r="P31" s="32">
        <v>0</v>
      </c>
      <c r="Q31" s="138"/>
    </row>
    <row r="32" spans="1:17" x14ac:dyDescent="0.25">
      <c r="A32" s="38" t="s">
        <v>8</v>
      </c>
      <c r="B32" s="38" t="s">
        <v>67</v>
      </c>
      <c r="C32" s="38" t="s">
        <v>67</v>
      </c>
      <c r="D32" s="39" t="s">
        <v>4</v>
      </c>
      <c r="E32" s="40">
        <v>78500</v>
      </c>
      <c r="F32" s="41">
        <f>67800+40000+3500+3200</f>
        <v>114500</v>
      </c>
      <c r="G32" s="42">
        <v>30500</v>
      </c>
      <c r="H32" s="42">
        <f>47500+3000</f>
        <v>50500</v>
      </c>
      <c r="I32" s="42">
        <v>39000</v>
      </c>
      <c r="J32" s="42">
        <f>39000+2000</f>
        <v>41000</v>
      </c>
      <c r="K32" s="42">
        <v>35600</v>
      </c>
      <c r="L32" s="42">
        <f>36400+4800</f>
        <v>41200</v>
      </c>
      <c r="M32" s="42">
        <f>40600+2500</f>
        <v>43100</v>
      </c>
      <c r="N32" s="42">
        <v>65000</v>
      </c>
      <c r="O32" s="45">
        <f>42700+1500</f>
        <v>44200</v>
      </c>
      <c r="P32" s="44">
        <f>14500+1700+16850</f>
        <v>33050</v>
      </c>
      <c r="Q32" s="138"/>
    </row>
    <row r="33" spans="1:20" x14ac:dyDescent="0.25">
      <c r="A33" s="38" t="s">
        <v>8</v>
      </c>
      <c r="B33" s="38" t="s">
        <v>67</v>
      </c>
      <c r="C33" s="38" t="s">
        <v>67</v>
      </c>
      <c r="D33" s="39" t="s">
        <v>5</v>
      </c>
      <c r="E33" s="40">
        <v>166900</v>
      </c>
      <c r="F33" s="41">
        <v>266500</v>
      </c>
      <c r="G33" s="42">
        <v>512500</v>
      </c>
      <c r="H33" s="42">
        <v>471500</v>
      </c>
      <c r="I33" s="42">
        <v>710000</v>
      </c>
      <c r="J33" s="42">
        <v>780000</v>
      </c>
      <c r="K33" s="42">
        <v>705481</v>
      </c>
      <c r="L33" s="42">
        <v>463067</v>
      </c>
      <c r="M33" s="67">
        <v>405903</v>
      </c>
      <c r="N33" s="42">
        <v>273572</v>
      </c>
      <c r="O33" s="45">
        <v>121114</v>
      </c>
      <c r="P33" s="44">
        <v>52893</v>
      </c>
      <c r="Q33" s="138"/>
      <c r="R33" s="137"/>
      <c r="S33" s="137"/>
      <c r="T33" s="2"/>
    </row>
    <row r="34" spans="1:20" x14ac:dyDescent="0.25">
      <c r="A34" s="26" t="s">
        <v>8</v>
      </c>
      <c r="B34" s="26" t="s">
        <v>67</v>
      </c>
      <c r="C34" s="26" t="s">
        <v>67</v>
      </c>
      <c r="D34" s="27" t="s">
        <v>19</v>
      </c>
      <c r="E34" s="63">
        <v>0</v>
      </c>
      <c r="F34" s="29">
        <v>0</v>
      </c>
      <c r="G34" s="30">
        <v>0</v>
      </c>
      <c r="H34" s="30">
        <v>3400</v>
      </c>
      <c r="I34" s="30">
        <v>1400</v>
      </c>
      <c r="J34" s="30">
        <f>6150</f>
        <v>6150</v>
      </c>
      <c r="K34" s="30">
        <v>18000</v>
      </c>
      <c r="L34" s="30">
        <v>3200</v>
      </c>
      <c r="M34" s="30">
        <v>4700</v>
      </c>
      <c r="N34" s="30">
        <v>6200</v>
      </c>
      <c r="O34" s="31">
        <v>2300</v>
      </c>
      <c r="P34" s="32">
        <v>0</v>
      </c>
      <c r="Q34" s="138"/>
    </row>
    <row r="35" spans="1:20" x14ac:dyDescent="0.25">
      <c r="A35" s="26" t="s">
        <v>8</v>
      </c>
      <c r="B35" s="26" t="s">
        <v>68</v>
      </c>
      <c r="C35" s="26" t="s">
        <v>68</v>
      </c>
      <c r="D35" s="27" t="s">
        <v>62</v>
      </c>
      <c r="E35" s="63">
        <v>0</v>
      </c>
      <c r="F35" s="29">
        <f>2950+2300</f>
        <v>5250</v>
      </c>
      <c r="G35" s="30">
        <v>3915</v>
      </c>
      <c r="H35" s="30">
        <f>4360+190</f>
        <v>4550</v>
      </c>
      <c r="I35" s="30">
        <v>4270</v>
      </c>
      <c r="J35" s="30">
        <f>2169+2770</f>
        <v>4939</v>
      </c>
      <c r="K35" s="30">
        <v>6697</v>
      </c>
      <c r="L35" s="30">
        <v>0</v>
      </c>
      <c r="M35" s="30">
        <f>6310+190</f>
        <v>6500</v>
      </c>
      <c r="N35" s="30">
        <f>5340+210+2440</f>
        <v>7990</v>
      </c>
      <c r="O35" s="32">
        <v>0</v>
      </c>
      <c r="P35" s="32">
        <f>3270+3610</f>
        <v>6880</v>
      </c>
      <c r="Q35" s="138"/>
      <c r="R35" s="2"/>
      <c r="S35" s="2"/>
    </row>
    <row r="36" spans="1:20" ht="15.75" thickBot="1" x14ac:dyDescent="0.3">
      <c r="A36" s="26" t="s">
        <v>8</v>
      </c>
      <c r="B36" s="26" t="s">
        <v>68</v>
      </c>
      <c r="C36" s="26" t="s">
        <v>68</v>
      </c>
      <c r="D36" s="46" t="s">
        <v>6</v>
      </c>
      <c r="E36" s="63">
        <v>0</v>
      </c>
      <c r="F36" s="29">
        <v>40650</v>
      </c>
      <c r="G36" s="30">
        <v>3900</v>
      </c>
      <c r="H36" s="30">
        <f>6280+3540</f>
        <v>9820</v>
      </c>
      <c r="I36" s="30">
        <v>8200</v>
      </c>
      <c r="J36" s="30">
        <f>2100</f>
        <v>2100</v>
      </c>
      <c r="K36" s="30">
        <v>32590</v>
      </c>
      <c r="L36" s="30">
        <f>7280+540</f>
        <v>7820</v>
      </c>
      <c r="M36" s="30">
        <f>1110+4700+200+1500</f>
        <v>7510</v>
      </c>
      <c r="N36" s="30">
        <f>17700-N31</f>
        <v>4500</v>
      </c>
      <c r="O36" s="31">
        <f>5060+2800+19506</f>
        <v>27366</v>
      </c>
      <c r="P36" s="32">
        <f>950+12149</f>
        <v>13099</v>
      </c>
      <c r="Q36" s="138"/>
    </row>
    <row r="37" spans="1:20" ht="15.75" thickBot="1" x14ac:dyDescent="0.3">
      <c r="A37" s="130" t="s">
        <v>12</v>
      </c>
      <c r="B37" s="48" t="s">
        <v>12</v>
      </c>
      <c r="C37" s="48" t="s">
        <v>12</v>
      </c>
      <c r="D37" s="49" t="s">
        <v>12</v>
      </c>
      <c r="E37" s="50">
        <f t="shared" ref="E37:P37" si="3">SUM(E26:E36)</f>
        <v>280400</v>
      </c>
      <c r="F37" s="50">
        <f t="shared" si="3"/>
        <v>656900</v>
      </c>
      <c r="G37" s="50">
        <f t="shared" si="3"/>
        <v>759715</v>
      </c>
      <c r="H37" s="50">
        <f t="shared" si="3"/>
        <v>808341</v>
      </c>
      <c r="I37" s="50">
        <f t="shared" si="3"/>
        <v>988057.09677419357</v>
      </c>
      <c r="J37" s="50">
        <f t="shared" si="3"/>
        <v>1075326</v>
      </c>
      <c r="K37" s="50">
        <f t="shared" si="3"/>
        <v>1024138</v>
      </c>
      <c r="L37" s="50">
        <f t="shared" si="3"/>
        <v>759342</v>
      </c>
      <c r="M37" s="50">
        <f t="shared" si="3"/>
        <v>700645</v>
      </c>
      <c r="N37" s="50">
        <f t="shared" si="3"/>
        <v>586167</v>
      </c>
      <c r="O37" s="51">
        <f t="shared" si="3"/>
        <v>428947</v>
      </c>
      <c r="P37" s="52">
        <f t="shared" si="3"/>
        <v>324038.24</v>
      </c>
      <c r="Q37" s="138"/>
    </row>
    <row r="38" spans="1:20" x14ac:dyDescent="0.25">
      <c r="A38" s="21" t="s">
        <v>9</v>
      </c>
      <c r="B38" s="21" t="s">
        <v>63</v>
      </c>
      <c r="C38" s="21" t="s">
        <v>63</v>
      </c>
      <c r="D38" s="53" t="s">
        <v>2</v>
      </c>
      <c r="E38" s="54">
        <v>25806</v>
      </c>
      <c r="F38" s="55">
        <v>50000</v>
      </c>
      <c r="G38" s="23">
        <v>46774.193548387098</v>
      </c>
      <c r="H38" s="23">
        <v>47500.000000000007</v>
      </c>
      <c r="I38" s="23">
        <v>50000.000000000007</v>
      </c>
      <c r="J38" s="23">
        <v>50000.000000000007</v>
      </c>
      <c r="K38" s="23">
        <v>50000</v>
      </c>
      <c r="L38" s="23">
        <v>51613</v>
      </c>
      <c r="M38" s="23">
        <v>50000</v>
      </c>
      <c r="N38" s="23">
        <v>50000</v>
      </c>
      <c r="O38" s="24">
        <v>50000</v>
      </c>
      <c r="P38" s="25">
        <v>50000</v>
      </c>
      <c r="Q38" s="138"/>
    </row>
    <row r="39" spans="1:20" x14ac:dyDescent="0.25">
      <c r="A39" s="21" t="s">
        <v>9</v>
      </c>
      <c r="B39" s="21" t="s">
        <v>63</v>
      </c>
      <c r="C39" s="21" t="s">
        <v>63</v>
      </c>
      <c r="D39" s="14" t="s">
        <v>3</v>
      </c>
      <c r="E39" s="54">
        <v>26323</v>
      </c>
      <c r="F39" s="55">
        <v>49786</v>
      </c>
      <c r="G39" s="23">
        <v>50451.612903225803</v>
      </c>
      <c r="H39" s="23">
        <v>51366.666666666657</v>
      </c>
      <c r="I39" s="23">
        <v>52096.774193548386</v>
      </c>
      <c r="J39" s="23">
        <v>50433</v>
      </c>
      <c r="K39" s="23">
        <v>49903</v>
      </c>
      <c r="L39" s="23">
        <v>52097</v>
      </c>
      <c r="M39" s="23">
        <v>49867</v>
      </c>
      <c r="N39" s="23">
        <v>50452</v>
      </c>
      <c r="O39" s="24">
        <v>50433</v>
      </c>
      <c r="P39" s="25">
        <v>51000</v>
      </c>
      <c r="Q39" s="138"/>
    </row>
    <row r="40" spans="1:20" x14ac:dyDescent="0.25">
      <c r="A40" s="33" t="s">
        <v>9</v>
      </c>
      <c r="B40" s="33" t="s">
        <v>65</v>
      </c>
      <c r="C40" s="33" t="s">
        <v>65</v>
      </c>
      <c r="D40" s="34" t="s">
        <v>14</v>
      </c>
      <c r="E40" s="57">
        <v>18000</v>
      </c>
      <c r="F40" s="35">
        <v>36000</v>
      </c>
      <c r="G40" s="36">
        <v>36000</v>
      </c>
      <c r="H40" s="36">
        <v>36000</v>
      </c>
      <c r="I40" s="36">
        <v>36000</v>
      </c>
      <c r="J40" s="36">
        <v>36000</v>
      </c>
      <c r="K40" s="36">
        <v>36000</v>
      </c>
      <c r="L40" s="36">
        <v>36000</v>
      </c>
      <c r="M40" s="36">
        <v>36000</v>
      </c>
      <c r="N40" s="36">
        <v>36000</v>
      </c>
      <c r="O40" s="37">
        <v>36000</v>
      </c>
      <c r="P40" s="58">
        <v>36000</v>
      </c>
      <c r="Q40" s="138"/>
    </row>
    <row r="41" spans="1:20" x14ac:dyDescent="0.25">
      <c r="A41" s="26" t="s">
        <v>9</v>
      </c>
      <c r="B41" s="26" t="s">
        <v>66</v>
      </c>
      <c r="C41" s="26" t="s">
        <v>66</v>
      </c>
      <c r="D41" s="27" t="s">
        <v>15</v>
      </c>
      <c r="E41" s="28">
        <v>2850</v>
      </c>
      <c r="F41" s="30">
        <v>0</v>
      </c>
      <c r="G41" s="30">
        <v>0</v>
      </c>
      <c r="H41" s="30">
        <v>0</v>
      </c>
      <c r="I41" s="30">
        <v>0</v>
      </c>
      <c r="J41" s="30">
        <v>0</v>
      </c>
      <c r="K41" s="30">
        <v>0</v>
      </c>
      <c r="L41" s="30">
        <v>0</v>
      </c>
      <c r="M41" s="47">
        <f>5135+5229</f>
        <v>10364</v>
      </c>
      <c r="N41" s="30">
        <v>0</v>
      </c>
      <c r="O41" s="32">
        <v>0</v>
      </c>
      <c r="P41" s="32">
        <v>1841</v>
      </c>
      <c r="Q41" s="138"/>
    </row>
    <row r="42" spans="1:20" x14ac:dyDescent="0.25">
      <c r="A42" s="38" t="s">
        <v>9</v>
      </c>
      <c r="B42" s="38" t="s">
        <v>67</v>
      </c>
      <c r="C42" s="38" t="s">
        <v>67</v>
      </c>
      <c r="D42" s="39" t="s">
        <v>4</v>
      </c>
      <c r="E42" s="40">
        <v>0</v>
      </c>
      <c r="F42" s="41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67">
        <v>0</v>
      </c>
      <c r="N42" s="42">
        <v>0</v>
      </c>
      <c r="O42" s="44">
        <v>0</v>
      </c>
      <c r="P42" s="44">
        <v>0</v>
      </c>
      <c r="Q42" s="138"/>
      <c r="R42" s="137"/>
      <c r="S42" s="2"/>
    </row>
    <row r="43" spans="1:20" x14ac:dyDescent="0.25">
      <c r="A43" s="38" t="s">
        <v>9</v>
      </c>
      <c r="B43" s="38" t="s">
        <v>67</v>
      </c>
      <c r="C43" s="38" t="s">
        <v>67</v>
      </c>
      <c r="D43" s="39" t="s">
        <v>5</v>
      </c>
      <c r="E43" s="40">
        <v>15500</v>
      </c>
      <c r="F43" s="41">
        <v>67500</v>
      </c>
      <c r="G43" s="42">
        <v>132400</v>
      </c>
      <c r="H43" s="42">
        <v>93100</v>
      </c>
      <c r="I43" s="42">
        <v>127150</v>
      </c>
      <c r="J43" s="42">
        <v>128500</v>
      </c>
      <c r="K43" s="42">
        <v>74400</v>
      </c>
      <c r="L43" s="42">
        <v>94700</v>
      </c>
      <c r="M43" s="42">
        <v>107400</v>
      </c>
      <c r="N43" s="42">
        <v>92300</v>
      </c>
      <c r="O43" s="45">
        <v>86500</v>
      </c>
      <c r="P43" s="44">
        <v>35500</v>
      </c>
      <c r="Q43" s="138"/>
      <c r="R43" s="2"/>
    </row>
    <row r="44" spans="1:20" x14ac:dyDescent="0.25">
      <c r="A44" s="26" t="s">
        <v>9</v>
      </c>
      <c r="B44" s="26" t="s">
        <v>68</v>
      </c>
      <c r="C44" s="26" t="s">
        <v>68</v>
      </c>
      <c r="D44" s="27" t="s">
        <v>19</v>
      </c>
      <c r="E44" s="28">
        <v>1000</v>
      </c>
      <c r="F44" s="29">
        <v>5500</v>
      </c>
      <c r="G44" s="30">
        <v>4150</v>
      </c>
      <c r="H44" s="30">
        <v>7000</v>
      </c>
      <c r="I44" s="30">
        <v>14100</v>
      </c>
      <c r="J44" s="30">
        <v>9450</v>
      </c>
      <c r="K44" s="30">
        <v>8950</v>
      </c>
      <c r="L44" s="30">
        <v>11000</v>
      </c>
      <c r="M44" s="30">
        <v>8900</v>
      </c>
      <c r="N44" s="30">
        <v>8800</v>
      </c>
      <c r="O44" s="31">
        <v>5400</v>
      </c>
      <c r="P44" s="32">
        <v>3600</v>
      </c>
      <c r="Q44" s="138"/>
      <c r="R44" s="2"/>
      <c r="S44" s="2"/>
    </row>
    <row r="45" spans="1:20" x14ac:dyDescent="0.25">
      <c r="A45" s="26" t="s">
        <v>9</v>
      </c>
      <c r="B45" s="26" t="s">
        <v>68</v>
      </c>
      <c r="C45" s="26" t="s">
        <v>68</v>
      </c>
      <c r="D45" s="27" t="s">
        <v>62</v>
      </c>
      <c r="E45" s="28">
        <f>580</f>
        <v>580</v>
      </c>
      <c r="F45" s="29">
        <v>1150</v>
      </c>
      <c r="G45" s="30">
        <v>1150</v>
      </c>
      <c r="H45" s="30">
        <f>1300</f>
        <v>1300</v>
      </c>
      <c r="I45" s="30">
        <v>1400</v>
      </c>
      <c r="J45" s="30">
        <v>1400</v>
      </c>
      <c r="K45" s="30">
        <v>600</v>
      </c>
      <c r="L45" s="30">
        <v>0</v>
      </c>
      <c r="M45" s="30">
        <v>1350</v>
      </c>
      <c r="N45" s="30">
        <v>1440</v>
      </c>
      <c r="O45" s="32">
        <v>0</v>
      </c>
      <c r="P45" s="32">
        <v>1650</v>
      </c>
      <c r="Q45" s="138"/>
      <c r="R45" s="2"/>
    </row>
    <row r="46" spans="1:20" ht="15.75" thickBot="1" x14ac:dyDescent="0.3">
      <c r="A46" s="26" t="s">
        <v>9</v>
      </c>
      <c r="B46" s="26" t="s">
        <v>68</v>
      </c>
      <c r="C46" s="26" t="s">
        <v>68</v>
      </c>
      <c r="D46" s="46" t="s">
        <v>6</v>
      </c>
      <c r="E46" s="28">
        <v>15655</v>
      </c>
      <c r="F46" s="29">
        <v>23402</v>
      </c>
      <c r="G46" s="30">
        <v>19123</v>
      </c>
      <c r="H46" s="30">
        <v>10141</v>
      </c>
      <c r="I46" s="30">
        <v>19366</v>
      </c>
      <c r="J46" s="30">
        <v>23659</v>
      </c>
      <c r="K46" s="30">
        <f>54830-36000</f>
        <v>18830</v>
      </c>
      <c r="L46" s="30">
        <f>1200+54408-36000</f>
        <v>19608</v>
      </c>
      <c r="M46" s="30">
        <f>57702-36000-10364</f>
        <v>11338</v>
      </c>
      <c r="N46" s="30">
        <f>50948-36000</f>
        <v>14948</v>
      </c>
      <c r="O46" s="31">
        <f>56098+1590-36000</f>
        <v>21688</v>
      </c>
      <c r="P46" s="32">
        <f>52105-36000-1841</f>
        <v>14264</v>
      </c>
      <c r="Q46" s="138"/>
      <c r="R46" s="137"/>
      <c r="S46" s="2"/>
    </row>
    <row r="47" spans="1:20" ht="15.75" thickBot="1" x14ac:dyDescent="0.3">
      <c r="A47" s="130" t="s">
        <v>12</v>
      </c>
      <c r="B47" s="48" t="s">
        <v>12</v>
      </c>
      <c r="C47" s="48" t="s">
        <v>12</v>
      </c>
      <c r="D47" s="49" t="s">
        <v>12</v>
      </c>
      <c r="E47" s="50">
        <f t="shared" ref="E47:P47" si="4">SUM(E38:E46)</f>
        <v>105714</v>
      </c>
      <c r="F47" s="50">
        <f t="shared" si="4"/>
        <v>233338</v>
      </c>
      <c r="G47" s="50">
        <f t="shared" si="4"/>
        <v>290048.80645161291</v>
      </c>
      <c r="H47" s="50">
        <f t="shared" si="4"/>
        <v>246407.66666666666</v>
      </c>
      <c r="I47" s="50">
        <f t="shared" si="4"/>
        <v>300112.77419354836</v>
      </c>
      <c r="J47" s="50">
        <f t="shared" si="4"/>
        <v>299442</v>
      </c>
      <c r="K47" s="50">
        <f t="shared" si="4"/>
        <v>238683</v>
      </c>
      <c r="L47" s="50">
        <f t="shared" si="4"/>
        <v>265018</v>
      </c>
      <c r="M47" s="50">
        <f t="shared" si="4"/>
        <v>275219</v>
      </c>
      <c r="N47" s="50">
        <f t="shared" si="4"/>
        <v>253940</v>
      </c>
      <c r="O47" s="51">
        <f t="shared" si="4"/>
        <v>250021</v>
      </c>
      <c r="P47" s="52">
        <f t="shared" si="4"/>
        <v>193855</v>
      </c>
      <c r="Q47" s="138"/>
    </row>
    <row r="48" spans="1:20" x14ac:dyDescent="0.25">
      <c r="A48" s="53" t="s">
        <v>11</v>
      </c>
      <c r="B48" s="53" t="s">
        <v>63</v>
      </c>
      <c r="C48" s="53" t="s">
        <v>63</v>
      </c>
      <c r="D48" s="53" t="s">
        <v>2</v>
      </c>
      <c r="E48" s="68">
        <v>0</v>
      </c>
      <c r="F48" s="68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56">
        <v>0</v>
      </c>
      <c r="N48" s="23">
        <v>0</v>
      </c>
      <c r="O48" s="24">
        <v>15000</v>
      </c>
      <c r="P48" s="25">
        <v>15000</v>
      </c>
      <c r="Q48" s="138"/>
    </row>
    <row r="49" spans="1:18" ht="20.100000000000001" customHeight="1" x14ac:dyDescent="0.25">
      <c r="A49" s="14" t="s">
        <v>11</v>
      </c>
      <c r="B49" s="14" t="s">
        <v>63</v>
      </c>
      <c r="C49" s="14" t="s">
        <v>63</v>
      </c>
      <c r="D49" s="14" t="s">
        <v>3</v>
      </c>
      <c r="E49" s="54">
        <v>0</v>
      </c>
      <c r="F49" s="54">
        <v>50000</v>
      </c>
      <c r="G49" s="69">
        <v>50000</v>
      </c>
      <c r="H49" s="69">
        <v>50000</v>
      </c>
      <c r="I49" s="69">
        <v>50000</v>
      </c>
      <c r="J49" s="69">
        <v>50000</v>
      </c>
      <c r="K49" s="69">
        <v>50000</v>
      </c>
      <c r="L49" s="69">
        <v>50000</v>
      </c>
      <c r="M49" s="69">
        <f>17500+17500+15000</f>
        <v>50000</v>
      </c>
      <c r="N49" s="69">
        <v>50000</v>
      </c>
      <c r="O49" s="70">
        <f>17500+17500</f>
        <v>35000</v>
      </c>
      <c r="P49" s="71">
        <f>17500+17500</f>
        <v>35000</v>
      </c>
      <c r="Q49" s="138"/>
    </row>
    <row r="50" spans="1:18" x14ac:dyDescent="0.25">
      <c r="A50" s="27" t="s">
        <v>11</v>
      </c>
      <c r="B50" s="27" t="s">
        <v>64</v>
      </c>
      <c r="C50" s="27" t="s">
        <v>64</v>
      </c>
      <c r="D50" s="27" t="s">
        <v>18</v>
      </c>
      <c r="E50" s="63">
        <v>0</v>
      </c>
      <c r="F50" s="28">
        <v>8320</v>
      </c>
      <c r="G50" s="30">
        <v>8220</v>
      </c>
      <c r="H50" s="30">
        <f>3915+4400</f>
        <v>8315</v>
      </c>
      <c r="I50" s="30">
        <f>5200+2920</f>
        <v>8120</v>
      </c>
      <c r="J50" s="30">
        <f>6210+10400</f>
        <v>16610</v>
      </c>
      <c r="K50" s="30">
        <f>9600+5910</f>
        <v>15510</v>
      </c>
      <c r="L50" s="30">
        <f>3260+9600</f>
        <v>12860</v>
      </c>
      <c r="M50" s="30">
        <f>3730+10400</f>
        <v>14130</v>
      </c>
      <c r="N50" s="30">
        <f>3940+10000</f>
        <v>13940</v>
      </c>
      <c r="O50" s="31">
        <f>3970+10400</f>
        <v>14370</v>
      </c>
      <c r="P50" s="32">
        <f>4310+10800</f>
        <v>15110</v>
      </c>
      <c r="Q50" s="138"/>
    </row>
    <row r="51" spans="1:18" x14ac:dyDescent="0.25">
      <c r="A51" s="34" t="s">
        <v>11</v>
      </c>
      <c r="B51" s="34" t="s">
        <v>65</v>
      </c>
      <c r="C51" s="34" t="s">
        <v>65</v>
      </c>
      <c r="D51" s="34" t="s">
        <v>14</v>
      </c>
      <c r="E51" s="57">
        <v>0</v>
      </c>
      <c r="F51" s="57">
        <v>50000</v>
      </c>
      <c r="G51" s="36">
        <v>50000</v>
      </c>
      <c r="H51" s="36">
        <v>50000</v>
      </c>
      <c r="I51" s="36">
        <v>50000</v>
      </c>
      <c r="J51" s="36">
        <v>50000</v>
      </c>
      <c r="K51" s="36">
        <v>50000</v>
      </c>
      <c r="L51" s="36">
        <v>50000</v>
      </c>
      <c r="M51" s="36">
        <v>50000</v>
      </c>
      <c r="N51" s="36">
        <v>50000</v>
      </c>
      <c r="O51" s="37">
        <v>50000</v>
      </c>
      <c r="P51" s="37">
        <v>50000</v>
      </c>
      <c r="Q51" s="138"/>
    </row>
    <row r="52" spans="1:18" x14ac:dyDescent="0.25">
      <c r="A52" s="27" t="s">
        <v>11</v>
      </c>
      <c r="B52" s="27" t="s">
        <v>66</v>
      </c>
      <c r="C52" s="27" t="s">
        <v>66</v>
      </c>
      <c r="D52" s="27" t="s">
        <v>15</v>
      </c>
      <c r="E52" s="63">
        <v>0</v>
      </c>
      <c r="F52" s="28">
        <v>10807</v>
      </c>
      <c r="G52" s="30">
        <v>4000</v>
      </c>
      <c r="H52" s="30">
        <v>13246</v>
      </c>
      <c r="I52" s="30">
        <v>0</v>
      </c>
      <c r="J52" s="30">
        <f>15656</f>
        <v>15656</v>
      </c>
      <c r="K52" s="30">
        <v>3790</v>
      </c>
      <c r="L52" s="30">
        <v>18446</v>
      </c>
      <c r="M52" s="30">
        <v>3710</v>
      </c>
      <c r="N52" s="30">
        <v>23149</v>
      </c>
      <c r="O52" s="32">
        <v>0</v>
      </c>
      <c r="P52" s="32">
        <v>22880</v>
      </c>
      <c r="Q52" s="138"/>
    </row>
    <row r="53" spans="1:18" x14ac:dyDescent="0.25">
      <c r="A53" s="27" t="s">
        <v>11</v>
      </c>
      <c r="B53" s="27" t="s">
        <v>67</v>
      </c>
      <c r="C53" s="27" t="s">
        <v>67</v>
      </c>
      <c r="D53" s="27" t="s">
        <v>19</v>
      </c>
      <c r="E53" s="63">
        <v>0</v>
      </c>
      <c r="F53" s="28">
        <v>0</v>
      </c>
      <c r="G53" s="30">
        <v>0</v>
      </c>
      <c r="H53" s="30">
        <v>0</v>
      </c>
      <c r="I53" s="30">
        <v>0</v>
      </c>
      <c r="J53" s="30">
        <v>0</v>
      </c>
      <c r="K53" s="30">
        <v>0</v>
      </c>
      <c r="L53" s="30">
        <v>0</v>
      </c>
      <c r="M53" s="47">
        <v>0</v>
      </c>
      <c r="N53" s="30">
        <v>0</v>
      </c>
      <c r="O53" s="32">
        <v>0</v>
      </c>
      <c r="P53" s="32">
        <v>0</v>
      </c>
      <c r="Q53" s="138"/>
    </row>
    <row r="54" spans="1:18" x14ac:dyDescent="0.25">
      <c r="A54" s="39" t="s">
        <v>11</v>
      </c>
      <c r="B54" s="39" t="s">
        <v>67</v>
      </c>
      <c r="C54" s="39" t="s">
        <v>67</v>
      </c>
      <c r="D54" s="39" t="s">
        <v>4</v>
      </c>
      <c r="E54" s="40">
        <v>0</v>
      </c>
      <c r="F54" s="40">
        <v>7200</v>
      </c>
      <c r="G54" s="42">
        <v>7000</v>
      </c>
      <c r="H54" s="42">
        <v>7800</v>
      </c>
      <c r="I54" s="42">
        <v>6800</v>
      </c>
      <c r="J54" s="42">
        <f>9400</f>
        <v>9400</v>
      </c>
      <c r="K54" s="42">
        <v>10300</v>
      </c>
      <c r="L54" s="42">
        <v>7000</v>
      </c>
      <c r="M54" s="42">
        <v>9700</v>
      </c>
      <c r="N54" s="42">
        <v>4800</v>
      </c>
      <c r="O54" s="45">
        <v>4800</v>
      </c>
      <c r="P54" s="44">
        <f>8300+4000</f>
        <v>12300</v>
      </c>
      <c r="Q54" s="138"/>
    </row>
    <row r="55" spans="1:18" x14ac:dyDescent="0.25">
      <c r="A55" s="39" t="s">
        <v>11</v>
      </c>
      <c r="B55" s="39" t="s">
        <v>67</v>
      </c>
      <c r="C55" s="39" t="s">
        <v>67</v>
      </c>
      <c r="D55" s="39" t="s">
        <v>5</v>
      </c>
      <c r="E55" s="40">
        <v>0</v>
      </c>
      <c r="F55" s="40">
        <v>16000</v>
      </c>
      <c r="G55" s="42">
        <v>53700</v>
      </c>
      <c r="H55" s="42">
        <v>45200</v>
      </c>
      <c r="I55" s="42">
        <v>38400</v>
      </c>
      <c r="J55" s="42">
        <f>99200</f>
        <v>99200</v>
      </c>
      <c r="K55" s="42">
        <v>30500</v>
      </c>
      <c r="L55" s="42">
        <v>43000</v>
      </c>
      <c r="M55" s="42">
        <v>40000</v>
      </c>
      <c r="N55" s="42">
        <v>13000</v>
      </c>
      <c r="O55" s="45">
        <v>13500</v>
      </c>
      <c r="P55" s="44">
        <v>0</v>
      </c>
      <c r="Q55" s="138"/>
    </row>
    <row r="56" spans="1:18" x14ac:dyDescent="0.25">
      <c r="A56" s="27" t="s">
        <v>11</v>
      </c>
      <c r="B56" s="27" t="s">
        <v>68</v>
      </c>
      <c r="C56" s="27" t="s">
        <v>68</v>
      </c>
      <c r="D56" s="27" t="s">
        <v>62</v>
      </c>
      <c r="E56" s="63">
        <v>0</v>
      </c>
      <c r="F56" s="28">
        <f>9200+860</f>
        <v>10060</v>
      </c>
      <c r="G56" s="30">
        <v>0</v>
      </c>
      <c r="H56" s="30">
        <v>1750</v>
      </c>
      <c r="I56" s="30">
        <f>2450+2280+3690</f>
        <v>8420</v>
      </c>
      <c r="J56" s="30">
        <f>5150</f>
        <v>5150</v>
      </c>
      <c r="K56" s="30">
        <v>1680</v>
      </c>
      <c r="L56" s="30">
        <v>0</v>
      </c>
      <c r="M56" s="30">
        <f>1790</f>
        <v>1790</v>
      </c>
      <c r="N56" s="30">
        <f>3280+2290</f>
        <v>5570</v>
      </c>
      <c r="O56" s="32">
        <v>0</v>
      </c>
      <c r="P56" s="32">
        <f>2830</f>
        <v>2830</v>
      </c>
      <c r="Q56" s="138"/>
    </row>
    <row r="57" spans="1:18" ht="15.75" thickBot="1" x14ac:dyDescent="0.3">
      <c r="A57" s="46" t="s">
        <v>11</v>
      </c>
      <c r="B57" s="46" t="s">
        <v>68</v>
      </c>
      <c r="C57" s="46" t="s">
        <v>68</v>
      </c>
      <c r="D57" s="46" t="s">
        <v>6</v>
      </c>
      <c r="E57" s="72">
        <v>0</v>
      </c>
      <c r="F57" s="73">
        <v>24714</v>
      </c>
      <c r="G57" s="30">
        <f>900+10800+1800</f>
        <v>13500</v>
      </c>
      <c r="H57" s="30">
        <v>920</v>
      </c>
      <c r="I57" s="30">
        <v>200</v>
      </c>
      <c r="J57" s="30">
        <v>0</v>
      </c>
      <c r="K57" s="30">
        <v>2000</v>
      </c>
      <c r="L57" s="30">
        <f>150+1250+2740</f>
        <v>4140</v>
      </c>
      <c r="M57" s="30">
        <v>2920</v>
      </c>
      <c r="N57" s="30">
        <v>2580</v>
      </c>
      <c r="O57" s="31">
        <f>1532+2920</f>
        <v>4452</v>
      </c>
      <c r="P57" s="32">
        <v>2010</v>
      </c>
      <c r="Q57" s="138"/>
    </row>
    <row r="58" spans="1:18" ht="15.75" thickBot="1" x14ac:dyDescent="0.3">
      <c r="A58" s="130" t="s">
        <v>12</v>
      </c>
      <c r="B58" s="48" t="s">
        <v>12</v>
      </c>
      <c r="C58" s="48" t="s">
        <v>12</v>
      </c>
      <c r="D58" s="49" t="s">
        <v>12</v>
      </c>
      <c r="E58" s="50">
        <f t="shared" ref="E58:P58" si="5">SUM(E48:E57)</f>
        <v>0</v>
      </c>
      <c r="F58" s="50">
        <f t="shared" si="5"/>
        <v>177101</v>
      </c>
      <c r="G58" s="50">
        <f t="shared" si="5"/>
        <v>186420</v>
      </c>
      <c r="H58" s="50">
        <f t="shared" si="5"/>
        <v>177231</v>
      </c>
      <c r="I58" s="50">
        <f t="shared" si="5"/>
        <v>161940</v>
      </c>
      <c r="J58" s="50">
        <f t="shared" si="5"/>
        <v>246016</v>
      </c>
      <c r="K58" s="50">
        <f t="shared" si="5"/>
        <v>163780</v>
      </c>
      <c r="L58" s="50">
        <f t="shared" si="5"/>
        <v>185446</v>
      </c>
      <c r="M58" s="50">
        <f t="shared" si="5"/>
        <v>172250</v>
      </c>
      <c r="N58" s="50">
        <f t="shared" si="5"/>
        <v>163039</v>
      </c>
      <c r="O58" s="51">
        <f t="shared" si="5"/>
        <v>137122</v>
      </c>
      <c r="P58" s="52">
        <f t="shared" si="5"/>
        <v>155130</v>
      </c>
      <c r="Q58" s="138"/>
    </row>
    <row r="59" spans="1:18" x14ac:dyDescent="0.25">
      <c r="A59" s="53" t="s">
        <v>23</v>
      </c>
      <c r="B59" s="53" t="s">
        <v>63</v>
      </c>
      <c r="C59" s="53" t="s">
        <v>63</v>
      </c>
      <c r="D59" s="53" t="s">
        <v>2</v>
      </c>
      <c r="E59" s="68">
        <v>0</v>
      </c>
      <c r="F59" s="68">
        <v>0</v>
      </c>
      <c r="G59" s="23">
        <v>30000</v>
      </c>
      <c r="H59" s="23">
        <v>31935.483870967742</v>
      </c>
      <c r="I59" s="23">
        <v>30000</v>
      </c>
      <c r="J59" s="23">
        <v>30000</v>
      </c>
      <c r="K59" s="23">
        <v>0</v>
      </c>
      <c r="L59" s="23">
        <v>0</v>
      </c>
      <c r="M59" s="56">
        <v>0</v>
      </c>
      <c r="N59" s="23">
        <v>0</v>
      </c>
      <c r="O59" s="24">
        <v>0</v>
      </c>
      <c r="P59" s="25">
        <v>0</v>
      </c>
      <c r="Q59" s="138"/>
    </row>
    <row r="60" spans="1:18" x14ac:dyDescent="0.25">
      <c r="A60" s="14" t="s">
        <v>23</v>
      </c>
      <c r="B60" s="14" t="s">
        <v>63</v>
      </c>
      <c r="C60" s="14" t="s">
        <v>63</v>
      </c>
      <c r="D60" s="14" t="s">
        <v>3</v>
      </c>
      <c r="E60" s="54">
        <v>0</v>
      </c>
      <c r="F60" s="54">
        <v>0</v>
      </c>
      <c r="G60" s="23">
        <v>69833</v>
      </c>
      <c r="H60" s="69">
        <v>79020</v>
      </c>
      <c r="I60" s="69">
        <v>80406</v>
      </c>
      <c r="J60" s="69">
        <v>79447</v>
      </c>
      <c r="K60" s="69">
        <v>0</v>
      </c>
      <c r="L60" s="69">
        <v>0</v>
      </c>
      <c r="M60" s="69">
        <v>0</v>
      </c>
      <c r="N60" s="69">
        <v>0</v>
      </c>
      <c r="O60" s="70">
        <v>0</v>
      </c>
      <c r="P60" s="71">
        <v>0</v>
      </c>
      <c r="Q60" s="138"/>
    </row>
    <row r="61" spans="1:18" x14ac:dyDescent="0.25">
      <c r="A61" s="27" t="s">
        <v>23</v>
      </c>
      <c r="B61" s="27" t="s">
        <v>64</v>
      </c>
      <c r="C61" s="27" t="s">
        <v>64</v>
      </c>
      <c r="D61" s="27" t="s">
        <v>18</v>
      </c>
      <c r="E61" s="63">
        <v>0</v>
      </c>
      <c r="F61" s="28">
        <v>0</v>
      </c>
      <c r="G61" s="30">
        <v>0</v>
      </c>
      <c r="H61" s="30">
        <v>0</v>
      </c>
      <c r="I61" s="30">
        <v>0</v>
      </c>
      <c r="J61" s="30">
        <v>0</v>
      </c>
      <c r="K61" s="30">
        <v>0</v>
      </c>
      <c r="L61" s="30">
        <v>0</v>
      </c>
      <c r="M61" s="30">
        <v>0</v>
      </c>
      <c r="N61" s="30">
        <v>0</v>
      </c>
      <c r="O61" s="31">
        <v>0</v>
      </c>
      <c r="P61" s="32">
        <v>0</v>
      </c>
      <c r="Q61" s="138"/>
      <c r="R61" s="137"/>
    </row>
    <row r="62" spans="1:18" x14ac:dyDescent="0.25">
      <c r="A62" s="34" t="s">
        <v>23</v>
      </c>
      <c r="B62" s="34" t="s">
        <v>65</v>
      </c>
      <c r="C62" s="34" t="s">
        <v>65</v>
      </c>
      <c r="D62" s="34" t="s">
        <v>14</v>
      </c>
      <c r="E62" s="57">
        <v>0</v>
      </c>
      <c r="F62" s="57">
        <v>0</v>
      </c>
      <c r="G62" s="36">
        <v>197966</v>
      </c>
      <c r="H62" s="36">
        <v>197966</v>
      </c>
      <c r="I62" s="36">
        <v>197966</v>
      </c>
      <c r="J62" s="36">
        <v>197966</v>
      </c>
      <c r="K62" s="36">
        <v>25544</v>
      </c>
      <c r="L62" s="36">
        <v>0</v>
      </c>
      <c r="M62" s="36">
        <v>0</v>
      </c>
      <c r="N62" s="36">
        <v>0</v>
      </c>
      <c r="O62" s="37">
        <v>0</v>
      </c>
      <c r="P62" s="37">
        <v>0</v>
      </c>
      <c r="Q62" s="138"/>
    </row>
    <row r="63" spans="1:18" x14ac:dyDescent="0.25">
      <c r="A63" s="27" t="s">
        <v>23</v>
      </c>
      <c r="B63" s="27" t="s">
        <v>66</v>
      </c>
      <c r="C63" s="27" t="s">
        <v>66</v>
      </c>
      <c r="D63" s="27" t="s">
        <v>15</v>
      </c>
      <c r="E63" s="63">
        <v>0</v>
      </c>
      <c r="F63" s="28">
        <v>0</v>
      </c>
      <c r="G63" s="30">
        <v>0</v>
      </c>
      <c r="H63" s="30">
        <v>9345</v>
      </c>
      <c r="I63" s="30">
        <v>7000</v>
      </c>
      <c r="J63" s="30">
        <v>4515</v>
      </c>
      <c r="K63" s="30">
        <v>0</v>
      </c>
      <c r="L63" s="30">
        <v>0</v>
      </c>
      <c r="M63" s="30">
        <v>0</v>
      </c>
      <c r="N63" s="30">
        <v>0</v>
      </c>
      <c r="O63" s="32">
        <v>0</v>
      </c>
      <c r="P63" s="32">
        <v>0</v>
      </c>
      <c r="Q63" s="138"/>
    </row>
    <row r="64" spans="1:18" x14ac:dyDescent="0.25">
      <c r="A64" s="27" t="s">
        <v>23</v>
      </c>
      <c r="B64" s="27" t="s">
        <v>67</v>
      </c>
      <c r="C64" s="27" t="s">
        <v>67</v>
      </c>
      <c r="D64" s="27" t="s">
        <v>19</v>
      </c>
      <c r="E64" s="63">
        <v>0</v>
      </c>
      <c r="F64" s="28">
        <v>0</v>
      </c>
      <c r="G64" s="30">
        <v>11000</v>
      </c>
      <c r="H64" s="30">
        <v>22300</v>
      </c>
      <c r="I64" s="30">
        <v>14972</v>
      </c>
      <c r="J64" s="30">
        <v>20000</v>
      </c>
      <c r="K64" s="30">
        <v>0</v>
      </c>
      <c r="L64" s="30">
        <v>0</v>
      </c>
      <c r="M64" s="47">
        <v>0</v>
      </c>
      <c r="N64" s="30">
        <v>0</v>
      </c>
      <c r="O64" s="32">
        <v>0</v>
      </c>
      <c r="P64" s="32">
        <v>0</v>
      </c>
      <c r="Q64" s="138"/>
    </row>
    <row r="65" spans="1:19" x14ac:dyDescent="0.25">
      <c r="A65" s="39" t="s">
        <v>23</v>
      </c>
      <c r="B65" s="39" t="s">
        <v>67</v>
      </c>
      <c r="C65" s="39" t="s">
        <v>67</v>
      </c>
      <c r="D65" s="39" t="s">
        <v>4</v>
      </c>
      <c r="E65" s="40">
        <v>0</v>
      </c>
      <c r="F65" s="40">
        <v>0</v>
      </c>
      <c r="G65" s="42">
        <v>33400</v>
      </c>
      <c r="H65" s="42">
        <v>59000</v>
      </c>
      <c r="I65" s="42">
        <v>19183</v>
      </c>
      <c r="J65" s="42">
        <v>14500</v>
      </c>
      <c r="K65" s="42">
        <v>0</v>
      </c>
      <c r="L65" s="42">
        <v>0</v>
      </c>
      <c r="M65" s="42">
        <v>0</v>
      </c>
      <c r="N65" s="42">
        <v>0</v>
      </c>
      <c r="O65" s="45">
        <v>0</v>
      </c>
      <c r="P65" s="44">
        <v>0</v>
      </c>
      <c r="Q65" s="138"/>
    </row>
    <row r="66" spans="1:19" x14ac:dyDescent="0.25">
      <c r="A66" s="39" t="s">
        <v>23</v>
      </c>
      <c r="B66" s="39" t="s">
        <v>67</v>
      </c>
      <c r="C66" s="39" t="s">
        <v>67</v>
      </c>
      <c r="D66" s="39" t="s">
        <v>5</v>
      </c>
      <c r="E66" s="40">
        <v>0</v>
      </c>
      <c r="F66" s="40">
        <v>0</v>
      </c>
      <c r="G66" s="42">
        <v>11000</v>
      </c>
      <c r="H66" s="42">
        <v>10987</v>
      </c>
      <c r="I66" s="42">
        <v>800</v>
      </c>
      <c r="J66" s="42">
        <v>37818</v>
      </c>
      <c r="K66" s="42">
        <v>0</v>
      </c>
      <c r="L66" s="42">
        <v>0</v>
      </c>
      <c r="M66" s="42">
        <v>0</v>
      </c>
      <c r="N66" s="42">
        <v>0</v>
      </c>
      <c r="O66" s="45">
        <v>0</v>
      </c>
      <c r="P66" s="44">
        <v>0</v>
      </c>
      <c r="Q66" s="138"/>
      <c r="S66" s="2"/>
    </row>
    <row r="67" spans="1:19" x14ac:dyDescent="0.25">
      <c r="A67" s="27" t="s">
        <v>23</v>
      </c>
      <c r="B67" s="27" t="s">
        <v>68</v>
      </c>
      <c r="C67" s="27" t="s">
        <v>68</v>
      </c>
      <c r="D67" s="27" t="s">
        <v>62</v>
      </c>
      <c r="E67" s="63">
        <v>0</v>
      </c>
      <c r="F67" s="28">
        <v>0</v>
      </c>
      <c r="G67" s="30">
        <v>0</v>
      </c>
      <c r="H67" s="30">
        <v>600</v>
      </c>
      <c r="I67" s="30">
        <v>2360</v>
      </c>
      <c r="J67" s="30">
        <v>2584</v>
      </c>
      <c r="K67" s="30">
        <v>0</v>
      </c>
      <c r="L67" s="30">
        <v>0</v>
      </c>
      <c r="M67" s="30">
        <v>0</v>
      </c>
      <c r="N67" s="30">
        <v>0</v>
      </c>
      <c r="O67" s="32">
        <v>0</v>
      </c>
      <c r="P67" s="32">
        <v>0</v>
      </c>
      <c r="Q67" s="138"/>
      <c r="S67" s="2"/>
    </row>
    <row r="68" spans="1:19" ht="15.75" thickBot="1" x14ac:dyDescent="0.3">
      <c r="A68" s="46" t="s">
        <v>23</v>
      </c>
      <c r="B68" s="46" t="s">
        <v>68</v>
      </c>
      <c r="C68" s="46" t="s">
        <v>68</v>
      </c>
      <c r="D68" s="46" t="s">
        <v>6</v>
      </c>
      <c r="E68" s="72">
        <v>0</v>
      </c>
      <c r="F68" s="73">
        <v>0</v>
      </c>
      <c r="G68" s="30">
        <v>65582</v>
      </c>
      <c r="H68" s="30">
        <v>9624</v>
      </c>
      <c r="I68" s="30">
        <v>650</v>
      </c>
      <c r="J68" s="30">
        <v>5600</v>
      </c>
      <c r="K68" s="30">
        <v>0</v>
      </c>
      <c r="L68" s="30">
        <v>0</v>
      </c>
      <c r="M68" s="30">
        <v>0</v>
      </c>
      <c r="N68" s="30">
        <v>0</v>
      </c>
      <c r="O68" s="31">
        <v>0</v>
      </c>
      <c r="P68" s="32">
        <v>0</v>
      </c>
      <c r="Q68" s="138"/>
    </row>
    <row r="69" spans="1:19" ht="15.75" thickBot="1" x14ac:dyDescent="0.3">
      <c r="A69" s="130" t="s">
        <v>12</v>
      </c>
      <c r="B69" s="48" t="s">
        <v>12</v>
      </c>
      <c r="C69" s="48" t="s">
        <v>12</v>
      </c>
      <c r="D69" s="49" t="s">
        <v>12</v>
      </c>
      <c r="E69" s="50">
        <f t="shared" ref="E69:P69" si="6">SUM(E59:E68)</f>
        <v>0</v>
      </c>
      <c r="F69" s="50">
        <f t="shared" si="6"/>
        <v>0</v>
      </c>
      <c r="G69" s="50">
        <f t="shared" si="6"/>
        <v>418781</v>
      </c>
      <c r="H69" s="50">
        <f t="shared" si="6"/>
        <v>420777.48387096776</v>
      </c>
      <c r="I69" s="50">
        <f t="shared" si="6"/>
        <v>353337</v>
      </c>
      <c r="J69" s="50">
        <f t="shared" si="6"/>
        <v>392430</v>
      </c>
      <c r="K69" s="50">
        <f t="shared" si="6"/>
        <v>25544</v>
      </c>
      <c r="L69" s="50">
        <f t="shared" si="6"/>
        <v>0</v>
      </c>
      <c r="M69" s="50">
        <f t="shared" si="6"/>
        <v>0</v>
      </c>
      <c r="N69" s="50">
        <f t="shared" si="6"/>
        <v>0</v>
      </c>
      <c r="O69" s="51">
        <f t="shared" si="6"/>
        <v>0</v>
      </c>
      <c r="P69" s="52">
        <f t="shared" si="6"/>
        <v>0</v>
      </c>
    </row>
    <row r="70" spans="1:19" x14ac:dyDescent="0.25">
      <c r="A70" s="53" t="s">
        <v>39</v>
      </c>
      <c r="B70" s="53" t="s">
        <v>63</v>
      </c>
      <c r="C70" s="53" t="s">
        <v>63</v>
      </c>
      <c r="D70" s="53" t="s">
        <v>33</v>
      </c>
      <c r="E70" s="68">
        <v>60968</v>
      </c>
      <c r="F70" s="68">
        <v>70000</v>
      </c>
      <c r="G70" s="23">
        <v>70000</v>
      </c>
      <c r="H70" s="23">
        <v>70000</v>
      </c>
      <c r="I70" s="23">
        <v>70000</v>
      </c>
      <c r="J70" s="23">
        <v>70000</v>
      </c>
      <c r="K70" s="23">
        <v>70000</v>
      </c>
      <c r="L70" s="23">
        <v>70000</v>
      </c>
      <c r="M70" s="23">
        <v>70000</v>
      </c>
      <c r="N70" s="23">
        <v>70000</v>
      </c>
      <c r="O70" s="24">
        <v>70000</v>
      </c>
      <c r="P70" s="25">
        <v>70000</v>
      </c>
      <c r="S70" s="2"/>
    </row>
    <row r="71" spans="1:19" x14ac:dyDescent="0.25">
      <c r="A71" s="14" t="s">
        <v>39</v>
      </c>
      <c r="B71" s="14" t="s">
        <v>63</v>
      </c>
      <c r="C71" s="14" t="s">
        <v>63</v>
      </c>
      <c r="D71" s="14" t="s">
        <v>34</v>
      </c>
      <c r="E71" s="54">
        <v>17419</v>
      </c>
      <c r="F71" s="54">
        <v>43393</v>
      </c>
      <c r="G71" s="54">
        <v>45000</v>
      </c>
      <c r="H71" s="54">
        <v>45000</v>
      </c>
      <c r="I71" s="54">
        <v>45000</v>
      </c>
      <c r="J71" s="54">
        <v>45000</v>
      </c>
      <c r="K71" s="54">
        <v>14516</v>
      </c>
      <c r="L71" s="54">
        <v>12903</v>
      </c>
      <c r="M71" s="54">
        <v>0</v>
      </c>
      <c r="N71" s="54">
        <v>0</v>
      </c>
      <c r="O71" s="74">
        <v>22453</v>
      </c>
      <c r="P71" s="75">
        <f>16980+125000</f>
        <v>141980</v>
      </c>
      <c r="S71" s="2"/>
    </row>
    <row r="72" spans="1:19" x14ac:dyDescent="0.25">
      <c r="A72" s="27" t="s">
        <v>39</v>
      </c>
      <c r="B72" s="27" t="s">
        <v>68</v>
      </c>
      <c r="C72" s="27" t="s">
        <v>68</v>
      </c>
      <c r="D72" s="27" t="s">
        <v>47</v>
      </c>
      <c r="E72" s="63">
        <v>0</v>
      </c>
      <c r="F72" s="63">
        <v>5100</v>
      </c>
      <c r="G72" s="63">
        <v>0</v>
      </c>
      <c r="H72" s="63">
        <v>0</v>
      </c>
      <c r="I72" s="63">
        <v>0</v>
      </c>
      <c r="J72" s="63">
        <v>0</v>
      </c>
      <c r="K72" s="63">
        <v>5000</v>
      </c>
      <c r="L72" s="63">
        <v>8000</v>
      </c>
      <c r="M72" s="76">
        <v>6890</v>
      </c>
      <c r="N72" s="63">
        <v>5280</v>
      </c>
      <c r="O72" s="77">
        <v>5280</v>
      </c>
      <c r="P72" s="78">
        <v>3040</v>
      </c>
      <c r="S72" s="2"/>
    </row>
    <row r="73" spans="1:19" x14ac:dyDescent="0.25">
      <c r="A73" s="34" t="s">
        <v>39</v>
      </c>
      <c r="B73" s="34" t="s">
        <v>65</v>
      </c>
      <c r="C73" s="34" t="s">
        <v>65</v>
      </c>
      <c r="D73" s="34" t="s">
        <v>30</v>
      </c>
      <c r="E73" s="57">
        <v>0</v>
      </c>
      <c r="F73" s="57">
        <v>158250</v>
      </c>
      <c r="G73" s="57">
        <v>158250</v>
      </c>
      <c r="H73" s="57">
        <v>158250</v>
      </c>
      <c r="I73" s="57">
        <v>158250</v>
      </c>
      <c r="J73" s="57">
        <v>158250</v>
      </c>
      <c r="K73" s="57">
        <v>158250</v>
      </c>
      <c r="L73" s="57">
        <v>158250</v>
      </c>
      <c r="M73" s="57">
        <f>105500+52750</f>
        <v>158250</v>
      </c>
      <c r="N73" s="57">
        <v>158250</v>
      </c>
      <c r="O73" s="79">
        <f>105500+61190</f>
        <v>166690</v>
      </c>
      <c r="P73" s="79">
        <v>166690</v>
      </c>
      <c r="S73" s="2"/>
    </row>
    <row r="74" spans="1:19" x14ac:dyDescent="0.25">
      <c r="A74" s="34" t="s">
        <v>40</v>
      </c>
      <c r="B74" s="34" t="s">
        <v>65</v>
      </c>
      <c r="C74" s="34" t="s">
        <v>65</v>
      </c>
      <c r="D74" s="34" t="s">
        <v>31</v>
      </c>
      <c r="E74" s="57">
        <v>0</v>
      </c>
      <c r="F74" s="57">
        <v>97120</v>
      </c>
      <c r="G74" s="57">
        <v>97120</v>
      </c>
      <c r="H74" s="57">
        <v>97120</v>
      </c>
      <c r="I74" s="57">
        <v>97120</v>
      </c>
      <c r="J74" s="57">
        <v>97120</v>
      </c>
      <c r="K74" s="57">
        <v>97120</v>
      </c>
      <c r="L74" s="57">
        <v>97120</v>
      </c>
      <c r="M74" s="57">
        <v>97120</v>
      </c>
      <c r="N74" s="57">
        <v>97120</v>
      </c>
      <c r="O74" s="79">
        <f>63735+38726</f>
        <v>102461</v>
      </c>
      <c r="P74" s="79">
        <v>102461</v>
      </c>
    </row>
    <row r="75" spans="1:19" x14ac:dyDescent="0.25">
      <c r="A75" s="27" t="s">
        <v>39</v>
      </c>
      <c r="B75" s="27" t="s">
        <v>66</v>
      </c>
      <c r="C75" s="27" t="s">
        <v>66</v>
      </c>
      <c r="D75" s="27" t="s">
        <v>32</v>
      </c>
      <c r="E75" s="63">
        <v>0</v>
      </c>
      <c r="F75" s="63">
        <v>14777</v>
      </c>
      <c r="G75" s="63">
        <v>9686</v>
      </c>
      <c r="H75" s="63">
        <v>18065</v>
      </c>
      <c r="I75" s="63">
        <v>16986</v>
      </c>
      <c r="J75" s="63">
        <v>49907</v>
      </c>
      <c r="K75" s="63">
        <v>54779</v>
      </c>
      <c r="L75" s="63">
        <v>47665</v>
      </c>
      <c r="M75" s="63">
        <v>59110</v>
      </c>
      <c r="N75" s="63">
        <v>45481</v>
      </c>
      <c r="O75" s="77">
        <v>34524</v>
      </c>
      <c r="P75" s="78">
        <v>16958</v>
      </c>
      <c r="S75" s="2"/>
    </row>
    <row r="76" spans="1:19" x14ac:dyDescent="0.25">
      <c r="A76" s="80" t="s">
        <v>39</v>
      </c>
      <c r="B76" s="80" t="s">
        <v>69</v>
      </c>
      <c r="C76" s="80" t="s">
        <v>69</v>
      </c>
      <c r="D76" s="80" t="s">
        <v>35</v>
      </c>
      <c r="E76" s="81">
        <v>0</v>
      </c>
      <c r="F76" s="81">
        <v>0</v>
      </c>
      <c r="G76" s="81">
        <v>10500</v>
      </c>
      <c r="H76" s="81">
        <v>10500</v>
      </c>
      <c r="I76" s="81">
        <v>10500</v>
      </c>
      <c r="J76" s="81">
        <v>10500</v>
      </c>
      <c r="K76" s="81">
        <v>10500</v>
      </c>
      <c r="L76" s="81">
        <v>10500</v>
      </c>
      <c r="M76" s="81">
        <v>10500</v>
      </c>
      <c r="N76" s="81">
        <v>10500</v>
      </c>
      <c r="O76" s="82">
        <v>10500</v>
      </c>
      <c r="P76" s="83">
        <v>10500</v>
      </c>
    </row>
    <row r="77" spans="1:19" x14ac:dyDescent="0.25">
      <c r="A77" s="80" t="s">
        <v>40</v>
      </c>
      <c r="B77" s="80" t="s">
        <v>69</v>
      </c>
      <c r="C77" s="80" t="s">
        <v>69</v>
      </c>
      <c r="D77" s="80" t="s">
        <v>36</v>
      </c>
      <c r="E77" s="81">
        <v>0</v>
      </c>
      <c r="F77" s="81">
        <v>0</v>
      </c>
      <c r="G77" s="84">
        <v>10500</v>
      </c>
      <c r="H77" s="84">
        <v>10500</v>
      </c>
      <c r="I77" s="81">
        <v>10500</v>
      </c>
      <c r="J77" s="81">
        <v>10500</v>
      </c>
      <c r="K77" s="81">
        <v>10500</v>
      </c>
      <c r="L77" s="81">
        <v>10500</v>
      </c>
      <c r="M77" s="81">
        <v>10500</v>
      </c>
      <c r="N77" s="81">
        <v>10500</v>
      </c>
      <c r="O77" s="82">
        <v>10500</v>
      </c>
      <c r="P77" s="83">
        <v>10500</v>
      </c>
    </row>
    <row r="78" spans="1:19" x14ac:dyDescent="0.25">
      <c r="A78" s="80" t="s">
        <v>41</v>
      </c>
      <c r="B78" s="80" t="s">
        <v>69</v>
      </c>
      <c r="C78" s="80" t="s">
        <v>69</v>
      </c>
      <c r="D78" s="80" t="s">
        <v>37</v>
      </c>
      <c r="E78" s="81">
        <v>0</v>
      </c>
      <c r="F78" s="81">
        <v>0</v>
      </c>
      <c r="G78" s="84">
        <v>31500</v>
      </c>
      <c r="H78" s="84">
        <v>31500</v>
      </c>
      <c r="I78" s="81">
        <v>31500</v>
      </c>
      <c r="J78" s="81">
        <v>31500</v>
      </c>
      <c r="K78" s="81">
        <v>31500</v>
      </c>
      <c r="L78" s="81">
        <v>31500</v>
      </c>
      <c r="M78" s="81">
        <v>31500</v>
      </c>
      <c r="N78" s="81">
        <v>31500</v>
      </c>
      <c r="O78" s="82">
        <v>31500</v>
      </c>
      <c r="P78" s="83">
        <v>31500</v>
      </c>
    </row>
    <row r="79" spans="1:19" ht="15.75" thickBot="1" x14ac:dyDescent="0.3">
      <c r="A79" s="85" t="s">
        <v>41</v>
      </c>
      <c r="B79" s="85" t="s">
        <v>69</v>
      </c>
      <c r="C79" s="85" t="s">
        <v>69</v>
      </c>
      <c r="D79" s="85" t="s">
        <v>38</v>
      </c>
      <c r="E79" s="86">
        <v>0</v>
      </c>
      <c r="F79" s="81">
        <v>0</v>
      </c>
      <c r="G79" s="81">
        <v>0</v>
      </c>
      <c r="H79" s="81">
        <v>0</v>
      </c>
      <c r="I79" s="81">
        <v>0</v>
      </c>
      <c r="J79" s="84">
        <f>57000+57500</f>
        <v>114500</v>
      </c>
      <c r="K79" s="84">
        <v>52500</v>
      </c>
      <c r="L79" s="84">
        <v>74500</v>
      </c>
      <c r="M79" s="84">
        <v>57000</v>
      </c>
      <c r="N79" s="81">
        <v>52500</v>
      </c>
      <c r="O79" s="87">
        <v>94350</v>
      </c>
      <c r="P79" s="83">
        <v>78200</v>
      </c>
    </row>
    <row r="80" spans="1:19" ht="15.75" thickBot="1" x14ac:dyDescent="0.3">
      <c r="A80" s="130" t="s">
        <v>12</v>
      </c>
      <c r="B80" s="88" t="s">
        <v>12</v>
      </c>
      <c r="C80" s="88" t="s">
        <v>12</v>
      </c>
      <c r="D80" s="49" t="s">
        <v>12</v>
      </c>
      <c r="E80" s="89">
        <f>SUM(E70:E79)</f>
        <v>78387</v>
      </c>
      <c r="F80" s="89">
        <f t="shared" ref="F80:P80" si="7">SUM(F70:F79)</f>
        <v>388640</v>
      </c>
      <c r="G80" s="89">
        <f t="shared" si="7"/>
        <v>432556</v>
      </c>
      <c r="H80" s="89">
        <f t="shared" si="7"/>
        <v>440935</v>
      </c>
      <c r="I80" s="89">
        <f t="shared" si="7"/>
        <v>439856</v>
      </c>
      <c r="J80" s="89">
        <f t="shared" si="7"/>
        <v>587277</v>
      </c>
      <c r="K80" s="89">
        <f t="shared" si="7"/>
        <v>504665</v>
      </c>
      <c r="L80" s="89">
        <f t="shared" si="7"/>
        <v>520938</v>
      </c>
      <c r="M80" s="89">
        <f t="shared" si="7"/>
        <v>500870</v>
      </c>
      <c r="N80" s="89">
        <f t="shared" si="7"/>
        <v>481131</v>
      </c>
      <c r="O80" s="90">
        <f t="shared" si="7"/>
        <v>548258</v>
      </c>
      <c r="P80" s="91">
        <f t="shared" si="7"/>
        <v>631829</v>
      </c>
    </row>
    <row r="81" spans="1:23" ht="15.75" thickBot="1" x14ac:dyDescent="0.3">
      <c r="A81" s="130" t="s">
        <v>58</v>
      </c>
      <c r="B81" s="88" t="s">
        <v>12</v>
      </c>
      <c r="C81" s="88" t="s">
        <v>12</v>
      </c>
      <c r="D81" s="49" t="s">
        <v>12</v>
      </c>
      <c r="E81" s="92">
        <f>E14+E25+E37+E47+E80</f>
        <v>727615.96774193551</v>
      </c>
      <c r="F81" s="92">
        <f t="shared" ref="F81:P81" si="8">F14+F25+F37+F47+F80</f>
        <v>1786529</v>
      </c>
      <c r="G81" s="92">
        <f t="shared" si="8"/>
        <v>2121725.8064516131</v>
      </c>
      <c r="H81" s="92">
        <f t="shared" si="8"/>
        <v>2162145.666666667</v>
      </c>
      <c r="I81" s="92">
        <f t="shared" si="8"/>
        <v>2483540.8709677421</v>
      </c>
      <c r="J81" s="92">
        <f t="shared" si="8"/>
        <v>2600611</v>
      </c>
      <c r="K81" s="92">
        <f t="shared" si="8"/>
        <v>2217757</v>
      </c>
      <c r="L81" s="92">
        <f t="shared" si="8"/>
        <v>2016628</v>
      </c>
      <c r="M81" s="92">
        <f t="shared" si="8"/>
        <v>1896212</v>
      </c>
      <c r="N81" s="92">
        <f t="shared" si="8"/>
        <v>1668088</v>
      </c>
      <c r="O81" s="92">
        <f t="shared" si="8"/>
        <v>1580439</v>
      </c>
      <c r="P81" s="92">
        <f t="shared" si="8"/>
        <v>1462351.7883870967</v>
      </c>
    </row>
    <row r="82" spans="1:23" x14ac:dyDescent="0.25">
      <c r="A82" s="93" t="s">
        <v>1</v>
      </c>
      <c r="B82" s="93" t="s">
        <v>49</v>
      </c>
      <c r="C82" s="93" t="s">
        <v>50</v>
      </c>
      <c r="D82" s="94" t="s">
        <v>50</v>
      </c>
      <c r="E82" s="95">
        <f>18268884</f>
        <v>18268884</v>
      </c>
      <c r="F82" s="95">
        <f>25472531</f>
        <v>25472531</v>
      </c>
      <c r="G82" s="95">
        <f>82932758</f>
        <v>82932758</v>
      </c>
      <c r="H82" s="95">
        <f>46051044</f>
        <v>46051044</v>
      </c>
      <c r="I82" s="95">
        <f>80312653</f>
        <v>80312653</v>
      </c>
      <c r="J82" s="95">
        <f>66334716</f>
        <v>66334716</v>
      </c>
      <c r="K82" s="96">
        <f>44564026</f>
        <v>44564026</v>
      </c>
      <c r="L82" s="96">
        <f>51517282</f>
        <v>51517282</v>
      </c>
      <c r="M82" s="96">
        <f>56995014</f>
        <v>56995014</v>
      </c>
      <c r="N82" s="97">
        <f>44222682</f>
        <v>44222682</v>
      </c>
      <c r="O82" s="97">
        <f>30668388</f>
        <v>30668388</v>
      </c>
      <c r="P82" s="98">
        <v>13883982</v>
      </c>
      <c r="W82" s="1"/>
    </row>
    <row r="83" spans="1:23" x14ac:dyDescent="0.25">
      <c r="A83" s="112" t="s">
        <v>1</v>
      </c>
      <c r="B83" s="112" t="s">
        <v>49</v>
      </c>
      <c r="C83" s="112" t="s">
        <v>76</v>
      </c>
      <c r="D83" s="113" t="s">
        <v>76</v>
      </c>
      <c r="E83" s="114">
        <v>201404</v>
      </c>
      <c r="F83" s="114">
        <v>654006</v>
      </c>
      <c r="G83" s="114">
        <v>902329</v>
      </c>
      <c r="H83" s="114">
        <v>523828</v>
      </c>
      <c r="I83" s="114">
        <v>570229</v>
      </c>
      <c r="J83" s="114">
        <v>1127951</v>
      </c>
      <c r="K83" s="115">
        <v>1386799</v>
      </c>
      <c r="L83" s="115">
        <v>932169</v>
      </c>
      <c r="M83" s="115">
        <v>637517</v>
      </c>
      <c r="N83" s="116">
        <v>553638</v>
      </c>
      <c r="O83" s="116">
        <v>583887</v>
      </c>
      <c r="P83" s="117">
        <v>209687</v>
      </c>
      <c r="W83" s="1"/>
    </row>
    <row r="84" spans="1:23" x14ac:dyDescent="0.25">
      <c r="A84" s="99" t="s">
        <v>1</v>
      </c>
      <c r="B84" s="99" t="s">
        <v>45</v>
      </c>
      <c r="C84" s="99" t="s">
        <v>75</v>
      </c>
      <c r="D84" s="100" t="s">
        <v>75</v>
      </c>
      <c r="E84" s="101">
        <v>10070</v>
      </c>
      <c r="F84" s="101">
        <v>32700</v>
      </c>
      <c r="G84" s="101">
        <v>45116</v>
      </c>
      <c r="H84" s="101">
        <v>26191</v>
      </c>
      <c r="I84" s="101">
        <v>28511</v>
      </c>
      <c r="J84" s="101">
        <v>56398</v>
      </c>
      <c r="K84" s="102">
        <v>69340</v>
      </c>
      <c r="L84" s="102">
        <v>46608</v>
      </c>
      <c r="M84" s="102">
        <v>31876</v>
      </c>
      <c r="N84" s="103">
        <v>27682</v>
      </c>
      <c r="O84" s="103">
        <v>29194</v>
      </c>
      <c r="P84" s="104">
        <v>10484</v>
      </c>
      <c r="W84" s="2"/>
    </row>
    <row r="85" spans="1:23" x14ac:dyDescent="0.25">
      <c r="A85" s="99" t="s">
        <v>1</v>
      </c>
      <c r="B85" s="99" t="s">
        <v>45</v>
      </c>
      <c r="C85" s="99" t="s">
        <v>43</v>
      </c>
      <c r="D85" s="100" t="s">
        <v>43</v>
      </c>
      <c r="E85" s="101">
        <f>493260</f>
        <v>493260</v>
      </c>
      <c r="F85" s="101">
        <f>687758</f>
        <v>687758</v>
      </c>
      <c r="G85" s="101">
        <f>2239184</f>
        <v>2239184</v>
      </c>
      <c r="H85" s="101">
        <f>1243378</f>
        <v>1243378</v>
      </c>
      <c r="I85" s="101">
        <f>2168442</f>
        <v>2168442</v>
      </c>
      <c r="J85" s="101">
        <f>1791037</f>
        <v>1791037</v>
      </c>
      <c r="K85" s="102">
        <f>1203229</f>
        <v>1203229</v>
      </c>
      <c r="L85" s="102">
        <f>1390967</f>
        <v>1390967</v>
      </c>
      <c r="M85" s="102">
        <f>1538865</f>
        <v>1538865</v>
      </c>
      <c r="N85" s="103">
        <f>1194012</f>
        <v>1194012</v>
      </c>
      <c r="O85" s="103">
        <f>828046</f>
        <v>828046</v>
      </c>
      <c r="P85" s="104">
        <v>374868</v>
      </c>
    </row>
    <row r="86" spans="1:23" x14ac:dyDescent="0.25">
      <c r="A86" s="99" t="s">
        <v>1</v>
      </c>
      <c r="B86" s="99" t="s">
        <v>45</v>
      </c>
      <c r="C86" s="99" t="s">
        <v>42</v>
      </c>
      <c r="D86" s="100" t="s">
        <v>42</v>
      </c>
      <c r="E86" s="101">
        <v>273966</v>
      </c>
      <c r="F86" s="101">
        <v>382088</v>
      </c>
      <c r="G86" s="101">
        <v>1243991</v>
      </c>
      <c r="H86" s="101">
        <v>690766</v>
      </c>
      <c r="I86" s="101">
        <v>1204690</v>
      </c>
      <c r="J86" s="101">
        <v>995021</v>
      </c>
      <c r="K86" s="101">
        <v>668460</v>
      </c>
      <c r="L86" s="101">
        <v>772759</v>
      </c>
      <c r="M86" s="101">
        <v>854925</v>
      </c>
      <c r="N86" s="104">
        <v>663340</v>
      </c>
      <c r="O86" s="104">
        <v>460026</v>
      </c>
      <c r="P86" s="104">
        <v>208260</v>
      </c>
    </row>
    <row r="87" spans="1:23" x14ac:dyDescent="0.25">
      <c r="A87" s="99" t="s">
        <v>1</v>
      </c>
      <c r="B87" s="99" t="s">
        <v>45</v>
      </c>
      <c r="C87" s="99" t="s">
        <v>44</v>
      </c>
      <c r="D87" s="100" t="s">
        <v>44</v>
      </c>
      <c r="E87" s="101">
        <v>112259</v>
      </c>
      <c r="F87" s="101">
        <v>65738</v>
      </c>
      <c r="G87" s="101">
        <v>53488</v>
      </c>
      <c r="H87" s="101">
        <v>59928</v>
      </c>
      <c r="I87" s="101">
        <v>640</v>
      </c>
      <c r="J87" s="101">
        <v>0</v>
      </c>
      <c r="K87" s="101">
        <v>0</v>
      </c>
      <c r="L87" s="101">
        <v>0</v>
      </c>
      <c r="M87" s="101">
        <v>2792</v>
      </c>
      <c r="N87" s="104">
        <v>0</v>
      </c>
      <c r="O87" s="104">
        <v>0</v>
      </c>
      <c r="P87" s="104">
        <v>19992.046675332225</v>
      </c>
    </row>
    <row r="88" spans="1:23" x14ac:dyDescent="0.25">
      <c r="A88" s="105" t="s">
        <v>1</v>
      </c>
      <c r="B88" s="105" t="s">
        <v>51</v>
      </c>
      <c r="C88" s="105" t="s">
        <v>52</v>
      </c>
      <c r="D88" s="106" t="s">
        <v>52</v>
      </c>
      <c r="E88" s="107">
        <v>0</v>
      </c>
      <c r="F88" s="107">
        <v>0</v>
      </c>
      <c r="G88" s="107">
        <v>0</v>
      </c>
      <c r="H88" s="107">
        <v>0</v>
      </c>
      <c r="I88" s="107">
        <v>0</v>
      </c>
      <c r="J88" s="107">
        <v>0</v>
      </c>
      <c r="K88" s="107">
        <v>0</v>
      </c>
      <c r="L88" s="107">
        <v>0</v>
      </c>
      <c r="M88" s="107">
        <v>0</v>
      </c>
      <c r="N88" s="108">
        <v>0</v>
      </c>
      <c r="O88" s="108">
        <v>0</v>
      </c>
      <c r="P88" s="108">
        <v>0</v>
      </c>
    </row>
    <row r="89" spans="1:23" x14ac:dyDescent="0.25">
      <c r="A89" s="105" t="s">
        <v>1</v>
      </c>
      <c r="B89" s="105" t="s">
        <v>51</v>
      </c>
      <c r="C89" s="105" t="s">
        <v>53</v>
      </c>
      <c r="D89" s="106" t="s">
        <v>53</v>
      </c>
      <c r="E89" s="107">
        <v>0</v>
      </c>
      <c r="F89" s="107">
        <v>0</v>
      </c>
      <c r="G89" s="107">
        <v>0</v>
      </c>
      <c r="H89" s="107">
        <v>0</v>
      </c>
      <c r="I89" s="107">
        <v>0</v>
      </c>
      <c r="J89" s="107">
        <v>0</v>
      </c>
      <c r="K89" s="107">
        <v>0</v>
      </c>
      <c r="L89" s="107">
        <v>0</v>
      </c>
      <c r="M89" s="107">
        <v>0</v>
      </c>
      <c r="N89" s="108">
        <v>0</v>
      </c>
      <c r="O89" s="108">
        <v>0</v>
      </c>
      <c r="P89" s="108">
        <v>0</v>
      </c>
    </row>
    <row r="90" spans="1:23" ht="15.75" thickBot="1" x14ac:dyDescent="0.3">
      <c r="A90" s="105" t="s">
        <v>1</v>
      </c>
      <c r="B90" s="105" t="s">
        <v>74</v>
      </c>
      <c r="C90" s="105" t="s">
        <v>73</v>
      </c>
      <c r="D90" s="106" t="s">
        <v>73</v>
      </c>
      <c r="E90" s="107">
        <f>SUM(E84,E85,E86,E87)*0.4%</f>
        <v>3558.2200000000003</v>
      </c>
      <c r="F90" s="107">
        <f t="shared" ref="F90:P90" si="9">SUM(F84,F85,F86,F87)*0.4%</f>
        <v>4673.1360000000004</v>
      </c>
      <c r="G90" s="107">
        <f t="shared" si="9"/>
        <v>14327.116</v>
      </c>
      <c r="H90" s="107">
        <f t="shared" si="9"/>
        <v>8081.0520000000006</v>
      </c>
      <c r="I90" s="107">
        <f t="shared" si="9"/>
        <v>13609.132</v>
      </c>
      <c r="J90" s="107">
        <f t="shared" si="9"/>
        <v>11369.824000000001</v>
      </c>
      <c r="K90" s="107">
        <f t="shared" si="9"/>
        <v>7764.116</v>
      </c>
      <c r="L90" s="107">
        <f t="shared" si="9"/>
        <v>8841.3359999999993</v>
      </c>
      <c r="M90" s="107">
        <f t="shared" si="9"/>
        <v>9713.8320000000003</v>
      </c>
      <c r="N90" s="107">
        <f t="shared" si="9"/>
        <v>7540.1360000000004</v>
      </c>
      <c r="O90" s="107">
        <f t="shared" si="9"/>
        <v>5269.0640000000003</v>
      </c>
      <c r="P90" s="107">
        <f t="shared" si="9"/>
        <v>2454.416186701329</v>
      </c>
    </row>
    <row r="91" spans="1:23" ht="15.75" thickBot="1" x14ac:dyDescent="0.3">
      <c r="A91" s="130" t="s">
        <v>12</v>
      </c>
      <c r="B91" s="88" t="s">
        <v>12</v>
      </c>
      <c r="C91" s="88" t="s">
        <v>12</v>
      </c>
      <c r="D91" s="49" t="s">
        <v>12</v>
      </c>
      <c r="E91" s="50">
        <f>SUM(E84:E90)</f>
        <v>893113.22</v>
      </c>
      <c r="F91" s="50">
        <f t="shared" ref="F91:P91" si="10">SUM(F84:F90)</f>
        <v>1172957.1359999999</v>
      </c>
      <c r="G91" s="50">
        <f t="shared" si="10"/>
        <v>3596106.1159999999</v>
      </c>
      <c r="H91" s="50">
        <f t="shared" si="10"/>
        <v>2028344.0519999999</v>
      </c>
      <c r="I91" s="50">
        <f t="shared" si="10"/>
        <v>3415892.1320000002</v>
      </c>
      <c r="J91" s="50">
        <f t="shared" si="10"/>
        <v>2853825.824</v>
      </c>
      <c r="K91" s="50">
        <f t="shared" si="10"/>
        <v>1948793.1159999999</v>
      </c>
      <c r="L91" s="50">
        <f t="shared" si="10"/>
        <v>2219175.3360000001</v>
      </c>
      <c r="M91" s="50">
        <f t="shared" si="10"/>
        <v>2438171.8319999999</v>
      </c>
      <c r="N91" s="50">
        <f t="shared" si="10"/>
        <v>1892574.1359999999</v>
      </c>
      <c r="O91" s="50">
        <f t="shared" si="10"/>
        <v>1322535.064</v>
      </c>
      <c r="P91" s="50">
        <f t="shared" si="10"/>
        <v>616058.46286203351</v>
      </c>
    </row>
    <row r="92" spans="1:23" x14ac:dyDescent="0.25">
      <c r="A92" s="93" t="s">
        <v>7</v>
      </c>
      <c r="B92" s="93" t="s">
        <v>49</v>
      </c>
      <c r="C92" s="93" t="s">
        <v>50</v>
      </c>
      <c r="D92" s="94" t="s">
        <v>50</v>
      </c>
      <c r="E92" s="95">
        <v>1811407</v>
      </c>
      <c r="F92" s="95">
        <v>3937692</v>
      </c>
      <c r="G92" s="95">
        <f>4837214</f>
        <v>4837214</v>
      </c>
      <c r="H92" s="95">
        <v>3983259</v>
      </c>
      <c r="I92" s="95">
        <v>3289410</v>
      </c>
      <c r="J92" s="95">
        <v>1645322</v>
      </c>
      <c r="K92" s="96">
        <v>3829499</v>
      </c>
      <c r="L92" s="96">
        <v>2027075</v>
      </c>
      <c r="M92" s="96">
        <v>1997182</v>
      </c>
      <c r="N92" s="97">
        <v>1613133</v>
      </c>
      <c r="O92" s="97">
        <f>1441483</f>
        <v>1441483</v>
      </c>
      <c r="P92" s="98">
        <v>1062856</v>
      </c>
    </row>
    <row r="93" spans="1:23" x14ac:dyDescent="0.25">
      <c r="A93" s="112" t="s">
        <v>7</v>
      </c>
      <c r="B93" s="112" t="s">
        <v>49</v>
      </c>
      <c r="C93" s="112" t="s">
        <v>76</v>
      </c>
      <c r="D93" s="113" t="s">
        <v>76</v>
      </c>
      <c r="E93" s="114">
        <v>0</v>
      </c>
      <c r="F93" s="114">
        <v>0</v>
      </c>
      <c r="G93" s="114">
        <v>0</v>
      </c>
      <c r="H93" s="114">
        <v>0</v>
      </c>
      <c r="I93" s="114">
        <v>0</v>
      </c>
      <c r="J93" s="114">
        <v>0</v>
      </c>
      <c r="K93" s="115">
        <v>0</v>
      </c>
      <c r="L93" s="115">
        <v>0</v>
      </c>
      <c r="M93" s="115">
        <v>0</v>
      </c>
      <c r="N93" s="116">
        <v>0</v>
      </c>
      <c r="O93" s="116">
        <v>0</v>
      </c>
      <c r="P93" s="117">
        <v>0</v>
      </c>
    </row>
    <row r="94" spans="1:23" x14ac:dyDescent="0.25">
      <c r="A94" s="99" t="s">
        <v>7</v>
      </c>
      <c r="B94" s="99" t="s">
        <v>45</v>
      </c>
      <c r="C94" s="99" t="s">
        <v>75</v>
      </c>
      <c r="D94" s="100" t="s">
        <v>75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2">
        <v>0</v>
      </c>
      <c r="L94" s="102">
        <v>0</v>
      </c>
      <c r="M94" s="102">
        <v>0</v>
      </c>
      <c r="N94" s="103">
        <v>0</v>
      </c>
      <c r="O94" s="103">
        <v>0</v>
      </c>
      <c r="P94" s="104">
        <v>0</v>
      </c>
    </row>
    <row r="95" spans="1:23" x14ac:dyDescent="0.25">
      <c r="A95" s="99" t="s">
        <v>7</v>
      </c>
      <c r="B95" s="99" t="s">
        <v>45</v>
      </c>
      <c r="C95" s="99" t="s">
        <v>43</v>
      </c>
      <c r="D95" s="100" t="s">
        <v>43</v>
      </c>
      <c r="E95" s="101">
        <v>48908</v>
      </c>
      <c r="F95" s="101">
        <v>106318</v>
      </c>
      <c r="G95" s="101">
        <v>130605</v>
      </c>
      <c r="H95" s="101">
        <v>107548</v>
      </c>
      <c r="I95" s="101">
        <v>88814</v>
      </c>
      <c r="J95" s="101">
        <v>44424</v>
      </c>
      <c r="K95" s="102">
        <v>103396</v>
      </c>
      <c r="L95" s="102">
        <v>54731</v>
      </c>
      <c r="M95" s="102">
        <v>53924</v>
      </c>
      <c r="N95" s="103">
        <v>43555</v>
      </c>
      <c r="O95" s="103">
        <v>38920</v>
      </c>
      <c r="P95" s="104">
        <v>28697</v>
      </c>
    </row>
    <row r="96" spans="1:23" x14ac:dyDescent="0.25">
      <c r="A96" s="99" t="s">
        <v>7</v>
      </c>
      <c r="B96" s="99" t="s">
        <v>45</v>
      </c>
      <c r="C96" s="99" t="s">
        <v>42</v>
      </c>
      <c r="D96" s="100" t="s">
        <v>42</v>
      </c>
      <c r="E96" s="101">
        <v>27171</v>
      </c>
      <c r="F96" s="101">
        <v>78754</v>
      </c>
      <c r="G96" s="101">
        <v>114900</v>
      </c>
      <c r="H96" s="101">
        <v>178600</v>
      </c>
      <c r="I96" s="101">
        <v>160500</v>
      </c>
      <c r="J96" s="101">
        <v>159200</v>
      </c>
      <c r="K96" s="101">
        <v>110200</v>
      </c>
      <c r="L96" s="101">
        <v>78600</v>
      </c>
      <c r="M96" s="101">
        <v>52400</v>
      </c>
      <c r="N96" s="104">
        <v>47550</v>
      </c>
      <c r="O96" s="104">
        <v>54150</v>
      </c>
      <c r="P96" s="104">
        <v>39200</v>
      </c>
    </row>
    <row r="97" spans="1:16" x14ac:dyDescent="0.25">
      <c r="A97" s="99" t="s">
        <v>7</v>
      </c>
      <c r="B97" s="99" t="s">
        <v>45</v>
      </c>
      <c r="C97" s="99" t="s">
        <v>44</v>
      </c>
      <c r="D97" s="100" t="s">
        <v>44</v>
      </c>
      <c r="E97" s="101">
        <v>5817</v>
      </c>
      <c r="F97" s="101">
        <v>34438</v>
      </c>
      <c r="G97" s="101">
        <v>9772</v>
      </c>
      <c r="H97" s="101">
        <v>3763</v>
      </c>
      <c r="I97" s="101">
        <v>249</v>
      </c>
      <c r="J97" s="101">
        <v>8711</v>
      </c>
      <c r="K97" s="101">
        <v>0</v>
      </c>
      <c r="L97" s="101">
        <v>2486</v>
      </c>
      <c r="M97" s="101">
        <v>2692</v>
      </c>
      <c r="N97" s="104">
        <v>1388</v>
      </c>
      <c r="O97" s="104">
        <v>3332</v>
      </c>
      <c r="P97" s="104">
        <v>5298.5761174717927</v>
      </c>
    </row>
    <row r="98" spans="1:16" x14ac:dyDescent="0.25">
      <c r="A98" s="105" t="s">
        <v>7</v>
      </c>
      <c r="B98" s="105" t="s">
        <v>51</v>
      </c>
      <c r="C98" s="105" t="s">
        <v>52</v>
      </c>
      <c r="D98" s="106" t="s">
        <v>52</v>
      </c>
      <c r="E98" s="107">
        <v>0</v>
      </c>
      <c r="F98" s="107">
        <v>0</v>
      </c>
      <c r="G98" s="107">
        <v>0</v>
      </c>
      <c r="H98" s="107">
        <v>0</v>
      </c>
      <c r="I98" s="107">
        <v>0</v>
      </c>
      <c r="J98" s="107">
        <v>0</v>
      </c>
      <c r="K98" s="107">
        <v>0</v>
      </c>
      <c r="L98" s="107">
        <v>0</v>
      </c>
      <c r="M98" s="107">
        <v>0</v>
      </c>
      <c r="N98" s="108">
        <v>0</v>
      </c>
      <c r="O98" s="108">
        <v>0</v>
      </c>
      <c r="P98" s="108">
        <v>0</v>
      </c>
    </row>
    <row r="99" spans="1:16" x14ac:dyDescent="0.25">
      <c r="A99" s="105" t="s">
        <v>7</v>
      </c>
      <c r="B99" s="105" t="s">
        <v>51</v>
      </c>
      <c r="C99" s="105" t="s">
        <v>53</v>
      </c>
      <c r="D99" s="106" t="s">
        <v>53</v>
      </c>
      <c r="E99" s="107">
        <v>0</v>
      </c>
      <c r="F99" s="107">
        <v>0</v>
      </c>
      <c r="G99" s="107">
        <v>0</v>
      </c>
      <c r="H99" s="107">
        <v>0</v>
      </c>
      <c r="I99" s="107">
        <v>0</v>
      </c>
      <c r="J99" s="107">
        <v>0</v>
      </c>
      <c r="K99" s="107">
        <v>0</v>
      </c>
      <c r="L99" s="107">
        <v>0</v>
      </c>
      <c r="M99" s="107">
        <v>0</v>
      </c>
      <c r="N99" s="108">
        <v>0</v>
      </c>
      <c r="O99" s="108">
        <v>0</v>
      </c>
      <c r="P99" s="108">
        <v>0</v>
      </c>
    </row>
    <row r="100" spans="1:16" ht="15.75" thickBot="1" x14ac:dyDescent="0.3">
      <c r="A100" s="105" t="s">
        <v>7</v>
      </c>
      <c r="B100" s="105" t="s">
        <v>74</v>
      </c>
      <c r="C100" s="105" t="s">
        <v>73</v>
      </c>
      <c r="D100" s="106" t="s">
        <v>73</v>
      </c>
      <c r="E100" s="107">
        <f t="shared" ref="E100:P100" si="11">SUM(E94,E95,E96,E97)*0.4%</f>
        <v>327.584</v>
      </c>
      <c r="F100" s="107">
        <f t="shared" si="11"/>
        <v>878.04</v>
      </c>
      <c r="G100" s="107">
        <f t="shared" si="11"/>
        <v>1021.1080000000001</v>
      </c>
      <c r="H100" s="107">
        <f t="shared" si="11"/>
        <v>1159.644</v>
      </c>
      <c r="I100" s="107">
        <f t="shared" si="11"/>
        <v>998.25200000000007</v>
      </c>
      <c r="J100" s="107">
        <f t="shared" si="11"/>
        <v>849.34</v>
      </c>
      <c r="K100" s="107">
        <f t="shared" si="11"/>
        <v>854.38400000000001</v>
      </c>
      <c r="L100" s="107">
        <f t="shared" si="11"/>
        <v>543.26800000000003</v>
      </c>
      <c r="M100" s="107">
        <f t="shared" si="11"/>
        <v>436.06400000000002</v>
      </c>
      <c r="N100" s="107">
        <f t="shared" si="11"/>
        <v>369.97199999999998</v>
      </c>
      <c r="O100" s="107">
        <f t="shared" si="11"/>
        <v>385.608</v>
      </c>
      <c r="P100" s="107">
        <f t="shared" si="11"/>
        <v>292.78230446988715</v>
      </c>
    </row>
    <row r="101" spans="1:16" ht="15.75" thickBot="1" x14ac:dyDescent="0.3">
      <c r="A101" s="130" t="s">
        <v>12</v>
      </c>
      <c r="B101" s="88" t="s">
        <v>12</v>
      </c>
      <c r="C101" s="88" t="s">
        <v>12</v>
      </c>
      <c r="D101" s="49" t="s">
        <v>12</v>
      </c>
      <c r="E101" s="50">
        <f>SUM(E94:E100)</f>
        <v>82223.584000000003</v>
      </c>
      <c r="F101" s="50">
        <f t="shared" ref="F101:P101" si="12">SUM(F94:F100)</f>
        <v>220388.04</v>
      </c>
      <c r="G101" s="50">
        <f t="shared" si="12"/>
        <v>256298.10800000001</v>
      </c>
      <c r="H101" s="50">
        <f t="shared" si="12"/>
        <v>291070.64399999997</v>
      </c>
      <c r="I101" s="50">
        <f t="shared" si="12"/>
        <v>250561.25200000001</v>
      </c>
      <c r="J101" s="50">
        <f t="shared" si="12"/>
        <v>213184.34</v>
      </c>
      <c r="K101" s="50">
        <f t="shared" si="12"/>
        <v>214450.38399999999</v>
      </c>
      <c r="L101" s="50">
        <f t="shared" si="12"/>
        <v>136360.26800000001</v>
      </c>
      <c r="M101" s="50">
        <f t="shared" si="12"/>
        <v>109452.064</v>
      </c>
      <c r="N101" s="50">
        <f t="shared" si="12"/>
        <v>92862.971999999994</v>
      </c>
      <c r="O101" s="50">
        <f t="shared" si="12"/>
        <v>96787.607999999993</v>
      </c>
      <c r="P101" s="50">
        <f t="shared" si="12"/>
        <v>73488.358421941681</v>
      </c>
    </row>
    <row r="102" spans="1:16" x14ac:dyDescent="0.25">
      <c r="A102" s="93" t="s">
        <v>8</v>
      </c>
      <c r="B102" s="93" t="s">
        <v>49</v>
      </c>
      <c r="C102" s="93" t="s">
        <v>50</v>
      </c>
      <c r="D102" s="94" t="s">
        <v>50</v>
      </c>
      <c r="E102" s="95">
        <f>14754998+26912434</f>
        <v>41667432</v>
      </c>
      <c r="F102" s="95">
        <f>14811378+29721987</f>
        <v>44533365</v>
      </c>
      <c r="G102" s="95">
        <f>28842782+43750583</f>
        <v>72593365</v>
      </c>
      <c r="H102" s="95">
        <f>14564042+24253722</f>
        <v>38817764</v>
      </c>
      <c r="I102" s="95">
        <f>33257177+41439606</f>
        <v>74696783</v>
      </c>
      <c r="J102" s="95">
        <f>23153260+33595239</f>
        <v>56748499</v>
      </c>
      <c r="K102" s="96">
        <f>34256241+32971661</f>
        <v>67227902</v>
      </c>
      <c r="L102" s="96">
        <f>20802267+22921427</f>
        <v>43723694</v>
      </c>
      <c r="M102" s="96">
        <f>30666660+22213755</f>
        <v>52880415</v>
      </c>
      <c r="N102" s="97">
        <f>20831749+36553270</f>
        <v>57385019</v>
      </c>
      <c r="O102" s="97">
        <f>18974434+14213327</f>
        <v>33187761</v>
      </c>
      <c r="P102" s="98">
        <f>8104517+11481617</f>
        <v>19586134</v>
      </c>
    </row>
    <row r="103" spans="1:16" x14ac:dyDescent="0.25">
      <c r="A103" s="112" t="s">
        <v>8</v>
      </c>
      <c r="B103" s="112" t="s">
        <v>49</v>
      </c>
      <c r="C103" s="112" t="s">
        <v>76</v>
      </c>
      <c r="D103" s="113" t="s">
        <v>76</v>
      </c>
      <c r="E103" s="114">
        <f>583732+139107</f>
        <v>722839</v>
      </c>
      <c r="F103" s="114">
        <f>2078340+654790</f>
        <v>2733130</v>
      </c>
      <c r="G103" s="114">
        <f>3677477+1141642</f>
        <v>4819119</v>
      </c>
      <c r="H103" s="114">
        <f>1870542+1281515</f>
        <v>3152057</v>
      </c>
      <c r="I103" s="114">
        <f>1946072+767986</f>
        <v>2714058</v>
      </c>
      <c r="J103" s="114">
        <f>2219245+5263094</f>
        <v>7482339</v>
      </c>
      <c r="K103" s="115">
        <f>2032966+775875</f>
        <v>2808841</v>
      </c>
      <c r="L103" s="115">
        <f>2293284+1063196</f>
        <v>3356480</v>
      </c>
      <c r="M103" s="115">
        <f>3100536+1245789</f>
        <v>4346325</v>
      </c>
      <c r="N103" s="116">
        <f>2842228+1500989</f>
        <v>4343217</v>
      </c>
      <c r="O103" s="116">
        <f>2496575+913506</f>
        <v>3410081</v>
      </c>
      <c r="P103" s="117">
        <f>2558483+662901</f>
        <v>3221384</v>
      </c>
    </row>
    <row r="104" spans="1:16" x14ac:dyDescent="0.25">
      <c r="A104" s="99" t="s">
        <v>8</v>
      </c>
      <c r="B104" s="99" t="s">
        <v>45</v>
      </c>
      <c r="C104" s="99" t="s">
        <v>75</v>
      </c>
      <c r="D104" s="100" t="s">
        <v>75</v>
      </c>
      <c r="E104" s="101">
        <f>29187+6955</f>
        <v>36142</v>
      </c>
      <c r="F104" s="101">
        <f>103917+32740</f>
        <v>136657</v>
      </c>
      <c r="G104" s="101">
        <f>183874+57082</f>
        <v>240956</v>
      </c>
      <c r="H104" s="101">
        <f>93527+64076</f>
        <v>157603</v>
      </c>
      <c r="I104" s="101">
        <f>97304+38399</f>
        <v>135703</v>
      </c>
      <c r="J104" s="101">
        <f>110962+263155</f>
        <v>374117</v>
      </c>
      <c r="K104" s="102">
        <f>101648+38794</f>
        <v>140442</v>
      </c>
      <c r="L104" s="102">
        <f>114664+53160</f>
        <v>167824</v>
      </c>
      <c r="M104" s="102">
        <f>155027+62289</f>
        <v>217316</v>
      </c>
      <c r="N104" s="103">
        <f>142111+75049</f>
        <v>217160</v>
      </c>
      <c r="O104" s="103">
        <f>124829+45675</f>
        <v>170504</v>
      </c>
      <c r="P104" s="104">
        <f>127924+33145</f>
        <v>161069</v>
      </c>
    </row>
    <row r="105" spans="1:16" x14ac:dyDescent="0.25">
      <c r="A105" s="99" t="s">
        <v>8</v>
      </c>
      <c r="B105" s="99" t="s">
        <v>45</v>
      </c>
      <c r="C105" s="99" t="s">
        <v>43</v>
      </c>
      <c r="D105" s="100" t="s">
        <v>43</v>
      </c>
      <c r="E105" s="101">
        <f>398385+726636</f>
        <v>1125021</v>
      </c>
      <c r="F105" s="101">
        <f>399907+802494</f>
        <v>1202401</v>
      </c>
      <c r="G105" s="101">
        <f>778755+1181266</f>
        <v>1960021</v>
      </c>
      <c r="H105" s="101">
        <f>393229+654851</f>
        <v>1048080</v>
      </c>
      <c r="I105" s="101">
        <f>897944+1118869</f>
        <v>2016813</v>
      </c>
      <c r="J105" s="101">
        <f>625138+907071</f>
        <v>1532209</v>
      </c>
      <c r="K105" s="102">
        <f>924919+890235</f>
        <v>1815154</v>
      </c>
      <c r="L105" s="102">
        <f>561661+618879</f>
        <v>1180540</v>
      </c>
      <c r="M105" s="102">
        <f>828000+599771</f>
        <v>1427771</v>
      </c>
      <c r="N105" s="103">
        <f>562457+986938</f>
        <v>1549395</v>
      </c>
      <c r="O105" s="103">
        <f>512310+383760</f>
        <v>896070</v>
      </c>
      <c r="P105" s="104">
        <f>218822+310004</f>
        <v>528826</v>
      </c>
    </row>
    <row r="106" spans="1:16" x14ac:dyDescent="0.25">
      <c r="A106" s="99" t="s">
        <v>8</v>
      </c>
      <c r="B106" s="99" t="s">
        <v>45</v>
      </c>
      <c r="C106" s="99" t="s">
        <v>42</v>
      </c>
      <c r="D106" s="100" t="s">
        <v>42</v>
      </c>
      <c r="E106" s="101">
        <f>221457+403340</f>
        <v>624797</v>
      </c>
      <c r="F106" s="101">
        <f>222171+445830</f>
        <v>668001</v>
      </c>
      <c r="G106" s="101">
        <f>432642+656259</f>
        <v>1088901</v>
      </c>
      <c r="H106" s="101">
        <f>218461+363806</f>
        <v>582267</v>
      </c>
      <c r="I106" s="101">
        <f>498858+621594</f>
        <v>1120452</v>
      </c>
      <c r="J106" s="101">
        <f>347299+503929</f>
        <v>851228</v>
      </c>
      <c r="K106" s="101">
        <f>513844+494575</f>
        <v>1008419</v>
      </c>
      <c r="L106" s="101">
        <f>312034+343821</f>
        <v>655855</v>
      </c>
      <c r="M106" s="101">
        <v>793206</v>
      </c>
      <c r="N106" s="104">
        <f>312476+548299</f>
        <v>860775</v>
      </c>
      <c r="O106" s="104">
        <f>284617+213200</f>
        <v>497817</v>
      </c>
      <c r="P106" s="104">
        <f>121568+172224</f>
        <v>293792</v>
      </c>
    </row>
    <row r="107" spans="1:16" x14ac:dyDescent="0.25">
      <c r="A107" s="99" t="s">
        <v>8</v>
      </c>
      <c r="B107" s="99" t="s">
        <v>45</v>
      </c>
      <c r="C107" s="99" t="s">
        <v>44</v>
      </c>
      <c r="D107" s="100" t="s">
        <v>44</v>
      </c>
      <c r="E107" s="101">
        <f>129554+205796</f>
        <v>335350</v>
      </c>
      <c r="F107" s="101">
        <f>108597+105268</f>
        <v>213865</v>
      </c>
      <c r="G107" s="101">
        <f>18497+9473</f>
        <v>27970</v>
      </c>
      <c r="H107" s="101">
        <f>15364+11716</f>
        <v>27080</v>
      </c>
      <c r="I107" s="101">
        <v>0</v>
      </c>
      <c r="J107" s="101">
        <f>0</f>
        <v>0</v>
      </c>
      <c r="K107" s="101">
        <v>0</v>
      </c>
      <c r="L107" s="101">
        <v>0</v>
      </c>
      <c r="M107" s="101">
        <f>798</f>
        <v>798</v>
      </c>
      <c r="N107" s="104">
        <v>0</v>
      </c>
      <c r="O107" s="104">
        <f>19444</f>
        <v>19444</v>
      </c>
      <c r="P107" s="104">
        <f>49345.2751909688+25621.5760640539</f>
        <v>74966.851255022702</v>
      </c>
    </row>
    <row r="108" spans="1:16" x14ac:dyDescent="0.25">
      <c r="A108" s="105" t="s">
        <v>8</v>
      </c>
      <c r="B108" s="105" t="s">
        <v>51</v>
      </c>
      <c r="C108" s="105" t="s">
        <v>52</v>
      </c>
      <c r="D108" s="106" t="s">
        <v>52</v>
      </c>
      <c r="E108" s="107">
        <v>0</v>
      </c>
      <c r="F108" s="107">
        <v>0</v>
      </c>
      <c r="G108" s="107">
        <v>0</v>
      </c>
      <c r="H108" s="107">
        <v>0</v>
      </c>
      <c r="I108" s="107">
        <v>0</v>
      </c>
      <c r="J108" s="107">
        <v>0</v>
      </c>
      <c r="K108" s="107">
        <v>0</v>
      </c>
      <c r="L108" s="107">
        <v>0</v>
      </c>
      <c r="M108" s="107">
        <v>0</v>
      </c>
      <c r="N108" s="108">
        <v>0</v>
      </c>
      <c r="O108" s="108">
        <v>0</v>
      </c>
      <c r="P108" s="108">
        <v>0</v>
      </c>
    </row>
    <row r="109" spans="1:16" x14ac:dyDescent="0.25">
      <c r="A109" s="105" t="s">
        <v>8</v>
      </c>
      <c r="B109" s="105" t="s">
        <v>51</v>
      </c>
      <c r="C109" s="105" t="s">
        <v>53</v>
      </c>
      <c r="D109" s="106" t="s">
        <v>53</v>
      </c>
      <c r="E109" s="107">
        <v>0</v>
      </c>
      <c r="F109" s="107">
        <v>0</v>
      </c>
      <c r="G109" s="107">
        <v>0</v>
      </c>
      <c r="H109" s="107">
        <v>0</v>
      </c>
      <c r="I109" s="107">
        <v>0</v>
      </c>
      <c r="J109" s="107">
        <v>0</v>
      </c>
      <c r="K109" s="107">
        <v>0</v>
      </c>
      <c r="L109" s="107">
        <v>0</v>
      </c>
      <c r="M109" s="107">
        <v>0</v>
      </c>
      <c r="N109" s="108">
        <v>0</v>
      </c>
      <c r="O109" s="108">
        <v>0</v>
      </c>
      <c r="P109" s="108">
        <v>0</v>
      </c>
    </row>
    <row r="110" spans="1:16" ht="15.75" thickBot="1" x14ac:dyDescent="0.3">
      <c r="A110" s="105" t="s">
        <v>8</v>
      </c>
      <c r="B110" s="105" t="s">
        <v>74</v>
      </c>
      <c r="C110" s="105" t="s">
        <v>73</v>
      </c>
      <c r="D110" s="106" t="s">
        <v>73</v>
      </c>
      <c r="E110" s="107">
        <f t="shared" ref="E110:P110" si="13">SUM(E104,E105,E106,E107)*0.4%</f>
        <v>8485.24</v>
      </c>
      <c r="F110" s="107">
        <f t="shared" si="13"/>
        <v>8883.6959999999999</v>
      </c>
      <c r="G110" s="107">
        <f t="shared" si="13"/>
        <v>13271.392</v>
      </c>
      <c r="H110" s="107">
        <f t="shared" si="13"/>
        <v>7260.12</v>
      </c>
      <c r="I110" s="107">
        <f t="shared" si="13"/>
        <v>13091.871999999999</v>
      </c>
      <c r="J110" s="107">
        <f t="shared" si="13"/>
        <v>11030.216</v>
      </c>
      <c r="K110" s="107">
        <f t="shared" si="13"/>
        <v>11856.06</v>
      </c>
      <c r="L110" s="107">
        <f t="shared" si="13"/>
        <v>8016.8760000000002</v>
      </c>
      <c r="M110" s="107">
        <f t="shared" si="13"/>
        <v>9756.3639999999996</v>
      </c>
      <c r="N110" s="107">
        <f t="shared" si="13"/>
        <v>10509.32</v>
      </c>
      <c r="O110" s="107">
        <f t="shared" si="13"/>
        <v>6335.34</v>
      </c>
      <c r="P110" s="107">
        <f t="shared" si="13"/>
        <v>4234.6154050200912</v>
      </c>
    </row>
    <row r="111" spans="1:16" ht="15.75" thickBot="1" x14ac:dyDescent="0.3">
      <c r="A111" s="130" t="s">
        <v>12</v>
      </c>
      <c r="B111" s="88" t="s">
        <v>12</v>
      </c>
      <c r="C111" s="88" t="s">
        <v>12</v>
      </c>
      <c r="D111" s="49" t="s">
        <v>12</v>
      </c>
      <c r="E111" s="50">
        <f>SUM(E104:E110)</f>
        <v>2129795.2400000002</v>
      </c>
      <c r="F111" s="50">
        <f t="shared" ref="F111:P111" si="14">SUM(F104:F110)</f>
        <v>2229807.696</v>
      </c>
      <c r="G111" s="50">
        <f t="shared" si="14"/>
        <v>3331119.392</v>
      </c>
      <c r="H111" s="50">
        <f t="shared" si="14"/>
        <v>1822290.12</v>
      </c>
      <c r="I111" s="50">
        <f t="shared" si="14"/>
        <v>3286059.872</v>
      </c>
      <c r="J111" s="50">
        <f t="shared" si="14"/>
        <v>2768584.216</v>
      </c>
      <c r="K111" s="50">
        <f t="shared" si="14"/>
        <v>2975871.06</v>
      </c>
      <c r="L111" s="50">
        <f t="shared" si="14"/>
        <v>2012235.8759999999</v>
      </c>
      <c r="M111" s="50">
        <f t="shared" si="14"/>
        <v>2448847.3640000001</v>
      </c>
      <c r="N111" s="50">
        <f t="shared" si="14"/>
        <v>2637839.3199999998</v>
      </c>
      <c r="O111" s="50">
        <f t="shared" si="14"/>
        <v>1590170.34</v>
      </c>
      <c r="P111" s="50">
        <f t="shared" si="14"/>
        <v>1062888.4666600428</v>
      </c>
    </row>
    <row r="112" spans="1:16" x14ac:dyDescent="0.25">
      <c r="A112" s="93" t="s">
        <v>9</v>
      </c>
      <c r="B112" s="93" t="s">
        <v>49</v>
      </c>
      <c r="C112" s="93" t="s">
        <v>50</v>
      </c>
      <c r="D112" s="94" t="s">
        <v>50</v>
      </c>
      <c r="E112" s="95">
        <v>4537672</v>
      </c>
      <c r="F112" s="95">
        <v>4056936</v>
      </c>
      <c r="G112" s="95">
        <v>4541042</v>
      </c>
      <c r="H112" s="95">
        <f>3924618</f>
        <v>3924618</v>
      </c>
      <c r="I112" s="95">
        <v>4179930</v>
      </c>
      <c r="J112" s="95">
        <f>6277261</f>
        <v>6277261</v>
      </c>
      <c r="K112" s="96">
        <v>3656245</v>
      </c>
      <c r="L112" s="96">
        <v>3580447</v>
      </c>
      <c r="M112" s="96">
        <v>4517951</v>
      </c>
      <c r="N112" s="97">
        <v>4445887</v>
      </c>
      <c r="O112" s="97">
        <f>3981969</f>
        <v>3981969</v>
      </c>
      <c r="P112" s="98">
        <v>2690055</v>
      </c>
    </row>
    <row r="113" spans="1:17" x14ac:dyDescent="0.25">
      <c r="A113" s="112" t="s">
        <v>9</v>
      </c>
      <c r="B113" s="112" t="s">
        <v>49</v>
      </c>
      <c r="C113" s="112" t="s">
        <v>76</v>
      </c>
      <c r="D113" s="113" t="s">
        <v>76</v>
      </c>
      <c r="E113" s="114">
        <v>0</v>
      </c>
      <c r="F113" s="114">
        <v>0</v>
      </c>
      <c r="G113" s="114">
        <v>0</v>
      </c>
      <c r="H113" s="114">
        <v>109829</v>
      </c>
      <c r="I113" s="114">
        <v>0</v>
      </c>
      <c r="J113" s="114">
        <v>147329</v>
      </c>
      <c r="K113" s="115">
        <v>0</v>
      </c>
      <c r="L113" s="115">
        <v>0</v>
      </c>
      <c r="M113" s="115">
        <v>0</v>
      </c>
      <c r="N113" s="116">
        <v>0</v>
      </c>
      <c r="O113" s="116">
        <v>231497</v>
      </c>
      <c r="P113" s="117">
        <f>0</f>
        <v>0</v>
      </c>
    </row>
    <row r="114" spans="1:17" x14ac:dyDescent="0.25">
      <c r="A114" s="99" t="s">
        <v>9</v>
      </c>
      <c r="B114" s="99" t="s">
        <v>45</v>
      </c>
      <c r="C114" s="99" t="s">
        <v>75</v>
      </c>
      <c r="D114" s="100" t="s">
        <v>75</v>
      </c>
      <c r="E114" s="101">
        <v>0</v>
      </c>
      <c r="F114" s="101">
        <v>0</v>
      </c>
      <c r="G114" s="101">
        <v>0</v>
      </c>
      <c r="H114" s="101">
        <v>5491</v>
      </c>
      <c r="I114" s="101">
        <v>0</v>
      </c>
      <c r="J114" s="101">
        <v>7366</v>
      </c>
      <c r="K114" s="102">
        <v>0</v>
      </c>
      <c r="L114" s="102">
        <v>0</v>
      </c>
      <c r="M114" s="102">
        <v>0</v>
      </c>
      <c r="N114" s="103">
        <v>0</v>
      </c>
      <c r="O114" s="103">
        <v>11575</v>
      </c>
      <c r="P114" s="104">
        <v>0</v>
      </c>
    </row>
    <row r="115" spans="1:17" x14ac:dyDescent="0.25">
      <c r="A115" s="99" t="s">
        <v>9</v>
      </c>
      <c r="B115" s="99" t="s">
        <v>45</v>
      </c>
      <c r="C115" s="99" t="s">
        <v>43</v>
      </c>
      <c r="D115" s="100" t="s">
        <v>43</v>
      </c>
      <c r="E115" s="101">
        <v>122517</v>
      </c>
      <c r="F115" s="101">
        <v>109537</v>
      </c>
      <c r="G115" s="101">
        <v>122608</v>
      </c>
      <c r="H115" s="101">
        <f>105965</f>
        <v>105965</v>
      </c>
      <c r="I115" s="101">
        <v>112858</v>
      </c>
      <c r="J115" s="101">
        <f>169486</f>
        <v>169486</v>
      </c>
      <c r="K115" s="102">
        <v>98719</v>
      </c>
      <c r="L115" s="102">
        <v>96672</v>
      </c>
      <c r="M115" s="102">
        <v>121985</v>
      </c>
      <c r="N115" s="103">
        <v>120039</v>
      </c>
      <c r="O115" s="103">
        <f>107513</f>
        <v>107513</v>
      </c>
      <c r="P115" s="104">
        <v>72631</v>
      </c>
    </row>
    <row r="116" spans="1:17" x14ac:dyDescent="0.25">
      <c r="A116" s="99" t="s">
        <v>9</v>
      </c>
      <c r="B116" s="99" t="s">
        <v>45</v>
      </c>
      <c r="C116" s="99" t="s">
        <v>42</v>
      </c>
      <c r="D116" s="100" t="s">
        <v>42</v>
      </c>
      <c r="E116" s="101">
        <v>68065</v>
      </c>
      <c r="F116" s="101">
        <v>81139</v>
      </c>
      <c r="G116" s="101">
        <v>132400</v>
      </c>
      <c r="H116" s="101">
        <f>93100</f>
        <v>93100</v>
      </c>
      <c r="I116" s="101">
        <v>127150</v>
      </c>
      <c r="J116" s="101">
        <f>128500</f>
        <v>128500</v>
      </c>
      <c r="K116" s="101">
        <v>74400</v>
      </c>
      <c r="L116" s="101">
        <v>94700</v>
      </c>
      <c r="M116" s="101">
        <f>107400+170700</f>
        <v>278100</v>
      </c>
      <c r="N116" s="104">
        <v>92300</v>
      </c>
      <c r="O116" s="104">
        <v>91900</v>
      </c>
      <c r="P116" s="104">
        <v>40351</v>
      </c>
    </row>
    <row r="117" spans="1:17" x14ac:dyDescent="0.25">
      <c r="A117" s="99" t="s">
        <v>9</v>
      </c>
      <c r="B117" s="99" t="s">
        <v>45</v>
      </c>
      <c r="C117" s="99" t="s">
        <v>44</v>
      </c>
      <c r="D117" s="100" t="s">
        <v>44</v>
      </c>
      <c r="E117" s="101">
        <v>13048</v>
      </c>
      <c r="F117" s="101">
        <v>18868</v>
      </c>
      <c r="G117" s="101">
        <v>10719</v>
      </c>
      <c r="H117" s="101">
        <v>5135</v>
      </c>
      <c r="I117" s="101">
        <v>0</v>
      </c>
      <c r="J117" s="101">
        <v>4886</v>
      </c>
      <c r="K117" s="101">
        <v>0</v>
      </c>
      <c r="L117" s="101">
        <v>3407</v>
      </c>
      <c r="M117" s="101">
        <v>1595</v>
      </c>
      <c r="N117" s="104">
        <v>4537</v>
      </c>
      <c r="O117" s="104">
        <v>0</v>
      </c>
      <c r="P117" s="104">
        <v>17174.433028851578</v>
      </c>
    </row>
    <row r="118" spans="1:17" x14ac:dyDescent="0.25">
      <c r="A118" s="105" t="s">
        <v>9</v>
      </c>
      <c r="B118" s="105" t="s">
        <v>51</v>
      </c>
      <c r="C118" s="105" t="s">
        <v>52</v>
      </c>
      <c r="D118" s="106" t="s">
        <v>52</v>
      </c>
      <c r="E118" s="107">
        <v>0</v>
      </c>
      <c r="F118" s="107">
        <v>0</v>
      </c>
      <c r="G118" s="107">
        <v>0</v>
      </c>
      <c r="H118" s="107">
        <v>0</v>
      </c>
      <c r="I118" s="107">
        <v>0</v>
      </c>
      <c r="J118" s="107">
        <v>0</v>
      </c>
      <c r="K118" s="107">
        <v>0</v>
      </c>
      <c r="L118" s="107">
        <v>0</v>
      </c>
      <c r="M118" s="107">
        <v>0</v>
      </c>
      <c r="N118" s="108">
        <v>0</v>
      </c>
      <c r="O118" s="108">
        <v>0</v>
      </c>
      <c r="P118" s="108">
        <v>0</v>
      </c>
    </row>
    <row r="119" spans="1:17" x14ac:dyDescent="0.25">
      <c r="A119" s="105" t="s">
        <v>9</v>
      </c>
      <c r="B119" s="105" t="s">
        <v>51</v>
      </c>
      <c r="C119" s="105" t="s">
        <v>53</v>
      </c>
      <c r="D119" s="106" t="s">
        <v>53</v>
      </c>
      <c r="E119" s="107">
        <v>0</v>
      </c>
      <c r="F119" s="107">
        <v>0</v>
      </c>
      <c r="G119" s="107">
        <v>0</v>
      </c>
      <c r="H119" s="107">
        <v>0</v>
      </c>
      <c r="I119" s="107">
        <v>0</v>
      </c>
      <c r="J119" s="107">
        <v>0</v>
      </c>
      <c r="K119" s="107">
        <v>0</v>
      </c>
      <c r="L119" s="107">
        <v>0</v>
      </c>
      <c r="M119" s="107">
        <v>0</v>
      </c>
      <c r="N119" s="108">
        <v>0</v>
      </c>
      <c r="O119" s="108">
        <v>0</v>
      </c>
      <c r="P119" s="108">
        <v>0</v>
      </c>
    </row>
    <row r="120" spans="1:17" ht="15.75" thickBot="1" x14ac:dyDescent="0.3">
      <c r="A120" s="105" t="s">
        <v>9</v>
      </c>
      <c r="B120" s="105" t="s">
        <v>74</v>
      </c>
      <c r="C120" s="105" t="s">
        <v>73</v>
      </c>
      <c r="D120" s="106" t="s">
        <v>73</v>
      </c>
      <c r="E120" s="107">
        <f t="shared" ref="E120:P120" si="15">SUM(E114,E115,E116,E117)*0.4%</f>
        <v>814.52</v>
      </c>
      <c r="F120" s="107">
        <f t="shared" si="15"/>
        <v>838.17600000000004</v>
      </c>
      <c r="G120" s="107">
        <f t="shared" si="15"/>
        <v>1062.9080000000001</v>
      </c>
      <c r="H120" s="107">
        <f t="shared" si="15"/>
        <v>838.76400000000001</v>
      </c>
      <c r="I120" s="107">
        <f t="shared" si="15"/>
        <v>960.03200000000004</v>
      </c>
      <c r="J120" s="107">
        <f t="shared" si="15"/>
        <v>1240.952</v>
      </c>
      <c r="K120" s="107">
        <f t="shared" si="15"/>
        <v>692.476</v>
      </c>
      <c r="L120" s="107">
        <f t="shared" si="15"/>
        <v>779.11599999999999</v>
      </c>
      <c r="M120" s="107">
        <f t="shared" si="15"/>
        <v>1606.72</v>
      </c>
      <c r="N120" s="107">
        <f t="shared" si="15"/>
        <v>867.50400000000002</v>
      </c>
      <c r="O120" s="107">
        <f t="shared" si="15"/>
        <v>843.952</v>
      </c>
      <c r="P120" s="107">
        <f t="shared" si="15"/>
        <v>520.62573211540632</v>
      </c>
    </row>
    <row r="121" spans="1:17" ht="15.75" thickBot="1" x14ac:dyDescent="0.3">
      <c r="A121" s="130" t="s">
        <v>12</v>
      </c>
      <c r="B121" s="88" t="s">
        <v>12</v>
      </c>
      <c r="C121" s="88" t="s">
        <v>12</v>
      </c>
      <c r="D121" s="49" t="s">
        <v>12</v>
      </c>
      <c r="E121" s="50">
        <f>SUM(E114:E120)</f>
        <v>204444.52</v>
      </c>
      <c r="F121" s="50">
        <f t="shared" ref="F121:P121" si="16">SUM(F114:F120)</f>
        <v>210382.17600000001</v>
      </c>
      <c r="G121" s="50">
        <f t="shared" si="16"/>
        <v>266789.908</v>
      </c>
      <c r="H121" s="50">
        <f t="shared" si="16"/>
        <v>210529.764</v>
      </c>
      <c r="I121" s="50">
        <f t="shared" si="16"/>
        <v>240968.03200000001</v>
      </c>
      <c r="J121" s="50">
        <f t="shared" si="16"/>
        <v>311478.95199999999</v>
      </c>
      <c r="K121" s="50">
        <f t="shared" si="16"/>
        <v>173811.476</v>
      </c>
      <c r="L121" s="50">
        <f t="shared" si="16"/>
        <v>195558.11600000001</v>
      </c>
      <c r="M121" s="50">
        <f t="shared" si="16"/>
        <v>403286.72</v>
      </c>
      <c r="N121" s="50">
        <f t="shared" si="16"/>
        <v>217743.50399999999</v>
      </c>
      <c r="O121" s="50">
        <f t="shared" si="16"/>
        <v>211831.95199999999</v>
      </c>
      <c r="P121" s="50">
        <f t="shared" si="16"/>
        <v>130677.05876096699</v>
      </c>
    </row>
    <row r="122" spans="1:17" x14ac:dyDescent="0.25">
      <c r="A122" s="93" t="s">
        <v>11</v>
      </c>
      <c r="B122" s="93" t="s">
        <v>49</v>
      </c>
      <c r="C122" s="93" t="s">
        <v>50</v>
      </c>
      <c r="D122" s="94" t="s">
        <v>50</v>
      </c>
      <c r="E122" s="95">
        <v>16584802</v>
      </c>
      <c r="F122" s="95">
        <f>17962557</f>
        <v>17962557</v>
      </c>
      <c r="G122" s="95">
        <v>25452792</v>
      </c>
      <c r="H122" s="95">
        <v>27195664</v>
      </c>
      <c r="I122" s="95">
        <v>31753840</v>
      </c>
      <c r="J122" s="95">
        <v>29171722</v>
      </c>
      <c r="K122" s="96">
        <v>25526596</v>
      </c>
      <c r="L122" s="96">
        <v>17326178</v>
      </c>
      <c r="M122" s="96">
        <v>15757607</v>
      </c>
      <c r="N122" s="97">
        <v>20782666</v>
      </c>
      <c r="O122" s="97">
        <v>10778119</v>
      </c>
      <c r="P122" s="98">
        <f>4340481</f>
        <v>4340481</v>
      </c>
    </row>
    <row r="123" spans="1:17" x14ac:dyDescent="0.25">
      <c r="A123" s="112" t="s">
        <v>11</v>
      </c>
      <c r="B123" s="112" t="s">
        <v>49</v>
      </c>
      <c r="C123" s="112" t="s">
        <v>76</v>
      </c>
      <c r="D123" s="113" t="s">
        <v>76</v>
      </c>
      <c r="E123" s="114">
        <v>0</v>
      </c>
      <c r="F123" s="114">
        <v>160877</v>
      </c>
      <c r="G123" s="114">
        <f>375544</f>
        <v>375544</v>
      </c>
      <c r="H123" s="114">
        <f>168556</f>
        <v>168556</v>
      </c>
      <c r="I123" s="114">
        <f>105818</f>
        <v>105818</v>
      </c>
      <c r="J123" s="114">
        <f>215539</f>
        <v>215539</v>
      </c>
      <c r="K123" s="115">
        <f>308609</f>
        <v>308609</v>
      </c>
      <c r="L123" s="115">
        <f>147571</f>
        <v>147571</v>
      </c>
      <c r="M123" s="115">
        <v>316708</v>
      </c>
      <c r="N123" s="116">
        <f>88672</f>
        <v>88672</v>
      </c>
      <c r="O123" s="116">
        <v>134962</v>
      </c>
      <c r="P123" s="117">
        <v>97206</v>
      </c>
    </row>
    <row r="124" spans="1:17" x14ac:dyDescent="0.25">
      <c r="A124" s="99" t="s">
        <v>11</v>
      </c>
      <c r="B124" s="99" t="s">
        <v>45</v>
      </c>
      <c r="C124" s="99" t="s">
        <v>75</v>
      </c>
      <c r="D124" s="100" t="s">
        <v>75</v>
      </c>
      <c r="E124" s="101">
        <v>0</v>
      </c>
      <c r="F124" s="101">
        <v>8044</v>
      </c>
      <c r="G124" s="101">
        <f>18777</f>
        <v>18777</v>
      </c>
      <c r="H124" s="101">
        <v>8428</v>
      </c>
      <c r="I124" s="101">
        <f>5291</f>
        <v>5291</v>
      </c>
      <c r="J124" s="101">
        <f>10777</f>
        <v>10777</v>
      </c>
      <c r="K124" s="102">
        <f>15430</f>
        <v>15430</v>
      </c>
      <c r="L124" s="102">
        <f>7379</f>
        <v>7379</v>
      </c>
      <c r="M124" s="102">
        <v>15835</v>
      </c>
      <c r="N124" s="103">
        <f>4434</f>
        <v>4434</v>
      </c>
      <c r="O124" s="103">
        <v>6748</v>
      </c>
      <c r="P124" s="104">
        <v>4860</v>
      </c>
    </row>
    <row r="125" spans="1:17" x14ac:dyDescent="0.25">
      <c r="A125" s="99" t="s">
        <v>11</v>
      </c>
      <c r="B125" s="99" t="s">
        <v>45</v>
      </c>
      <c r="C125" s="99" t="s">
        <v>43</v>
      </c>
      <c r="D125" s="100" t="s">
        <v>43</v>
      </c>
      <c r="E125" s="101">
        <v>447790</v>
      </c>
      <c r="F125" s="101">
        <f>484989</f>
        <v>484989</v>
      </c>
      <c r="G125" s="101">
        <v>687225</v>
      </c>
      <c r="H125" s="101">
        <f>734283</f>
        <v>734283</v>
      </c>
      <c r="I125" s="101">
        <v>857354</v>
      </c>
      <c r="J125" s="101">
        <v>787636</v>
      </c>
      <c r="K125" s="102">
        <v>689218</v>
      </c>
      <c r="L125" s="102">
        <v>467807</v>
      </c>
      <c r="M125" s="102">
        <v>425455</v>
      </c>
      <c r="N125" s="103">
        <v>561132</v>
      </c>
      <c r="O125" s="103">
        <v>291009</v>
      </c>
      <c r="P125" s="104">
        <v>117193</v>
      </c>
    </row>
    <row r="126" spans="1:17" x14ac:dyDescent="0.25">
      <c r="A126" s="99" t="s">
        <v>11</v>
      </c>
      <c r="B126" s="99" t="s">
        <v>45</v>
      </c>
      <c r="C126" s="99" t="s">
        <v>42</v>
      </c>
      <c r="D126" s="100" t="s">
        <v>42</v>
      </c>
      <c r="E126" s="101">
        <v>248772</v>
      </c>
      <c r="F126" s="101">
        <v>269574</v>
      </c>
      <c r="G126" s="101">
        <v>381792</v>
      </c>
      <c r="H126" s="101">
        <v>407935</v>
      </c>
      <c r="I126" s="101">
        <f>476308</f>
        <v>476308</v>
      </c>
      <c r="J126" s="101">
        <v>437576</v>
      </c>
      <c r="K126" s="101">
        <v>382899</v>
      </c>
      <c r="L126" s="101">
        <v>259893</v>
      </c>
      <c r="M126" s="101">
        <v>236364</v>
      </c>
      <c r="N126" s="104">
        <v>311740</v>
      </c>
      <c r="O126" s="104">
        <v>161672</v>
      </c>
      <c r="P126" s="104">
        <v>65107</v>
      </c>
    </row>
    <row r="127" spans="1:17" x14ac:dyDescent="0.25">
      <c r="A127" s="99" t="s">
        <v>11</v>
      </c>
      <c r="B127" s="99" t="s">
        <v>45</v>
      </c>
      <c r="C127" s="99" t="s">
        <v>44</v>
      </c>
      <c r="D127" s="100" t="s">
        <v>44</v>
      </c>
      <c r="E127" s="101">
        <v>136348</v>
      </c>
      <c r="F127" s="101">
        <v>147098</v>
      </c>
      <c r="G127" s="101">
        <v>37841</v>
      </c>
      <c r="H127" s="101">
        <v>30957</v>
      </c>
      <c r="I127" s="101">
        <v>174</v>
      </c>
      <c r="J127" s="101">
        <v>0</v>
      </c>
      <c r="K127" s="101">
        <v>0</v>
      </c>
      <c r="L127" s="101">
        <v>0</v>
      </c>
      <c r="M127" s="101">
        <v>7179</v>
      </c>
      <c r="N127" s="104">
        <v>0</v>
      </c>
      <c r="O127" s="104">
        <v>0</v>
      </c>
      <c r="P127" s="104">
        <v>12863.018820889936</v>
      </c>
      <c r="Q127" s="137"/>
    </row>
    <row r="128" spans="1:17" x14ac:dyDescent="0.25">
      <c r="A128" s="105" t="s">
        <v>11</v>
      </c>
      <c r="B128" s="105" t="s">
        <v>51</v>
      </c>
      <c r="C128" s="105" t="s">
        <v>52</v>
      </c>
      <c r="D128" s="106" t="s">
        <v>52</v>
      </c>
      <c r="E128" s="107">
        <f>21127+29172+53775</f>
        <v>104074</v>
      </c>
      <c r="F128" s="107">
        <f>33205+72457+51086+16200</f>
        <v>172948</v>
      </c>
      <c r="G128" s="107">
        <f>82270+118713+53911+16105</f>
        <v>270999</v>
      </c>
      <c r="H128" s="107">
        <f>71255+120269+79153+14427</f>
        <v>285104</v>
      </c>
      <c r="I128" s="107">
        <f>80112+154439+86393</f>
        <v>320944</v>
      </c>
      <c r="J128" s="107">
        <f>105576+143187+11340</f>
        <v>260103</v>
      </c>
      <c r="K128" s="107">
        <f>72835+117695+120850+22677</f>
        <v>334057</v>
      </c>
      <c r="L128" s="107">
        <f>50777+96115+39697</f>
        <v>186589</v>
      </c>
      <c r="M128" s="107">
        <f>61950+76226+25241+0</f>
        <v>163417</v>
      </c>
      <c r="N128" s="108">
        <f>45184+79827+23459+1659</f>
        <v>150129</v>
      </c>
      <c r="O128" s="108">
        <f>25764+34213+21642+0</f>
        <v>81619</v>
      </c>
      <c r="P128" s="108">
        <v>39921</v>
      </c>
    </row>
    <row r="129" spans="1:18" x14ac:dyDescent="0.25">
      <c r="A129" s="105" t="s">
        <v>11</v>
      </c>
      <c r="B129" s="105" t="s">
        <v>51</v>
      </c>
      <c r="C129" s="105" t="s">
        <v>53</v>
      </c>
      <c r="D129" s="106" t="s">
        <v>53</v>
      </c>
      <c r="E129" s="107">
        <f>23000+16220+52000</f>
        <v>91220</v>
      </c>
      <c r="F129" s="107">
        <f>41000+40530+13799+13000</f>
        <v>108329</v>
      </c>
      <c r="G129" s="107">
        <f>71000+62326+25695+20500</f>
        <v>179521</v>
      </c>
      <c r="H129" s="107">
        <f>103000+53255+28816</f>
        <v>185071</v>
      </c>
      <c r="I129" s="107">
        <f>128000+69986+45953</f>
        <v>243939</v>
      </c>
      <c r="J129" s="107">
        <f>116000+68612+15662+14000</f>
        <v>214274</v>
      </c>
      <c r="K129" s="107">
        <f>52000+43591+28150+29100</f>
        <v>152841</v>
      </c>
      <c r="L129" s="107">
        <f>31000+35598+18972+7000</f>
        <v>92570</v>
      </c>
      <c r="M129" s="107">
        <f>50000+28232+14343+8000</f>
        <v>100575</v>
      </c>
      <c r="N129" s="108">
        <f>37500+29566+13675+6000</f>
        <v>86741</v>
      </c>
      <c r="O129" s="108">
        <f>15000+12671+9850+0</f>
        <v>37521</v>
      </c>
      <c r="P129" s="108">
        <v>34485</v>
      </c>
    </row>
    <row r="130" spans="1:18" ht="15.75" thickBot="1" x14ac:dyDescent="0.3">
      <c r="A130" s="105" t="s">
        <v>11</v>
      </c>
      <c r="B130" s="105" t="s">
        <v>74</v>
      </c>
      <c r="C130" s="105" t="s">
        <v>73</v>
      </c>
      <c r="D130" s="106" t="s">
        <v>73</v>
      </c>
      <c r="E130" s="107">
        <f t="shared" ref="E130:P130" si="17">SUM(E124,E125,E126,E127)*0.4%</f>
        <v>3331.64</v>
      </c>
      <c r="F130" s="107">
        <f t="shared" si="17"/>
        <v>3638.82</v>
      </c>
      <c r="G130" s="107">
        <f t="shared" si="17"/>
        <v>4502.54</v>
      </c>
      <c r="H130" s="107">
        <f t="shared" si="17"/>
        <v>4726.4120000000003</v>
      </c>
      <c r="I130" s="107">
        <f t="shared" si="17"/>
        <v>5356.5079999999998</v>
      </c>
      <c r="J130" s="107">
        <f t="shared" si="17"/>
        <v>4943.9560000000001</v>
      </c>
      <c r="K130" s="107">
        <f t="shared" si="17"/>
        <v>4350.1880000000001</v>
      </c>
      <c r="L130" s="107">
        <f t="shared" si="17"/>
        <v>2940.3160000000003</v>
      </c>
      <c r="M130" s="107">
        <f t="shared" si="17"/>
        <v>2739.3319999999999</v>
      </c>
      <c r="N130" s="107">
        <f t="shared" si="17"/>
        <v>3509.2240000000002</v>
      </c>
      <c r="O130" s="107">
        <f t="shared" si="17"/>
        <v>1837.7160000000001</v>
      </c>
      <c r="P130" s="107">
        <f t="shared" si="17"/>
        <v>800.09207528355978</v>
      </c>
    </row>
    <row r="131" spans="1:18" ht="15.75" thickBot="1" x14ac:dyDescent="0.3">
      <c r="A131" s="130" t="s">
        <v>12</v>
      </c>
      <c r="B131" s="88" t="s">
        <v>12</v>
      </c>
      <c r="C131" s="88" t="s">
        <v>12</v>
      </c>
      <c r="D131" s="49" t="s">
        <v>12</v>
      </c>
      <c r="E131" s="50">
        <f>SUM(E124:E130)</f>
        <v>1031535.64</v>
      </c>
      <c r="F131" s="50">
        <f t="shared" ref="F131:P131" si="18">SUM(F124:F130)</f>
        <v>1194620.82</v>
      </c>
      <c r="G131" s="50">
        <f t="shared" si="18"/>
        <v>1580657.54</v>
      </c>
      <c r="H131" s="50">
        <f t="shared" si="18"/>
        <v>1656504.412</v>
      </c>
      <c r="I131" s="50">
        <f t="shared" si="18"/>
        <v>1909366.5079999999</v>
      </c>
      <c r="J131" s="50">
        <f t="shared" si="18"/>
        <v>1715309.956</v>
      </c>
      <c r="K131" s="50">
        <f t="shared" si="18"/>
        <v>1578795.1880000001</v>
      </c>
      <c r="L131" s="50">
        <f t="shared" si="18"/>
        <v>1017178.316</v>
      </c>
      <c r="M131" s="50">
        <f t="shared" si="18"/>
        <v>951564.33200000005</v>
      </c>
      <c r="N131" s="50">
        <f t="shared" si="18"/>
        <v>1117685.2239999999</v>
      </c>
      <c r="O131" s="50">
        <f t="shared" si="18"/>
        <v>580406.71600000001</v>
      </c>
      <c r="P131" s="50">
        <f t="shared" si="18"/>
        <v>275229.11089617352</v>
      </c>
    </row>
    <row r="132" spans="1:18" x14ac:dyDescent="0.25">
      <c r="A132" s="131" t="s">
        <v>39</v>
      </c>
      <c r="B132" s="131" t="s">
        <v>45</v>
      </c>
      <c r="C132" s="131" t="s">
        <v>55</v>
      </c>
      <c r="D132" s="132" t="s">
        <v>55</v>
      </c>
      <c r="E132" s="133">
        <v>229915</v>
      </c>
      <c r="F132" s="133">
        <v>290064</v>
      </c>
      <c r="G132" s="133">
        <v>541409</v>
      </c>
      <c r="H132" s="133">
        <v>344269</v>
      </c>
      <c r="I132" s="133">
        <v>433106</v>
      </c>
      <c r="J132" s="133">
        <v>395103</v>
      </c>
      <c r="K132" s="134">
        <v>527246</v>
      </c>
      <c r="L132" s="134">
        <v>273895</v>
      </c>
      <c r="M132" s="134">
        <v>323833</v>
      </c>
      <c r="N132" s="135">
        <v>290863</v>
      </c>
      <c r="O132" s="135">
        <v>145016</v>
      </c>
      <c r="P132" s="136">
        <v>106233</v>
      </c>
    </row>
    <row r="133" spans="1:18" x14ac:dyDescent="0.25">
      <c r="A133" s="99" t="s">
        <v>39</v>
      </c>
      <c r="B133" s="99" t="s">
        <v>45</v>
      </c>
      <c r="C133" s="99" t="s">
        <v>59</v>
      </c>
      <c r="D133" s="100" t="s">
        <v>59</v>
      </c>
      <c r="E133" s="101">
        <v>219386</v>
      </c>
      <c r="F133" s="101">
        <v>218306</v>
      </c>
      <c r="G133" s="101">
        <v>42627</v>
      </c>
      <c r="H133" s="101">
        <v>71640</v>
      </c>
      <c r="I133" s="101">
        <v>24447</v>
      </c>
      <c r="J133" s="101">
        <v>126361</v>
      </c>
      <c r="K133" s="102">
        <v>100167</v>
      </c>
      <c r="L133" s="102">
        <v>49962</v>
      </c>
      <c r="M133" s="102">
        <v>15555</v>
      </c>
      <c r="N133" s="103">
        <v>0</v>
      </c>
      <c r="O133" s="103">
        <v>45053</v>
      </c>
      <c r="P133" s="104">
        <v>72617</v>
      </c>
    </row>
    <row r="134" spans="1:18" x14ac:dyDescent="0.25">
      <c r="A134" s="105" t="s">
        <v>39</v>
      </c>
      <c r="B134" s="105" t="s">
        <v>61</v>
      </c>
      <c r="C134" s="105" t="s">
        <v>78</v>
      </c>
      <c r="D134" s="106" t="s">
        <v>78</v>
      </c>
      <c r="E134" s="107">
        <f>(E132+E133)*0.4%</f>
        <v>1797.204</v>
      </c>
      <c r="F134" s="107">
        <f t="shared" ref="F134:P134" si="19">(F132+F133)*0.4%</f>
        <v>2033.48</v>
      </c>
      <c r="G134" s="107">
        <f t="shared" si="19"/>
        <v>2336.1440000000002</v>
      </c>
      <c r="H134" s="107">
        <f t="shared" si="19"/>
        <v>1663.636</v>
      </c>
      <c r="I134" s="107">
        <f t="shared" si="19"/>
        <v>1830.212</v>
      </c>
      <c r="J134" s="107">
        <f t="shared" si="19"/>
        <v>2085.8560000000002</v>
      </c>
      <c r="K134" s="107">
        <f t="shared" si="19"/>
        <v>2509.652</v>
      </c>
      <c r="L134" s="107">
        <f t="shared" si="19"/>
        <v>1295.4280000000001</v>
      </c>
      <c r="M134" s="107">
        <f t="shared" si="19"/>
        <v>1357.5520000000001</v>
      </c>
      <c r="N134" s="107">
        <f t="shared" si="19"/>
        <v>1163.452</v>
      </c>
      <c r="O134" s="107">
        <f t="shared" si="19"/>
        <v>760.27600000000007</v>
      </c>
      <c r="P134" s="107">
        <f t="shared" si="19"/>
        <v>715.4</v>
      </c>
    </row>
    <row r="135" spans="1:18" x14ac:dyDescent="0.25">
      <c r="A135" s="99" t="s">
        <v>40</v>
      </c>
      <c r="B135" s="99" t="s">
        <v>45</v>
      </c>
      <c r="C135" s="99" t="s">
        <v>77</v>
      </c>
      <c r="D135" s="100" t="s">
        <v>77</v>
      </c>
      <c r="E135" s="101">
        <f>+E134</f>
        <v>1797.204</v>
      </c>
      <c r="F135" s="101">
        <f t="shared" ref="F135:P135" si="20">+F134</f>
        <v>2033.48</v>
      </c>
      <c r="G135" s="101">
        <f t="shared" si="20"/>
        <v>2336.1440000000002</v>
      </c>
      <c r="H135" s="101">
        <f t="shared" si="20"/>
        <v>1663.636</v>
      </c>
      <c r="I135" s="101">
        <f t="shared" si="20"/>
        <v>1830.212</v>
      </c>
      <c r="J135" s="101">
        <f t="shared" si="20"/>
        <v>2085.8560000000002</v>
      </c>
      <c r="K135" s="102">
        <f t="shared" si="20"/>
        <v>2509.652</v>
      </c>
      <c r="L135" s="102">
        <f t="shared" si="20"/>
        <v>1295.4280000000001</v>
      </c>
      <c r="M135" s="102">
        <f t="shared" si="20"/>
        <v>1357.5520000000001</v>
      </c>
      <c r="N135" s="103">
        <f t="shared" si="20"/>
        <v>1163.452</v>
      </c>
      <c r="O135" s="103">
        <f t="shared" si="20"/>
        <v>760.27600000000007</v>
      </c>
      <c r="P135" s="104">
        <f t="shared" si="20"/>
        <v>715.4</v>
      </c>
    </row>
    <row r="136" spans="1:18" x14ac:dyDescent="0.25">
      <c r="A136" s="105" t="s">
        <v>40</v>
      </c>
      <c r="B136" s="105" t="s">
        <v>61</v>
      </c>
      <c r="C136" s="105" t="s">
        <v>54</v>
      </c>
      <c r="D136" s="106" t="s">
        <v>54</v>
      </c>
      <c r="E136" s="107">
        <v>229915</v>
      </c>
      <c r="F136" s="107">
        <v>290064</v>
      </c>
      <c r="G136" s="107">
        <v>541409</v>
      </c>
      <c r="H136" s="107">
        <v>344269</v>
      </c>
      <c r="I136" s="107">
        <v>433106</v>
      </c>
      <c r="J136" s="107">
        <v>395103</v>
      </c>
      <c r="K136" s="107">
        <v>527246</v>
      </c>
      <c r="L136" s="107">
        <v>273895</v>
      </c>
      <c r="M136" s="107">
        <v>323833</v>
      </c>
      <c r="N136" s="108">
        <v>290863</v>
      </c>
      <c r="O136" s="108">
        <v>145016</v>
      </c>
      <c r="P136" s="108">
        <f>+P132</f>
        <v>106233</v>
      </c>
    </row>
    <row r="137" spans="1:18" ht="15.75" thickBot="1" x14ac:dyDescent="0.3">
      <c r="A137" s="105" t="s">
        <v>40</v>
      </c>
      <c r="B137" s="105" t="s">
        <v>61</v>
      </c>
      <c r="C137" s="105" t="s">
        <v>60</v>
      </c>
      <c r="D137" s="106" t="s">
        <v>60</v>
      </c>
      <c r="E137" s="107">
        <v>219386</v>
      </c>
      <c r="F137" s="107">
        <v>218306</v>
      </c>
      <c r="G137" s="107">
        <v>42627</v>
      </c>
      <c r="H137" s="107">
        <v>71640</v>
      </c>
      <c r="I137" s="107">
        <v>24447</v>
      </c>
      <c r="J137" s="107">
        <v>126361</v>
      </c>
      <c r="K137" s="107">
        <v>100167</v>
      </c>
      <c r="L137" s="107">
        <v>49962</v>
      </c>
      <c r="M137" s="107">
        <v>15555</v>
      </c>
      <c r="N137" s="108">
        <v>0</v>
      </c>
      <c r="O137" s="108">
        <v>45053</v>
      </c>
      <c r="P137" s="108">
        <v>72617</v>
      </c>
    </row>
    <row r="138" spans="1:18" ht="15.75" thickBot="1" x14ac:dyDescent="0.3">
      <c r="A138" s="109" t="s">
        <v>12</v>
      </c>
      <c r="B138" s="109" t="s">
        <v>12</v>
      </c>
      <c r="C138" s="109" t="s">
        <v>12</v>
      </c>
      <c r="D138" s="110" t="s">
        <v>12</v>
      </c>
      <c r="E138" s="111">
        <f t="shared" ref="E138:P138" si="21">SUM(E132:E137)</f>
        <v>902196.40800000005</v>
      </c>
      <c r="F138" s="111">
        <f t="shared" si="21"/>
        <v>1020806.96</v>
      </c>
      <c r="G138" s="111">
        <f t="shared" si="21"/>
        <v>1172744.2879999999</v>
      </c>
      <c r="H138" s="111">
        <f t="shared" si="21"/>
        <v>835145.272</v>
      </c>
      <c r="I138" s="111">
        <f t="shared" si="21"/>
        <v>918766.424</v>
      </c>
      <c r="J138" s="111">
        <f t="shared" si="21"/>
        <v>1047099.7120000001</v>
      </c>
      <c r="K138" s="111">
        <f t="shared" si="21"/>
        <v>1259845.304</v>
      </c>
      <c r="L138" s="111">
        <f t="shared" si="21"/>
        <v>650304.85600000003</v>
      </c>
      <c r="M138" s="111">
        <f t="shared" si="21"/>
        <v>681491.10400000005</v>
      </c>
      <c r="N138" s="111">
        <f t="shared" si="21"/>
        <v>584052.90399999998</v>
      </c>
      <c r="O138" s="111">
        <f t="shared" si="21"/>
        <v>381658.55200000003</v>
      </c>
      <c r="P138" s="111">
        <f t="shared" si="21"/>
        <v>359130.8</v>
      </c>
    </row>
    <row r="139" spans="1:18" x14ac:dyDescent="0.25">
      <c r="A139" s="93" t="s">
        <v>56</v>
      </c>
      <c r="B139" s="93" t="s">
        <v>49</v>
      </c>
      <c r="C139" s="93" t="s">
        <v>50</v>
      </c>
      <c r="D139" s="94" t="s">
        <v>50</v>
      </c>
      <c r="E139" s="95">
        <v>5245046</v>
      </c>
      <c r="F139" s="95">
        <v>13697164</v>
      </c>
      <c r="G139" s="95">
        <v>14911110</v>
      </c>
      <c r="H139" s="95">
        <v>16627006</v>
      </c>
      <c r="I139" s="95">
        <v>19301191</v>
      </c>
      <c r="J139" s="95">
        <v>17668316</v>
      </c>
      <c r="K139" s="96">
        <v>22923796</v>
      </c>
      <c r="L139" s="96">
        <v>14681944</v>
      </c>
      <c r="M139" s="96">
        <v>15273381</v>
      </c>
      <c r="N139" s="97">
        <v>11051561</v>
      </c>
      <c r="O139" s="97">
        <v>5188849</v>
      </c>
      <c r="P139" s="98">
        <v>3054003</v>
      </c>
    </row>
    <row r="140" spans="1:18" x14ac:dyDescent="0.25">
      <c r="A140" s="112" t="s">
        <v>56</v>
      </c>
      <c r="B140" s="112" t="s">
        <v>49</v>
      </c>
      <c r="C140" s="112" t="s">
        <v>76</v>
      </c>
      <c r="D140" s="113" t="s">
        <v>76</v>
      </c>
      <c r="E140" s="114">
        <v>0</v>
      </c>
      <c r="F140" s="114">
        <v>0</v>
      </c>
      <c r="G140" s="114">
        <v>0</v>
      </c>
      <c r="H140" s="114">
        <v>0</v>
      </c>
      <c r="I140" s="114">
        <v>0</v>
      </c>
      <c r="J140" s="114">
        <v>0</v>
      </c>
      <c r="K140" s="115">
        <v>0</v>
      </c>
      <c r="L140" s="115">
        <v>0</v>
      </c>
      <c r="M140" s="115">
        <v>0</v>
      </c>
      <c r="N140" s="116">
        <v>0</v>
      </c>
      <c r="O140" s="116">
        <v>0</v>
      </c>
      <c r="P140" s="117">
        <v>0</v>
      </c>
    </row>
    <row r="141" spans="1:18" x14ac:dyDescent="0.25">
      <c r="A141" s="99" t="s">
        <v>56</v>
      </c>
      <c r="B141" s="99" t="s">
        <v>45</v>
      </c>
      <c r="C141" s="99" t="s">
        <v>75</v>
      </c>
      <c r="D141" s="100" t="s">
        <v>75</v>
      </c>
      <c r="E141" s="101">
        <v>0</v>
      </c>
      <c r="F141" s="101">
        <v>0</v>
      </c>
      <c r="G141" s="101">
        <v>0</v>
      </c>
      <c r="H141" s="101">
        <v>0</v>
      </c>
      <c r="I141" s="101">
        <v>0</v>
      </c>
      <c r="J141" s="101">
        <v>0</v>
      </c>
      <c r="K141" s="102">
        <v>0</v>
      </c>
      <c r="L141" s="102">
        <v>0</v>
      </c>
      <c r="M141" s="102">
        <v>0</v>
      </c>
      <c r="N141" s="103">
        <v>0</v>
      </c>
      <c r="O141" s="103">
        <v>0</v>
      </c>
      <c r="P141" s="104">
        <v>0</v>
      </c>
    </row>
    <row r="142" spans="1:18" x14ac:dyDescent="0.25">
      <c r="A142" s="99" t="s">
        <v>56</v>
      </c>
      <c r="B142" s="99" t="s">
        <v>45</v>
      </c>
      <c r="C142" s="99" t="s">
        <v>43</v>
      </c>
      <c r="D142" s="100" t="s">
        <v>43</v>
      </c>
      <c r="E142" s="101">
        <v>141616</v>
      </c>
      <c r="F142" s="101">
        <v>369823</v>
      </c>
      <c r="G142" s="101">
        <v>402600</v>
      </c>
      <c r="H142" s="101">
        <v>448929</v>
      </c>
      <c r="I142" s="101">
        <v>521132</v>
      </c>
      <c r="J142" s="101">
        <v>477045</v>
      </c>
      <c r="K142" s="102">
        <v>618942</v>
      </c>
      <c r="L142" s="102">
        <v>396413</v>
      </c>
      <c r="M142" s="102">
        <v>412381</v>
      </c>
      <c r="N142" s="103">
        <v>298392</v>
      </c>
      <c r="O142" s="103">
        <v>140099</v>
      </c>
      <c r="P142" s="104">
        <v>82458</v>
      </c>
    </row>
    <row r="143" spans="1:18" x14ac:dyDescent="0.25">
      <c r="A143" s="99" t="s">
        <v>56</v>
      </c>
      <c r="B143" s="99" t="s">
        <v>45</v>
      </c>
      <c r="C143" s="99" t="s">
        <v>42</v>
      </c>
      <c r="D143" s="100" t="s">
        <v>42</v>
      </c>
      <c r="E143" s="101">
        <v>78676</v>
      </c>
      <c r="F143" s="101">
        <f>205457+326000</f>
        <v>531457</v>
      </c>
      <c r="G143" s="101">
        <f>223667+469500</f>
        <v>693167</v>
      </c>
      <c r="H143" s="101">
        <f>249405+383000</f>
        <v>632405</v>
      </c>
      <c r="I143" s="101">
        <f>289518+609000</f>
        <v>898518</v>
      </c>
      <c r="J143" s="101">
        <f>265025+567300</f>
        <v>832325</v>
      </c>
      <c r="K143" s="101">
        <f>343857+645400</f>
        <v>989257</v>
      </c>
      <c r="L143" s="101">
        <f>220229+486000</f>
        <v>706229</v>
      </c>
      <c r="M143" s="101">
        <v>613301</v>
      </c>
      <c r="N143" s="104">
        <f>165773+110000</f>
        <v>275773</v>
      </c>
      <c r="O143" s="104">
        <f>77833+70000</f>
        <v>147833</v>
      </c>
      <c r="P143" s="104">
        <v>45810</v>
      </c>
      <c r="R143" s="2"/>
    </row>
    <row r="144" spans="1:18" x14ac:dyDescent="0.25">
      <c r="A144" s="99" t="s">
        <v>56</v>
      </c>
      <c r="B144" s="99" t="s">
        <v>45</v>
      </c>
      <c r="C144" s="99" t="s">
        <v>44</v>
      </c>
      <c r="D144" s="100" t="s">
        <v>44</v>
      </c>
      <c r="E144" s="101">
        <v>43230</v>
      </c>
      <c r="F144" s="101">
        <v>140586</v>
      </c>
      <c r="G144" s="101">
        <v>9572</v>
      </c>
      <c r="H144" s="101">
        <v>2393</v>
      </c>
      <c r="I144" s="101">
        <v>0</v>
      </c>
      <c r="J144" s="101">
        <v>93018</v>
      </c>
      <c r="K144" s="101">
        <v>46094</v>
      </c>
      <c r="L144" s="101">
        <v>43961</v>
      </c>
      <c r="M144" s="101">
        <v>69250</v>
      </c>
      <c r="N144" s="104">
        <v>0</v>
      </c>
      <c r="O144" s="104">
        <v>31931</v>
      </c>
      <c r="P144" s="104">
        <v>25139.153505101407</v>
      </c>
    </row>
    <row r="145" spans="1:16" x14ac:dyDescent="0.25">
      <c r="A145" s="105" t="s">
        <v>56</v>
      </c>
      <c r="B145" s="105" t="s">
        <v>51</v>
      </c>
      <c r="C145" s="105" t="s">
        <v>52</v>
      </c>
      <c r="D145" s="106" t="s">
        <v>52</v>
      </c>
      <c r="E145" s="107">
        <v>47606</v>
      </c>
      <c r="F145" s="107">
        <v>130347</v>
      </c>
      <c r="G145" s="107">
        <v>140777</v>
      </c>
      <c r="H145" s="107">
        <v>162775</v>
      </c>
      <c r="I145" s="107">
        <v>184674</v>
      </c>
      <c r="J145" s="107">
        <v>187452</v>
      </c>
      <c r="K145" s="107">
        <v>231666</v>
      </c>
      <c r="L145" s="107">
        <f>148467</f>
        <v>148467</v>
      </c>
      <c r="M145" s="107">
        <v>144950</v>
      </c>
      <c r="N145" s="108">
        <v>97802</v>
      </c>
      <c r="O145" s="108">
        <v>51963</v>
      </c>
      <c r="P145" s="108">
        <v>29417</v>
      </c>
    </row>
    <row r="146" spans="1:16" x14ac:dyDescent="0.25">
      <c r="A146" s="105" t="s">
        <v>56</v>
      </c>
      <c r="B146" s="105" t="s">
        <v>51</v>
      </c>
      <c r="C146" s="105" t="s">
        <v>53</v>
      </c>
      <c r="D146" s="106" t="s">
        <v>53</v>
      </c>
      <c r="E146" s="107">
        <v>35500</v>
      </c>
      <c r="F146" s="107">
        <f>43800+326000</f>
        <v>369800</v>
      </c>
      <c r="G146" s="107">
        <f>48400+469500</f>
        <v>517900</v>
      </c>
      <c r="H146" s="107">
        <f>17700+383000</f>
        <v>400700</v>
      </c>
      <c r="I146" s="107">
        <f>44200+609000</f>
        <v>653200</v>
      </c>
      <c r="J146" s="107">
        <f>37200+567300</f>
        <v>604500</v>
      </c>
      <c r="K146" s="107">
        <f>29700+645400</f>
        <v>675100</v>
      </c>
      <c r="L146" s="107">
        <f>21500+486000</f>
        <v>507500</v>
      </c>
      <c r="M146" s="107">
        <f>19500+384200</f>
        <v>403700</v>
      </c>
      <c r="N146" s="108">
        <f>18400+110000</f>
        <v>128400</v>
      </c>
      <c r="O146" s="108">
        <f>21000+70000</f>
        <v>91000</v>
      </c>
      <c r="P146" s="108">
        <v>4500</v>
      </c>
    </row>
    <row r="147" spans="1:16" ht="15.75" thickBot="1" x14ac:dyDescent="0.3">
      <c r="A147" s="105" t="s">
        <v>56</v>
      </c>
      <c r="B147" s="105" t="s">
        <v>74</v>
      </c>
      <c r="C147" s="105" t="s">
        <v>73</v>
      </c>
      <c r="D147" s="106" t="s">
        <v>73</v>
      </c>
      <c r="E147" s="107">
        <f t="shared" ref="E147:P147" si="22">SUM(E141,E142,E143,E144)*0.4%</f>
        <v>1054.088</v>
      </c>
      <c r="F147" s="107">
        <f t="shared" si="22"/>
        <v>4167.4639999999999</v>
      </c>
      <c r="G147" s="107">
        <f t="shared" si="22"/>
        <v>4421.3559999999998</v>
      </c>
      <c r="H147" s="107">
        <f t="shared" si="22"/>
        <v>4334.9080000000004</v>
      </c>
      <c r="I147" s="107">
        <f t="shared" si="22"/>
        <v>5678.6</v>
      </c>
      <c r="J147" s="107">
        <f t="shared" si="22"/>
        <v>5609.5519999999997</v>
      </c>
      <c r="K147" s="107">
        <f t="shared" si="22"/>
        <v>6617.1720000000005</v>
      </c>
      <c r="L147" s="107">
        <f t="shared" si="22"/>
        <v>4586.4120000000003</v>
      </c>
      <c r="M147" s="107">
        <f t="shared" si="22"/>
        <v>4379.7280000000001</v>
      </c>
      <c r="N147" s="107">
        <f t="shared" si="22"/>
        <v>2296.66</v>
      </c>
      <c r="O147" s="107">
        <f t="shared" si="22"/>
        <v>1279.452</v>
      </c>
      <c r="P147" s="107">
        <f t="shared" si="22"/>
        <v>613.62861402040562</v>
      </c>
    </row>
    <row r="148" spans="1:16" ht="15.75" thickBot="1" x14ac:dyDescent="0.3">
      <c r="A148" s="130" t="s">
        <v>12</v>
      </c>
      <c r="B148" s="88" t="s">
        <v>12</v>
      </c>
      <c r="C148" s="88" t="s">
        <v>12</v>
      </c>
      <c r="D148" s="49" t="s">
        <v>12</v>
      </c>
      <c r="E148" s="50">
        <f>SUM(E141:E147)</f>
        <v>347682.08799999999</v>
      </c>
      <c r="F148" s="50">
        <f t="shared" ref="F148:P148" si="23">SUM(F141:F147)</f>
        <v>1546180.4639999999</v>
      </c>
      <c r="G148" s="50">
        <f t="shared" si="23"/>
        <v>1768437.3559999999</v>
      </c>
      <c r="H148" s="50">
        <f t="shared" si="23"/>
        <v>1651536.9080000001</v>
      </c>
      <c r="I148" s="50">
        <f t="shared" si="23"/>
        <v>2263202.6</v>
      </c>
      <c r="J148" s="50">
        <f t="shared" si="23"/>
        <v>2199949.5520000001</v>
      </c>
      <c r="K148" s="50">
        <f t="shared" si="23"/>
        <v>2567676.1719999998</v>
      </c>
      <c r="L148" s="50">
        <f t="shared" si="23"/>
        <v>1807156.412</v>
      </c>
      <c r="M148" s="50">
        <f t="shared" si="23"/>
        <v>1647961.7279999999</v>
      </c>
      <c r="N148" s="50">
        <f t="shared" si="23"/>
        <v>802663.66</v>
      </c>
      <c r="O148" s="50">
        <f t="shared" si="23"/>
        <v>464105.45199999999</v>
      </c>
      <c r="P148" s="50">
        <f t="shared" si="23"/>
        <v>187937.78211912181</v>
      </c>
    </row>
    <row r="149" spans="1:16" x14ac:dyDescent="0.25">
      <c r="A149" s="93" t="s">
        <v>57</v>
      </c>
      <c r="B149" s="93" t="s">
        <v>49</v>
      </c>
      <c r="C149" s="93" t="s">
        <v>50</v>
      </c>
      <c r="D149" s="94" t="s">
        <v>50</v>
      </c>
      <c r="E149" s="95">
        <v>8796248</v>
      </c>
      <c r="F149" s="95">
        <v>11208988</v>
      </c>
      <c r="G149" s="95">
        <v>15500275</v>
      </c>
      <c r="H149" s="95">
        <v>13747335</v>
      </c>
      <c r="I149" s="95">
        <v>20568467</v>
      </c>
      <c r="J149" s="95">
        <v>15762708</v>
      </c>
      <c r="K149" s="96">
        <v>22076197</v>
      </c>
      <c r="L149" s="96">
        <v>9066781</v>
      </c>
      <c r="M149" s="96">
        <v>15630235</v>
      </c>
      <c r="N149" s="97">
        <v>5154162</v>
      </c>
      <c r="O149" s="97">
        <v>4489635</v>
      </c>
      <c r="P149" s="98">
        <v>6782725</v>
      </c>
    </row>
    <row r="150" spans="1:16" x14ac:dyDescent="0.25">
      <c r="A150" s="112" t="s">
        <v>57</v>
      </c>
      <c r="B150" s="112" t="s">
        <v>49</v>
      </c>
      <c r="C150" s="112" t="s">
        <v>76</v>
      </c>
      <c r="D150" s="113" t="s">
        <v>76</v>
      </c>
      <c r="E150" s="114">
        <v>0</v>
      </c>
      <c r="F150" s="114">
        <v>0</v>
      </c>
      <c r="G150" s="114">
        <v>0</v>
      </c>
      <c r="H150" s="114">
        <v>0</v>
      </c>
      <c r="I150" s="114">
        <v>0</v>
      </c>
      <c r="J150" s="114">
        <v>0</v>
      </c>
      <c r="K150" s="115">
        <v>0</v>
      </c>
      <c r="L150" s="115">
        <v>0</v>
      </c>
      <c r="M150" s="115">
        <v>0</v>
      </c>
      <c r="N150" s="116">
        <v>0</v>
      </c>
      <c r="O150" s="116">
        <v>0</v>
      </c>
      <c r="P150" s="117">
        <v>0</v>
      </c>
    </row>
    <row r="151" spans="1:16" x14ac:dyDescent="0.25">
      <c r="A151" s="99" t="s">
        <v>57</v>
      </c>
      <c r="B151" s="99" t="s">
        <v>45</v>
      </c>
      <c r="C151" s="99" t="s">
        <v>75</v>
      </c>
      <c r="D151" s="100" t="s">
        <v>75</v>
      </c>
      <c r="E151" s="101">
        <v>0</v>
      </c>
      <c r="F151" s="101">
        <v>0</v>
      </c>
      <c r="G151" s="101">
        <v>0</v>
      </c>
      <c r="H151" s="101">
        <v>0</v>
      </c>
      <c r="I151" s="101">
        <v>0</v>
      </c>
      <c r="J151" s="101">
        <v>0</v>
      </c>
      <c r="K151" s="102">
        <v>0</v>
      </c>
      <c r="L151" s="102">
        <v>0</v>
      </c>
      <c r="M151" s="102">
        <v>0</v>
      </c>
      <c r="N151" s="103">
        <v>0</v>
      </c>
      <c r="O151" s="103">
        <v>0</v>
      </c>
      <c r="P151" s="104">
        <v>0</v>
      </c>
    </row>
    <row r="152" spans="1:16" x14ac:dyDescent="0.25">
      <c r="A152" s="99" t="s">
        <v>57</v>
      </c>
      <c r="B152" s="99" t="s">
        <v>45</v>
      </c>
      <c r="C152" s="99" t="s">
        <v>43</v>
      </c>
      <c r="D152" s="100" t="s">
        <v>43</v>
      </c>
      <c r="E152" s="101">
        <v>237499</v>
      </c>
      <c r="F152" s="101">
        <v>302643</v>
      </c>
      <c r="G152" s="101">
        <v>418507</v>
      </c>
      <c r="H152" s="101">
        <v>371178</v>
      </c>
      <c r="I152" s="101">
        <v>555349</v>
      </c>
      <c r="J152" s="101">
        <v>425593</v>
      </c>
      <c r="K152" s="102">
        <v>596057</v>
      </c>
      <c r="L152" s="102">
        <v>244803</v>
      </c>
      <c r="M152" s="102">
        <v>422016</v>
      </c>
      <c r="N152" s="103">
        <v>139162</v>
      </c>
      <c r="O152" s="103">
        <v>121220</v>
      </c>
      <c r="P152" s="104">
        <v>183134</v>
      </c>
    </row>
    <row r="153" spans="1:16" x14ac:dyDescent="0.25">
      <c r="A153" s="99" t="s">
        <v>57</v>
      </c>
      <c r="B153" s="99" t="s">
        <v>45</v>
      </c>
      <c r="C153" s="99" t="s">
        <v>42</v>
      </c>
      <c r="D153" s="100" t="s">
        <v>42</v>
      </c>
      <c r="E153" s="101">
        <v>131944</v>
      </c>
      <c r="F153" s="101">
        <v>224180</v>
      </c>
      <c r="G153" s="101">
        <v>434008</v>
      </c>
      <c r="H153" s="101">
        <v>206210</v>
      </c>
      <c r="I153" s="101">
        <v>308527</v>
      </c>
      <c r="J153" s="101">
        <v>236441</v>
      </c>
      <c r="K153" s="101">
        <v>331143</v>
      </c>
      <c r="L153" s="101">
        <v>154942</v>
      </c>
      <c r="M153" s="101">
        <v>234454</v>
      </c>
      <c r="N153" s="104">
        <v>77312</v>
      </c>
      <c r="O153" s="104">
        <v>67345</v>
      </c>
      <c r="P153" s="104">
        <v>101741</v>
      </c>
    </row>
    <row r="154" spans="1:16" x14ac:dyDescent="0.25">
      <c r="A154" s="99" t="s">
        <v>57</v>
      </c>
      <c r="B154" s="99" t="s">
        <v>45</v>
      </c>
      <c r="C154" s="99" t="s">
        <v>44</v>
      </c>
      <c r="D154" s="100" t="s">
        <v>44</v>
      </c>
      <c r="E154" s="101">
        <v>83038</v>
      </c>
      <c r="F154" s="101">
        <v>71207</v>
      </c>
      <c r="G154" s="101">
        <v>4786</v>
      </c>
      <c r="H154" s="101">
        <v>40683</v>
      </c>
      <c r="I154" s="101">
        <v>24273</v>
      </c>
      <c r="J154" s="101">
        <v>126361</v>
      </c>
      <c r="K154" s="101">
        <v>100167</v>
      </c>
      <c r="L154" s="101">
        <v>49962</v>
      </c>
      <c r="M154" s="101">
        <v>8376</v>
      </c>
      <c r="N154" s="104">
        <v>0</v>
      </c>
      <c r="O154" s="104">
        <v>45053</v>
      </c>
      <c r="P154" s="104">
        <v>59753.921760652411</v>
      </c>
    </row>
    <row r="155" spans="1:16" x14ac:dyDescent="0.25">
      <c r="A155" s="105" t="s">
        <v>57</v>
      </c>
      <c r="B155" s="105" t="s">
        <v>51</v>
      </c>
      <c r="C155" s="105" t="s">
        <v>52</v>
      </c>
      <c r="D155" s="106" t="s">
        <v>52</v>
      </c>
      <c r="E155" s="107">
        <v>0</v>
      </c>
      <c r="F155" s="107">
        <v>0</v>
      </c>
      <c r="G155" s="107">
        <v>0</v>
      </c>
      <c r="H155" s="107">
        <v>0</v>
      </c>
      <c r="I155" s="107">
        <v>0</v>
      </c>
      <c r="J155" s="107">
        <v>0</v>
      </c>
      <c r="K155" s="107">
        <v>0</v>
      </c>
      <c r="L155" s="107">
        <v>0</v>
      </c>
      <c r="M155" s="107">
        <v>0</v>
      </c>
      <c r="N155" s="108">
        <v>0</v>
      </c>
      <c r="O155" s="108">
        <v>0</v>
      </c>
      <c r="P155" s="108">
        <v>0</v>
      </c>
    </row>
    <row r="156" spans="1:16" x14ac:dyDescent="0.25">
      <c r="A156" s="105" t="s">
        <v>57</v>
      </c>
      <c r="B156" s="105" t="s">
        <v>51</v>
      </c>
      <c r="C156" s="105" t="s">
        <v>53</v>
      </c>
      <c r="D156" s="106" t="s">
        <v>53</v>
      </c>
      <c r="E156" s="107">
        <v>59581</v>
      </c>
      <c r="F156" s="107">
        <v>95361</v>
      </c>
      <c r="G156" s="107">
        <v>94870</v>
      </c>
      <c r="H156" s="107">
        <v>84805</v>
      </c>
      <c r="I156" s="107">
        <v>107790</v>
      </c>
      <c r="J156" s="107">
        <v>64640</v>
      </c>
      <c r="K156" s="107">
        <v>33955</v>
      </c>
      <c r="L156" s="107">
        <v>48370</v>
      </c>
      <c r="M156" s="107">
        <v>46410</v>
      </c>
      <c r="N156" s="108">
        <v>11448</v>
      </c>
      <c r="O156" s="108">
        <v>46480</v>
      </c>
      <c r="P156" s="108">
        <v>26130</v>
      </c>
    </row>
    <row r="157" spans="1:16" ht="15.75" thickBot="1" x14ac:dyDescent="0.3">
      <c r="A157" s="105" t="s">
        <v>57</v>
      </c>
      <c r="B157" s="105" t="s">
        <v>74</v>
      </c>
      <c r="C157" s="105" t="s">
        <v>73</v>
      </c>
      <c r="D157" s="106" t="s">
        <v>73</v>
      </c>
      <c r="E157" s="107">
        <f t="shared" ref="E157:P157" si="24">SUM(E151,E152,E153,E154)*0.4%</f>
        <v>1809.924</v>
      </c>
      <c r="F157" s="107">
        <f t="shared" si="24"/>
        <v>2392.12</v>
      </c>
      <c r="G157" s="107">
        <f t="shared" si="24"/>
        <v>3429.2040000000002</v>
      </c>
      <c r="H157" s="107">
        <f t="shared" si="24"/>
        <v>2472.2840000000001</v>
      </c>
      <c r="I157" s="107">
        <f t="shared" si="24"/>
        <v>3552.596</v>
      </c>
      <c r="J157" s="107">
        <f t="shared" si="24"/>
        <v>3153.58</v>
      </c>
      <c r="K157" s="107">
        <f t="shared" si="24"/>
        <v>4109.4679999999998</v>
      </c>
      <c r="L157" s="107">
        <f t="shared" si="24"/>
        <v>1798.828</v>
      </c>
      <c r="M157" s="107">
        <f t="shared" si="24"/>
        <v>2659.384</v>
      </c>
      <c r="N157" s="107">
        <f t="shared" si="24"/>
        <v>865.89600000000007</v>
      </c>
      <c r="O157" s="107">
        <f t="shared" si="24"/>
        <v>934.47199999999998</v>
      </c>
      <c r="P157" s="107">
        <f t="shared" si="24"/>
        <v>1378.5156870426097</v>
      </c>
    </row>
    <row r="158" spans="1:16" ht="15.75" thickBot="1" x14ac:dyDescent="0.3">
      <c r="A158" s="130" t="s">
        <v>12</v>
      </c>
      <c r="B158" s="88" t="s">
        <v>12</v>
      </c>
      <c r="C158" s="88" t="s">
        <v>12</v>
      </c>
      <c r="D158" s="49" t="s">
        <v>12</v>
      </c>
      <c r="E158" s="50">
        <f>SUM(E151:E157)</f>
        <v>513871.924</v>
      </c>
      <c r="F158" s="50">
        <f t="shared" ref="F158:P158" si="25">SUM(F151:F157)</f>
        <v>695783.12</v>
      </c>
      <c r="G158" s="50">
        <f t="shared" si="25"/>
        <v>955600.20400000003</v>
      </c>
      <c r="H158" s="50">
        <f t="shared" si="25"/>
        <v>705348.28399999999</v>
      </c>
      <c r="I158" s="50">
        <f t="shared" si="25"/>
        <v>999491.59600000002</v>
      </c>
      <c r="J158" s="50">
        <f t="shared" si="25"/>
        <v>856188.58</v>
      </c>
      <c r="K158" s="50">
        <f t="shared" si="25"/>
        <v>1065431.4680000001</v>
      </c>
      <c r="L158" s="50">
        <f t="shared" si="25"/>
        <v>499875.82799999998</v>
      </c>
      <c r="M158" s="50">
        <f t="shared" si="25"/>
        <v>713915.38399999996</v>
      </c>
      <c r="N158" s="50">
        <f t="shared" si="25"/>
        <v>228787.89600000001</v>
      </c>
      <c r="O158" s="50">
        <f t="shared" si="25"/>
        <v>281032.47200000001</v>
      </c>
      <c r="P158" s="50">
        <f t="shared" si="25"/>
        <v>372137.437447695</v>
      </c>
    </row>
    <row r="159" spans="1:16" x14ac:dyDescent="0.25">
      <c r="A159" s="93" t="s">
        <v>23</v>
      </c>
      <c r="B159" s="93" t="s">
        <v>49</v>
      </c>
      <c r="C159" s="93" t="s">
        <v>50</v>
      </c>
      <c r="D159" s="94" t="s">
        <v>50</v>
      </c>
      <c r="E159" s="95">
        <v>0</v>
      </c>
      <c r="F159" s="95">
        <v>0</v>
      </c>
      <c r="G159" s="95">
        <f>884651</f>
        <v>884651</v>
      </c>
      <c r="H159" s="95">
        <f>1020472</f>
        <v>1020472</v>
      </c>
      <c r="I159" s="95">
        <f>266248</f>
        <v>266248</v>
      </c>
      <c r="J159" s="95">
        <f>915037</f>
        <v>915037</v>
      </c>
      <c r="K159" s="118">
        <v>0</v>
      </c>
      <c r="L159" s="118">
        <v>4867239</v>
      </c>
      <c r="M159" s="118">
        <v>2092650</v>
      </c>
      <c r="N159" s="119">
        <v>3809510</v>
      </c>
      <c r="O159" s="119">
        <v>4411247</v>
      </c>
      <c r="P159" s="120">
        <v>6252784</v>
      </c>
    </row>
    <row r="160" spans="1:16" x14ac:dyDescent="0.25">
      <c r="A160" s="112" t="s">
        <v>23</v>
      </c>
      <c r="B160" s="112" t="s">
        <v>49</v>
      </c>
      <c r="C160" s="112" t="s">
        <v>76</v>
      </c>
      <c r="D160" s="113" t="s">
        <v>76</v>
      </c>
      <c r="E160" s="114">
        <v>0</v>
      </c>
      <c r="F160" s="114">
        <v>0</v>
      </c>
      <c r="G160" s="114">
        <v>3254367</v>
      </c>
      <c r="H160" s="114">
        <v>4607259</v>
      </c>
      <c r="I160" s="114">
        <v>667259</v>
      </c>
      <c r="J160" s="114">
        <v>1375286</v>
      </c>
      <c r="K160" s="121">
        <v>0</v>
      </c>
      <c r="L160" s="121">
        <v>0</v>
      </c>
      <c r="M160" s="121">
        <v>0</v>
      </c>
      <c r="N160" s="122">
        <v>0</v>
      </c>
      <c r="O160" s="122">
        <v>0</v>
      </c>
      <c r="P160" s="123">
        <v>0</v>
      </c>
    </row>
    <row r="161" spans="1:18" x14ac:dyDescent="0.25">
      <c r="A161" s="99" t="s">
        <v>23</v>
      </c>
      <c r="B161" s="99" t="s">
        <v>45</v>
      </c>
      <c r="C161" s="99" t="s">
        <v>75</v>
      </c>
      <c r="D161" s="100" t="s">
        <v>75</v>
      </c>
      <c r="E161" s="101">
        <v>0</v>
      </c>
      <c r="F161" s="101">
        <v>0</v>
      </c>
      <c r="G161" s="101">
        <v>162718</v>
      </c>
      <c r="H161" s="101">
        <v>230363</v>
      </c>
      <c r="I161" s="101">
        <v>33363</v>
      </c>
      <c r="J161" s="101">
        <v>68764</v>
      </c>
      <c r="K161" s="124">
        <v>0</v>
      </c>
      <c r="L161" s="124">
        <v>0</v>
      </c>
      <c r="M161" s="124">
        <v>0</v>
      </c>
      <c r="N161" s="125">
        <v>0</v>
      </c>
      <c r="O161" s="125">
        <v>0</v>
      </c>
      <c r="P161" s="126">
        <v>0</v>
      </c>
    </row>
    <row r="162" spans="1:18" x14ac:dyDescent="0.25">
      <c r="A162" s="99" t="s">
        <v>23</v>
      </c>
      <c r="B162" s="99" t="s">
        <v>45</v>
      </c>
      <c r="C162" s="99" t="s">
        <v>43</v>
      </c>
      <c r="D162" s="100" t="s">
        <v>43</v>
      </c>
      <c r="E162" s="101">
        <v>0</v>
      </c>
      <c r="F162" s="101">
        <v>0</v>
      </c>
      <c r="G162" s="101">
        <f>23886</f>
        <v>23886</v>
      </c>
      <c r="H162" s="101">
        <f>27553</f>
        <v>27553</v>
      </c>
      <c r="I162" s="101">
        <f>7189</f>
        <v>7189</v>
      </c>
      <c r="J162" s="101">
        <f>24706</f>
        <v>24706</v>
      </c>
      <c r="K162" s="124">
        <v>0</v>
      </c>
      <c r="L162" s="124">
        <v>0</v>
      </c>
      <c r="M162" s="124">
        <v>0</v>
      </c>
      <c r="N162" s="125">
        <v>0</v>
      </c>
      <c r="O162" s="125">
        <v>0</v>
      </c>
      <c r="P162" s="126">
        <v>0</v>
      </c>
    </row>
    <row r="163" spans="1:18" x14ac:dyDescent="0.25">
      <c r="A163" s="99" t="s">
        <v>23</v>
      </c>
      <c r="B163" s="99" t="s">
        <v>45</v>
      </c>
      <c r="C163" s="99" t="s">
        <v>42</v>
      </c>
      <c r="D163" s="100" t="s">
        <v>42</v>
      </c>
      <c r="E163" s="101">
        <v>0</v>
      </c>
      <c r="F163" s="101">
        <v>0</v>
      </c>
      <c r="G163" s="101">
        <v>0</v>
      </c>
      <c r="H163" s="101">
        <v>0</v>
      </c>
      <c r="I163" s="101">
        <v>0</v>
      </c>
      <c r="J163" s="101">
        <v>0</v>
      </c>
      <c r="K163" s="127">
        <v>0</v>
      </c>
      <c r="L163" s="127">
        <v>0</v>
      </c>
      <c r="M163" s="127">
        <v>0</v>
      </c>
      <c r="N163" s="126">
        <v>0</v>
      </c>
      <c r="O163" s="126">
        <v>0</v>
      </c>
      <c r="P163" s="126">
        <v>0</v>
      </c>
    </row>
    <row r="164" spans="1:18" x14ac:dyDescent="0.25">
      <c r="A164" s="99" t="s">
        <v>23</v>
      </c>
      <c r="B164" s="99" t="s">
        <v>45</v>
      </c>
      <c r="C164" s="99" t="s">
        <v>44</v>
      </c>
      <c r="D164" s="100" t="s">
        <v>44</v>
      </c>
      <c r="E164" s="101">
        <v>0</v>
      </c>
      <c r="F164" s="101">
        <v>0</v>
      </c>
      <c r="G164" s="101">
        <v>3141</v>
      </c>
      <c r="H164" s="101">
        <v>3806</v>
      </c>
      <c r="I164" s="101">
        <v>1658</v>
      </c>
      <c r="J164" s="101">
        <v>5969</v>
      </c>
      <c r="K164" s="127">
        <v>0</v>
      </c>
      <c r="L164" s="127">
        <v>0</v>
      </c>
      <c r="M164" s="127">
        <v>0</v>
      </c>
      <c r="N164" s="126">
        <v>0</v>
      </c>
      <c r="O164" s="126">
        <v>0</v>
      </c>
      <c r="P164" s="126">
        <v>0</v>
      </c>
    </row>
    <row r="165" spans="1:18" x14ac:dyDescent="0.25">
      <c r="A165" s="105" t="s">
        <v>23</v>
      </c>
      <c r="B165" s="105" t="s">
        <v>51</v>
      </c>
      <c r="C165" s="105" t="s">
        <v>52</v>
      </c>
      <c r="D165" s="106" t="s">
        <v>52</v>
      </c>
      <c r="E165" s="107">
        <v>0</v>
      </c>
      <c r="F165" s="107">
        <v>0</v>
      </c>
      <c r="G165" s="107">
        <v>0</v>
      </c>
      <c r="H165" s="107">
        <v>0</v>
      </c>
      <c r="I165" s="107">
        <v>0</v>
      </c>
      <c r="J165" s="107">
        <v>0</v>
      </c>
      <c r="K165" s="128">
        <v>0</v>
      </c>
      <c r="L165" s="128">
        <v>0</v>
      </c>
      <c r="M165" s="128">
        <v>0</v>
      </c>
      <c r="N165" s="129">
        <v>0</v>
      </c>
      <c r="O165" s="129">
        <v>0</v>
      </c>
      <c r="P165" s="129">
        <v>0</v>
      </c>
    </row>
    <row r="166" spans="1:18" x14ac:dyDescent="0.25">
      <c r="A166" s="105" t="s">
        <v>23</v>
      </c>
      <c r="B166" s="105" t="s">
        <v>51</v>
      </c>
      <c r="C166" s="105" t="s">
        <v>53</v>
      </c>
      <c r="D166" s="106" t="s">
        <v>53</v>
      </c>
      <c r="E166" s="107">
        <v>0</v>
      </c>
      <c r="F166" s="107">
        <v>0</v>
      </c>
      <c r="G166" s="107">
        <v>0</v>
      </c>
      <c r="H166" s="107">
        <v>0</v>
      </c>
      <c r="I166" s="107">
        <v>0</v>
      </c>
      <c r="J166" s="107">
        <v>0</v>
      </c>
      <c r="K166" s="128">
        <v>0</v>
      </c>
      <c r="L166" s="128">
        <v>0</v>
      </c>
      <c r="M166" s="128">
        <v>0</v>
      </c>
      <c r="N166" s="129">
        <v>0</v>
      </c>
      <c r="O166" s="129">
        <v>0</v>
      </c>
      <c r="P166" s="129">
        <v>0</v>
      </c>
    </row>
    <row r="167" spans="1:18" ht="15.75" thickBot="1" x14ac:dyDescent="0.3">
      <c r="A167" s="105" t="s">
        <v>23</v>
      </c>
      <c r="B167" s="105" t="s">
        <v>74</v>
      </c>
      <c r="C167" s="105" t="s">
        <v>73</v>
      </c>
      <c r="D167" s="106" t="s">
        <v>73</v>
      </c>
      <c r="E167" s="107">
        <f t="shared" ref="E167:P167" si="26">SUM(E161,E162,E163,E164)*0.4%</f>
        <v>0</v>
      </c>
      <c r="F167" s="107">
        <f t="shared" si="26"/>
        <v>0</v>
      </c>
      <c r="G167" s="107">
        <f t="shared" si="26"/>
        <v>758.98</v>
      </c>
      <c r="H167" s="107">
        <f t="shared" si="26"/>
        <v>1046.8879999999999</v>
      </c>
      <c r="I167" s="107">
        <f t="shared" si="26"/>
        <v>168.84</v>
      </c>
      <c r="J167" s="107">
        <f t="shared" si="26"/>
        <v>397.75600000000003</v>
      </c>
      <c r="K167" s="128">
        <f t="shared" si="26"/>
        <v>0</v>
      </c>
      <c r="L167" s="128">
        <f t="shared" si="26"/>
        <v>0</v>
      </c>
      <c r="M167" s="128">
        <f t="shared" si="26"/>
        <v>0</v>
      </c>
      <c r="N167" s="128">
        <f t="shared" si="26"/>
        <v>0</v>
      </c>
      <c r="O167" s="128">
        <f t="shared" si="26"/>
        <v>0</v>
      </c>
      <c r="P167" s="128">
        <f t="shared" si="26"/>
        <v>0</v>
      </c>
    </row>
    <row r="168" spans="1:18" ht="15.75" thickBot="1" x14ac:dyDescent="0.3">
      <c r="A168" s="130" t="s">
        <v>12</v>
      </c>
      <c r="B168" s="88" t="s">
        <v>12</v>
      </c>
      <c r="C168" s="88" t="s">
        <v>12</v>
      </c>
      <c r="D168" s="49" t="s">
        <v>12</v>
      </c>
      <c r="E168" s="50">
        <f>SUM(E161:E167)</f>
        <v>0</v>
      </c>
      <c r="F168" s="50">
        <f t="shared" ref="F168:P168" si="27">SUM(F161:F167)</f>
        <v>0</v>
      </c>
      <c r="G168" s="50">
        <f t="shared" si="27"/>
        <v>190503.98</v>
      </c>
      <c r="H168" s="50">
        <f t="shared" si="27"/>
        <v>262768.88799999998</v>
      </c>
      <c r="I168" s="50">
        <f t="shared" si="27"/>
        <v>42378.84</v>
      </c>
      <c r="J168" s="50">
        <f t="shared" si="27"/>
        <v>99836.755999999994</v>
      </c>
      <c r="K168" s="50">
        <f t="shared" si="27"/>
        <v>0</v>
      </c>
      <c r="L168" s="50">
        <f t="shared" si="27"/>
        <v>0</v>
      </c>
      <c r="M168" s="50">
        <f t="shared" si="27"/>
        <v>0</v>
      </c>
      <c r="N168" s="50">
        <f t="shared" si="27"/>
        <v>0</v>
      </c>
      <c r="O168" s="50">
        <f t="shared" si="27"/>
        <v>0</v>
      </c>
      <c r="P168" s="50">
        <f t="shared" si="27"/>
        <v>0</v>
      </c>
      <c r="R168" s="2"/>
    </row>
    <row r="170" spans="1:18" x14ac:dyDescent="0.25"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spans="1:18" x14ac:dyDescent="0.25"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spans="1:18" x14ac:dyDescent="0.25">
      <c r="A172" s="137"/>
      <c r="B172" s="139"/>
      <c r="C172" s="139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</row>
    <row r="240" spans="1:17" s="137" customFormat="1" x14ac:dyDescent="0.25">
      <c r="A240"/>
      <c r="B240" s="140"/>
      <c r="C240" s="1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 s="137">
        <f>SUM(E172:O172)</f>
        <v>0</v>
      </c>
    </row>
  </sheetData>
  <phoneticPr fontId="2" type="noConversion"/>
  <pageMargins left="0.7" right="0.7" top="0.75" bottom="0.75" header="0.3" footer="0.3"/>
  <pageSetup scale="70"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s D A A B Q S w M E F A A C A A g A a I U n V T n t B H K k A A A A 9 g A A A B I A H A B D b 2 5 m a W c v U G F j a 2 F n Z S 5 4 b W w g o h g A K K A U A A A A A A A A A A A A A A A A A A A A A A A A A A A A h Y + x D o I w G I R f h X S n L X X Q k J 8 y u E p i Q j S u D V R o h B 9 D i + X d H H w k X 0 G M o m 6 O d / d d c n e / 3 i A d 2 y a 4 6 N 6 a D h M S U U 4 C j U V X G q w S M r h j u C K p h K 0 q T q r S w Q S j j U d r E l I 7 d 4 4 Z 8 9 5 T v 6 B d X z H B e c Q O 2 S Y v a t 2 q 0 K B 1 C g t N P q 3 y f 4 t I 2 L / G S E E j v q S C T 5 u A z S Z k B r + A m L J n + m P C e m j c 0 G u p M d z l w G Y J 7 P 1 B P g B Q S w M E F A A C A A g A a I U n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i F J 1 U o i k e 4 D g A A A B E A A A A T A B w A R m 9 y b X V s Y X M v U 2 V j d G l v b j E u b S C i G A A o o B Q A A A A A A A A A A A A A A A A A A A A A A A A A A A A r T k 0 u y c z P U w i G 0 I b W A F B L A Q I t A B Q A A g A I A G i F J 1 U 5 7 Q R y p A A A A P Y A A A A S A A A A A A A A A A A A A A A A A A A A A A B D b 2 5 m a W c v U G F j a 2 F n Z S 5 4 b W x Q S w E C L Q A U A A I A C A B o h S d V U 3 I 4 L J s A A A D h A A A A E w A A A A A A A A A A A A A A A A D w A A A A W 0 N v b n R l b n R f V H l w Z X N d L n h t b F B L A Q I t A B Q A A g A I A G i F J 1 U o i k e 4 D g A A A B E A A A A T A A A A A A A A A A A A A A A A A N g B A A B G b 3 J t d W x h c y 9 T Z W N 0 a W 9 u M S 5 t U E s F B g A A A A A D A A M A w g A A A D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W a C E O 6 e 9 k a k P E f w E S 9 1 R w A A A A A C A A A A A A A Q Z g A A A A E A A C A A A A D F g e N a n A 0 L 8 L G 8 D b V 2 Q J K f M I 8 / E k V j 4 t L H G y a + 6 t j a D Q A A A A A O g A A A A A I A A C A A A A D D 0 9 x h t Z M U G p + e T 6 9 T s h / H Q c K Q V P D N O h 1 f f S G / 8 q F 4 A F A A A A A K t p T n W o T g H a V / t D Z Y X / 1 7 l s R B G R M L 3 6 n D P M T l i 8 1 Z + d B W h 1 n 9 H 1 f g W M h x Q g G Y a K e 2 w V E p V b d H M o X R F O 9 q p 4 I D V j P 2 n m H 5 i + b f C D s D 2 j f B l k A A A A A W d T P n 2 6 T O x s F h j a u i c a G i z 7 V S 2 i N s Q W m Z q C q a 0 2 1 d P f P 2 6 a t n X + b 3 b o U g q G k h x d c W n Z 5 j X F y j B P D y o G p v y M N 3 < / D a t a M a s h u p > 
</file>

<file path=customXml/itemProps1.xml><?xml version="1.0" encoding="utf-8"?>
<ds:datastoreItem xmlns:ds="http://schemas.openxmlformats.org/officeDocument/2006/customXml" ds:itemID="{E0303061-A8FF-4C92-969B-0A9497864E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Expense Detail New (2)</vt:lpstr>
      <vt:lpstr>'Expense Detail New (2)'!Print_Area</vt:lpstr>
      <vt:lpstr>'Expense Detail New (2)'!Print_Titles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KHURRUM MALIK</dc:creator>
  <cp:lastModifiedBy>waseem ashar</cp:lastModifiedBy>
  <cp:lastPrinted>2022-01-11T06:01:22Z</cp:lastPrinted>
  <dcterms:created xsi:type="dcterms:W3CDTF">2021-03-06T07:58:09Z</dcterms:created>
  <dcterms:modified xsi:type="dcterms:W3CDTF">2023-03-14T13:43:21Z</dcterms:modified>
</cp:coreProperties>
</file>