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pivotTables/pivotTable2.xml" ContentType="application/vnd.openxmlformats-officedocument.spreadsheetml.pivotTable+xml"/>
  <Override PartName="/xl/comments3.xml" ContentType="application/vnd.openxmlformats-officedocument.spreadsheetml.comments+xml"/>
  <Override PartName="/xl/comments4.xml" ContentType="application/vnd.openxmlformats-officedocument.spreadsheetml.comments+xml"/>
  <Override PartName="/xl/pivotTables/pivotTable3.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hidePivotFieldList="1"/>
  <mc:AlternateContent xmlns:mc="http://schemas.openxmlformats.org/markup-compatibility/2006">
    <mc:Choice Requires="x15">
      <x15ac:absPath xmlns:x15ac="http://schemas.microsoft.com/office/spreadsheetml/2010/11/ac" url="/Users/kavin/Downloads/OneDrive_2_7-12-2022/Beginning cash/"/>
    </mc:Choice>
  </mc:AlternateContent>
  <xr:revisionPtr revIDLastSave="0" documentId="13_ncr:1_{DD34066A-EBD8-E847-95D0-85C7618965CB}" xr6:coauthVersionLast="47" xr6:coauthVersionMax="47" xr10:uidLastSave="{00000000-0000-0000-0000-000000000000}"/>
  <bookViews>
    <workbookView xWindow="0" yWindow="500" windowWidth="34740" windowHeight="21060" tabRatio="897" xr2:uid="{00000000-000D-0000-FFFF-FFFF00000000}"/>
  </bookViews>
  <sheets>
    <sheet name="Dashboard" sheetId="4" r:id="rId1"/>
    <sheet name="Report" sheetId="19" r:id="rId2"/>
    <sheet name="Change" sheetId="12" r:id="rId3"/>
    <sheet name="Cash Balance Report" sheetId="1" r:id="rId4"/>
    <sheet name="Cash Balance SAP" sheetId="3" r:id="rId5"/>
    <sheet name="JV &amp; SUB" sheetId="2" r:id="rId6"/>
    <sheet name="Sheet1" sheetId="20" state="hidden" r:id="rId7"/>
    <sheet name="JV&amp;SUB raw info" sheetId="10" r:id="rId8"/>
    <sheet name="Deposit" sheetId="5" r:id="rId9"/>
    <sheet name="Working Cap" sheetId="7" r:id="rId10"/>
    <sheet name="Investment" sheetId="6" r:id="rId11"/>
    <sheet name="Availability" sheetId="14" r:id="rId12"/>
    <sheet name="Graph" sheetId="17" r:id="rId13"/>
    <sheet name="Counterparty Limit" sheetId="8" r:id="rId14"/>
    <sheet name="Sheet2" sheetId="22" r:id="rId15"/>
    <sheet name="SKO&amp; SBO" sheetId="9" r:id="rId16"/>
    <sheet name="ARV" sheetId="23" r:id="rId17"/>
    <sheet name="ST Bank Facility" sheetId="11" r:id="rId18"/>
  </sheets>
  <externalReferences>
    <externalReference r:id="rId19"/>
  </externalReferences>
  <definedNames>
    <definedName name="_xlnm._FilterDatabase" localSheetId="11" hidden="1">Availability!$A$18:$I$32</definedName>
    <definedName name="_xlnm._FilterDatabase" localSheetId="2" hidden="1">Change!$B$1:$G$45</definedName>
    <definedName name="_xlnm._FilterDatabase" localSheetId="13" hidden="1">'Counterparty Limit'!$A$5:$P$5</definedName>
    <definedName name="_xlnm._FilterDatabase" localSheetId="8" hidden="1">Deposit!$A$2:$U$207</definedName>
    <definedName name="_xlnm._FilterDatabase" localSheetId="10" hidden="1">Investment!$A$9:$AB$26</definedName>
    <definedName name="_xlnm._FilterDatabase" localSheetId="7" hidden="1">'JV&amp;SUB raw info'!$A$3:$F$94</definedName>
    <definedName name="_xlnm._FilterDatabase" localSheetId="14" hidden="1">Sheet2!$B$2:$K$2</definedName>
    <definedName name="_xlnm._FilterDatabase" localSheetId="9" hidden="1">'Working Cap'!$A$11:$V$18</definedName>
    <definedName name="Bank_Code">[1]Mapping!$B$2:$B$500</definedName>
    <definedName name="_xlnm.Print_Area" localSheetId="4">'Cash Balance SAP'!$A$1:$N$98</definedName>
    <definedName name="_xlnm.Print_Area" localSheetId="8">Deposit!$A$2:$U$221</definedName>
    <definedName name="_xlnm.Print_Area" localSheetId="1">Report!$A$1:$AC$84</definedName>
    <definedName name="Status">[1]Mapping!$P$2:$P$500</definedName>
  </definedNames>
  <calcPr calcId="191029"/>
  <pivotCaches>
    <pivotCache cacheId="3" r:id="rId20"/>
    <pivotCache cacheId="4" r:id="rId21"/>
    <pivotCache cacheId="5" r:id="rId2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 i="7" l="1"/>
  <c r="E45" i="9"/>
  <c r="C42" i="9"/>
  <c r="E42" i="9" s="1"/>
  <c r="E39" i="9"/>
  <c r="E38" i="9"/>
  <c r="E37" i="9"/>
  <c r="E36" i="9"/>
  <c r="E35" i="9"/>
  <c r="E33" i="9"/>
  <c r="E32" i="9"/>
  <c r="E31" i="9"/>
  <c r="E27" i="9"/>
  <c r="C24" i="9"/>
  <c r="E24" i="9" s="1"/>
  <c r="E21" i="9"/>
  <c r="E20" i="9"/>
  <c r="E19" i="9"/>
  <c r="E18" i="9"/>
  <c r="E17" i="9"/>
  <c r="E16" i="9"/>
  <c r="E14" i="9"/>
  <c r="E13" i="9"/>
  <c r="E50" i="9" s="1"/>
  <c r="E12" i="9"/>
  <c r="E49" i="9" s="1"/>
  <c r="B4" i="7"/>
  <c r="P2" i="12"/>
  <c r="P16" i="12" s="1"/>
  <c r="E51" i="9" l="1"/>
  <c r="E52" i="9"/>
  <c r="E47" i="9"/>
  <c r="E20" i="2" l="1"/>
  <c r="E19" i="2"/>
  <c r="E23" i="2"/>
  <c r="W11" i="17" l="1"/>
  <c r="D26" i="14"/>
  <c r="E26" i="14" s="1"/>
  <c r="D27" i="14"/>
  <c r="E27" i="14" s="1"/>
  <c r="D28" i="14"/>
  <c r="E28" i="14" s="1"/>
  <c r="D29" i="14"/>
  <c r="E29" i="14" s="1"/>
  <c r="D30" i="14"/>
  <c r="E30" i="14" s="1"/>
  <c r="D31" i="14"/>
  <c r="E31" i="14" s="1"/>
  <c r="D32" i="14"/>
  <c r="E32" i="14" s="1"/>
  <c r="D33" i="14"/>
  <c r="E33" i="14" s="1"/>
  <c r="D34" i="14"/>
  <c r="E34" i="14" s="1"/>
  <c r="C26" i="14"/>
  <c r="C27" i="14"/>
  <c r="C28" i="14"/>
  <c r="C29" i="14"/>
  <c r="C30" i="14"/>
  <c r="F30" i="14" s="1"/>
  <c r="G30" i="14" s="1"/>
  <c r="H30" i="14" s="1"/>
  <c r="C31" i="14"/>
  <c r="F31" i="14" s="1"/>
  <c r="G31" i="14" s="1"/>
  <c r="H31" i="14" s="1"/>
  <c r="C32" i="14"/>
  <c r="I32" i="14" s="1"/>
  <c r="C33" i="14"/>
  <c r="F33" i="14" s="1"/>
  <c r="G33" i="14" s="1"/>
  <c r="H33" i="14" s="1"/>
  <c r="C34" i="14"/>
  <c r="F34" i="14" s="1"/>
  <c r="G34" i="14" s="1"/>
  <c r="H34" i="14" s="1"/>
  <c r="B26" i="14"/>
  <c r="B27" i="14"/>
  <c r="B28" i="14"/>
  <c r="B29" i="14"/>
  <c r="B30" i="14"/>
  <c r="B31" i="14"/>
  <c r="B32" i="14"/>
  <c r="B33" i="14"/>
  <c r="B34" i="14"/>
  <c r="A34" i="14"/>
  <c r="A26" i="14"/>
  <c r="A27" i="14"/>
  <c r="A28" i="14"/>
  <c r="A29" i="14"/>
  <c r="A30" i="14"/>
  <c r="A31" i="14"/>
  <c r="A32" i="14"/>
  <c r="A33" i="14"/>
  <c r="R8" i="6"/>
  <c r="X25" i="6"/>
  <c r="Z25" i="6" s="1"/>
  <c r="AA25" i="6" s="1"/>
  <c r="Y25" i="6"/>
  <c r="AB25" i="6"/>
  <c r="X24" i="6"/>
  <c r="Z24" i="6" s="1"/>
  <c r="AA24" i="6" s="1"/>
  <c r="Y24" i="6"/>
  <c r="AB24" i="6"/>
  <c r="I34" i="14" l="1"/>
  <c r="F32" i="14"/>
  <c r="G32" i="14" s="1"/>
  <c r="H32" i="14" s="1"/>
  <c r="I31" i="14"/>
  <c r="I33" i="14"/>
  <c r="I30" i="14"/>
  <c r="S1" i="14" l="1" a="1"/>
  <c r="S1" i="14" s="1"/>
  <c r="AE7" i="17"/>
  <c r="AE6" i="17"/>
  <c r="AE5" i="17"/>
  <c r="AF5" i="17" s="1"/>
  <c r="I26" i="14"/>
  <c r="D25" i="14"/>
  <c r="E25" i="14" s="1"/>
  <c r="I27" i="14"/>
  <c r="I28" i="14"/>
  <c r="C25" i="14"/>
  <c r="I25" i="14" s="1"/>
  <c r="B25" i="14"/>
  <c r="A25" i="14"/>
  <c r="R1" i="14"/>
  <c r="D5" i="11"/>
  <c r="L61" i="19"/>
  <c r="N61" i="19"/>
  <c r="O31" i="19"/>
  <c r="P31" i="19"/>
  <c r="O32" i="19"/>
  <c r="P32" i="19"/>
  <c r="Q32" i="19" s="1"/>
  <c r="K66" i="19"/>
  <c r="L66" i="19"/>
  <c r="J66" i="19"/>
  <c r="M66" i="19"/>
  <c r="N66" i="19"/>
  <c r="H17" i="2"/>
  <c r="U1" i="14" l="1"/>
  <c r="Q31" i="19"/>
  <c r="AF6" i="17"/>
  <c r="AF7" i="17" s="1"/>
  <c r="H51" i="8" l="1"/>
  <c r="G42" i="12" s="1"/>
  <c r="R5" i="17"/>
  <c r="C19" i="14"/>
  <c r="H39" i="3"/>
  <c r="H68" i="3"/>
  <c r="I7" i="7"/>
  <c r="D8" i="7"/>
  <c r="I42" i="12" l="1"/>
  <c r="I111" i="8"/>
  <c r="H111" i="8"/>
  <c r="G111" i="8"/>
  <c r="G26" i="8"/>
  <c r="K63" i="19"/>
  <c r="L63" i="19"/>
  <c r="M63" i="19"/>
  <c r="N63" i="19"/>
  <c r="J63" i="19"/>
  <c r="O23" i="19"/>
  <c r="P23" i="19"/>
  <c r="Q23" i="19" l="1"/>
  <c r="G40" i="8"/>
  <c r="E14" i="23" l="1"/>
  <c r="E16" i="23" s="1"/>
  <c r="I83" i="3" l="1"/>
  <c r="I84" i="3"/>
  <c r="I85" i="3"/>
  <c r="I86" i="3"/>
  <c r="I87" i="3"/>
  <c r="I88" i="3"/>
  <c r="I89" i="3"/>
  <c r="I90" i="3"/>
  <c r="I91" i="3"/>
  <c r="I92" i="3"/>
  <c r="I93" i="3"/>
  <c r="I94" i="3"/>
  <c r="I95" i="3"/>
  <c r="I96" i="3"/>
  <c r="I82" i="3"/>
  <c r="I69" i="3"/>
  <c r="I70" i="3"/>
  <c r="I71" i="3"/>
  <c r="I72" i="3"/>
  <c r="I73" i="3"/>
  <c r="I74" i="3"/>
  <c r="I75" i="3"/>
  <c r="I76" i="3"/>
  <c r="I77" i="3"/>
  <c r="I78" i="3"/>
  <c r="I79" i="3"/>
  <c r="I80" i="3"/>
  <c r="I68" i="3"/>
  <c r="I42" i="3"/>
  <c r="I43" i="3"/>
  <c r="I44" i="3"/>
  <c r="I45" i="3"/>
  <c r="I46" i="3"/>
  <c r="I47" i="3"/>
  <c r="I48" i="3"/>
  <c r="I49" i="3"/>
  <c r="I50" i="3"/>
  <c r="I51" i="3"/>
  <c r="I52" i="3"/>
  <c r="I53" i="3"/>
  <c r="I54" i="3"/>
  <c r="I55" i="3"/>
  <c r="I56" i="3"/>
  <c r="I57" i="3"/>
  <c r="I58" i="3"/>
  <c r="I59" i="3"/>
  <c r="I60" i="3"/>
  <c r="I61" i="3"/>
  <c r="I62" i="3"/>
  <c r="I63" i="3"/>
  <c r="I64" i="3"/>
  <c r="I65" i="3"/>
  <c r="I41" i="3"/>
  <c r="H83" i="3"/>
  <c r="H84" i="3"/>
  <c r="H85" i="3"/>
  <c r="J85" i="3" s="1"/>
  <c r="M86" i="3" s="1"/>
  <c r="H86" i="3"/>
  <c r="H87" i="3"/>
  <c r="H88" i="3"/>
  <c r="H89" i="3"/>
  <c r="H90" i="3"/>
  <c r="H91" i="3"/>
  <c r="H92" i="3"/>
  <c r="H93" i="3"/>
  <c r="J93" i="3" s="1"/>
  <c r="H94" i="3"/>
  <c r="H95" i="3"/>
  <c r="H96" i="3"/>
  <c r="H82" i="3"/>
  <c r="H80" i="3"/>
  <c r="J80" i="3" s="1"/>
  <c r="M81" i="3" s="1"/>
  <c r="J68" i="3"/>
  <c r="H79" i="3"/>
  <c r="J79" i="3" s="1"/>
  <c r="H77" i="3"/>
  <c r="J77" i="3" s="1"/>
  <c r="M78" i="3" s="1"/>
  <c r="H69" i="3"/>
  <c r="H70" i="3"/>
  <c r="J70" i="3" s="1"/>
  <c r="H71" i="3"/>
  <c r="J71" i="3" s="1"/>
  <c r="H72" i="3"/>
  <c r="J72" i="3" s="1"/>
  <c r="H73" i="3"/>
  <c r="J73" i="3" s="1"/>
  <c r="H74" i="3"/>
  <c r="J74" i="3" s="1"/>
  <c r="H75" i="3"/>
  <c r="H76" i="3"/>
  <c r="J76" i="3" s="1"/>
  <c r="H78" i="3"/>
  <c r="J78" i="3" s="1"/>
  <c r="H41" i="3"/>
  <c r="H38" i="3"/>
  <c r="J69" i="3" l="1"/>
  <c r="J88" i="3"/>
  <c r="J90" i="3"/>
  <c r="J96" i="3"/>
  <c r="J95" i="3"/>
  <c r="J86" i="3"/>
  <c r="J92" i="3"/>
  <c r="J91" i="3"/>
  <c r="J83" i="3"/>
  <c r="J75" i="3"/>
  <c r="J87" i="3"/>
  <c r="J82" i="3"/>
  <c r="J89" i="3"/>
  <c r="J94" i="3"/>
  <c r="J84" i="3"/>
  <c r="D3" i="7"/>
  <c r="E3" i="7"/>
  <c r="F20" i="2"/>
  <c r="H20" i="2" l="1"/>
  <c r="H19" i="8" l="1"/>
  <c r="H21" i="8"/>
  <c r="P52" i="19"/>
  <c r="Q52" i="19" s="1"/>
  <c r="N78" i="19"/>
  <c r="N79" i="19" s="1"/>
  <c r="M78" i="19"/>
  <c r="M79" i="19" s="1"/>
  <c r="L78" i="19"/>
  <c r="L79" i="19" s="1"/>
  <c r="K78" i="19"/>
  <c r="K79" i="19" s="1"/>
  <c r="J78" i="19"/>
  <c r="N75" i="19"/>
  <c r="N76" i="19" s="1"/>
  <c r="M75" i="19"/>
  <c r="M76" i="19" s="1"/>
  <c r="L75" i="19"/>
  <c r="L76" i="19" s="1"/>
  <c r="K75" i="19"/>
  <c r="K76" i="19" s="1"/>
  <c r="J75" i="19"/>
  <c r="J76" i="19" s="1"/>
  <c r="N72" i="19"/>
  <c r="M72" i="19"/>
  <c r="L72" i="19"/>
  <c r="K72" i="19"/>
  <c r="K73" i="19" s="1"/>
  <c r="J72" i="19"/>
  <c r="N69" i="19"/>
  <c r="N70" i="19" s="1"/>
  <c r="M69" i="19"/>
  <c r="M70" i="19" s="1"/>
  <c r="L69" i="19"/>
  <c r="L70" i="19" s="1"/>
  <c r="K69" i="19"/>
  <c r="K70" i="19" s="1"/>
  <c r="J69" i="19"/>
  <c r="J70" i="19" s="1"/>
  <c r="M67" i="19"/>
  <c r="J67" i="19"/>
  <c r="J64" i="19"/>
  <c r="N10" i="7"/>
  <c r="M1" i="5"/>
  <c r="J81" i="19" l="1"/>
  <c r="J82" i="19" s="1"/>
  <c r="J79" i="19"/>
  <c r="D12" i="2"/>
  <c r="E10" i="2"/>
  <c r="R7" i="17" l="1"/>
  <c r="R6" i="17"/>
  <c r="C40" i="7" l="1"/>
  <c r="M25" i="12" l="1"/>
  <c r="G26" i="12" s="1"/>
  <c r="E7" i="7"/>
  <c r="X22" i="6"/>
  <c r="Z22" i="6" s="1"/>
  <c r="O41" i="19" l="1"/>
  <c r="O38" i="19"/>
  <c r="P38" i="19"/>
  <c r="O39" i="19"/>
  <c r="P39" i="19"/>
  <c r="O40" i="19"/>
  <c r="P40" i="19"/>
  <c r="I26" i="12"/>
  <c r="G33" i="8" l="1"/>
  <c r="G14" i="8" s="1"/>
  <c r="Q38" i="19"/>
  <c r="Q40" i="19"/>
  <c r="Q39" i="19"/>
  <c r="E17" i="2" l="1"/>
  <c r="H29" i="8"/>
  <c r="AE8" i="17"/>
  <c r="F26" i="14"/>
  <c r="G26" i="14" s="1"/>
  <c r="H26" i="14" s="1"/>
  <c r="I6" i="7"/>
  <c r="I16" i="3" l="1"/>
  <c r="I14" i="3"/>
  <c r="C10" i="1" s="1"/>
  <c r="I9" i="3"/>
  <c r="C5" i="1" s="1"/>
  <c r="AC11" i="17" l="1"/>
  <c r="F25" i="14"/>
  <c r="G25" i="14" s="1"/>
  <c r="H25" i="14" s="1"/>
  <c r="F29" i="14"/>
  <c r="G29" i="14" s="1"/>
  <c r="H29" i="14" s="1"/>
  <c r="I29" i="14"/>
  <c r="S3" i="5" l="1"/>
  <c r="S93" i="5"/>
  <c r="G51" i="8"/>
  <c r="C20" i="14"/>
  <c r="F20" i="14" s="1"/>
  <c r="G20" i="14" s="1"/>
  <c r="H20" i="14" s="1"/>
  <c r="D20" i="14"/>
  <c r="E20" i="14" s="1"/>
  <c r="D19" i="14"/>
  <c r="C33" i="7"/>
  <c r="S65" i="5"/>
  <c r="S184" i="5"/>
  <c r="S23" i="5"/>
  <c r="S126" i="5"/>
  <c r="S169" i="5"/>
  <c r="S124" i="5"/>
  <c r="S181" i="5"/>
  <c r="S170" i="5"/>
  <c r="S151" i="5"/>
  <c r="S28" i="5"/>
  <c r="S73" i="5"/>
  <c r="S120" i="5"/>
  <c r="S171" i="5"/>
  <c r="S72" i="5"/>
  <c r="S44" i="5"/>
  <c r="S4" i="5"/>
  <c r="S70" i="5"/>
  <c r="S94" i="5"/>
  <c r="S152" i="5"/>
  <c r="S153" i="5"/>
  <c r="S63" i="5"/>
  <c r="S154" i="5"/>
  <c r="S26" i="5"/>
  <c r="S27" i="5"/>
  <c r="S155" i="5"/>
  <c r="S156" i="5"/>
  <c r="S111" i="5"/>
  <c r="S110" i="5"/>
  <c r="S157" i="5"/>
  <c r="S81" i="5"/>
  <c r="S88" i="5"/>
  <c r="S140" i="5"/>
  <c r="S40" i="5"/>
  <c r="S132" i="5"/>
  <c r="S101" i="5"/>
  <c r="S15" i="5"/>
  <c r="S31" i="5"/>
  <c r="S90" i="5"/>
  <c r="S21" i="5"/>
  <c r="S131" i="5"/>
  <c r="S139" i="5"/>
  <c r="S142" i="5"/>
  <c r="S58" i="5"/>
  <c r="S67" i="5"/>
  <c r="S56" i="5"/>
  <c r="S61" i="5"/>
  <c r="S116" i="5"/>
  <c r="S159" i="5"/>
  <c r="S79" i="5"/>
  <c r="S42" i="5"/>
  <c r="S32" i="5"/>
  <c r="S112" i="5"/>
  <c r="S17" i="5"/>
  <c r="S43" i="5"/>
  <c r="S176" i="5"/>
  <c r="S177" i="5"/>
  <c r="S167" i="5"/>
  <c r="S158" i="5"/>
  <c r="S84" i="5"/>
  <c r="S66" i="5"/>
  <c r="S150" i="5"/>
  <c r="S13" i="5"/>
  <c r="S197" i="5"/>
  <c r="S198" i="5"/>
  <c r="S146" i="5"/>
  <c r="S69" i="5"/>
  <c r="S6" i="5"/>
  <c r="S102" i="5"/>
  <c r="S5" i="5"/>
  <c r="S22" i="5"/>
  <c r="S166" i="5"/>
  <c r="S174" i="5"/>
  <c r="S183" i="5"/>
  <c r="S185" i="5"/>
  <c r="S52" i="5"/>
  <c r="S114" i="5"/>
  <c r="S119" i="5"/>
  <c r="S115" i="5"/>
  <c r="S20" i="5"/>
  <c r="S148" i="5"/>
  <c r="S77" i="5"/>
  <c r="S172" i="5"/>
  <c r="S95" i="5"/>
  <c r="S50" i="5"/>
  <c r="S98" i="5"/>
  <c r="S149" i="5"/>
  <c r="S45" i="5"/>
  <c r="S10" i="5"/>
  <c r="S75" i="5"/>
  <c r="S71" i="5"/>
  <c r="S200" i="5"/>
  <c r="S109" i="5"/>
  <c r="S8" i="5"/>
  <c r="S189" i="5"/>
  <c r="S129" i="5"/>
  <c r="S136" i="5"/>
  <c r="S135" i="5"/>
  <c r="S175" i="5"/>
  <c r="S68" i="5"/>
  <c r="S164" i="5"/>
  <c r="S91" i="5"/>
  <c r="S123" i="5"/>
  <c r="S190" i="5"/>
  <c r="S105" i="5"/>
  <c r="S86" i="5"/>
  <c r="S191" i="5"/>
  <c r="S122" i="5"/>
  <c r="S199" i="5"/>
  <c r="S33" i="5"/>
  <c r="S39" i="5"/>
  <c r="S83" i="5"/>
  <c r="S107" i="5"/>
  <c r="S179" i="5"/>
  <c r="S62" i="5"/>
  <c r="S162" i="5"/>
  <c r="S103" i="5"/>
  <c r="S145" i="5"/>
  <c r="S165" i="5"/>
  <c r="S141" i="5"/>
  <c r="S143" i="5"/>
  <c r="S161" i="5"/>
  <c r="S82" i="5"/>
  <c r="S74" i="5"/>
  <c r="S41" i="5"/>
  <c r="S89" i="5"/>
  <c r="S9" i="5"/>
  <c r="S25" i="5"/>
  <c r="S201" i="5"/>
  <c r="S125" i="5"/>
  <c r="S133" i="5"/>
  <c r="S188" i="5"/>
  <c r="S178" i="5"/>
  <c r="S54" i="5"/>
  <c r="S48" i="5"/>
  <c r="S138" i="5"/>
  <c r="S193" i="5"/>
  <c r="S37" i="5"/>
  <c r="S180" i="5"/>
  <c r="S16" i="5"/>
  <c r="S59" i="5"/>
  <c r="S147" i="5"/>
  <c r="S11" i="5"/>
  <c r="S194" i="5"/>
  <c r="S144" i="5"/>
  <c r="S106" i="5"/>
  <c r="S36" i="5"/>
  <c r="S14" i="5"/>
  <c r="S34" i="5"/>
  <c r="S78" i="5"/>
  <c r="S12" i="5"/>
  <c r="S76" i="5"/>
  <c r="S97" i="5"/>
  <c r="S87" i="5"/>
  <c r="S19" i="5"/>
  <c r="S182" i="5"/>
  <c r="S85" i="5"/>
  <c r="S118" i="5"/>
  <c r="S130" i="5"/>
  <c r="S64" i="5"/>
  <c r="S127" i="5"/>
  <c r="S46" i="5"/>
  <c r="S49" i="5"/>
  <c r="S117" i="5"/>
  <c r="S57" i="5"/>
  <c r="S30" i="5"/>
  <c r="S187" i="5"/>
  <c r="S38" i="5"/>
  <c r="S80" i="5"/>
  <c r="S195" i="5"/>
  <c r="S196" i="5"/>
  <c r="S29" i="5"/>
  <c r="S53" i="5"/>
  <c r="S24" i="5"/>
  <c r="S134" i="5"/>
  <c r="S137" i="5"/>
  <c r="S100" i="5"/>
  <c r="S104" i="5"/>
  <c r="S55" i="5"/>
  <c r="S168" i="5"/>
  <c r="S108" i="5"/>
  <c r="S99" i="5"/>
  <c r="S7" i="5"/>
  <c r="S96" i="5"/>
  <c r="S92" i="5"/>
  <c r="S60" i="5"/>
  <c r="S186" i="5"/>
  <c r="S192" i="5"/>
  <c r="S173" i="5"/>
  <c r="S35" i="5"/>
  <c r="S163" i="5"/>
  <c r="S160" i="5"/>
  <c r="S18" i="5"/>
  <c r="S113" i="5"/>
  <c r="S128" i="5"/>
  <c r="S121" i="5"/>
  <c r="S47" i="5"/>
  <c r="S51" i="5"/>
  <c r="D7" i="7" l="1"/>
  <c r="I20" i="14"/>
  <c r="I39" i="3"/>
  <c r="J39" i="3" s="1"/>
  <c r="I38" i="3"/>
  <c r="H46" i="3"/>
  <c r="J46" i="3" s="1"/>
  <c r="H47" i="3"/>
  <c r="J47" i="3" s="1"/>
  <c r="H48" i="3"/>
  <c r="J48" i="3" s="1"/>
  <c r="H49" i="3"/>
  <c r="J49" i="3" s="1"/>
  <c r="B42" i="1" s="1"/>
  <c r="H50" i="3"/>
  <c r="J50" i="3" s="1"/>
  <c r="H51" i="3"/>
  <c r="J51" i="3" s="1"/>
  <c r="H52" i="3"/>
  <c r="J52" i="3" s="1"/>
  <c r="H53" i="3"/>
  <c r="J53" i="3" s="1"/>
  <c r="H54" i="3"/>
  <c r="J54" i="3" s="1"/>
  <c r="B44" i="1" s="1"/>
  <c r="H55" i="3"/>
  <c r="J55" i="3" s="1"/>
  <c r="H56" i="3"/>
  <c r="J56" i="3" s="1"/>
  <c r="H57" i="3"/>
  <c r="J57" i="3" s="1"/>
  <c r="H58" i="3"/>
  <c r="J58" i="3" s="1"/>
  <c r="H59" i="3"/>
  <c r="J59" i="3" s="1"/>
  <c r="H60" i="3"/>
  <c r="J60" i="3" s="1"/>
  <c r="H61" i="3"/>
  <c r="J61" i="3" s="1"/>
  <c r="H62" i="3"/>
  <c r="J62" i="3" s="1"/>
  <c r="H63" i="3"/>
  <c r="J63" i="3" s="1"/>
  <c r="H64" i="3"/>
  <c r="J64" i="3" s="1"/>
  <c r="H65" i="3"/>
  <c r="J65" i="3" s="1"/>
  <c r="B49" i="1"/>
  <c r="I97" i="3" l="1"/>
  <c r="J38" i="3"/>
  <c r="M88" i="3"/>
  <c r="H42" i="3"/>
  <c r="J42" i="3" s="1"/>
  <c r="H43" i="3"/>
  <c r="J43" i="3" s="1"/>
  <c r="H44" i="3"/>
  <c r="J44" i="3" s="1"/>
  <c r="H45" i="3"/>
  <c r="J45" i="3" s="1"/>
  <c r="M44" i="3" l="1"/>
  <c r="F28" i="14"/>
  <c r="G28" i="14" s="1"/>
  <c r="H28" i="14" s="1"/>
  <c r="O8" i="6"/>
  <c r="B30" i="1" l="1"/>
  <c r="M48" i="3"/>
  <c r="AB11" i="17"/>
  <c r="AA11" i="17"/>
  <c r="Z11" i="17"/>
  <c r="Y11" i="17"/>
  <c r="U11" i="17"/>
  <c r="V11" i="17"/>
  <c r="T11" i="17"/>
  <c r="S11" i="17"/>
  <c r="AE9" i="17"/>
  <c r="AE11" i="17" s="1"/>
  <c r="F27" i="14"/>
  <c r="G27" i="14" s="1"/>
  <c r="H27" i="14" s="1"/>
  <c r="AB22" i="6"/>
  <c r="AB19" i="6"/>
  <c r="Y22" i="6"/>
  <c r="Y19" i="6"/>
  <c r="AA22" i="6"/>
  <c r="X19" i="6"/>
  <c r="Z19" i="6" s="1"/>
  <c r="AA19" i="6" s="1"/>
  <c r="E8" i="7"/>
  <c r="G12" i="12" l="1"/>
  <c r="I12" i="12" s="1"/>
  <c r="X21" i="6" l="1"/>
  <c r="Z21" i="6" s="1"/>
  <c r="AA21" i="6" s="1"/>
  <c r="Y21" i="6"/>
  <c r="AB21" i="6"/>
  <c r="N73" i="19"/>
  <c r="M73" i="19"/>
  <c r="L73" i="19"/>
  <c r="J73" i="19"/>
  <c r="N67" i="19"/>
  <c r="L67" i="19"/>
  <c r="K67" i="19"/>
  <c r="M81" i="19" l="1"/>
  <c r="M82" i="19" s="1"/>
  <c r="N81" i="19"/>
  <c r="N82" i="19" s="1"/>
  <c r="L81" i="19"/>
  <c r="L82" i="19" s="1"/>
  <c r="K81" i="19"/>
  <c r="K82" i="19" s="1"/>
  <c r="K64" i="19"/>
  <c r="L64" i="19"/>
  <c r="M64" i="19"/>
  <c r="N64" i="19"/>
  <c r="P11" i="19" l="1"/>
  <c r="P12" i="19"/>
  <c r="P13" i="19"/>
  <c r="P14" i="19"/>
  <c r="P15" i="19"/>
  <c r="P16" i="19"/>
  <c r="P17" i="19"/>
  <c r="P18" i="19"/>
  <c r="P19" i="19"/>
  <c r="P20" i="19"/>
  <c r="P21" i="19"/>
  <c r="P22" i="19"/>
  <c r="O22" i="19"/>
  <c r="O6" i="19"/>
  <c r="O60" i="19"/>
  <c r="I8" i="7"/>
  <c r="H20" i="8" l="1"/>
  <c r="D21" i="14" l="1"/>
  <c r="AF8" i="17"/>
  <c r="AF9" i="17" s="1"/>
  <c r="AF11" i="17" s="1"/>
  <c r="H17" i="8" l="1"/>
  <c r="AB10" i="6"/>
  <c r="X23" i="6"/>
  <c r="Z23" i="6" s="1"/>
  <c r="C28" i="7" l="1"/>
  <c r="H24" i="8"/>
  <c r="H48" i="8"/>
  <c r="G31" i="12" s="1"/>
  <c r="I31" i="12" s="1"/>
  <c r="I3" i="19"/>
  <c r="S18" i="7"/>
  <c r="F8" i="7"/>
  <c r="C30" i="7" l="1"/>
  <c r="C29" i="7"/>
  <c r="G49" i="8"/>
  <c r="G48" i="8"/>
  <c r="G47" i="8"/>
  <c r="G46" i="8"/>
  <c r="G45" i="8"/>
  <c r="G44" i="8"/>
  <c r="G43" i="8"/>
  <c r="G37" i="8"/>
  <c r="G38" i="8"/>
  <c r="G39" i="8"/>
  <c r="G36" i="8"/>
  <c r="G35" i="8"/>
  <c r="G34" i="8"/>
  <c r="G32" i="8"/>
  <c r="G31" i="8"/>
  <c r="G30" i="8"/>
  <c r="G27" i="8"/>
  <c r="G28" i="8"/>
  <c r="G16" i="8"/>
  <c r="G17" i="8"/>
  <c r="G18" i="8"/>
  <c r="G19" i="8"/>
  <c r="G20" i="8"/>
  <c r="G22" i="8"/>
  <c r="G23" i="8"/>
  <c r="G24" i="8"/>
  <c r="G25" i="8"/>
  <c r="G15" i="8"/>
  <c r="G10" i="8"/>
  <c r="G9" i="8"/>
  <c r="G8" i="8"/>
  <c r="G7" i="8"/>
  <c r="G6" i="8"/>
  <c r="I19" i="14"/>
  <c r="AB12" i="6" l="1"/>
  <c r="Y12" i="6"/>
  <c r="Y10" i="6"/>
  <c r="X12" i="6"/>
  <c r="Z12" i="6" s="1"/>
  <c r="AA12" i="6" s="1"/>
  <c r="X10" i="6"/>
  <c r="Z10" i="6" s="1"/>
  <c r="AA10" i="6" s="1"/>
  <c r="Y17" i="6"/>
  <c r="AB17" i="6"/>
  <c r="B7" i="7" l="1"/>
  <c r="D40" i="7"/>
  <c r="G7" i="7" s="1"/>
  <c r="F7" i="7" s="1"/>
  <c r="Q14" i="19"/>
  <c r="P60" i="19"/>
  <c r="Q60" i="19" s="1"/>
  <c r="P59" i="19"/>
  <c r="P58" i="19"/>
  <c r="P57" i="19"/>
  <c r="P78" i="19" s="1"/>
  <c r="P56" i="19"/>
  <c r="P55" i="19"/>
  <c r="P54" i="19"/>
  <c r="P53" i="19"/>
  <c r="P50" i="19"/>
  <c r="P49" i="19"/>
  <c r="P72" i="19" s="1"/>
  <c r="P48" i="19"/>
  <c r="P47" i="19"/>
  <c r="P46" i="19"/>
  <c r="P45" i="19"/>
  <c r="P44" i="19"/>
  <c r="P43" i="19"/>
  <c r="P42" i="19"/>
  <c r="P41" i="19"/>
  <c r="P37" i="19"/>
  <c r="P36" i="19"/>
  <c r="P35" i="19"/>
  <c r="P34" i="19"/>
  <c r="P33" i="19"/>
  <c r="P30" i="19"/>
  <c r="P29" i="19"/>
  <c r="P28" i="19"/>
  <c r="P27" i="19"/>
  <c r="P26" i="19"/>
  <c r="P25" i="19"/>
  <c r="P24" i="19"/>
  <c r="Q22" i="19"/>
  <c r="P6" i="19"/>
  <c r="O53" i="19"/>
  <c r="O9" i="19"/>
  <c r="K23" i="11"/>
  <c r="P66" i="19" l="1"/>
  <c r="P67" i="19" s="1"/>
  <c r="P61" i="19"/>
  <c r="P79" i="19"/>
  <c r="P75" i="19"/>
  <c r="P76" i="19" s="1"/>
  <c r="P69" i="19"/>
  <c r="P70" i="19" s="1"/>
  <c r="P73" i="19"/>
  <c r="Q53" i="19"/>
  <c r="X17" i="6" l="1"/>
  <c r="Z17" i="6" s="1"/>
  <c r="AA17" i="6" s="1"/>
  <c r="AB14" i="6" l="1"/>
  <c r="Y14" i="6"/>
  <c r="X14" i="6"/>
  <c r="Z14" i="6" s="1"/>
  <c r="AA14" i="6" s="1"/>
  <c r="D31" i="7"/>
  <c r="D32" i="7"/>
  <c r="E13" i="2" l="1"/>
  <c r="G13" i="2" s="1"/>
  <c r="G14" i="2"/>
  <c r="G12" i="2"/>
  <c r="E16" i="2"/>
  <c r="G16" i="2" s="1"/>
  <c r="E15" i="2"/>
  <c r="G15" i="2" s="1"/>
  <c r="E11" i="2"/>
  <c r="E9" i="2"/>
  <c r="G9" i="2" s="1"/>
  <c r="E8" i="2"/>
  <c r="G8" i="2" l="1"/>
  <c r="E21" i="2"/>
  <c r="B3" i="7"/>
  <c r="C32" i="7"/>
  <c r="C31" i="7"/>
  <c r="AB23" i="6"/>
  <c r="S14" i="7"/>
  <c r="S13" i="7"/>
  <c r="S12" i="7"/>
  <c r="C36" i="7" l="1"/>
  <c r="D36" i="7" s="1"/>
  <c r="G4" i="7" s="1"/>
  <c r="AB13" i="6"/>
  <c r="AB26" i="6"/>
  <c r="C5" i="6" s="1"/>
  <c r="AB18" i="6"/>
  <c r="AB16" i="6"/>
  <c r="AB15" i="6"/>
  <c r="AB11" i="6"/>
  <c r="AB20" i="6"/>
  <c r="AA23" i="6"/>
  <c r="X13" i="6"/>
  <c r="X26" i="6"/>
  <c r="X18" i="6"/>
  <c r="X16" i="6"/>
  <c r="X15" i="6"/>
  <c r="X11" i="6"/>
  <c r="X20" i="6"/>
  <c r="H3" i="6" l="1"/>
  <c r="D4" i="7"/>
  <c r="D5" i="7" s="1"/>
  <c r="C4" i="6"/>
  <c r="E4" i="7"/>
  <c r="C6" i="6" l="1"/>
  <c r="F4" i="7"/>
  <c r="I22" i="4"/>
  <c r="E6" i="7"/>
  <c r="E9" i="7" s="1"/>
  <c r="H97" i="3"/>
  <c r="I23" i="4" l="1"/>
  <c r="O59" i="19" l="1"/>
  <c r="Q59" i="19" s="1"/>
  <c r="O58" i="19"/>
  <c r="Q58" i="19" s="1"/>
  <c r="O57" i="19"/>
  <c r="O56" i="19"/>
  <c r="Q56" i="19" s="1"/>
  <c r="O55" i="19"/>
  <c r="O54" i="19"/>
  <c r="O50" i="19"/>
  <c r="O49" i="19"/>
  <c r="O48" i="19"/>
  <c r="Q48" i="19" s="1"/>
  <c r="O47" i="19"/>
  <c r="O46" i="19"/>
  <c r="Q46" i="19" s="1"/>
  <c r="O45" i="19"/>
  <c r="O44" i="19"/>
  <c r="Q44" i="19" s="1"/>
  <c r="O43" i="19"/>
  <c r="Q43" i="19" s="1"/>
  <c r="O42" i="19"/>
  <c r="Q42" i="19" s="1"/>
  <c r="Q41" i="19"/>
  <c r="O37" i="19"/>
  <c r="Q37" i="19" s="1"/>
  <c r="O36" i="19"/>
  <c r="Q36" i="19" s="1"/>
  <c r="O35" i="19"/>
  <c r="Q35" i="19" s="1"/>
  <c r="O34" i="19"/>
  <c r="O33" i="19"/>
  <c r="Q33" i="19" s="1"/>
  <c r="O30" i="19"/>
  <c r="O29" i="19"/>
  <c r="Q29" i="19" s="1"/>
  <c r="O28" i="19"/>
  <c r="Q28" i="19" s="1"/>
  <c r="O27" i="19"/>
  <c r="Q27" i="19" s="1"/>
  <c r="O26" i="19"/>
  <c r="Q26" i="19" s="1"/>
  <c r="O25" i="19"/>
  <c r="Q25" i="19" s="1"/>
  <c r="O24" i="19"/>
  <c r="Q24" i="19" s="1"/>
  <c r="O21" i="19"/>
  <c r="Q21" i="19" s="1"/>
  <c r="O20" i="19"/>
  <c r="O19" i="19"/>
  <c r="O18" i="19"/>
  <c r="Q18" i="19" s="1"/>
  <c r="O17" i="19"/>
  <c r="O16" i="19"/>
  <c r="O15" i="19"/>
  <c r="O13" i="19"/>
  <c r="O12" i="19"/>
  <c r="O11" i="19"/>
  <c r="P10" i="19"/>
  <c r="O10" i="19"/>
  <c r="P9" i="19"/>
  <c r="Q9" i="19" s="1"/>
  <c r="P8" i="19"/>
  <c r="O8" i="19"/>
  <c r="P7" i="19"/>
  <c r="O7" i="19"/>
  <c r="C24" i="14"/>
  <c r="I24" i="14" s="1"/>
  <c r="C23" i="14"/>
  <c r="O66" i="19" l="1"/>
  <c r="O61" i="19"/>
  <c r="P63" i="19"/>
  <c r="P81" i="19" s="1"/>
  <c r="P82" i="19" s="1"/>
  <c r="O63" i="19"/>
  <c r="Q54" i="19"/>
  <c r="Q75" i="19" s="1"/>
  <c r="O75" i="19"/>
  <c r="O76" i="19" s="1"/>
  <c r="Q49" i="19"/>
  <c r="Q72" i="19" s="1"/>
  <c r="O72" i="19"/>
  <c r="O73" i="19" s="1"/>
  <c r="Q57" i="19"/>
  <c r="Q78" i="19" s="1"/>
  <c r="O78" i="19"/>
  <c r="O79" i="19" s="1"/>
  <c r="Q47" i="19"/>
  <c r="O69" i="19"/>
  <c r="O70" i="19" s="1"/>
  <c r="Q45" i="19"/>
  <c r="O67" i="19"/>
  <c r="Q13" i="19"/>
  <c r="Q30" i="19"/>
  <c r="Q66" i="19" s="1"/>
  <c r="Q11" i="19"/>
  <c r="Q20" i="19"/>
  <c r="Q55" i="19"/>
  <c r="Q50" i="19"/>
  <c r="Q34" i="19"/>
  <c r="Q16" i="19"/>
  <c r="Q8" i="19"/>
  <c r="Q7" i="19"/>
  <c r="Q10" i="19"/>
  <c r="Q15" i="19"/>
  <c r="Q19" i="19"/>
  <c r="Q12" i="19"/>
  <c r="Q17" i="19"/>
  <c r="Q6" i="19"/>
  <c r="F24" i="14"/>
  <c r="G24" i="14" s="1"/>
  <c r="H24" i="14" s="1"/>
  <c r="Q63" i="19" l="1"/>
  <c r="Q73" i="19"/>
  <c r="P64" i="19"/>
  <c r="Q67" i="19"/>
  <c r="Q76" i="19"/>
  <c r="Q69" i="19"/>
  <c r="Q70" i="19" s="1"/>
  <c r="Q79" i="19"/>
  <c r="O64" i="19"/>
  <c r="O81" i="19"/>
  <c r="O82" i="19" s="1"/>
  <c r="Y20" i="6"/>
  <c r="Z20" i="6"/>
  <c r="AA20" i="6" s="1"/>
  <c r="Q81" i="19" l="1"/>
  <c r="Q82" i="19" s="1"/>
  <c r="Q64" i="19"/>
  <c r="U18" i="7"/>
  <c r="V18" i="7" s="1"/>
  <c r="U14" i="7"/>
  <c r="V14" i="7" s="1"/>
  <c r="U13" i="7"/>
  <c r="V13" i="7" s="1"/>
  <c r="U12" i="7"/>
  <c r="V12" i="7" s="1"/>
  <c r="F3" i="7" s="1"/>
  <c r="G3" i="7" s="1"/>
  <c r="Z13" i="6"/>
  <c r="T13" i="7"/>
  <c r="T14" i="7"/>
  <c r="T18" i="7"/>
  <c r="T12" i="7"/>
  <c r="AA13" i="6" l="1"/>
  <c r="F23" i="14" l="1"/>
  <c r="G23" i="14" s="1"/>
  <c r="H23" i="14" s="1"/>
  <c r="I23" i="14"/>
  <c r="C22" i="14"/>
  <c r="F22" i="14" s="1"/>
  <c r="G22" i="14" s="1"/>
  <c r="H22" i="14" s="1"/>
  <c r="C21" i="14"/>
  <c r="F19" i="14"/>
  <c r="G19" i="14" s="1"/>
  <c r="H19" i="14" s="1"/>
  <c r="E21" i="14"/>
  <c r="E19" i="14"/>
  <c r="G2" i="12"/>
  <c r="N24" i="11"/>
  <c r="J24" i="11"/>
  <c r="M23" i="11"/>
  <c r="L23" i="11"/>
  <c r="I23" i="11"/>
  <c r="H23" i="11"/>
  <c r="G23" i="11"/>
  <c r="F23" i="11"/>
  <c r="E23" i="11"/>
  <c r="D23" i="11"/>
  <c r="C23" i="11"/>
  <c r="F16" i="11"/>
  <c r="E16" i="11"/>
  <c r="D16" i="11"/>
  <c r="N23" i="11" s="1"/>
  <c r="F15" i="11"/>
  <c r="E15" i="11"/>
  <c r="D15" i="11"/>
  <c r="J23" i="11" s="1"/>
  <c r="I29" i="8"/>
  <c r="F21" i="14" l="1"/>
  <c r="G21" i="14" s="1"/>
  <c r="H21" i="14" s="1"/>
  <c r="I22" i="14"/>
  <c r="I21" i="14"/>
  <c r="F19" i="2"/>
  <c r="I14" i="8" l="1"/>
  <c r="G7" i="12" l="1"/>
  <c r="I7" i="12" s="1"/>
  <c r="I45" i="8"/>
  <c r="I44" i="8"/>
  <c r="I36" i="8"/>
  <c r="G25" i="12" s="1"/>
  <c r="I25" i="12" s="1"/>
  <c r="I33" i="8"/>
  <c r="G9" i="12" s="1"/>
  <c r="I9" i="12" s="1"/>
  <c r="G24" i="12"/>
  <c r="I24" i="12" s="1"/>
  <c r="I48" i="8"/>
  <c r="I23" i="8"/>
  <c r="I24" i="8"/>
  <c r="G38" i="12" s="1"/>
  <c r="I38" i="12" s="1"/>
  <c r="I25" i="8"/>
  <c r="I26" i="8"/>
  <c r="G11" i="12" s="1"/>
  <c r="I11" i="12" s="1"/>
  <c r="I30" i="8"/>
  <c r="I31" i="8"/>
  <c r="I32" i="8"/>
  <c r="G43" i="12" s="1"/>
  <c r="I43" i="12" s="1"/>
  <c r="I34" i="8"/>
  <c r="I35" i="8"/>
  <c r="I37" i="8"/>
  <c r="I38" i="8"/>
  <c r="I39" i="8"/>
  <c r="I40" i="8"/>
  <c r="I43" i="8"/>
  <c r="I46" i="8"/>
  <c r="I47" i="8"/>
  <c r="I51" i="8"/>
  <c r="I9" i="8"/>
  <c r="G5" i="12" s="1"/>
  <c r="I5" i="12" s="1"/>
  <c r="I10" i="8"/>
  <c r="G11" i="8"/>
  <c r="I11" i="8" s="1"/>
  <c r="G29" i="12" s="1"/>
  <c r="I29" i="12" s="1"/>
  <c r="G12" i="8"/>
  <c r="I12" i="8" s="1"/>
  <c r="G13" i="8"/>
  <c r="I13" i="8" s="1"/>
  <c r="I15" i="8"/>
  <c r="I16" i="8"/>
  <c r="G10" i="12" s="1"/>
  <c r="I10" i="12" s="1"/>
  <c r="I17" i="8"/>
  <c r="G37" i="12" s="1"/>
  <c r="I37" i="12" s="1"/>
  <c r="I18" i="8"/>
  <c r="I19" i="8"/>
  <c r="G32" i="12" s="1"/>
  <c r="I32" i="12" s="1"/>
  <c r="I22" i="8"/>
  <c r="I6" i="8"/>
  <c r="G41" i="12" l="1"/>
  <c r="I41" i="12" s="1"/>
  <c r="G15" i="12"/>
  <c r="I15" i="12" s="1"/>
  <c r="G21" i="12"/>
  <c r="I21" i="12" s="1"/>
  <c r="G27" i="12"/>
  <c r="I27" i="12" s="1"/>
  <c r="G36" i="12"/>
  <c r="I36" i="12" s="1"/>
  <c r="G39" i="12"/>
  <c r="I39" i="12" s="1"/>
  <c r="G17" i="12"/>
  <c r="I17" i="12" s="1"/>
  <c r="G28" i="12"/>
  <c r="I28" i="12" s="1"/>
  <c r="G40" i="12"/>
  <c r="I40" i="12" s="1"/>
  <c r="G16" i="12"/>
  <c r="I16" i="12" s="1"/>
  <c r="I7" i="8"/>
  <c r="G8" i="12"/>
  <c r="I8" i="12" s="1"/>
  <c r="I20" i="8"/>
  <c r="G30" i="12" s="1"/>
  <c r="I30" i="12" s="1"/>
  <c r="F17" i="2"/>
  <c r="J17" i="2" l="1"/>
  <c r="B32" i="1"/>
  <c r="G3" i="12"/>
  <c r="I3" i="12" s="1"/>
  <c r="F10" i="2" l="1"/>
  <c r="B45" i="1" s="1"/>
  <c r="F9" i="2"/>
  <c r="F8" i="2"/>
  <c r="F14" i="2"/>
  <c r="F12" i="2" l="1"/>
  <c r="B43" i="1" s="1"/>
  <c r="G44" i="12"/>
  <c r="I44" i="12" s="1"/>
  <c r="F13" i="2"/>
  <c r="F16" i="2"/>
  <c r="F11" i="2"/>
  <c r="F15" i="2"/>
  <c r="O2" i="4" l="1"/>
  <c r="H1" i="23" s="1"/>
  <c r="Y11" i="6"/>
  <c r="Z11" i="6"/>
  <c r="AA11" i="6" s="1"/>
  <c r="Y15" i="6"/>
  <c r="Z15" i="6"/>
  <c r="AA15" i="6" s="1"/>
  <c r="Y16" i="6"/>
  <c r="Z16" i="6"/>
  <c r="AA16" i="6" s="1"/>
  <c r="Y18" i="6"/>
  <c r="Z18" i="6"/>
  <c r="AA18" i="6" s="1"/>
  <c r="Y26" i="6"/>
  <c r="Z26" i="6"/>
  <c r="Y13" i="6"/>
  <c r="Y23" i="6"/>
  <c r="D22" i="4"/>
  <c r="J19" i="2"/>
  <c r="H19" i="2"/>
  <c r="G19" i="2"/>
  <c r="G17" i="2"/>
  <c r="H16" i="2"/>
  <c r="H15" i="2"/>
  <c r="H14" i="2"/>
  <c r="H13" i="2"/>
  <c r="H12" i="2"/>
  <c r="H11" i="2"/>
  <c r="G11" i="2"/>
  <c r="H10" i="2"/>
  <c r="G10" i="2"/>
  <c r="H9" i="2"/>
  <c r="H8" i="2"/>
  <c r="J34" i="3"/>
  <c r="I34" i="3"/>
  <c r="J33" i="3"/>
  <c r="I33" i="3"/>
  <c r="J32" i="3"/>
  <c r="I32" i="3"/>
  <c r="J31" i="3"/>
  <c r="I31" i="3"/>
  <c r="J27" i="3"/>
  <c r="I27" i="3"/>
  <c r="J26" i="3"/>
  <c r="I26" i="3"/>
  <c r="J25" i="3"/>
  <c r="I25" i="3"/>
  <c r="J24" i="3"/>
  <c r="I24" i="3"/>
  <c r="J23" i="3"/>
  <c r="I23" i="3"/>
  <c r="J22" i="3"/>
  <c r="I22" i="3"/>
  <c r="J21" i="3"/>
  <c r="I21" i="3"/>
  <c r="J20" i="3"/>
  <c r="I20" i="3"/>
  <c r="C12" i="1"/>
  <c r="H16" i="3"/>
  <c r="I15" i="3"/>
  <c r="C11" i="1" s="1"/>
  <c r="H15" i="3"/>
  <c r="H14" i="3"/>
  <c r="I10" i="3"/>
  <c r="C6" i="1" s="1"/>
  <c r="H10" i="3"/>
  <c r="B6" i="1" s="1"/>
  <c r="H9" i="3"/>
  <c r="J9" i="3" s="1"/>
  <c r="I8" i="3"/>
  <c r="C4" i="1" s="1"/>
  <c r="H8" i="3"/>
  <c r="B51" i="1"/>
  <c r="B50" i="1"/>
  <c r="B34" i="1"/>
  <c r="C2" i="4"/>
  <c r="F7" i="23" l="1"/>
  <c r="F10" i="23"/>
  <c r="F11" i="23"/>
  <c r="F13" i="23"/>
  <c r="F6" i="23"/>
  <c r="F4" i="23"/>
  <c r="F8" i="23"/>
  <c r="F12" i="23"/>
  <c r="F9" i="23"/>
  <c r="F5" i="23"/>
  <c r="D4" i="6"/>
  <c r="E4" i="6" s="1"/>
  <c r="B3" i="2"/>
  <c r="B10" i="1"/>
  <c r="D10" i="1" s="1"/>
  <c r="I4" i="1" s="1"/>
  <c r="J14" i="3"/>
  <c r="AA26" i="6"/>
  <c r="D5" i="6" s="1"/>
  <c r="E5" i="6" s="1"/>
  <c r="Z8" i="6"/>
  <c r="J16" i="3"/>
  <c r="F3" i="2"/>
  <c r="G3" i="2" s="1"/>
  <c r="B11" i="1" s="1"/>
  <c r="D11" i="1" s="1"/>
  <c r="B41" i="1" s="1"/>
  <c r="B46" i="1" s="1"/>
  <c r="K23" i="3"/>
  <c r="K25" i="3"/>
  <c r="J8" i="3"/>
  <c r="J15" i="3"/>
  <c r="K33" i="3"/>
  <c r="K22" i="3"/>
  <c r="K26" i="3"/>
  <c r="K20" i="3"/>
  <c r="K24" i="3"/>
  <c r="C13" i="1"/>
  <c r="I17" i="3"/>
  <c r="K31" i="3"/>
  <c r="J41" i="3"/>
  <c r="K21" i="3"/>
  <c r="I11" i="3"/>
  <c r="K32" i="3"/>
  <c r="J28" i="3"/>
  <c r="K27" i="3"/>
  <c r="I35" i="3"/>
  <c r="D6" i="1"/>
  <c r="C7" i="1"/>
  <c r="K34" i="3"/>
  <c r="J10" i="3"/>
  <c r="I28" i="3"/>
  <c r="J35" i="3"/>
  <c r="H11" i="3"/>
  <c r="B36" i="1"/>
  <c r="H17" i="3"/>
  <c r="B48" i="1"/>
  <c r="G13" i="12" s="1"/>
  <c r="I13" i="12" s="1"/>
  <c r="F14" i="23" l="1"/>
  <c r="G18" i="12"/>
  <c r="I18" i="12" s="1"/>
  <c r="G41" i="8"/>
  <c r="I41" i="8" s="1"/>
  <c r="G33" i="12"/>
  <c r="I33" i="12" s="1"/>
  <c r="G21" i="8"/>
  <c r="G42" i="8"/>
  <c r="I42" i="8" s="1"/>
  <c r="G20" i="12" s="1"/>
  <c r="I20" i="12" s="1"/>
  <c r="D6" i="6"/>
  <c r="E6" i="6" s="1"/>
  <c r="I3" i="6"/>
  <c r="J17" i="3"/>
  <c r="K41" i="3"/>
  <c r="K38" i="3"/>
  <c r="K67" i="3"/>
  <c r="K92" i="3"/>
  <c r="K40" i="3"/>
  <c r="K39" i="3"/>
  <c r="K89" i="3"/>
  <c r="J97" i="3"/>
  <c r="K42" i="3"/>
  <c r="K94" i="3"/>
  <c r="K93" i="3"/>
  <c r="K45" i="3"/>
  <c r="K91" i="3"/>
  <c r="K95" i="3"/>
  <c r="K96" i="3"/>
  <c r="K49" i="3"/>
  <c r="K47" i="3"/>
  <c r="K59" i="3"/>
  <c r="K78" i="3"/>
  <c r="K85" i="3"/>
  <c r="K83" i="3"/>
  <c r="K63" i="3"/>
  <c r="K54" i="3"/>
  <c r="K60" i="3"/>
  <c r="K81" i="3"/>
  <c r="K56" i="3"/>
  <c r="K76" i="3"/>
  <c r="K69" i="3"/>
  <c r="K74" i="3"/>
  <c r="K71" i="3"/>
  <c r="K64" i="3"/>
  <c r="K90" i="3"/>
  <c r="K46" i="3"/>
  <c r="K51" i="3"/>
  <c r="K87" i="3"/>
  <c r="K52" i="3"/>
  <c r="K55" i="3"/>
  <c r="K61" i="3"/>
  <c r="K70" i="3"/>
  <c r="K65" i="3"/>
  <c r="K48" i="3"/>
  <c r="K75" i="3"/>
  <c r="K82" i="3"/>
  <c r="K79" i="3"/>
  <c r="K66" i="3"/>
  <c r="K80" i="3"/>
  <c r="K86" i="3"/>
  <c r="K44" i="3"/>
  <c r="K57" i="3"/>
  <c r="K62" i="3"/>
  <c r="K53" i="3"/>
  <c r="K73" i="3"/>
  <c r="K43" i="3"/>
  <c r="K58" i="3"/>
  <c r="K84" i="3"/>
  <c r="K88" i="3"/>
  <c r="K77" i="3"/>
  <c r="K72" i="3"/>
  <c r="K50" i="3"/>
  <c r="K68" i="3"/>
  <c r="B33" i="1"/>
  <c r="B31" i="1"/>
  <c r="B37" i="1"/>
  <c r="AA8" i="6"/>
  <c r="B35" i="1"/>
  <c r="J11" i="3"/>
  <c r="K35" i="3"/>
  <c r="E5" i="7"/>
  <c r="K28" i="3"/>
  <c r="I24" i="4"/>
  <c r="G14" i="12"/>
  <c r="I14" i="12" s="1"/>
  <c r="C3" i="2"/>
  <c r="F16" i="23" l="1"/>
  <c r="D18" i="2" s="1"/>
  <c r="D6" i="7"/>
  <c r="G34" i="12"/>
  <c r="I34" i="12" s="1"/>
  <c r="I21" i="8"/>
  <c r="G19" i="12"/>
  <c r="I19" i="12" s="1"/>
  <c r="B5" i="1"/>
  <c r="D5" i="1" s="1"/>
  <c r="B21" i="1"/>
  <c r="B20" i="1"/>
  <c r="C22" i="1"/>
  <c r="B18" i="1"/>
  <c r="B19" i="1"/>
  <c r="C21" i="1"/>
  <c r="C20" i="1"/>
  <c r="C19" i="1"/>
  <c r="C18" i="1"/>
  <c r="B22" i="1"/>
  <c r="L34" i="3"/>
  <c r="D23" i="4"/>
  <c r="F18" i="2" l="1"/>
  <c r="D21" i="2"/>
  <c r="F21" i="2" s="1"/>
  <c r="K7" i="1" s="1"/>
  <c r="G51" i="12"/>
  <c r="F9" i="7"/>
  <c r="D9" i="7"/>
  <c r="H49" i="8"/>
  <c r="I49" i="8" s="1"/>
  <c r="B4" i="2" l="1"/>
  <c r="F4" i="2"/>
  <c r="G9" i="7"/>
  <c r="K23" i="4" s="1"/>
  <c r="G6" i="12"/>
  <c r="I6" i="12" s="1"/>
  <c r="G4" i="2" l="1"/>
  <c r="F5" i="2"/>
  <c r="C4" i="2"/>
  <c r="B5" i="2"/>
  <c r="B4" i="1" l="1"/>
  <c r="L33" i="3"/>
  <c r="C5" i="2"/>
  <c r="B12" i="1"/>
  <c r="G5" i="2"/>
  <c r="D12" i="1" l="1"/>
  <c r="B29" i="1" s="1"/>
  <c r="B13" i="1"/>
  <c r="D4" i="1"/>
  <c r="B7" i="1"/>
  <c r="I2" i="12"/>
  <c r="B38" i="1" l="1"/>
  <c r="A26" i="1" s="1"/>
  <c r="G55" i="12"/>
  <c r="D7" i="1"/>
  <c r="I5" i="1"/>
  <c r="I7" i="1" s="1"/>
  <c r="D13" i="1"/>
  <c r="H46" i="12"/>
  <c r="C18" i="4" l="1"/>
  <c r="K29" i="1"/>
  <c r="L29" i="1" s="1"/>
  <c r="L7" i="1"/>
  <c r="K13" i="1"/>
  <c r="K14" i="1"/>
  <c r="B23" i="1"/>
  <c r="D4" i="4"/>
  <c r="F5" i="7"/>
  <c r="G5" i="7" s="1"/>
  <c r="D24" i="14" l="1"/>
  <c r="D23" i="14"/>
  <c r="D22" i="14"/>
  <c r="E22" i="14" s="1"/>
  <c r="G50" i="8"/>
  <c r="H28" i="8"/>
  <c r="H8" i="8"/>
  <c r="H27" i="8"/>
  <c r="I27" i="8" s="1"/>
  <c r="I55" i="8"/>
  <c r="I3" i="8"/>
  <c r="P5" i="4"/>
  <c r="B24" i="1"/>
  <c r="D23" i="1" s="1"/>
  <c r="E12" i="8" l="1"/>
  <c r="F12" i="8" s="1"/>
  <c r="J12" i="8" s="1"/>
  <c r="F37" i="8"/>
  <c r="J37" i="8" s="1"/>
  <c r="D18" i="1"/>
  <c r="D20" i="1"/>
  <c r="D19" i="1"/>
  <c r="K24" i="1"/>
  <c r="D22" i="1"/>
  <c r="D21" i="1"/>
  <c r="F42" i="8"/>
  <c r="F13" i="8"/>
  <c r="J13" i="8" s="1"/>
  <c r="E45" i="8"/>
  <c r="F41" i="8"/>
  <c r="J41" i="8" s="1"/>
  <c r="F30" i="8"/>
  <c r="J30" i="8" s="1"/>
  <c r="F18" i="8"/>
  <c r="J18" i="8" s="1"/>
  <c r="F15" i="8"/>
  <c r="J15" i="8" s="1"/>
  <c r="F16" i="8"/>
  <c r="J16" i="8" s="1"/>
  <c r="F14" i="8"/>
  <c r="J14" i="8" s="1"/>
  <c r="F10" i="8"/>
  <c r="J10" i="8" s="1"/>
  <c r="F19" i="8"/>
  <c r="J19" i="8" s="1"/>
  <c r="F17" i="8"/>
  <c r="J17" i="8" s="1"/>
  <c r="F21" i="8"/>
  <c r="J21" i="8" s="1"/>
  <c r="F50" i="8"/>
  <c r="F22" i="8"/>
  <c r="J22" i="8" s="1"/>
  <c r="F43" i="8"/>
  <c r="J43" i="8" s="1"/>
  <c r="F29" i="8"/>
  <c r="J29" i="8" s="1"/>
  <c r="F36" i="8"/>
  <c r="J36" i="8" s="1"/>
  <c r="F46" i="8"/>
  <c r="J46" i="8" s="1"/>
  <c r="F48" i="8"/>
  <c r="J48" i="8" s="1"/>
  <c r="E49" i="8"/>
  <c r="F49" i="8" s="1"/>
  <c r="J49" i="8" s="1"/>
  <c r="F47" i="8"/>
  <c r="J47" i="8" s="1"/>
  <c r="F25" i="8"/>
  <c r="J25" i="8" s="1"/>
  <c r="F39" i="8"/>
  <c r="J39" i="8" s="1"/>
  <c r="F28" i="8"/>
  <c r="F38" i="8"/>
  <c r="J38" i="8" s="1"/>
  <c r="F32" i="8"/>
  <c r="J32" i="8" s="1"/>
  <c r="F33" i="8"/>
  <c r="J33" i="8" s="1"/>
  <c r="F44" i="8"/>
  <c r="J44" i="8" s="1"/>
  <c r="F51" i="8"/>
  <c r="J51" i="8" s="1"/>
  <c r="F40" i="8"/>
  <c r="J40" i="8" s="1"/>
  <c r="F45" i="8"/>
  <c r="J45" i="8" s="1"/>
  <c r="F34" i="8"/>
  <c r="J34" i="8" s="1"/>
  <c r="F24" i="8"/>
  <c r="J24" i="8" s="1"/>
  <c r="F26" i="8"/>
  <c r="J26" i="8" s="1"/>
  <c r="F35" i="8"/>
  <c r="J35" i="8" s="1"/>
  <c r="F27" i="8"/>
  <c r="J27" i="8" s="1"/>
  <c r="F7" i="8"/>
  <c r="J7" i="8" s="1"/>
  <c r="F9" i="8"/>
  <c r="J9" i="8" s="1"/>
  <c r="F31" i="8"/>
  <c r="J31" i="8" s="1"/>
  <c r="F6" i="8"/>
  <c r="J6" i="8" s="1"/>
  <c r="F11" i="8"/>
  <c r="J11" i="8" s="1"/>
  <c r="F23" i="8"/>
  <c r="J23" i="8" s="1"/>
  <c r="F8" i="8"/>
  <c r="E23" i="14"/>
  <c r="E24" i="14"/>
  <c r="K22" i="4"/>
  <c r="G52" i="8"/>
  <c r="I28" i="8"/>
  <c r="G35" i="12"/>
  <c r="I35" i="12" s="1"/>
  <c r="H52" i="8"/>
  <c r="H53" i="8" s="1"/>
  <c r="G22" i="12"/>
  <c r="I22" i="12" s="1"/>
  <c r="I8" i="8"/>
  <c r="J28" i="8" l="1"/>
  <c r="D24" i="1"/>
  <c r="I50" i="8"/>
  <c r="G23" i="12"/>
  <c r="I23" i="12" s="1"/>
  <c r="J8" i="8"/>
  <c r="G4" i="12"/>
  <c r="I4" i="12" l="1"/>
  <c r="I52" i="8"/>
  <c r="I54" i="8" s="1"/>
  <c r="G45" i="12"/>
  <c r="I45" i="12" s="1"/>
  <c r="J50" i="8"/>
  <c r="G54" i="12"/>
  <c r="G56" i="12" s="1"/>
  <c r="G46" i="12" l="1"/>
  <c r="I46" i="12" s="1"/>
  <c r="G47" i="12"/>
  <c r="I56" i="8"/>
  <c r="G50" i="12"/>
  <c r="G52" i="12" s="1"/>
  <c r="F20" i="8"/>
  <c r="J20" i="8" s="1"/>
  <c r="G48"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Thanisorn Metheesuwapab</author>
  </authors>
  <commentList>
    <comment ref="G44" authorId="0" shapeId="0" xr:uid="{A4364E6E-8C73-4151-B5DF-CC6EB4CACE1C}">
      <text>
        <r>
          <rPr>
            <b/>
            <sz val="9"/>
            <color indexed="81"/>
            <rFont val="Tahoma"/>
            <family val="2"/>
          </rPr>
          <t>Thanisorn Metheesuwapab:</t>
        </r>
        <r>
          <rPr>
            <sz val="9"/>
            <color indexed="81"/>
            <rFont val="Tahoma"/>
            <family val="2"/>
          </rPr>
          <t xml:space="preserve">
B8/32 From sheet "Cash position"</t>
        </r>
      </text>
    </comment>
    <comment ref="H44" authorId="0" shapeId="0" xr:uid="{FC2E799D-CD90-49B8-9ED0-78C384C6119A}">
      <text>
        <r>
          <rPr>
            <b/>
            <sz val="9"/>
            <color indexed="81"/>
            <rFont val="Tahoma"/>
            <family val="2"/>
          </rPr>
          <t>Thanisorn Metheesuwapab:</t>
        </r>
        <r>
          <rPr>
            <sz val="9"/>
            <color indexed="81"/>
            <rFont val="Tahoma"/>
            <family val="2"/>
          </rPr>
          <t xml:space="preserve">
B8/32 From sheet "Cash position"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Nattapat Rattanakritanon</author>
  </authors>
  <commentList>
    <comment ref="B19" authorId="0" shapeId="0" xr:uid="{541102DE-CB14-4779-AEA8-E033CAE56D52}">
      <text>
        <r>
          <rPr>
            <b/>
            <sz val="9"/>
            <color indexed="81"/>
            <rFont val="Tahoma"/>
            <family val="2"/>
          </rPr>
          <t>Nattapat Rattanakritanon:</t>
        </r>
        <r>
          <rPr>
            <sz val="9"/>
            <color indexed="81"/>
            <rFont val="Tahoma"/>
            <family val="2"/>
          </rPr>
          <t xml:space="preserve">
BAML Account</t>
        </r>
      </text>
    </comment>
    <comment ref="E19" authorId="0" shapeId="0" xr:uid="{3605732D-4113-478B-9EE9-E7555BEC98AF}">
      <text>
        <r>
          <rPr>
            <b/>
            <sz val="9"/>
            <color indexed="81"/>
            <rFont val="Tahoma"/>
            <family val="2"/>
          </rPr>
          <t>Nattapat Rattanakritanon:</t>
        </r>
        <r>
          <rPr>
            <sz val="9"/>
            <color indexed="81"/>
            <rFont val="Tahoma"/>
            <family val="2"/>
          </rPr>
          <t xml:space="preserve">
เปิดจาก Statement BAML</t>
        </r>
      </text>
    </comment>
    <comment ref="B20" authorId="0" shapeId="0" xr:uid="{B7BDEFC6-E4E7-4F7E-95B0-AA485BB09899}">
      <text>
        <r>
          <rPr>
            <b/>
            <sz val="9"/>
            <color indexed="81"/>
            <rFont val="Tahoma"/>
            <family val="2"/>
          </rPr>
          <t>Nattapat Rattanakritanon:</t>
        </r>
        <r>
          <rPr>
            <sz val="9"/>
            <color indexed="81"/>
            <rFont val="Tahoma"/>
            <family val="2"/>
          </rPr>
          <t xml:space="preserve">
HSBC 03700100001561908206 PTTEP (JV FOR HBR-DEVELOPMENT) DZD แปลงเป็น USD 
HSBC 03700100001561940216 PTTEP (JV FOR HBR-DEVELOPMENT) USD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Nattapat Rattanakritanon</author>
  </authors>
  <commentList>
    <comment ref="U23" authorId="0" shapeId="0" xr:uid="{24FEC4F8-CA26-4AFB-B871-12CA15DD4C57}">
      <text>
        <r>
          <rPr>
            <b/>
            <sz val="9"/>
            <color indexed="81"/>
            <rFont val="Tahoma"/>
            <family val="2"/>
          </rPr>
          <t>Nattapat Rattanakritanon:</t>
        </r>
        <r>
          <rPr>
            <sz val="9"/>
            <color indexed="81"/>
            <rFont val="Tahoma"/>
            <family val="2"/>
          </rPr>
          <t xml:space="preserve">
Fed fund 0.1% + margin 0.25%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Nattapat Rattanakritanon</author>
  </authors>
  <commentList>
    <comment ref="G9" authorId="0" shapeId="0" xr:uid="{F19B6506-5AA0-4428-AE11-93E6CED0E6E2}">
      <text>
        <r>
          <rPr>
            <b/>
            <sz val="9"/>
            <color indexed="81"/>
            <rFont val="Tahoma"/>
            <family val="2"/>
          </rPr>
          <t>Nattapat Rattanakritanon:</t>
        </r>
        <r>
          <rPr>
            <sz val="9"/>
            <color indexed="81"/>
            <rFont val="Tahoma"/>
            <family val="2"/>
          </rPr>
          <t xml:space="preserve">
แก้รอบหน้า</t>
        </r>
      </text>
    </comment>
    <comment ref="N13" authorId="0" shapeId="0" xr:uid="{18F33C54-532E-4E3B-9E39-D44B7C94B271}">
      <text>
        <r>
          <rPr>
            <b/>
            <sz val="9"/>
            <color indexed="81"/>
            <rFont val="Tahoma"/>
            <family val="2"/>
          </rPr>
          <t>Nattapat Rattanakritanon:</t>
        </r>
        <r>
          <rPr>
            <sz val="9"/>
            <color indexed="81"/>
            <rFont val="Tahoma"/>
            <family val="2"/>
          </rPr>
          <t xml:space="preserve">
ถอนออกไปเข้า BOA ฟ้าคีย์ตามหลัง</t>
        </r>
      </text>
    </comment>
  </commentList>
</comments>
</file>

<file path=xl/sharedStrings.xml><?xml version="1.0" encoding="utf-8"?>
<sst xmlns="http://schemas.openxmlformats.org/spreadsheetml/2006/main" count="5159" uniqueCount="1612">
  <si>
    <t/>
  </si>
  <si>
    <t>ARV</t>
  </si>
  <si>
    <t>ATL</t>
  </si>
  <si>
    <t>Bank Deposit (USD)</t>
  </si>
  <si>
    <t>CEEAL</t>
  </si>
  <si>
    <t>COVE</t>
  </si>
  <si>
    <t>Company</t>
  </si>
  <si>
    <t>Currency</t>
  </si>
  <si>
    <t>EP-Tech</t>
  </si>
  <si>
    <t>Exchange Rate</t>
  </si>
  <si>
    <t>Execute Date, Time</t>
  </si>
  <si>
    <t>Group Report</t>
  </si>
  <si>
    <t>HO</t>
  </si>
  <si>
    <t>Investment (USD)</t>
  </si>
  <si>
    <t>JV</t>
  </si>
  <si>
    <t>JV Marine</t>
  </si>
  <si>
    <t>JV and Subsidiary</t>
  </si>
  <si>
    <t>Orange</t>
  </si>
  <si>
    <t>Other</t>
  </si>
  <si>
    <t>PTT GL</t>
  </si>
  <si>
    <t>PTTEP</t>
  </si>
  <si>
    <t>PTTEP AG</t>
  </si>
  <si>
    <t>PTTEP AI</t>
  </si>
  <si>
    <t>PTTEP BC</t>
  </si>
  <si>
    <t>PTTEP BI</t>
  </si>
  <si>
    <t>PTTEP BL</t>
  </si>
  <si>
    <t>PTTEP CA</t>
  </si>
  <si>
    <t>PTTEP CIF</t>
  </si>
  <si>
    <t>PTTEP ED</t>
  </si>
  <si>
    <t>PTTEP EH</t>
  </si>
  <si>
    <t>PTTEP FH</t>
  </si>
  <si>
    <t>PTTEP G7 Limited</t>
  </si>
  <si>
    <t>PTTEP HK</t>
  </si>
  <si>
    <t>PTTEP HKO</t>
  </si>
  <si>
    <t>PTTEP HKO (Malaysia)</t>
  </si>
  <si>
    <t>PTTEP HL</t>
  </si>
  <si>
    <t>PTTEP HV</t>
  </si>
  <si>
    <t>PTTEP ID</t>
  </si>
  <si>
    <t>PTTEP IH</t>
  </si>
  <si>
    <t>PTTEP KV</t>
  </si>
  <si>
    <t>PTTEP MENA</t>
  </si>
  <si>
    <t>PTTEP MENA-Oman</t>
  </si>
  <si>
    <t>PTTEP MEP</t>
  </si>
  <si>
    <t>PTTEP ML</t>
  </si>
  <si>
    <t>PTTEP MZA1</t>
  </si>
  <si>
    <t>PTTEP MZA1 (BR)</t>
  </si>
  <si>
    <t>PTTEP NC</t>
  </si>
  <si>
    <t>PTTEP NH</t>
  </si>
  <si>
    <t>PTTEP NL</t>
  </si>
  <si>
    <t>PTTEP SA</t>
  </si>
  <si>
    <t>PTTEP SMD</t>
  </si>
  <si>
    <t>PTTEP SP Limited</t>
  </si>
  <si>
    <t>PTTEP SS</t>
  </si>
  <si>
    <t>PTTEP SV</t>
  </si>
  <si>
    <t>PTTEP SVPC</t>
  </si>
  <si>
    <t>PTTEP Services</t>
  </si>
  <si>
    <t>PTTEP TC</t>
  </si>
  <si>
    <t>PTTEP-Algeria</t>
  </si>
  <si>
    <t>PTTEPH</t>
  </si>
  <si>
    <t>PTTEPI</t>
  </si>
  <si>
    <t>PTTEPI YG</t>
  </si>
  <si>
    <t>PTTEPI-Myanmar Op. Asset</t>
  </si>
  <si>
    <t>PTTEPO</t>
  </si>
  <si>
    <t>PTTEPS</t>
  </si>
  <si>
    <t>PTTGL Investment</t>
  </si>
  <si>
    <t>Report Name</t>
  </si>
  <si>
    <t>Report as of date</t>
  </si>
  <si>
    <t>Sinphuhorm Holding Ltd.</t>
  </si>
  <si>
    <t>Subsidiary</t>
  </si>
  <si>
    <t>Summary Report</t>
  </si>
  <si>
    <t>THB</t>
  </si>
  <si>
    <t>Total</t>
  </si>
  <si>
    <t>Total (USD)</t>
  </si>
  <si>
    <t>USD</t>
  </si>
  <si>
    <t>USD and Other</t>
  </si>
  <si>
    <t>User Name</t>
  </si>
  <si>
    <t>THB (USD Equivalent)</t>
  </si>
  <si>
    <t>C1005</t>
  </si>
  <si>
    <t>PTTEP Kim Long Vietnam Company Limited</t>
  </si>
  <si>
    <t>Cayman</t>
  </si>
  <si>
    <t>C1006</t>
  </si>
  <si>
    <t>PTTEP Southwest Vietnam Company Limited</t>
  </si>
  <si>
    <t>C1007</t>
  </si>
  <si>
    <t>Moattama Gas Transportation Company</t>
  </si>
  <si>
    <t>C1008</t>
  </si>
  <si>
    <t>Taninthayi Pipeline Company LLC</t>
  </si>
  <si>
    <t>C1018</t>
  </si>
  <si>
    <t>B8/32 Partners Limited</t>
  </si>
  <si>
    <t>Thailand</t>
  </si>
  <si>
    <t>C1054</t>
  </si>
  <si>
    <t>Erawan 2 FSO Bahamas Limited</t>
  </si>
  <si>
    <t>C1056</t>
  </si>
  <si>
    <t>Leismer Aerodrome Limited</t>
  </si>
  <si>
    <t>Canada</t>
  </si>
  <si>
    <t>C1058</t>
  </si>
  <si>
    <t>Groupement Bir Seba</t>
  </si>
  <si>
    <t>Algeria</t>
  </si>
  <si>
    <t>C1082</t>
  </si>
  <si>
    <t>Natuna 2 B.V.</t>
  </si>
  <si>
    <t>Netherlands</t>
  </si>
  <si>
    <t>&gt;&gt; Update monthly</t>
  </si>
  <si>
    <t>Malaysia</t>
  </si>
  <si>
    <t>Partex</t>
  </si>
  <si>
    <t>CCY</t>
  </si>
  <si>
    <t>Group</t>
  </si>
  <si>
    <t>JV &amp; Sub</t>
  </si>
  <si>
    <t>Bank Deposit (MUSD)</t>
  </si>
  <si>
    <t>Investment (MUSD)</t>
  </si>
  <si>
    <t>Total (MUSD)</t>
  </si>
  <si>
    <t>Cash Position Report</t>
  </si>
  <si>
    <t>Total Ending Balance:</t>
  </si>
  <si>
    <t>MMUSD</t>
  </si>
  <si>
    <t>FX rate:</t>
  </si>
  <si>
    <t>MUSD</t>
  </si>
  <si>
    <t>Available Cash</t>
  </si>
  <si>
    <t>Reserved Cash</t>
  </si>
  <si>
    <t>By Company</t>
  </si>
  <si>
    <t>Rank</t>
  </si>
  <si>
    <t>Others</t>
  </si>
  <si>
    <t>Entity</t>
  </si>
  <si>
    <t>Amount (MUSD)</t>
  </si>
  <si>
    <t>By Group Report</t>
  </si>
  <si>
    <t>Company Code</t>
  </si>
  <si>
    <t>Balance Date</t>
  </si>
  <si>
    <t>Bank Account</t>
  </si>
  <si>
    <t>GL Account</t>
  </si>
  <si>
    <t>Account No</t>
  </si>
  <si>
    <t>Original Currency</t>
  </si>
  <si>
    <t>Bank Balance</t>
  </si>
  <si>
    <t>Business Short Name</t>
  </si>
  <si>
    <t>Reporting Currency</t>
  </si>
  <si>
    <t>Bank Balance - USD Equivalent</t>
  </si>
  <si>
    <t>% PTTEP</t>
  </si>
  <si>
    <t>Bank Balance (PTTEP Ownership)</t>
  </si>
  <si>
    <t>Bank Balance (PTTEP Ownership)-USD Equiv</t>
  </si>
  <si>
    <t>Registered Country</t>
  </si>
  <si>
    <t>Group report</t>
  </si>
  <si>
    <t>Business Unit</t>
  </si>
  <si>
    <t>Profit Center</t>
  </si>
  <si>
    <t>Bank</t>
  </si>
  <si>
    <t>1001</t>
  </si>
  <si>
    <t>BBL01-C4468</t>
  </si>
  <si>
    <t>C100100000</t>
  </si>
  <si>
    <t>BBL</t>
  </si>
  <si>
    <t>BOA03-C3561</t>
  </si>
  <si>
    <t>BAML</t>
  </si>
  <si>
    <t>BOA07-C3173</t>
  </si>
  <si>
    <t>BOA09-C3751</t>
  </si>
  <si>
    <t>Bongkot (O)</t>
  </si>
  <si>
    <t>100A</t>
  </si>
  <si>
    <t>O100A00000</t>
  </si>
  <si>
    <t>BOA11-C3941</t>
  </si>
  <si>
    <t>Arthit:80% (O)</t>
  </si>
  <si>
    <t>102A</t>
  </si>
  <si>
    <t>O102A00000</t>
  </si>
  <si>
    <t>BOA16-C3008</t>
  </si>
  <si>
    <t>BOA17-C3016</t>
  </si>
  <si>
    <t>BOA18-01012</t>
  </si>
  <si>
    <t>BOA20-01038</t>
  </si>
  <si>
    <t>Arthit North (O)</t>
  </si>
  <si>
    <t>102C</t>
  </si>
  <si>
    <t>O102C00000</t>
  </si>
  <si>
    <t>BOA21-C3991</t>
  </si>
  <si>
    <t>Bongkot (O) Sole</t>
  </si>
  <si>
    <t>100B</t>
  </si>
  <si>
    <t>O100B00000</t>
  </si>
  <si>
    <t>HSB01-C7001</t>
  </si>
  <si>
    <t>HSBC</t>
  </si>
  <si>
    <t>KB01-C9106</t>
  </si>
  <si>
    <t>KBANK</t>
  </si>
  <si>
    <t>KB02-C0889</t>
  </si>
  <si>
    <t>KB07-S2247</t>
  </si>
  <si>
    <t>KTB04-C7676</t>
  </si>
  <si>
    <t>KTB</t>
  </si>
  <si>
    <t>KTB06-C0999</t>
  </si>
  <si>
    <t>KTB07-C0507</t>
  </si>
  <si>
    <t>KTB08-C2254</t>
  </si>
  <si>
    <t>KTB09-C5946</t>
  </si>
  <si>
    <t>KTB14-C0237</t>
  </si>
  <si>
    <t>SCB01-C2730</t>
  </si>
  <si>
    <t>SCB</t>
  </si>
  <si>
    <t>SCB04-S2840</t>
  </si>
  <si>
    <t>SCB05-C8259</t>
  </si>
  <si>
    <t>TMB01-C0626</t>
  </si>
  <si>
    <t>TMB</t>
  </si>
  <si>
    <t>TMB02-C1855</t>
  </si>
  <si>
    <t>1002</t>
  </si>
  <si>
    <t>BOA02-C4171</t>
  </si>
  <si>
    <t>C100200000</t>
  </si>
  <si>
    <t>BOA05-C4113</t>
  </si>
  <si>
    <t>BOA13-C4931</t>
  </si>
  <si>
    <t>G12/48 (O)</t>
  </si>
  <si>
    <t>101A</t>
  </si>
  <si>
    <t>O101A00000</t>
  </si>
  <si>
    <t>BOA14-C4981</t>
  </si>
  <si>
    <t>G8/50 (O)</t>
  </si>
  <si>
    <t>103A</t>
  </si>
  <si>
    <t>O103A00000</t>
  </si>
  <si>
    <t>BOA19-04024</t>
  </si>
  <si>
    <t>L22/43 (O)</t>
  </si>
  <si>
    <t>506A</t>
  </si>
  <si>
    <t>O506A00000</t>
  </si>
  <si>
    <t>BOA20-04032</t>
  </si>
  <si>
    <t>L53/43 &amp; L54/43(O)</t>
  </si>
  <si>
    <t>507A</t>
  </si>
  <si>
    <t>O507A00000</t>
  </si>
  <si>
    <t>BOA21-04040</t>
  </si>
  <si>
    <t>PTTEP 1 (O)</t>
  </si>
  <si>
    <t>501A</t>
  </si>
  <si>
    <t>O501A00000</t>
  </si>
  <si>
    <t>KTB01-C7004</t>
  </si>
  <si>
    <t>KTB05-S1820</t>
  </si>
  <si>
    <t>OCB01-C1024</t>
  </si>
  <si>
    <t>OCBC</t>
  </si>
  <si>
    <t>OCB02-C1025</t>
  </si>
  <si>
    <t>OCB03-C1026</t>
  </si>
  <si>
    <t>OCB04-C1028</t>
  </si>
  <si>
    <t>OCB05-C1029</t>
  </si>
  <si>
    <t>OCB06-C1120</t>
  </si>
  <si>
    <t>1003</t>
  </si>
  <si>
    <t>Pool Cost for Myanma</t>
  </si>
  <si>
    <t>Myanmar</t>
  </si>
  <si>
    <t>C100300001</t>
  </si>
  <si>
    <t>MICB</t>
  </si>
  <si>
    <t>OCB28-C1301</t>
  </si>
  <si>
    <t>OCB29-S3011</t>
  </si>
  <si>
    <t>OCB30-C1023</t>
  </si>
  <si>
    <t>OCB31-C1013</t>
  </si>
  <si>
    <t>MMK</t>
  </si>
  <si>
    <t>OCB32-C1027</t>
  </si>
  <si>
    <t>C100300000</t>
  </si>
  <si>
    <t>1004</t>
  </si>
  <si>
    <t>BBL01-S4001</t>
  </si>
  <si>
    <t>Cayman Islands</t>
  </si>
  <si>
    <t>C100400000</t>
  </si>
  <si>
    <t>BOA01-C8023</t>
  </si>
  <si>
    <t>1005</t>
  </si>
  <si>
    <t>BOA01-03050</t>
  </si>
  <si>
    <t>C100500000</t>
  </si>
  <si>
    <t>1006</t>
  </si>
  <si>
    <t>BOA01-03068</t>
  </si>
  <si>
    <t>C100600000</t>
  </si>
  <si>
    <t>1009</t>
  </si>
  <si>
    <t>HSB01-C9375</t>
  </si>
  <si>
    <t>C100900000</t>
  </si>
  <si>
    <t>HSB02-C1001</t>
  </si>
  <si>
    <t>VND</t>
  </si>
  <si>
    <t>1010</t>
  </si>
  <si>
    <t>HSB01-C0375</t>
  </si>
  <si>
    <t>C101000000</t>
  </si>
  <si>
    <t>HSB02-C4001</t>
  </si>
  <si>
    <t>HSB01-C3001</t>
  </si>
  <si>
    <t>OMR</t>
  </si>
  <si>
    <t>1012</t>
  </si>
  <si>
    <t>BOA01-C2123</t>
  </si>
  <si>
    <t>C101200000</t>
  </si>
  <si>
    <t>HSB01-C8185</t>
  </si>
  <si>
    <t>DZD</t>
  </si>
  <si>
    <t>1013</t>
  </si>
  <si>
    <t>BOA01-C7141</t>
  </si>
  <si>
    <t>C101300000</t>
  </si>
  <si>
    <t>KTB01-C9496</t>
  </si>
  <si>
    <t>1015</t>
  </si>
  <si>
    <t>BOA04-C5301</t>
  </si>
  <si>
    <t>C101500000</t>
  </si>
  <si>
    <t>BOA05-C5351</t>
  </si>
  <si>
    <t>S1:100% (O)</t>
  </si>
  <si>
    <t>500A</t>
  </si>
  <si>
    <t>O500A00000</t>
  </si>
  <si>
    <t>BOA08-C5591</t>
  </si>
  <si>
    <t>B6/27:100%Sole(O)</t>
  </si>
  <si>
    <t>503C</t>
  </si>
  <si>
    <t>O503C00000</t>
  </si>
  <si>
    <t>BOA09-C5608</t>
  </si>
  <si>
    <t>KB01-S0886</t>
  </si>
  <si>
    <t>KTB01-C9198</t>
  </si>
  <si>
    <t>KTB09-C8404</t>
  </si>
  <si>
    <t>1017</t>
  </si>
  <si>
    <t>BOA01-C8131</t>
  </si>
  <si>
    <t>C101700000</t>
  </si>
  <si>
    <t>BOA04-C8123</t>
  </si>
  <si>
    <t>1022</t>
  </si>
  <si>
    <t>BOA01-03076</t>
  </si>
  <si>
    <t>C102200000</t>
  </si>
  <si>
    <t>1023</t>
  </si>
  <si>
    <t>BOA01-03084</t>
  </si>
  <si>
    <t>C102300000</t>
  </si>
  <si>
    <t>1029</t>
  </si>
  <si>
    <t>BOA03-03208</t>
  </si>
  <si>
    <t>C102900000</t>
  </si>
  <si>
    <t>1033</t>
  </si>
  <si>
    <t>KTB01-C6867</t>
  </si>
  <si>
    <t>C103300000</t>
  </si>
  <si>
    <t>Myanmar MD7 (O)</t>
  </si>
  <si>
    <t>554A</t>
  </si>
  <si>
    <t>O554A00000</t>
  </si>
  <si>
    <t>Myanmar MOGE-3 (O)</t>
  </si>
  <si>
    <t>558A</t>
  </si>
  <si>
    <t>O558A00000</t>
  </si>
  <si>
    <t>MIC06-C0008</t>
  </si>
  <si>
    <t>OCB18-C3301</t>
  </si>
  <si>
    <t>OCB19-C1022</t>
  </si>
  <si>
    <t>OCB20-C1012</t>
  </si>
  <si>
    <t>OCB21-C1301</t>
  </si>
  <si>
    <t>OCB22-C1023</t>
  </si>
  <si>
    <t>OCB23-C1013</t>
  </si>
  <si>
    <t>OCB24-C1024</t>
  </si>
  <si>
    <t>OCB32-S3060</t>
  </si>
  <si>
    <t>1038</t>
  </si>
  <si>
    <t>ATL:Asset</t>
  </si>
  <si>
    <t>C103800000</t>
  </si>
  <si>
    <t>OCB24-C9301</t>
  </si>
  <si>
    <t>OCB25-S3010</t>
  </si>
  <si>
    <t>OCB26-C1020</t>
  </si>
  <si>
    <t>OCB27-C1010</t>
  </si>
  <si>
    <t>1040</t>
  </si>
  <si>
    <t>BOA01-03109</t>
  </si>
  <si>
    <t>C104000000</t>
  </si>
  <si>
    <t>1041</t>
  </si>
  <si>
    <t>BOA01-03042</t>
  </si>
  <si>
    <t>C104100000</t>
  </si>
  <si>
    <t>HSB01-D0109</t>
  </si>
  <si>
    <t>HSB02-C0001</t>
  </si>
  <si>
    <t>1042</t>
  </si>
  <si>
    <t>BOA01-03167</t>
  </si>
  <si>
    <t>Hong Kong</t>
  </si>
  <si>
    <t>C104200000</t>
  </si>
  <si>
    <t>1043</t>
  </si>
  <si>
    <t>BOA01-03117</t>
  </si>
  <si>
    <t>C104300000</t>
  </si>
  <si>
    <t>HSB01-C0068</t>
  </si>
  <si>
    <t>IDR</t>
  </si>
  <si>
    <t>1046</t>
  </si>
  <si>
    <t>BOA02-03133</t>
  </si>
  <si>
    <t>C104600000</t>
  </si>
  <si>
    <t>1047</t>
  </si>
  <si>
    <t>BOA02-03018</t>
  </si>
  <si>
    <t>C104700000</t>
  </si>
  <si>
    <t>1049</t>
  </si>
  <si>
    <t>EUR</t>
  </si>
  <si>
    <t>C104900000</t>
  </si>
  <si>
    <t>CITI</t>
  </si>
  <si>
    <t>HSB01-C5375</t>
  </si>
  <si>
    <t>1050</t>
  </si>
  <si>
    <t>HSB01-C2001</t>
  </si>
  <si>
    <t>CAD</t>
  </si>
  <si>
    <t>C105000000</t>
  </si>
  <si>
    <t>HSB03-C2070</t>
  </si>
  <si>
    <t>1051</t>
  </si>
  <si>
    <t>BOA01-03141</t>
  </si>
  <si>
    <t>C105100000</t>
  </si>
  <si>
    <t>PTTEP ML-MRO</t>
  </si>
  <si>
    <t>C105100001</t>
  </si>
  <si>
    <t>HSB02-S0115</t>
  </si>
  <si>
    <t>1052</t>
  </si>
  <si>
    <t>BOA01-03159</t>
  </si>
  <si>
    <t>C105200000</t>
  </si>
  <si>
    <t>HSB01-C2068</t>
  </si>
  <si>
    <t>South Mandar (O)</t>
  </si>
  <si>
    <t>536B</t>
  </si>
  <si>
    <t>O536B00000</t>
  </si>
  <si>
    <t>HSB02-S2115</t>
  </si>
  <si>
    <t>1053</t>
  </si>
  <si>
    <t>HSB01-C8001</t>
  </si>
  <si>
    <t>CIF</t>
  </si>
  <si>
    <t>C105300000</t>
  </si>
  <si>
    <t>HSB02-C5375</t>
  </si>
  <si>
    <t>1067</t>
  </si>
  <si>
    <t>1069</t>
  </si>
  <si>
    <t>Myanmar M3 (O)</t>
  </si>
  <si>
    <t>518A</t>
  </si>
  <si>
    <t>O518A00000</t>
  </si>
  <si>
    <t>Myanmar M9 (O)</t>
  </si>
  <si>
    <t>117A</t>
  </si>
  <si>
    <t>O117A00000</t>
  </si>
  <si>
    <t>Myanmar M11 (O)</t>
  </si>
  <si>
    <t>521A</t>
  </si>
  <si>
    <t>O521A00000</t>
  </si>
  <si>
    <t>OCB01-C6301</t>
  </si>
  <si>
    <t>OCB02-S3010</t>
  </si>
  <si>
    <t>OCB03-C1020</t>
  </si>
  <si>
    <t>OCB04-C1010</t>
  </si>
  <si>
    <t>OCB05-C7301</t>
  </si>
  <si>
    <t>OCB06-C1021</t>
  </si>
  <si>
    <t>OCB07-C1011</t>
  </si>
  <si>
    <t>OCB08-C0301</t>
  </si>
  <si>
    <t>OCB09-C1022</t>
  </si>
  <si>
    <t>OCB10-C1012</t>
  </si>
  <si>
    <t>1071</t>
  </si>
  <si>
    <t>BOA02-C1133</t>
  </si>
  <si>
    <t>Cove Energy</t>
  </si>
  <si>
    <t>United Kingdom</t>
  </si>
  <si>
    <t>C107100000</t>
  </si>
  <si>
    <t>BOA04-03216</t>
  </si>
  <si>
    <t>1072</t>
  </si>
  <si>
    <t>BOA01-C5016</t>
  </si>
  <si>
    <t>Cyprus</t>
  </si>
  <si>
    <t>C107200000</t>
  </si>
  <si>
    <t>1074</t>
  </si>
  <si>
    <t>BOA01-C7012</t>
  </si>
  <si>
    <t>C107400000</t>
  </si>
  <si>
    <t>CIT01-C0363</t>
  </si>
  <si>
    <t>1076</t>
  </si>
  <si>
    <t>BOA02-C0016</t>
  </si>
  <si>
    <t>C107600000</t>
  </si>
  <si>
    <t>BOA03-02060</t>
  </si>
  <si>
    <t>1077</t>
  </si>
  <si>
    <t>BOA03-C2083</t>
  </si>
  <si>
    <t>C107700000</t>
  </si>
  <si>
    <t>1078</t>
  </si>
  <si>
    <t>BOA03-C3073</t>
  </si>
  <si>
    <t>C107800000</t>
  </si>
  <si>
    <t>CIT02-C0351</t>
  </si>
  <si>
    <t>1079</t>
  </si>
  <si>
    <t>CIT01-C5126</t>
  </si>
  <si>
    <t>BRL</t>
  </si>
  <si>
    <t>Limitada</t>
  </si>
  <si>
    <t>Brazil</t>
  </si>
  <si>
    <t>C107900000</t>
  </si>
  <si>
    <t>1081</t>
  </si>
  <si>
    <t>FNB03-S5001</t>
  </si>
  <si>
    <t>PTTEP MZA1 (Branch)</t>
  </si>
  <si>
    <t>Mozambique</t>
  </si>
  <si>
    <t>C108100000</t>
  </si>
  <si>
    <t>FNB</t>
  </si>
  <si>
    <t>FNB06-C0002</t>
  </si>
  <si>
    <t>MZM</t>
  </si>
  <si>
    <t>1083</t>
  </si>
  <si>
    <t>BOA02-03026</t>
  </si>
  <si>
    <t>Sinphuhorm Holdings</t>
  </si>
  <si>
    <t>C108300000</t>
  </si>
  <si>
    <t>1084</t>
  </si>
  <si>
    <t>BOA01-C0103</t>
  </si>
  <si>
    <t>PTTEP SP Limited-UK</t>
  </si>
  <si>
    <t>C108400001</t>
  </si>
  <si>
    <t>BOA02-C5027</t>
  </si>
  <si>
    <t>C108400000</t>
  </si>
  <si>
    <t>BOA03-C5035</t>
  </si>
  <si>
    <t>BOA04-C5019</t>
  </si>
  <si>
    <t>GPP Asset 100% (O)</t>
  </si>
  <si>
    <t>900A</t>
  </si>
  <si>
    <t>O900A00000</t>
  </si>
  <si>
    <t>HSB06-C3742</t>
  </si>
  <si>
    <t>1085</t>
  </si>
  <si>
    <t>HSB01-C0330</t>
  </si>
  <si>
    <t>C108500000</t>
  </si>
  <si>
    <t>1086</t>
  </si>
  <si>
    <t>BOA03-C2183</t>
  </si>
  <si>
    <t>C108600000</t>
  </si>
  <si>
    <t>BOA05-C2373</t>
  </si>
  <si>
    <t>BOA06-C2191</t>
  </si>
  <si>
    <t>BOA08-C2513</t>
  </si>
  <si>
    <t>JPM01-C0888</t>
  </si>
  <si>
    <t>JPM</t>
  </si>
  <si>
    <t>KTB01-C6433</t>
  </si>
  <si>
    <t>SCB01-C7410</t>
  </si>
  <si>
    <t>SCB02-S0840</t>
  </si>
  <si>
    <t>UOB01-S2400</t>
  </si>
  <si>
    <t>UOB</t>
  </si>
  <si>
    <t>UOB02-S1718</t>
  </si>
  <si>
    <t>1087</t>
  </si>
  <si>
    <t>JPM01-S7485</t>
  </si>
  <si>
    <t>C108700000</t>
  </si>
  <si>
    <t>1088</t>
  </si>
  <si>
    <t>JPM01-C3873</t>
  </si>
  <si>
    <t>PTTEP HKO-MY Branch</t>
  </si>
  <si>
    <t>C108800000</t>
  </si>
  <si>
    <t>JPM02-C3874</t>
  </si>
  <si>
    <t>MYR</t>
  </si>
  <si>
    <t>JPM03-C3875</t>
  </si>
  <si>
    <t>Pool Cost for Malays</t>
  </si>
  <si>
    <t>C108800001</t>
  </si>
  <si>
    <t>JPM04-C3876</t>
  </si>
  <si>
    <t>JPM05-C3877</t>
  </si>
  <si>
    <t>Sarawak SK410B Asset</t>
  </si>
  <si>
    <t>569A</t>
  </si>
  <si>
    <t>O569A00000</t>
  </si>
  <si>
    <t>JPM06-C3878</t>
  </si>
  <si>
    <t>JPM07-C3879</t>
  </si>
  <si>
    <t>SK417 Asset-Carried</t>
  </si>
  <si>
    <t>570B</t>
  </si>
  <si>
    <t>O570B00000</t>
  </si>
  <si>
    <t>JPM08-C3880</t>
  </si>
  <si>
    <t>JPM09-C3881</t>
  </si>
  <si>
    <t>SK438 Asset-Carried</t>
  </si>
  <si>
    <t>571B</t>
  </si>
  <si>
    <t>O571B00000</t>
  </si>
  <si>
    <t>JPM10-C3882</t>
  </si>
  <si>
    <t>JPM11-C3883</t>
  </si>
  <si>
    <t>Penin PM407 Carried</t>
  </si>
  <si>
    <t>576B</t>
  </si>
  <si>
    <t>O576B00000</t>
  </si>
  <si>
    <t>JPM12-C3884</t>
  </si>
  <si>
    <t>JPM13-C3885</t>
  </si>
  <si>
    <t>Penin PM415 Carried</t>
  </si>
  <si>
    <t>577B</t>
  </si>
  <si>
    <t>O577B00000</t>
  </si>
  <si>
    <t>JPM14-C3886</t>
  </si>
  <si>
    <t>1089</t>
  </si>
  <si>
    <t>BOA01-C9011</t>
  </si>
  <si>
    <t>C108900000</t>
  </si>
  <si>
    <t>BOA03-C9037</t>
  </si>
  <si>
    <t>1090</t>
  </si>
  <si>
    <t>CIT01-C8007</t>
  </si>
  <si>
    <t>C109000000</t>
  </si>
  <si>
    <t>CIT03-C8112</t>
  </si>
  <si>
    <t>1091</t>
  </si>
  <si>
    <t>CIT01-C9119</t>
  </si>
  <si>
    <t>PTT GL Investment</t>
  </si>
  <si>
    <t>C109100000</t>
  </si>
  <si>
    <t>1094</t>
  </si>
  <si>
    <t>CIT01-C7505</t>
  </si>
  <si>
    <t>Mexico</t>
  </si>
  <si>
    <t>C109400000</t>
  </si>
  <si>
    <t>CIT02-C8005</t>
  </si>
  <si>
    <t>MXN</t>
  </si>
  <si>
    <t>1095</t>
  </si>
  <si>
    <t>BOA01-C2017</t>
  </si>
  <si>
    <t>C109500000</t>
  </si>
  <si>
    <t>BOA02-C2025</t>
  </si>
  <si>
    <t>1096</t>
  </si>
  <si>
    <t>BOA01-C1019</t>
  </si>
  <si>
    <t>PTTEP ED (PITA)</t>
  </si>
  <si>
    <t>C109600001</t>
  </si>
  <si>
    <t>BOA02-C1027</t>
  </si>
  <si>
    <t>G1/61 (O)</t>
  </si>
  <si>
    <t>574A</t>
  </si>
  <si>
    <t>O574A00000</t>
  </si>
  <si>
    <t>BOA03-C1035</t>
  </si>
  <si>
    <t>G2/61 (O)</t>
  </si>
  <si>
    <t>575A</t>
  </si>
  <si>
    <t>O575A00000</t>
  </si>
  <si>
    <t>BOA04-C1043</t>
  </si>
  <si>
    <t>BOA05-C1051</t>
  </si>
  <si>
    <t>BOA06-C1803</t>
  </si>
  <si>
    <t>KTB01-C7472</t>
  </si>
  <si>
    <t>1097</t>
  </si>
  <si>
    <t>BOA01-C5011</t>
  </si>
  <si>
    <t>C109700000</t>
  </si>
  <si>
    <t>1099</t>
  </si>
  <si>
    <t>BOA01-02052</t>
  </si>
  <si>
    <t>PTTEP MENA Limited</t>
  </si>
  <si>
    <t>C109900000</t>
  </si>
  <si>
    <t>1100</t>
  </si>
  <si>
    <t>BOA01-C9012</t>
  </si>
  <si>
    <t>C110000000</t>
  </si>
  <si>
    <t>1101</t>
  </si>
  <si>
    <t>AED</t>
  </si>
  <si>
    <t>Utd.Arab Emir.</t>
  </si>
  <si>
    <t>C110100000</t>
  </si>
  <si>
    <t>HSB02-C3100</t>
  </si>
  <si>
    <t>KTB01-C7332</t>
  </si>
  <si>
    <t>1105</t>
  </si>
  <si>
    <t>PTTEP MENA-OMAN</t>
  </si>
  <si>
    <t>Oman</t>
  </si>
  <si>
    <t>C110500000</t>
  </si>
  <si>
    <t>HSB02-C8085</t>
  </si>
  <si>
    <t>KTB01-C7464</t>
  </si>
  <si>
    <t>NAT01-C9000</t>
  </si>
  <si>
    <t>NAT</t>
  </si>
  <si>
    <t>Type</t>
  </si>
  <si>
    <t>Product Type</t>
  </si>
  <si>
    <t>Product Name</t>
  </si>
  <si>
    <t>Port Code</t>
  </si>
  <si>
    <t>Business Partner</t>
  </si>
  <si>
    <t>Tenor Period (M)</t>
  </si>
  <si>
    <t>Term Start</t>
  </si>
  <si>
    <t>Term End</t>
  </si>
  <si>
    <t>Rollover</t>
  </si>
  <si>
    <t>Absolute Principal Amount</t>
  </si>
  <si>
    <t>Interest rate (%)</t>
  </si>
  <si>
    <t>USD Equivalent</t>
  </si>
  <si>
    <t>%PTTEP</t>
  </si>
  <si>
    <t>PTTEP Ownership</t>
  </si>
  <si>
    <t>PTTEP Ownership - USD Equivalent</t>
  </si>
  <si>
    <t>Transaction</t>
  </si>
  <si>
    <t>Reference Interest Rate</t>
  </si>
  <si>
    <t>Treasury Bill - Discount</t>
  </si>
  <si>
    <t>&lt;=3M</t>
  </si>
  <si>
    <t>BBLTH</t>
  </si>
  <si>
    <t>51A</t>
  </si>
  <si>
    <t>Fixed-Term Deposit</t>
  </si>
  <si>
    <t>KBANKTH</t>
  </si>
  <si>
    <t>1.00000</t>
  </si>
  <si>
    <t>CITIBR</t>
  </si>
  <si>
    <t>KTBTH15</t>
  </si>
  <si>
    <t>Investment</t>
  </si>
  <si>
    <t>Type of Investment</t>
  </si>
  <si>
    <t>Interest</t>
  </si>
  <si>
    <t>PTTEP Stake</t>
  </si>
  <si>
    <t>Notional</t>
  </si>
  <si>
    <t>% interest</t>
  </si>
  <si>
    <t>&lt;3M</t>
  </si>
  <si>
    <t>3M-6M</t>
  </si>
  <si>
    <t>6M-12M</t>
  </si>
  <si>
    <t>&gt;12M</t>
  </si>
  <si>
    <t>Tenor</t>
  </si>
  <si>
    <t>Amount (M$)</t>
  </si>
  <si>
    <t>Interest rate (p.a.)</t>
  </si>
  <si>
    <t xml:space="preserve">USD Investment </t>
  </si>
  <si>
    <t>M$</t>
  </si>
  <si>
    <t>p.a.</t>
  </si>
  <si>
    <t>Product type</t>
  </si>
  <si>
    <t>ID Number</t>
  </si>
  <si>
    <t>Total Units</t>
  </si>
  <si>
    <t>Cost Per Unit</t>
  </si>
  <si>
    <t>Total Cost</t>
  </si>
  <si>
    <t>Total Cost - USD Equivalent</t>
  </si>
  <si>
    <t>Total Cost (PTTEP Ownership)</t>
  </si>
  <si>
    <t>Total Cost  (PTTEP Ownership)-USD Equiva</t>
  </si>
  <si>
    <t>%PTTEP Ownership</t>
  </si>
  <si>
    <t>NOMURASG</t>
  </si>
  <si>
    <t>01C</t>
  </si>
  <si>
    <t>Money market fund</t>
  </si>
  <si>
    <t>GS_LRF</t>
  </si>
  <si>
    <t>HSBCLF_01C</t>
  </si>
  <si>
    <t>VAYUPAK</t>
  </si>
  <si>
    <t>01B</t>
  </si>
  <si>
    <t>Mutual Funds</t>
  </si>
  <si>
    <t>VAYUPAK1</t>
  </si>
  <si>
    <t>*All in formula</t>
  </si>
  <si>
    <t>*Paste value SAP report in Grey area</t>
  </si>
  <si>
    <t>*Paste value JV and Sub in Grey area</t>
  </si>
  <si>
    <t>Working capital</t>
  </si>
  <si>
    <t>Special saving</t>
  </si>
  <si>
    <t>% Interest</t>
  </si>
  <si>
    <t>Original CCY</t>
  </si>
  <si>
    <t>Subisidiary Breakdown</t>
  </si>
  <si>
    <t>Siam</t>
  </si>
  <si>
    <t>PTTEP SP</t>
  </si>
  <si>
    <t>SBO&amp;SKO</t>
  </si>
  <si>
    <t>HKO</t>
  </si>
  <si>
    <t>Vietnam</t>
  </si>
  <si>
    <t>others</t>
  </si>
  <si>
    <t>JV Breakdown</t>
  </si>
  <si>
    <t>OEL</t>
  </si>
  <si>
    <t>B8/32</t>
  </si>
  <si>
    <t>Myanmar's reserved fund</t>
  </si>
  <si>
    <r>
      <rPr>
        <b/>
        <sz val="8"/>
        <color rgb="FF0070C0"/>
        <rFont val="Arial"/>
        <family val="2"/>
      </rPr>
      <t>Available cash</t>
    </r>
    <r>
      <rPr>
        <sz val="8"/>
        <color rgb="FF0070C0"/>
        <rFont val="Arial"/>
        <family val="2"/>
      </rPr>
      <t xml:space="preserve"> </t>
    </r>
  </si>
  <si>
    <t>(HO) includes PTTEP, PTTEP TC, PTTEPI, PTTEP HK and other companies that are in cash pooling structure with daily zero balance accounts.</t>
  </si>
  <si>
    <t>Reserved cash</t>
  </si>
  <si>
    <t>Cash Balance</t>
  </si>
  <si>
    <t>Counterparty Limit</t>
  </si>
  <si>
    <t>Weighted average interest</t>
  </si>
  <si>
    <t>(Exclude normal saving and current accounts)</t>
  </si>
  <si>
    <t>By Product type</t>
  </si>
  <si>
    <t>Total in USD</t>
  </si>
  <si>
    <t xml:space="preserve">THB </t>
  </si>
  <si>
    <t>Working capital in M$</t>
  </si>
  <si>
    <t>Treasury Bill</t>
  </si>
  <si>
    <t>Cash Availability Report</t>
  </si>
  <si>
    <t>Credit Facility</t>
  </si>
  <si>
    <t>FX</t>
  </si>
  <si>
    <t>USDTHB</t>
  </si>
  <si>
    <t>As of:</t>
  </si>
  <si>
    <t>PTTEP Sarawak &amp; Sabah Oil Limited</t>
  </si>
  <si>
    <t>CASH (THOUSANDS)</t>
  </si>
  <si>
    <t>BANK BALANCE DETAILS</t>
  </si>
  <si>
    <t>Rate (USDMYR):</t>
  </si>
  <si>
    <t>DOLLAR</t>
  </si>
  <si>
    <t>COMPANY</t>
  </si>
  <si>
    <t xml:space="preserve">BANK </t>
  </si>
  <si>
    <t>DOLLARS</t>
  </si>
  <si>
    <t xml:space="preserve">RINGGIT </t>
  </si>
  <si>
    <t xml:space="preserve">EQUIVALENT </t>
  </si>
  <si>
    <t>PTTEP SKO</t>
  </si>
  <si>
    <t>JP Morgan MY</t>
  </si>
  <si>
    <t xml:space="preserve"> </t>
  </si>
  <si>
    <t xml:space="preserve">  Trade FCA</t>
  </si>
  <si>
    <t xml:space="preserve">  Investment FCA</t>
  </si>
  <si>
    <t xml:space="preserve">  Sole Account</t>
  </si>
  <si>
    <t xml:space="preserve">  </t>
  </si>
  <si>
    <t xml:space="preserve">     SK309</t>
  </si>
  <si>
    <t xml:space="preserve">     SK311</t>
  </si>
  <si>
    <t xml:space="preserve">     SK314A</t>
  </si>
  <si>
    <t xml:space="preserve">     SK405B</t>
  </si>
  <si>
    <t xml:space="preserve">     MYR Pool A/c</t>
  </si>
  <si>
    <t xml:space="preserve">     USD Pool A/c</t>
  </si>
  <si>
    <t xml:space="preserve"> Trade FCA</t>
  </si>
  <si>
    <t>PTTEP SBO</t>
  </si>
  <si>
    <t xml:space="preserve">     K</t>
  </si>
  <si>
    <t xml:space="preserve">     H</t>
  </si>
  <si>
    <t xml:space="preserve">     SNP</t>
  </si>
  <si>
    <t>JP Morgan TH</t>
  </si>
  <si>
    <t xml:space="preserve"> Entity  </t>
  </si>
  <si>
    <t>TOTAL CASH POSITION</t>
  </si>
  <si>
    <t>Total Trade FCA (to retain PTTEP's export proceeds)</t>
  </si>
  <si>
    <t>Total  Investment FCA (Conversion of MYR cash from PTTEP's local sale proceeds into USD)</t>
  </si>
  <si>
    <t>Total Sole Account (for PTTEP's local sale proceeds and conversion of USD export proceeds into MYR)</t>
  </si>
  <si>
    <t>Total Joint Account (current JV MYR &amp; USD account for disbursements and cash calls from partners &amp; PTTEP)</t>
  </si>
  <si>
    <t>Note:</t>
  </si>
  <si>
    <t>1). Interest rate applied by JP Morgan bank:</t>
  </si>
  <si>
    <t>Min</t>
  </si>
  <si>
    <t>Max</t>
  </si>
  <si>
    <t>USD Account</t>
  </si>
  <si>
    <t>MYR Account</t>
  </si>
  <si>
    <t>*The interest rate for MYR accounts have been revised to 1.350% (effective 7 July 2020) respectively. Effective 1 Oct 2020,</t>
  </si>
  <si>
    <t xml:space="preserve">  the interest rate for USD accounts will be revised to 0.15% (up to cash balances of USD140MM for selective bank accounts only).</t>
  </si>
  <si>
    <t>2). Interest rate applied by Standard Chartered bank:</t>
  </si>
  <si>
    <t>*The interest rate for USD account has been revised to 0.20% effective 16 March 2020.</t>
  </si>
  <si>
    <t>Net Balance - Cost Method</t>
  </si>
  <si>
    <t>Diff</t>
  </si>
  <si>
    <t>Vlookup จาก JV and Sub raw info</t>
  </si>
  <si>
    <t>Exp Cpty</t>
  </si>
  <si>
    <t>Exp Curr</t>
  </si>
  <si>
    <t>Counterparty Limited</t>
  </si>
  <si>
    <t>TMBTHANAPLUS</t>
  </si>
  <si>
    <t>TMBTM</t>
  </si>
  <si>
    <t>KFS MMF</t>
  </si>
  <si>
    <t>KFSPLUS</t>
  </si>
  <si>
    <t>KCASH MMF</t>
  </si>
  <si>
    <t>KCASH</t>
  </si>
  <si>
    <t>CCB</t>
  </si>
  <si>
    <t>CCBHK</t>
  </si>
  <si>
    <t>MIZ</t>
  </si>
  <si>
    <t>MIZUHOTH</t>
  </si>
  <si>
    <t>MAY</t>
  </si>
  <si>
    <t>MAYBANK</t>
  </si>
  <si>
    <t>SHI</t>
  </si>
  <si>
    <t>SHINHAN</t>
  </si>
  <si>
    <t>SCBTH</t>
  </si>
  <si>
    <t>CS</t>
  </si>
  <si>
    <t>Credit Suisse</t>
  </si>
  <si>
    <t>DBSG</t>
  </si>
  <si>
    <t>BOC</t>
  </si>
  <si>
    <t>BOCOM</t>
  </si>
  <si>
    <t>ICB</t>
  </si>
  <si>
    <t>ICBC</t>
  </si>
  <si>
    <t>CBQ</t>
  </si>
  <si>
    <t>DBT</t>
  </si>
  <si>
    <t>DBTH</t>
  </si>
  <si>
    <t>AMBANK</t>
  </si>
  <si>
    <t>GSI</t>
  </si>
  <si>
    <t>HSBC LF</t>
  </si>
  <si>
    <t>GS LF</t>
  </si>
  <si>
    <t>NATIXIS</t>
  </si>
  <si>
    <t>ICA</t>
  </si>
  <si>
    <t>ICAV</t>
  </si>
  <si>
    <t>KEB</t>
  </si>
  <si>
    <t>KEBHANA</t>
  </si>
  <si>
    <t>US Treasury</t>
  </si>
  <si>
    <t>SC</t>
  </si>
  <si>
    <t>SMBC</t>
  </si>
  <si>
    <t>SMBCTH</t>
  </si>
  <si>
    <t>OCBCTH</t>
  </si>
  <si>
    <t>UOBTH</t>
  </si>
  <si>
    <t>ABO</t>
  </si>
  <si>
    <t>ABOC</t>
  </si>
  <si>
    <t>BNP</t>
  </si>
  <si>
    <t>BNPTH</t>
  </si>
  <si>
    <t>SOC</t>
  </si>
  <si>
    <t>SOCGEN</t>
  </si>
  <si>
    <t>BOATH</t>
  </si>
  <si>
    <t>QNB</t>
  </si>
  <si>
    <t>TMBTH</t>
  </si>
  <si>
    <t>CSS</t>
  </si>
  <si>
    <t>CSSICAV</t>
  </si>
  <si>
    <t>TBILL_CASH</t>
  </si>
  <si>
    <t>TH Treasury</t>
  </si>
  <si>
    <t>Operator acct</t>
  </si>
  <si>
    <t>Operator accounts</t>
  </si>
  <si>
    <t>ANZ THAILAND</t>
  </si>
  <si>
    <t>Soft Limited (25% of total Cash)</t>
  </si>
  <si>
    <t xml:space="preserve">Utilized-Saving </t>
  </si>
  <si>
    <t>Utilized-Investment</t>
  </si>
  <si>
    <t>Utilized</t>
  </si>
  <si>
    <t>Available</t>
  </si>
  <si>
    <t>Report</t>
  </si>
  <si>
    <t>Assigned Limited</t>
  </si>
  <si>
    <t>*Counterparty soft limit is calculated by 25% of total cash balance</t>
  </si>
  <si>
    <r>
      <t xml:space="preserve"> </t>
    </r>
    <r>
      <rPr>
        <b/>
        <u/>
        <sz val="11"/>
        <color rgb="FFC00000"/>
        <rFont val="Arial"/>
        <family val="2"/>
      </rPr>
      <t>Credit Limit Facilities Report</t>
    </r>
    <r>
      <rPr>
        <b/>
        <sz val="11"/>
        <color rgb="FFC00000"/>
        <rFont val="Arial"/>
        <family val="2"/>
      </rPr>
      <t xml:space="preserve"> &gt;&gt; Confirm กับ โอ๋ว่า ยอดเปลี่ยนไหม</t>
    </r>
  </si>
  <si>
    <t>BANK</t>
  </si>
  <si>
    <t>Facility Limit</t>
  </si>
  <si>
    <t>Utilisation</t>
  </si>
  <si>
    <t>BAY</t>
  </si>
  <si>
    <t>MIZUHO</t>
  </si>
  <si>
    <t>PTT</t>
  </si>
  <si>
    <r>
      <t>KTB</t>
    </r>
    <r>
      <rPr>
        <b/>
        <sz val="10"/>
        <color rgb="FFFF0000"/>
        <rFont val="Arial"/>
        <family val="2"/>
      </rPr>
      <t>*</t>
    </r>
  </si>
  <si>
    <r>
      <t>OCBC</t>
    </r>
    <r>
      <rPr>
        <b/>
        <sz val="10"/>
        <color rgb="FFFF0000"/>
        <rFont val="Arial"/>
        <family val="2"/>
      </rPr>
      <t>*</t>
    </r>
  </si>
  <si>
    <r>
      <t>UOB</t>
    </r>
    <r>
      <rPr>
        <b/>
        <sz val="10"/>
        <color rgb="FFFF0000"/>
        <rFont val="Arial"/>
        <family val="2"/>
      </rPr>
      <t>*</t>
    </r>
  </si>
  <si>
    <t>Citi</t>
  </si>
  <si>
    <t>Counterparty</t>
  </si>
  <si>
    <t>Type (Majority)</t>
  </si>
  <si>
    <t>Type (Country)</t>
  </si>
  <si>
    <t>Curr (Majority)</t>
  </si>
  <si>
    <t>Amount in MMUSD</t>
  </si>
  <si>
    <t>Previous week</t>
  </si>
  <si>
    <t>Change</t>
  </si>
  <si>
    <t>Week-on-Week Analysis (for PTC/C review)</t>
  </si>
  <si>
    <t>Money Market Fund</t>
  </si>
  <si>
    <t>Domestic</t>
  </si>
  <si>
    <t>Daily</t>
  </si>
  <si>
    <t>T-bill</t>
  </si>
  <si>
    <t>&lt;1M</t>
  </si>
  <si>
    <t>Current</t>
  </si>
  <si>
    <t>Overseas</t>
  </si>
  <si>
    <t>OCBC - Reserve fund</t>
  </si>
  <si>
    <t>12M</t>
  </si>
  <si>
    <t>Special Saving</t>
  </si>
  <si>
    <t>Credit Suisse supply chain fund</t>
  </si>
  <si>
    <t>Weekly</t>
  </si>
  <si>
    <t>Fixed Deposit</t>
  </si>
  <si>
    <t>KTB Salary</t>
  </si>
  <si>
    <t>Deposit note</t>
  </si>
  <si>
    <t>3-12M</t>
  </si>
  <si>
    <t>Operator accounts
(Non-operating projects)</t>
  </si>
  <si>
    <t>In Cash report</t>
  </si>
  <si>
    <t>Row Labels</t>
  </si>
  <si>
    <t>Grand Total</t>
  </si>
  <si>
    <t>Column Labels</t>
  </si>
  <si>
    <t>Domestic Total</t>
  </si>
  <si>
    <t>Overseas Total</t>
  </si>
  <si>
    <t>Sum of Amount in MMUSD</t>
  </si>
  <si>
    <t>&gt;&gt; Pivot update จาก sheet Change</t>
  </si>
  <si>
    <t>Total THB (USD Equi.)</t>
  </si>
  <si>
    <t>Total USD</t>
  </si>
  <si>
    <t>PTTEP Portion (mm$)</t>
  </si>
  <si>
    <t>Availibility (mm$)</t>
  </si>
  <si>
    <t>TTM (Days)</t>
  </si>
  <si>
    <t>TTM (Mths)</t>
  </si>
  <si>
    <t>Availibility (Mths)</t>
  </si>
  <si>
    <t>month</t>
  </si>
  <si>
    <t>Repoort date</t>
  </si>
  <si>
    <t>Maturity</t>
  </si>
  <si>
    <t>Sum of Availibility (mm$)</t>
  </si>
  <si>
    <t>Accum Total</t>
  </si>
  <si>
    <t>Working capital in MTHB</t>
  </si>
  <si>
    <t>Ending Balance</t>
  </si>
  <si>
    <t>p.a. (RHS)</t>
  </si>
  <si>
    <t>M$ (LHS)</t>
  </si>
  <si>
    <t>USD cash balance report</t>
  </si>
  <si>
    <t>THB cash balance report</t>
  </si>
  <si>
    <t>C1001</t>
  </si>
  <si>
    <t>PTT Exploration and Production Public Company Limited</t>
  </si>
  <si>
    <t>C1002</t>
  </si>
  <si>
    <t>PTTEP International Limited</t>
  </si>
  <si>
    <t>C1003</t>
  </si>
  <si>
    <t>PTTEP International Limited (Yangon Branch)</t>
  </si>
  <si>
    <t>C1004</t>
  </si>
  <si>
    <t>PTTEP Offshore Investment Company Limited</t>
  </si>
  <si>
    <t>C1009</t>
  </si>
  <si>
    <t>PTTEP Hoan-Vu Company Limited</t>
  </si>
  <si>
    <t>C1010</t>
  </si>
  <si>
    <t>PTTEP Hoang-Long Company Limited</t>
  </si>
  <si>
    <t>C1012</t>
  </si>
  <si>
    <t>PTTEP Algeria Company Limited</t>
  </si>
  <si>
    <t>C1013</t>
  </si>
  <si>
    <t>PTTEP Services Limited</t>
  </si>
  <si>
    <t>C1015</t>
  </si>
  <si>
    <t>PTTEP Siam Limited</t>
  </si>
  <si>
    <t>C1017</t>
  </si>
  <si>
    <t>Orange Energy Limited</t>
  </si>
  <si>
    <t>C1020</t>
  </si>
  <si>
    <t>Carigali - PTTEPI Operating Company Sdn Bhd.</t>
  </si>
  <si>
    <t>C1022</t>
  </si>
  <si>
    <t>PTTEP Holding Company Limited</t>
  </si>
  <si>
    <t>C1023</t>
  </si>
  <si>
    <t>PTTEP Indonesia Company Limited</t>
  </si>
  <si>
    <t>C1027</t>
  </si>
  <si>
    <t>PTTEP Australia Pty Ltd</t>
  </si>
  <si>
    <t>C1029</t>
  </si>
  <si>
    <t>PTTEP Africa Investment Limited</t>
  </si>
  <si>
    <t>C1033</t>
  </si>
  <si>
    <t>PTTEP South Asia Limited</t>
  </si>
  <si>
    <t>C1035</t>
  </si>
  <si>
    <t>PTTEP Semai II Limited</t>
  </si>
  <si>
    <t>C1036</t>
  </si>
  <si>
    <t>PTTEP Australia Perth Pty Ltd</t>
  </si>
  <si>
    <t>C2038</t>
  </si>
  <si>
    <t>Andaman Transportation Limited - Net</t>
  </si>
  <si>
    <t>C1040</t>
  </si>
  <si>
    <t>PTTEP International Holding Company Limited</t>
  </si>
  <si>
    <t>C1041</t>
  </si>
  <si>
    <t>PTTEP Southwest Vietnam Pipeline Company Limited</t>
  </si>
  <si>
    <t>C1042</t>
  </si>
  <si>
    <t>PTTEP FLNG Holding Company Limited</t>
  </si>
  <si>
    <t>C1043</t>
  </si>
  <si>
    <t>PTTEP South Sageri Limited</t>
  </si>
  <si>
    <t>C1044</t>
  </si>
  <si>
    <t>PTTEP Sadang Limited</t>
  </si>
  <si>
    <t>C1046</t>
  </si>
  <si>
    <t>PTTEP Netherland Holding Limited</t>
  </si>
  <si>
    <t>C1047</t>
  </si>
  <si>
    <t>JV Marine Limited</t>
  </si>
  <si>
    <t>C1049</t>
  </si>
  <si>
    <t>PTTEP Netherlands Corperatie U.A.</t>
  </si>
  <si>
    <t>C1050</t>
  </si>
  <si>
    <t>PTTEP Canada Limited</t>
  </si>
  <si>
    <t>C1051</t>
  </si>
  <si>
    <t>PTTEP Malunda Limited</t>
  </si>
  <si>
    <t>C1052</t>
  </si>
  <si>
    <t>PTTEP South Mandar Limited</t>
  </si>
  <si>
    <t>C1053</t>
  </si>
  <si>
    <t>PTTEP Canada International Finance Limited</t>
  </si>
  <si>
    <t>C1055</t>
  </si>
  <si>
    <t>KKD Oil Sands Partnership</t>
  </si>
  <si>
    <t>C1070</t>
  </si>
  <si>
    <t>NST Supply Base Company Limited</t>
  </si>
  <si>
    <t>C1071</t>
  </si>
  <si>
    <t>Cove Energy PLC</t>
  </si>
  <si>
    <t>C1072</t>
  </si>
  <si>
    <t>Cove Energy East Africa Limited</t>
  </si>
  <si>
    <t>C1073</t>
  </si>
  <si>
    <t>Cove Energy Mozambique Rovuma Onshore Limited</t>
  </si>
  <si>
    <t>C1074</t>
  </si>
  <si>
    <t>PTTEP MOZAMBIQUE AREA 1 LIMITED</t>
  </si>
  <si>
    <t>C1076</t>
  </si>
  <si>
    <t>PTTEP HK Holding Limited</t>
  </si>
  <si>
    <t>C1077</t>
  </si>
  <si>
    <t>PTTEP Netherlands Holding Cooperatie UA</t>
  </si>
  <si>
    <t>C1078</t>
  </si>
  <si>
    <t>PTTEP Brazil Investment B.V.</t>
  </si>
  <si>
    <t>C1079</t>
  </si>
  <si>
    <t>PTTEP Brazil Investments in Oil and Gas Exploration and Prod</t>
  </si>
  <si>
    <t>C1080</t>
  </si>
  <si>
    <t>Cove Energy Mozambique Rovuma Onshore Limited (Branch)</t>
  </si>
  <si>
    <t>C1081</t>
  </si>
  <si>
    <t>PTTEP Mozambique Area 1 Limited</t>
  </si>
  <si>
    <t>C1083</t>
  </si>
  <si>
    <t>Sinphuhorm Holdings Limited</t>
  </si>
  <si>
    <t>C1084</t>
  </si>
  <si>
    <t>C1085</t>
  </si>
  <si>
    <t>C1086</t>
  </si>
  <si>
    <t>C1087</t>
  </si>
  <si>
    <t>PTTEP HK Offshore Limited</t>
  </si>
  <si>
    <t>C1088</t>
  </si>
  <si>
    <t>C1089</t>
  </si>
  <si>
    <t>PTTEP Business Center</t>
  </si>
  <si>
    <t>C1094</t>
  </si>
  <si>
    <t>PTTEP Mexico E&amp;P Limited</t>
  </si>
  <si>
    <t>C1095</t>
  </si>
  <si>
    <t>PTTEP Energy Holding (Thailand) Company Limited</t>
  </si>
  <si>
    <t>C1096</t>
  </si>
  <si>
    <t>PTTEP Energy Development Company Limited</t>
  </si>
  <si>
    <t>C1097</t>
  </si>
  <si>
    <t>EP-Tech Ventures Holding Company Limited</t>
  </si>
  <si>
    <t>C1099</t>
  </si>
  <si>
    <t>C1100</t>
  </si>
  <si>
    <t>AI and Robotics Ventures Company Limited</t>
  </si>
  <si>
    <t>C1101</t>
  </si>
  <si>
    <t>PTTEP MENA LIMITED - ABU DHABI</t>
  </si>
  <si>
    <t>C110200000</t>
  </si>
  <si>
    <t>C1102</t>
  </si>
  <si>
    <t>PTTEP Sabah Oil Co., Ltd.</t>
  </si>
  <si>
    <t>C110300000</t>
  </si>
  <si>
    <t>C1103</t>
  </si>
  <si>
    <t>PTTEP Sarawak Oil Co., Ltd.</t>
  </si>
  <si>
    <t>C1105</t>
  </si>
  <si>
    <t>E100</t>
  </si>
  <si>
    <t>Conso - PTTEP</t>
  </si>
  <si>
    <t>(blank)</t>
  </si>
  <si>
    <t>เสร็จแล้ว copy ตั้งแต่ A6 : F56 มาไว้ด้านขวา เพื่อออก report</t>
  </si>
  <si>
    <t>YTG</t>
  </si>
  <si>
    <t>YDN</t>
  </si>
  <si>
    <t>M9</t>
  </si>
  <si>
    <t>GS</t>
  </si>
  <si>
    <t>HSBCLF</t>
  </si>
  <si>
    <t>Investment (&gt; 1M)</t>
  </si>
  <si>
    <t>Working Capital (&lt; 1M)</t>
  </si>
  <si>
    <t>HSB03-D1109</t>
  </si>
  <si>
    <t>HSB04-D1009</t>
  </si>
  <si>
    <t>HSB03-D4109</t>
  </si>
  <si>
    <t>HSB04-D4009</t>
  </si>
  <si>
    <t>KTB02-C7839</t>
  </si>
  <si>
    <t>HSB03-C8001</t>
  </si>
  <si>
    <t>Remark</t>
  </si>
  <si>
    <t xml:space="preserve">Reserve for Decom liab. </t>
  </si>
  <si>
    <t>KTB03-S4875</t>
  </si>
  <si>
    <t xml:space="preserve">Special Saving- Interest </t>
  </si>
  <si>
    <t>For Check</t>
  </si>
  <si>
    <t>Limit per bank offer (MMUSD)</t>
  </si>
  <si>
    <t>Total Reserve Cash</t>
  </si>
  <si>
    <t>Sum of Bank Balance (PTTEP Ownership)-USD Equiv</t>
  </si>
  <si>
    <t>Manual Calculation</t>
  </si>
  <si>
    <t xml:space="preserve">For USD </t>
  </si>
  <si>
    <t>For THB</t>
  </si>
  <si>
    <t>PTTEP MENA-Abu Dhabi</t>
  </si>
  <si>
    <t>HSB02-C0195</t>
  </si>
  <si>
    <t>For email:</t>
  </si>
  <si>
    <t>% Breakdown</t>
  </si>
  <si>
    <t>Change WoW</t>
  </si>
  <si>
    <r>
      <rPr>
        <sz val="8"/>
        <color rgb="FFFF0000"/>
        <rFont val="Calibri"/>
        <family val="2"/>
        <scheme val="minor"/>
      </rPr>
      <t xml:space="preserve">* </t>
    </r>
    <r>
      <rPr>
        <sz val="8"/>
        <color rgb="FF000000"/>
        <rFont val="Calibri"/>
        <family val="2"/>
        <scheme val="minor"/>
      </rPr>
      <t xml:space="preserve">Committed line 6,000 MMTHB + 400 MMUSD </t>
    </r>
  </si>
  <si>
    <t>UOB specia saving thb</t>
  </si>
  <si>
    <t>BOA10-C2703</t>
  </si>
  <si>
    <t>10200150</t>
  </si>
  <si>
    <t>1013184468</t>
  </si>
  <si>
    <t>10201660</t>
  </si>
  <si>
    <t>33333561</t>
  </si>
  <si>
    <t>10201700</t>
  </si>
  <si>
    <t>33333173</t>
  </si>
  <si>
    <t>10201720</t>
  </si>
  <si>
    <t>33333751</t>
  </si>
  <si>
    <t>10201740</t>
  </si>
  <si>
    <t>33333941</t>
  </si>
  <si>
    <t>10203350</t>
  </si>
  <si>
    <t>33333008</t>
  </si>
  <si>
    <t>10203360</t>
  </si>
  <si>
    <t>33333016</t>
  </si>
  <si>
    <t>10293740</t>
  </si>
  <si>
    <t>80001012</t>
  </si>
  <si>
    <t>10293760</t>
  </si>
  <si>
    <t>80001038</t>
  </si>
  <si>
    <t>10204070</t>
  </si>
  <si>
    <t>33333991</t>
  </si>
  <si>
    <t>10200120</t>
  </si>
  <si>
    <t>001193747001</t>
  </si>
  <si>
    <t>10200160</t>
  </si>
  <si>
    <t>0991189106</t>
  </si>
  <si>
    <t>10200090</t>
  </si>
  <si>
    <t>9431000889</t>
  </si>
  <si>
    <t>10301220</t>
  </si>
  <si>
    <t>0999212247</t>
  </si>
  <si>
    <t>10200140</t>
  </si>
  <si>
    <t>0196047676</t>
  </si>
  <si>
    <t>10200130</t>
  </si>
  <si>
    <t>0196020999</t>
  </si>
  <si>
    <t>10200100</t>
  </si>
  <si>
    <t>0196040507</t>
  </si>
  <si>
    <t>10200290</t>
  </si>
  <si>
    <t>0196052254</t>
  </si>
  <si>
    <t>10200230</t>
  </si>
  <si>
    <t>0196055946</t>
  </si>
  <si>
    <t>10200110</t>
  </si>
  <si>
    <t>9804220237</t>
  </si>
  <si>
    <t>10200180</t>
  </si>
  <si>
    <t>4680092730</t>
  </si>
  <si>
    <t>10300930</t>
  </si>
  <si>
    <t>1112005032840</t>
  </si>
  <si>
    <t>10202410</t>
  </si>
  <si>
    <t>4680378259</t>
  </si>
  <si>
    <t>10200050</t>
  </si>
  <si>
    <t>0041050626</t>
  </si>
  <si>
    <t>10200040</t>
  </si>
  <si>
    <t>0041051855</t>
  </si>
  <si>
    <t>10201800</t>
  </si>
  <si>
    <t>33334171</t>
  </si>
  <si>
    <t>10201830</t>
  </si>
  <si>
    <t>33334113</t>
  </si>
  <si>
    <t>10201910</t>
  </si>
  <si>
    <t>33334931</t>
  </si>
  <si>
    <t>10201920</t>
  </si>
  <si>
    <t>33334981</t>
  </si>
  <si>
    <t>10293710</t>
  </si>
  <si>
    <t>80004024</t>
  </si>
  <si>
    <t>10293720</t>
  </si>
  <si>
    <t>80004032</t>
  </si>
  <si>
    <t>10293730</t>
  </si>
  <si>
    <t>80004040</t>
  </si>
  <si>
    <t>10200940</t>
  </si>
  <si>
    <t>0196027004</t>
  </si>
  <si>
    <t>10300620</t>
  </si>
  <si>
    <t>800000001820</t>
  </si>
  <si>
    <t>10203370</t>
  </si>
  <si>
    <t>0010991024</t>
  </si>
  <si>
    <t>10203380</t>
  </si>
  <si>
    <t>0010991025</t>
  </si>
  <si>
    <t>10203500</t>
  </si>
  <si>
    <t>0010991026</t>
  </si>
  <si>
    <t>10204000</t>
  </si>
  <si>
    <t>0010991028</t>
  </si>
  <si>
    <t>10204010</t>
  </si>
  <si>
    <t>0010991029</t>
  </si>
  <si>
    <t>10204020</t>
  </si>
  <si>
    <t>0010991120</t>
  </si>
  <si>
    <t>10203150</t>
  </si>
  <si>
    <t>503326241301</t>
  </si>
  <si>
    <t>10301530</t>
  </si>
  <si>
    <t>0000363011</t>
  </si>
  <si>
    <t>10203160</t>
  </si>
  <si>
    <t>0010991023</t>
  </si>
  <si>
    <t>10203170</t>
  </si>
  <si>
    <t>0010991013</t>
  </si>
  <si>
    <t>10203990</t>
  </si>
  <si>
    <t>0010991027</t>
  </si>
  <si>
    <t>10301400</t>
  </si>
  <si>
    <t>840101001808508400</t>
  </si>
  <si>
    <t>10201950</t>
  </si>
  <si>
    <t>33348023</t>
  </si>
  <si>
    <t>10293850</t>
  </si>
  <si>
    <t>80003050</t>
  </si>
  <si>
    <t>10293860</t>
  </si>
  <si>
    <t>80003068</t>
  </si>
  <si>
    <t>10203640</t>
  </si>
  <si>
    <t>002236099375</t>
  </si>
  <si>
    <t>10203650</t>
  </si>
  <si>
    <t>001080571001</t>
  </si>
  <si>
    <t>10204050</t>
  </si>
  <si>
    <t>001080571109</t>
  </si>
  <si>
    <t>10204060</t>
  </si>
  <si>
    <t>001080571009</t>
  </si>
  <si>
    <t>10203620</t>
  </si>
  <si>
    <t>10203630</t>
  </si>
  <si>
    <t>10204030</t>
  </si>
  <si>
    <t>10204040</t>
  </si>
  <si>
    <t>10202000</t>
  </si>
  <si>
    <t>10201500</t>
  </si>
  <si>
    <t>10201510</t>
  </si>
  <si>
    <t>10202010</t>
  </si>
  <si>
    <t>10200870</t>
  </si>
  <si>
    <t>10202050</t>
  </si>
  <si>
    <t>10202060</t>
  </si>
  <si>
    <t>10203460</t>
  </si>
  <si>
    <t>10203940</t>
  </si>
  <si>
    <t>10300900</t>
  </si>
  <si>
    <t>10201000</t>
  </si>
  <si>
    <t>10201040</t>
  </si>
  <si>
    <t>10202090</t>
  </si>
  <si>
    <t>10202120</t>
  </si>
  <si>
    <t>10293870</t>
  </si>
  <si>
    <t>10293880</t>
  </si>
  <si>
    <t>10293990</t>
  </si>
  <si>
    <t>10203420</t>
  </si>
  <si>
    <t>10202540</t>
  </si>
  <si>
    <t>10203010</t>
  </si>
  <si>
    <t>10203020</t>
  </si>
  <si>
    <t>10203030</t>
  </si>
  <si>
    <t>10203040</t>
  </si>
  <si>
    <t>10203050</t>
  </si>
  <si>
    <t>10203060</t>
  </si>
  <si>
    <t>10203510</t>
  </si>
  <si>
    <t>10301550</t>
  </si>
  <si>
    <t>10203070</t>
  </si>
  <si>
    <t>10301440</t>
  </si>
  <si>
    <t>10203080</t>
  </si>
  <si>
    <t>10203090</t>
  </si>
  <si>
    <t>10293900</t>
  </si>
  <si>
    <t>10293840</t>
  </si>
  <si>
    <t>10203660</t>
  </si>
  <si>
    <t>10203670</t>
  </si>
  <si>
    <t>10204100</t>
  </si>
  <si>
    <t>10293970</t>
  </si>
  <si>
    <t>10293910</t>
  </si>
  <si>
    <t>10293930</t>
  </si>
  <si>
    <t>10293770</t>
  </si>
  <si>
    <t>10202750</t>
  </si>
  <si>
    <t>10200720</t>
  </si>
  <si>
    <t>10201440</t>
  </si>
  <si>
    <t>10293940</t>
  </si>
  <si>
    <t>10200780</t>
  </si>
  <si>
    <t>10300800</t>
  </si>
  <si>
    <t>10293950</t>
  </si>
  <si>
    <t>10200840</t>
  </si>
  <si>
    <t>10300810</t>
  </si>
  <si>
    <t>10201320</t>
  </si>
  <si>
    <t>10202520</t>
  </si>
  <si>
    <t>10202860</t>
  </si>
  <si>
    <t>10301420</t>
  </si>
  <si>
    <t>10202870</t>
  </si>
  <si>
    <t>10202880</t>
  </si>
  <si>
    <t>10202890</t>
  </si>
  <si>
    <t>10202900</t>
  </si>
  <si>
    <t>10202910</t>
  </si>
  <si>
    <t>10202920</t>
  </si>
  <si>
    <t>10202930</t>
  </si>
  <si>
    <t>10202940</t>
  </si>
  <si>
    <t>10202200</t>
  </si>
  <si>
    <t>10294000</t>
  </si>
  <si>
    <t>10202560</t>
  </si>
  <si>
    <t>10202580</t>
  </si>
  <si>
    <t>10203310</t>
  </si>
  <si>
    <t>10203610</t>
  </si>
  <si>
    <t>10293980</t>
  </si>
  <si>
    <t>10202840</t>
  </si>
  <si>
    <t>10202850</t>
  </si>
  <si>
    <t>10202450</t>
  </si>
  <si>
    <t>10201580</t>
  </si>
  <si>
    <t>10301360</t>
  </si>
  <si>
    <t>10202770</t>
  </si>
  <si>
    <t>10293820</t>
  </si>
  <si>
    <t>10203100</t>
  </si>
  <si>
    <t>10203890</t>
  </si>
  <si>
    <t>10203900</t>
  </si>
  <si>
    <t>10203910</t>
  </si>
  <si>
    <t>10203490</t>
  </si>
  <si>
    <t>10202380</t>
  </si>
  <si>
    <t>10202670</t>
  </si>
  <si>
    <t>10202690</t>
  </si>
  <si>
    <t>10202700</t>
  </si>
  <si>
    <t>10202720</t>
  </si>
  <si>
    <t>10204170</t>
  </si>
  <si>
    <t>10203570</t>
  </si>
  <si>
    <t>10203190</t>
  </si>
  <si>
    <t>10203740</t>
  </si>
  <si>
    <t>10301670</t>
  </si>
  <si>
    <t>10301510</t>
  </si>
  <si>
    <t>10301690</t>
  </si>
  <si>
    <t>10301660</t>
  </si>
  <si>
    <t>10203750</t>
  </si>
  <si>
    <t>10203760</t>
  </si>
  <si>
    <t>10203770</t>
  </si>
  <si>
    <t>10203780</t>
  </si>
  <si>
    <t>10203790</t>
  </si>
  <si>
    <t>10203800</t>
  </si>
  <si>
    <t>10203810</t>
  </si>
  <si>
    <t>10203820</t>
  </si>
  <si>
    <t>10203830</t>
  </si>
  <si>
    <t>10203840</t>
  </si>
  <si>
    <t>10203850</t>
  </si>
  <si>
    <t>10203860</t>
  </si>
  <si>
    <t>10203870</t>
  </si>
  <si>
    <t>10203880</t>
  </si>
  <si>
    <t>10203110</t>
  </si>
  <si>
    <t>10203700</t>
  </si>
  <si>
    <t>10203120</t>
  </si>
  <si>
    <t>10203580</t>
  </si>
  <si>
    <t>10203140</t>
  </si>
  <si>
    <t>10203280</t>
  </si>
  <si>
    <t>10203290</t>
  </si>
  <si>
    <t>10203390</t>
  </si>
  <si>
    <t>10203710</t>
  </si>
  <si>
    <t>10203400</t>
  </si>
  <si>
    <t>10203470</t>
  </si>
  <si>
    <t>10203480</t>
  </si>
  <si>
    <t>10203920</t>
  </si>
  <si>
    <t>10203930</t>
  </si>
  <si>
    <t>10204080</t>
  </si>
  <si>
    <t>10203970</t>
  </si>
  <si>
    <t>10203410</t>
  </si>
  <si>
    <t>10293960</t>
  </si>
  <si>
    <t>10203450</t>
  </si>
  <si>
    <t>10204090</t>
  </si>
  <si>
    <t>10301700</t>
  </si>
  <si>
    <t>10203680</t>
  </si>
  <si>
    <t>10203690</t>
  </si>
  <si>
    <t>10203730</t>
  </si>
  <si>
    <t>10203960</t>
  </si>
  <si>
    <t>10203950</t>
  </si>
  <si>
    <t>10203980</t>
  </si>
  <si>
    <t>10203720</t>
  </si>
  <si>
    <t>NATTAPATR</t>
  </si>
  <si>
    <t>AMBANKMY</t>
  </si>
  <si>
    <t>002235000375</t>
  </si>
  <si>
    <t>001079284001</t>
  </si>
  <si>
    <t>001079284109</t>
  </si>
  <si>
    <t>001079284009</t>
  </si>
  <si>
    <t>33352123</t>
  </si>
  <si>
    <t>002871108185</t>
  </si>
  <si>
    <t>002871140195</t>
  </si>
  <si>
    <t>33337141</t>
  </si>
  <si>
    <t>0196059496</t>
  </si>
  <si>
    <t>33335301</t>
  </si>
  <si>
    <t>33335351</t>
  </si>
  <si>
    <t>33335591</t>
  </si>
  <si>
    <t>33335608</t>
  </si>
  <si>
    <t>7992640886</t>
  </si>
  <si>
    <t>0006059198</t>
  </si>
  <si>
    <t>6346008404</t>
  </si>
  <si>
    <t>33338131</t>
  </si>
  <si>
    <t>33338123</t>
  </si>
  <si>
    <t>80003076</t>
  </si>
  <si>
    <t>80003084</t>
  </si>
  <si>
    <t>80003208</t>
  </si>
  <si>
    <t>0196066867</t>
  </si>
  <si>
    <t>DKP420008</t>
  </si>
  <si>
    <t>503276073301</t>
  </si>
  <si>
    <t>0012221022</t>
  </si>
  <si>
    <t>0012221012</t>
  </si>
  <si>
    <t>503276081301</t>
  </si>
  <si>
    <t>0012221023</t>
  </si>
  <si>
    <t>0012221013</t>
  </si>
  <si>
    <t>0012221024</t>
  </si>
  <si>
    <t>0012393060</t>
  </si>
  <si>
    <t>503276099301</t>
  </si>
  <si>
    <t>0012403010</t>
  </si>
  <si>
    <t>0013881020</t>
  </si>
  <si>
    <t>0013881010</t>
  </si>
  <si>
    <t>80003109</t>
  </si>
  <si>
    <t>80003042</t>
  </si>
  <si>
    <t>001111830109</t>
  </si>
  <si>
    <t>001111830001</t>
  </si>
  <si>
    <t>001323898001</t>
  </si>
  <si>
    <t>80003167</t>
  </si>
  <si>
    <t>80003117</t>
  </si>
  <si>
    <t>80003133</t>
  </si>
  <si>
    <t>80003018</t>
  </si>
  <si>
    <t>002219475375</t>
  </si>
  <si>
    <t>029021332001</t>
  </si>
  <si>
    <t>029021332070</t>
  </si>
  <si>
    <t>80003141</t>
  </si>
  <si>
    <t>050196880068</t>
  </si>
  <si>
    <t>050196880115</t>
  </si>
  <si>
    <t>80003159</t>
  </si>
  <si>
    <t>050196872068</t>
  </si>
  <si>
    <t>050196872115</t>
  </si>
  <si>
    <t>029054028001</t>
  </si>
  <si>
    <t>002211365375</t>
  </si>
  <si>
    <t>503276016301</t>
  </si>
  <si>
    <t>0000363010</t>
  </si>
  <si>
    <t>0010991020</t>
  </si>
  <si>
    <t>0010991010</t>
  </si>
  <si>
    <t>503276057301</t>
  </si>
  <si>
    <t>0010991021</t>
  </si>
  <si>
    <t>0010991011</t>
  </si>
  <si>
    <t>503149650301</t>
  </si>
  <si>
    <t>0010991022</t>
  </si>
  <si>
    <t>0010991012</t>
  </si>
  <si>
    <t>33351133</t>
  </si>
  <si>
    <t>80003216</t>
  </si>
  <si>
    <t>33135016</t>
  </si>
  <si>
    <t>33137012</t>
  </si>
  <si>
    <t>0018500363</t>
  </si>
  <si>
    <t>72590016</t>
  </si>
  <si>
    <t>80002060</t>
  </si>
  <si>
    <t>33342083</t>
  </si>
  <si>
    <t>33343073</t>
  </si>
  <si>
    <t>0266030351</t>
  </si>
  <si>
    <t>27535126</t>
  </si>
  <si>
    <t>2091844515001</t>
  </si>
  <si>
    <t>2091844510002</t>
  </si>
  <si>
    <t>80003026</t>
  </si>
  <si>
    <t>33330103</t>
  </si>
  <si>
    <t>34015027</t>
  </si>
  <si>
    <t>34015035</t>
  </si>
  <si>
    <t>34015019</t>
  </si>
  <si>
    <t>83953742</t>
  </si>
  <si>
    <t>002208940330</t>
  </si>
  <si>
    <t>33332183</t>
  </si>
  <si>
    <t>33332373</t>
  </si>
  <si>
    <t>33332191</t>
  </si>
  <si>
    <t>33332513</t>
  </si>
  <si>
    <t>33332703</t>
  </si>
  <si>
    <t>8830000888</t>
  </si>
  <si>
    <t>0196066433</t>
  </si>
  <si>
    <t>0013537410</t>
  </si>
  <si>
    <t>1112011180840</t>
  </si>
  <si>
    <t>6019002400</t>
  </si>
  <si>
    <t>6011171718</t>
  </si>
  <si>
    <t>6581117485</t>
  </si>
  <si>
    <t>0076953873</t>
  </si>
  <si>
    <t>0076953874</t>
  </si>
  <si>
    <t>0076953875</t>
  </si>
  <si>
    <t>0076953876</t>
  </si>
  <si>
    <t>0076953877</t>
  </si>
  <si>
    <t>0076953878</t>
  </si>
  <si>
    <t>0076953879</t>
  </si>
  <si>
    <t>0076953880</t>
  </si>
  <si>
    <t>0076953881</t>
  </si>
  <si>
    <t>0076953882</t>
  </si>
  <si>
    <t>0076953883</t>
  </si>
  <si>
    <t>0076953884</t>
  </si>
  <si>
    <t>0076953885</t>
  </si>
  <si>
    <t>0076953886</t>
  </si>
  <si>
    <t>33289011</t>
  </si>
  <si>
    <t>33289037</t>
  </si>
  <si>
    <t>0128068007</t>
  </si>
  <si>
    <t>0128068112</t>
  </si>
  <si>
    <t>0128069119</t>
  </si>
  <si>
    <t>00236397505</t>
  </si>
  <si>
    <t>00236398005</t>
  </si>
  <si>
    <t>33422017</t>
  </si>
  <si>
    <t>33422025</t>
  </si>
  <si>
    <t>33421019</t>
  </si>
  <si>
    <t>33421027</t>
  </si>
  <si>
    <t>33421035</t>
  </si>
  <si>
    <t>33421043</t>
  </si>
  <si>
    <t>33421051</t>
  </si>
  <si>
    <t>33421803</t>
  </si>
  <si>
    <t>0196067472</t>
  </si>
  <si>
    <t>33425011</t>
  </si>
  <si>
    <t>80002052</t>
  </si>
  <si>
    <t>33439012</t>
  </si>
  <si>
    <t>0196067839</t>
  </si>
  <si>
    <t>0190274875</t>
  </si>
  <si>
    <t>012135513001</t>
  </si>
  <si>
    <t>012135513100</t>
  </si>
  <si>
    <t>0196067332</t>
  </si>
  <si>
    <t>002431278001</t>
  </si>
  <si>
    <t>002431278085</t>
  </si>
  <si>
    <t>0196067464</t>
  </si>
  <si>
    <t>2010069000</t>
  </si>
  <si>
    <t>FEB-22</t>
  </si>
  <si>
    <t>Cross check</t>
  </si>
  <si>
    <t xml:space="preserve">  Diff</t>
  </si>
  <si>
    <t>money market fund</t>
  </si>
  <si>
    <t>Unit: MM</t>
  </si>
  <si>
    <t>FEV</t>
  </si>
  <si>
    <t>FST</t>
  </si>
  <si>
    <t>1125</t>
  </si>
  <si>
    <t>BOA01-C8021</t>
  </si>
  <si>
    <t>10204150</t>
  </si>
  <si>
    <t>33528021</t>
  </si>
  <si>
    <t>FutureTechEVng</t>
  </si>
  <si>
    <t>C112500000</t>
  </si>
  <si>
    <t>1126</t>
  </si>
  <si>
    <t>10204160</t>
  </si>
  <si>
    <t>33529011</t>
  </si>
  <si>
    <t>FutureTech Solar</t>
  </si>
  <si>
    <t>C112600000</t>
  </si>
  <si>
    <t>1100000000287</t>
  </si>
  <si>
    <t>KTBTH</t>
  </si>
  <si>
    <t>1100000000072</t>
  </si>
  <si>
    <t>MAR-22</t>
  </si>
  <si>
    <t>Shall be zero</t>
  </si>
  <si>
    <t>Sub. Others: PTTEPI. PTTP SA, PTTEP MENA</t>
  </si>
  <si>
    <t>THB (USD Equi.)</t>
  </si>
  <si>
    <t>Unit: MMUSD</t>
  </si>
  <si>
    <t>ANZ01-S0001</t>
  </si>
  <si>
    <t>10301720</t>
  </si>
  <si>
    <t>523365USD00001</t>
  </si>
  <si>
    <t>ANZ</t>
  </si>
  <si>
    <t>APT</t>
  </si>
  <si>
    <t>DGH</t>
  </si>
  <si>
    <t>1122</t>
  </si>
  <si>
    <t>BOA01-C5019</t>
  </si>
  <si>
    <t>10204110</t>
  </si>
  <si>
    <t>33525019</t>
  </si>
  <si>
    <t>APT SG Holding</t>
  </si>
  <si>
    <t>Singapore</t>
  </si>
  <si>
    <t>C112200000</t>
  </si>
  <si>
    <t>1123</t>
  </si>
  <si>
    <t>BOA01-C6017</t>
  </si>
  <si>
    <t>10204120</t>
  </si>
  <si>
    <t>33526017</t>
  </si>
  <si>
    <t>DGH SG Holding</t>
  </si>
  <si>
    <t>C112300000</t>
  </si>
  <si>
    <t>1100000000199</t>
  </si>
  <si>
    <t>1100000000061</t>
  </si>
  <si>
    <t>1100000000288</t>
  </si>
  <si>
    <t>1100000000037</t>
  </si>
  <si>
    <t>1100000000201</t>
  </si>
  <si>
    <t>HSBLF</t>
  </si>
  <si>
    <r>
      <t xml:space="preserve">  </t>
    </r>
    <r>
      <rPr>
        <u/>
        <sz val="10"/>
        <rFont val="Arial"/>
        <family val="2"/>
      </rPr>
      <t>Joint Account</t>
    </r>
  </si>
  <si>
    <t>C1104</t>
  </si>
  <si>
    <t>PGH</t>
  </si>
  <si>
    <t>C1106</t>
  </si>
  <si>
    <t>POC</t>
  </si>
  <si>
    <t>C1107</t>
  </si>
  <si>
    <t>POC (Branch)</t>
  </si>
  <si>
    <t>C1108</t>
  </si>
  <si>
    <t>PDO</t>
  </si>
  <si>
    <t>C1109</t>
  </si>
  <si>
    <t>POHOL</t>
  </si>
  <si>
    <t>C1110</t>
  </si>
  <si>
    <t>PGC</t>
  </si>
  <si>
    <t>C1111</t>
  </si>
  <si>
    <t>PGC (UAE Branch)</t>
  </si>
  <si>
    <t>C1112</t>
  </si>
  <si>
    <t>AGP</t>
  </si>
  <si>
    <t>C1113</t>
  </si>
  <si>
    <t>PBC</t>
  </si>
  <si>
    <t>C1114</t>
  </si>
  <si>
    <t>PBL</t>
  </si>
  <si>
    <t>C1115</t>
  </si>
  <si>
    <t>PBO</t>
  </si>
  <si>
    <t>C1116</t>
  </si>
  <si>
    <t>PSC</t>
  </si>
  <si>
    <t>C1117</t>
  </si>
  <si>
    <t>PSP</t>
  </si>
  <si>
    <t>C1118</t>
  </si>
  <si>
    <t>POGHC</t>
  </si>
  <si>
    <t>C1119</t>
  </si>
  <si>
    <t>PKC</t>
  </si>
  <si>
    <t>C1120</t>
  </si>
  <si>
    <t>PANG</t>
  </si>
  <si>
    <t>C1121</t>
  </si>
  <si>
    <t>PEC</t>
  </si>
  <si>
    <t>C1122</t>
  </si>
  <si>
    <t>Asia Power and Transportation SG Holding Pte. Ltd.</t>
  </si>
  <si>
    <t>C1123</t>
  </si>
  <si>
    <t>Delta Gas Transportation SG Holding Pte. Ltd.</t>
  </si>
  <si>
    <t>C1125</t>
  </si>
  <si>
    <t>FutureTech Energy Ventures Company Limited</t>
  </si>
  <si>
    <t>C1126</t>
  </si>
  <si>
    <t>FutureTech Solar (Thailand) Company Limited</t>
  </si>
  <si>
    <t>last week partex</t>
  </si>
  <si>
    <t>BOA02-C5053</t>
  </si>
  <si>
    <t>10204180</t>
  </si>
  <si>
    <t>33425053</t>
  </si>
  <si>
    <t>&gt;&gt; Update Weekly</t>
  </si>
  <si>
    <t>BANK NAME</t>
  </si>
  <si>
    <t>BANK A/C NO.</t>
  </si>
  <si>
    <t>STATUS</t>
  </si>
  <si>
    <t>Amount in THB</t>
  </si>
  <si>
    <t>BOA</t>
  </si>
  <si>
    <t>Active</t>
  </si>
  <si>
    <t>6441077341</t>
  </si>
  <si>
    <t>6440000898</t>
  </si>
  <si>
    <t>ROVULA</t>
  </si>
  <si>
    <t>6440000938</t>
  </si>
  <si>
    <t>6445800052</t>
  </si>
  <si>
    <t>SKYLLER</t>
  </si>
  <si>
    <t>6440000920</t>
  </si>
  <si>
    <t>VARUNA</t>
  </si>
  <si>
    <t>6440000912</t>
  </si>
  <si>
    <t>CARIVA</t>
  </si>
  <si>
    <t>6440000904</t>
  </si>
  <si>
    <t>FX rate</t>
  </si>
  <si>
    <t>BOA07-C1902</t>
  </si>
  <si>
    <t>10204190</t>
  </si>
  <si>
    <t>33421902</t>
  </si>
  <si>
    <t>G1/61 (O) Sole</t>
  </si>
  <si>
    <t>574B</t>
  </si>
  <si>
    <t>O574B00000</t>
  </si>
  <si>
    <t>1100000000074</t>
  </si>
  <si>
    <t>1100000000203</t>
  </si>
  <si>
    <t>Amount in USD</t>
  </si>
  <si>
    <t>Net BAY</t>
  </si>
  <si>
    <t>ARV Group</t>
  </si>
  <si>
    <t>From ARV Team</t>
  </si>
  <si>
    <t>PTTEP JV For HBR Development (HSBC account)</t>
  </si>
  <si>
    <t>1100000000289</t>
  </si>
  <si>
    <t>ANZTH</t>
  </si>
  <si>
    <t>1100000000204</t>
  </si>
  <si>
    <t>APR-22</t>
  </si>
  <si>
    <t>C100700000</t>
  </si>
  <si>
    <t>1007</t>
  </si>
  <si>
    <t>C100800000</t>
  </si>
  <si>
    <t>1008</t>
  </si>
  <si>
    <t>C101800000</t>
  </si>
  <si>
    <t>1018</t>
  </si>
  <si>
    <t>C102000000</t>
  </si>
  <si>
    <t>1020</t>
  </si>
  <si>
    <t>C102700000</t>
  </si>
  <si>
    <t>1027</t>
  </si>
  <si>
    <t>C103500000</t>
  </si>
  <si>
    <t>1035</t>
  </si>
  <si>
    <t>C103600000</t>
  </si>
  <si>
    <t>1036</t>
  </si>
  <si>
    <t>C203800000</t>
  </si>
  <si>
    <t>2038</t>
  </si>
  <si>
    <t>C104400000</t>
  </si>
  <si>
    <t>1044</t>
  </si>
  <si>
    <t>C105400000</t>
  </si>
  <si>
    <t>1054</t>
  </si>
  <si>
    <t>C105500000</t>
  </si>
  <si>
    <t>1055</t>
  </si>
  <si>
    <t>C105800000</t>
  </si>
  <si>
    <t>1058</t>
  </si>
  <si>
    <t>C107000000</t>
  </si>
  <si>
    <t>1070</t>
  </si>
  <si>
    <t>C107300000</t>
  </si>
  <si>
    <t>1073</t>
  </si>
  <si>
    <t>C108000000</t>
  </si>
  <si>
    <t>1080</t>
  </si>
  <si>
    <t>C108200000</t>
  </si>
  <si>
    <t>1082</t>
  </si>
  <si>
    <t>C109600000</t>
  </si>
  <si>
    <t>C110400000</t>
  </si>
  <si>
    <t>C110600000</t>
  </si>
  <si>
    <t>1106</t>
  </si>
  <si>
    <t>C110700000</t>
  </si>
  <si>
    <t>1107</t>
  </si>
  <si>
    <t>C110800000</t>
  </si>
  <si>
    <t>1108</t>
  </si>
  <si>
    <t>C110900000</t>
  </si>
  <si>
    <t>1109</t>
  </si>
  <si>
    <t>C111000000</t>
  </si>
  <si>
    <t>1110</t>
  </si>
  <si>
    <t>C111100000</t>
  </si>
  <si>
    <t>1111</t>
  </si>
  <si>
    <t>C111200000</t>
  </si>
  <si>
    <t>1112</t>
  </si>
  <si>
    <t>C111300000</t>
  </si>
  <si>
    <t>1113</t>
  </si>
  <si>
    <t>C111400000</t>
  </si>
  <si>
    <t>1114</t>
  </si>
  <si>
    <t>C111500000</t>
  </si>
  <si>
    <t>1115</t>
  </si>
  <si>
    <t>C111600000</t>
  </si>
  <si>
    <t>1116</t>
  </si>
  <si>
    <t>C111700000</t>
  </si>
  <si>
    <t>1117</t>
  </si>
  <si>
    <t>C111800000</t>
  </si>
  <si>
    <t>1118</t>
  </si>
  <si>
    <t>C111900000</t>
  </si>
  <si>
    <t>1119</t>
  </si>
  <si>
    <t>C112000000</t>
  </si>
  <si>
    <t>1120</t>
  </si>
  <si>
    <t>C112100000</t>
  </si>
  <si>
    <t>1121</t>
  </si>
  <si>
    <t>E10000000</t>
  </si>
  <si>
    <t>From JV and sub Sheet</t>
  </si>
  <si>
    <t>Sales</t>
  </si>
  <si>
    <t xml:space="preserve">ARV </t>
  </si>
  <si>
    <t>1100000000075</t>
  </si>
  <si>
    <t>1100000000076</t>
  </si>
  <si>
    <t>1100000000077</t>
  </si>
  <si>
    <t>check</t>
  </si>
  <si>
    <t>Investment เลือก Company 1001 and 1086 copy paste</t>
  </si>
  <si>
    <t>MGTC</t>
  </si>
  <si>
    <t>JV others:  Groupement (AG), Natuna, M9, PTT GL</t>
  </si>
  <si>
    <t>1100000000290</t>
  </si>
  <si>
    <t>1100000000205</t>
  </si>
  <si>
    <t>1100000000206</t>
  </si>
  <si>
    <t>cut off</t>
  </si>
  <si>
    <t>Deposit</t>
  </si>
  <si>
    <t>Partex cash call</t>
  </si>
  <si>
    <t>28/02/2022</t>
  </si>
  <si>
    <t>01.03.2022 , 14:07:28</t>
  </si>
  <si>
    <t>32.72635</t>
  </si>
  <si>
    <t>0.19315</t>
  </si>
  <si>
    <t>0.03056</t>
  </si>
  <si>
    <t>Cash position report - 28/02/2022</t>
  </si>
  <si>
    <t>MEP cash call</t>
  </si>
  <si>
    <t>VAT</t>
  </si>
  <si>
    <t>Royalty</t>
  </si>
  <si>
    <t>Yanada</t>
  </si>
  <si>
    <t>M9  cash call</t>
  </si>
  <si>
    <t>Salary</t>
  </si>
  <si>
    <t>As at 28 February 2022</t>
  </si>
  <si>
    <t>Salary 15 M$, Employee benefit 6 M$</t>
  </si>
  <si>
    <t>employee benefit</t>
  </si>
  <si>
    <t>Partex Sales 34 M$ , Sales 82 M$, Partex cash call 2.37 M$, Mexico cash call 1.79 M$, ED cut off</t>
  </si>
  <si>
    <t>ED cutoff</t>
  </si>
  <si>
    <t>Sales 146 M$, VAT 22 M$, Royalty 1.3 M$, Cut off 62 M$, Cash call EU1 E5N 1 M$</t>
  </si>
  <si>
    <t>Cash call SP</t>
  </si>
  <si>
    <t>Reserve fund ZTK 4 M$</t>
  </si>
  <si>
    <t>Reserve fund ZTK</t>
  </si>
  <si>
    <t>For UOB, 100M$ = 0.3% and &gt;100M$ = 0.25%</t>
  </si>
  <si>
    <t>DATE : FEBRUARY 28, 2022</t>
  </si>
  <si>
    <t>SBO SKO sales</t>
  </si>
  <si>
    <t>SKO SBO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</si>
</sst>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1" formatCode="_(* #,##0_);_(* \(#,##0\);_(* &quot;-&quot;_);_(@_)"/>
    <numFmt numFmtId="43" formatCode="_(* #,##0.00_);_(* \(#,##0.00\);_(* &quot;-&quot;??_);_(@_)"/>
    <numFmt numFmtId="164" formatCode="#,##0.00_-"/>
    <numFmt numFmtId="165" formatCode="_(* #,##0_);_(* \(#,##0\);_(* &quot;-&quot;??_);_(@_)"/>
    <numFmt numFmtId="166" formatCode="#,##0_-"/>
    <numFmt numFmtId="167" formatCode="0.000000"/>
    <numFmt numFmtId="168" formatCode="0.000"/>
    <numFmt numFmtId="169" formatCode="0.0000000"/>
    <numFmt numFmtId="170" formatCode="_(* #,##0_);_(* \(#,##0\);_(* &quot;-&quot;??????_);_(@_)"/>
    <numFmt numFmtId="171" formatCode="_(* #,##0.0000_);_(* \(#,##0.0000\);_(* &quot;-&quot;_);_(@_)"/>
    <numFmt numFmtId="172" formatCode="0.0"/>
    <numFmt numFmtId="173" formatCode="_(* #,##0.0_);_(* \(#,##0.0\);_(* &quot;-&quot;??_);_(@_)"/>
    <numFmt numFmtId="174" formatCode="_(* #,##0.0_);_(* \(#,##0.0\);_(* &quot;-&quot;?_);_(@_)"/>
    <numFmt numFmtId="175" formatCode="0.0%"/>
    <numFmt numFmtId="176" formatCode="0.0000000000000000%"/>
    <numFmt numFmtId="177" formatCode="0.000%"/>
    <numFmt numFmtId="178" formatCode="_(* #,##0.00_);_(* \(#,##0.00\);_(* &quot;-&quot;?_);_(@_)"/>
  </numFmts>
  <fonts count="93">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000000"/>
      <name val="Calibri"/>
      <family val="2"/>
      <scheme val="minor"/>
    </font>
    <font>
      <b/>
      <sz val="11"/>
      <color theme="0"/>
      <name val="Calibri"/>
      <family val="2"/>
      <scheme val="minor"/>
    </font>
    <font>
      <b/>
      <sz val="11"/>
      <color rgb="FF000000"/>
      <name val="Calibri"/>
      <family val="2"/>
      <scheme val="minor"/>
    </font>
    <font>
      <sz val="10"/>
      <name val="Arial"/>
      <family val="2"/>
    </font>
    <font>
      <b/>
      <u/>
      <sz val="10"/>
      <name val="Arial"/>
      <family val="2"/>
    </font>
    <font>
      <b/>
      <sz val="10"/>
      <name val="Arial"/>
      <family val="2"/>
    </font>
    <font>
      <b/>
      <sz val="8"/>
      <color rgb="FF0070C0"/>
      <name val="Arial"/>
      <family val="2"/>
    </font>
    <font>
      <sz val="8"/>
      <color rgb="FF0070C0"/>
      <name val="Arial"/>
      <family val="2"/>
    </font>
    <font>
      <sz val="8"/>
      <color rgb="FF000000"/>
      <name val="Calibri"/>
      <family val="2"/>
      <scheme val="minor"/>
    </font>
    <font>
      <sz val="8"/>
      <color theme="5" tint="-0.249977111117893"/>
      <name val="Arial"/>
      <family val="2"/>
    </font>
    <font>
      <b/>
      <sz val="8"/>
      <color theme="5" tint="-0.249977111117893"/>
      <name val="Arial"/>
      <family val="2"/>
    </font>
    <font>
      <sz val="11"/>
      <name val="Calibri"/>
      <family val="2"/>
      <scheme val="minor"/>
    </font>
    <font>
      <sz val="8"/>
      <name val="Calibri"/>
      <family val="2"/>
      <scheme val="minor"/>
    </font>
    <font>
      <b/>
      <sz val="11"/>
      <color rgb="FFC00000"/>
      <name val="Calibri"/>
      <family val="2"/>
      <scheme val="minor"/>
    </font>
    <font>
      <b/>
      <sz val="10"/>
      <color rgb="FF000000"/>
      <name val="Calibri"/>
      <family val="2"/>
      <scheme val="minor"/>
    </font>
    <font>
      <b/>
      <sz val="16"/>
      <color theme="0"/>
      <name val="Calibri"/>
      <family val="2"/>
      <scheme val="minor"/>
    </font>
    <font>
      <sz val="8"/>
      <color theme="0"/>
      <name val="Calibri"/>
      <family val="2"/>
      <scheme val="minor"/>
    </font>
    <font>
      <b/>
      <sz val="9"/>
      <color theme="5" tint="-0.249977111117893"/>
      <name val="Calibri"/>
      <family val="2"/>
      <scheme val="minor"/>
    </font>
    <font>
      <b/>
      <sz val="11"/>
      <color rgb="FF002060"/>
      <name val="Calibri"/>
      <family val="2"/>
      <scheme val="minor"/>
    </font>
    <font>
      <b/>
      <sz val="10"/>
      <name val="Calibri"/>
      <family val="2"/>
      <scheme val="minor"/>
    </font>
    <font>
      <b/>
      <sz val="12"/>
      <name val="Arial"/>
      <family val="2"/>
    </font>
    <font>
      <sz val="9"/>
      <name val="Arial"/>
      <family val="2"/>
    </font>
    <font>
      <b/>
      <sz val="9"/>
      <name val="Arial"/>
      <family val="2"/>
    </font>
    <font>
      <u/>
      <sz val="10"/>
      <name val="Arial"/>
      <family val="2"/>
    </font>
    <font>
      <sz val="12"/>
      <name val="Arial"/>
      <family val="2"/>
    </font>
    <font>
      <i/>
      <sz val="9"/>
      <name val="Arial"/>
      <family val="2"/>
    </font>
    <font>
      <b/>
      <i/>
      <sz val="12"/>
      <name val="Arial"/>
      <family val="2"/>
    </font>
    <font>
      <b/>
      <i/>
      <sz val="10"/>
      <name val="Arial"/>
      <family val="2"/>
    </font>
    <font>
      <sz val="8"/>
      <name val="Arial"/>
      <family val="2"/>
    </font>
    <font>
      <b/>
      <u val="singleAccounting"/>
      <sz val="8"/>
      <name val="Arial"/>
      <family val="2"/>
    </font>
    <font>
      <b/>
      <i/>
      <sz val="8"/>
      <name val="Arial"/>
      <family val="2"/>
    </font>
    <font>
      <i/>
      <sz val="8"/>
      <name val="Arial"/>
      <family val="2"/>
    </font>
    <font>
      <sz val="10"/>
      <color rgb="FF626262"/>
      <name val="Tahoma"/>
      <family val="2"/>
    </font>
    <font>
      <b/>
      <sz val="10"/>
      <color rgb="FF000000"/>
      <name val="Arial"/>
      <family val="2"/>
    </font>
    <font>
      <sz val="10"/>
      <color theme="1"/>
      <name val="Arial"/>
      <family val="2"/>
    </font>
    <font>
      <b/>
      <sz val="10"/>
      <color rgb="FFFFFFFF"/>
      <name val="Arial"/>
      <family val="2"/>
    </font>
    <font>
      <sz val="11"/>
      <color theme="1"/>
      <name val="Arial"/>
      <family val="2"/>
    </font>
    <font>
      <sz val="10"/>
      <color rgb="FF0070C0"/>
      <name val="Arial"/>
      <family val="2"/>
    </font>
    <font>
      <b/>
      <sz val="9"/>
      <color indexed="81"/>
      <name val="Tahoma"/>
      <family val="2"/>
    </font>
    <font>
      <sz val="9"/>
      <color indexed="81"/>
      <name val="Tahoma"/>
      <family val="2"/>
    </font>
    <font>
      <sz val="11"/>
      <color rgb="FFFF0000"/>
      <name val="Calibri"/>
      <family val="2"/>
      <scheme val="minor"/>
    </font>
    <font>
      <b/>
      <sz val="11"/>
      <color theme="1"/>
      <name val="Calibri"/>
      <family val="2"/>
      <scheme val="minor"/>
    </font>
    <font>
      <b/>
      <sz val="11"/>
      <color rgb="FFC00000"/>
      <name val="Arial"/>
      <family val="2"/>
    </font>
    <font>
      <b/>
      <u/>
      <sz val="11"/>
      <color rgb="FFC00000"/>
      <name val="Arial"/>
      <family val="2"/>
    </font>
    <font>
      <sz val="10"/>
      <color indexed="9"/>
      <name val="tahoma"/>
      <family val="2"/>
    </font>
    <font>
      <b/>
      <sz val="10"/>
      <color rgb="FF0070C0"/>
      <name val="Arial"/>
      <family val="2"/>
    </font>
    <font>
      <b/>
      <sz val="10"/>
      <color rgb="FFFF0000"/>
      <name val="Arial"/>
      <family val="2"/>
    </font>
    <font>
      <sz val="8"/>
      <color rgb="FFFF0000"/>
      <name val="Calibri"/>
      <family val="2"/>
      <scheme val="minor"/>
    </font>
    <font>
      <b/>
      <sz val="9"/>
      <name val="Calibri"/>
      <family val="2"/>
      <scheme val="minor"/>
    </font>
    <font>
      <sz val="11"/>
      <color theme="6" tint="-0.249977111117893"/>
      <name val="Calibri"/>
      <family val="2"/>
      <scheme val="minor"/>
    </font>
    <font>
      <b/>
      <sz val="11"/>
      <color rgb="FFFF0000"/>
      <name val="Calibri"/>
      <family val="2"/>
      <scheme val="minor"/>
    </font>
    <font>
      <sz val="10"/>
      <color rgb="FF0070C0"/>
      <name val="Calibri"/>
      <family val="2"/>
      <scheme val="minor"/>
    </font>
    <font>
      <b/>
      <sz val="10"/>
      <color theme="1"/>
      <name val="Arial"/>
      <family val="2"/>
    </font>
    <font>
      <sz val="10"/>
      <name val="Arial"/>
      <family val="2"/>
    </font>
    <font>
      <sz val="10"/>
      <name val="Arial"/>
      <family val="2"/>
    </font>
    <font>
      <b/>
      <sz val="10"/>
      <color theme="0"/>
      <name val="Arial"/>
      <family val="2"/>
    </font>
    <font>
      <sz val="8"/>
      <color theme="5" tint="-0.249977111117893"/>
      <name val="Arial"/>
      <family val="2"/>
    </font>
    <font>
      <sz val="11"/>
      <color rgb="FF000000"/>
      <name val="Calibri"/>
      <family val="2"/>
    </font>
    <font>
      <b/>
      <i/>
      <sz val="11"/>
      <color rgb="FFFF0000"/>
      <name val="Calibri"/>
      <family val="2"/>
      <scheme val="minor"/>
    </font>
    <font>
      <b/>
      <u/>
      <sz val="11"/>
      <color theme="1"/>
      <name val="Calibri"/>
      <family val="2"/>
      <scheme val="minor"/>
    </font>
    <font>
      <b/>
      <sz val="9"/>
      <color theme="0"/>
      <name val="Calibri"/>
      <family val="2"/>
      <scheme val="minor"/>
    </font>
    <font>
      <sz val="9"/>
      <color theme="1"/>
      <name val="Calibri"/>
      <family val="2"/>
      <scheme val="minor"/>
    </font>
    <font>
      <sz val="9"/>
      <name val="Calibri"/>
      <family val="2"/>
      <scheme val="minor"/>
    </font>
    <font>
      <sz val="9"/>
      <color rgb="FFFF0000"/>
      <name val="Calibri"/>
      <family val="2"/>
      <scheme val="minor"/>
    </font>
    <font>
      <sz val="10"/>
      <color rgb="FFFF0000"/>
      <name val="Arial"/>
      <family val="2"/>
    </font>
    <font>
      <sz val="10"/>
      <name val="Arial"/>
      <family val="2"/>
    </font>
    <font>
      <b/>
      <i/>
      <sz val="10"/>
      <color rgb="FFFF0000"/>
      <name val="Arial"/>
      <family val="2"/>
    </font>
  </fonts>
  <fills count="47">
    <fill>
      <patternFill patternType="none"/>
    </fill>
    <fill>
      <patternFill patternType="gray125"/>
    </fill>
    <fill>
      <patternFill patternType="solid">
        <fgColor rgb="FF80CCFF"/>
      </patternFill>
    </fill>
    <fill>
      <patternFill patternType="solid">
        <fgColor rgb="FFFFFF00"/>
      </patternFill>
    </fill>
    <fill>
      <patternFill patternType="solid">
        <fgColor rgb="FFFFFF00"/>
        <bgColor indexed="64"/>
      </patternFill>
    </fill>
    <fill>
      <patternFill patternType="solid">
        <fgColor theme="5" tint="0.39997558519241921"/>
        <bgColor indexed="64"/>
      </patternFill>
    </fill>
    <fill>
      <patternFill patternType="solid">
        <fgColor rgb="FF002060"/>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indexed="22"/>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2"/>
        <bgColor indexed="64"/>
      </patternFill>
    </fill>
    <fill>
      <patternFill patternType="solid">
        <fgColor theme="9" tint="-0.49998474074526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B8B8B8"/>
        <bgColor indexed="64"/>
      </patternFill>
    </fill>
    <fill>
      <patternFill patternType="solid">
        <fgColor rgb="FF41697D"/>
        <bgColor indexed="64"/>
      </patternFill>
    </fill>
    <fill>
      <patternFill patternType="solid">
        <fgColor indexed="9"/>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indexed="49"/>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5" tint="0.59999389629810485"/>
        <bgColor theme="0" tint="-0.14999847407452621"/>
      </patternFill>
    </fill>
    <fill>
      <patternFill patternType="solid">
        <fgColor rgb="FFFFFF00"/>
        <bgColor theme="0" tint="-0.14999847407452621"/>
      </patternFill>
    </fill>
    <fill>
      <patternFill patternType="solid">
        <fgColor theme="9" tint="0.79998168889431442"/>
        <bgColor theme="0" tint="-0.14999847407452621"/>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4" tint="0.79998168889431442"/>
        <bgColor theme="0" tint="-0.14999847407452621"/>
      </patternFill>
    </fill>
    <fill>
      <patternFill patternType="solid">
        <fgColor theme="4" tint="0.59999389629810485"/>
        <bgColor indexed="64"/>
      </patternFill>
    </fill>
    <fill>
      <patternFill patternType="solid">
        <fgColor rgb="FF0070C0"/>
        <bgColor indexed="64"/>
      </patternFill>
    </fill>
    <fill>
      <patternFill patternType="solid">
        <fgColor rgb="FF00B050"/>
        <bgColor indexed="64"/>
      </patternFill>
    </fill>
    <fill>
      <patternFill patternType="solid">
        <fgColor rgb="FF00B0F0"/>
        <bgColor indexed="64"/>
      </patternFill>
    </fill>
    <fill>
      <patternFill patternType="solid">
        <fgColor theme="6" tint="0.39997558519241921"/>
        <bgColor indexed="64"/>
      </patternFill>
    </fill>
  </fills>
  <borders count="7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style="thin">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999999"/>
      </left>
      <right style="thin">
        <color rgb="FF999999"/>
      </right>
      <top style="hair">
        <color rgb="FFB8B8B8"/>
      </top>
      <bottom style="hair">
        <color rgb="FFB8B8B8"/>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55"/>
      </left>
      <right style="thin">
        <color indexed="55"/>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diagonal/>
    </border>
    <border>
      <left/>
      <right style="thin">
        <color indexed="64"/>
      </right>
      <top/>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indexed="64"/>
      </bottom>
      <diagonal/>
    </border>
    <border>
      <left/>
      <right/>
      <top/>
      <bottom style="medium">
        <color rgb="FFFF0000"/>
      </bottom>
      <diagonal/>
    </border>
    <border>
      <left/>
      <right style="thin">
        <color indexed="64"/>
      </right>
      <top style="medium">
        <color rgb="FFFF0000"/>
      </top>
      <bottom style="thin">
        <color theme="4" tint="0.39997558519241921"/>
      </bottom>
      <diagonal/>
    </border>
    <border>
      <left style="thin">
        <color indexed="64"/>
      </left>
      <right/>
      <top/>
      <bottom style="medium">
        <color rgb="FFFF0000"/>
      </bottom>
      <diagonal/>
    </border>
    <border>
      <left style="thin">
        <color indexed="64"/>
      </left>
      <right/>
      <top style="thin">
        <color theme="4" tint="0.39997558519241921"/>
      </top>
      <bottom style="thin">
        <color indexed="64"/>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rgb="FF000000"/>
      </left>
      <right/>
      <top/>
      <bottom/>
      <diagonal/>
    </border>
    <border>
      <left/>
      <right style="thin">
        <color indexed="64"/>
      </right>
      <top/>
      <bottom style="thin">
        <color theme="4" tint="0.3999755851924192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style="medium">
        <color rgb="FFFF0000"/>
      </right>
      <top/>
      <bottom style="medium">
        <color rgb="FFFF0000"/>
      </bottom>
      <diagonal/>
    </border>
  </borders>
  <cellStyleXfs count="10">
    <xf numFmtId="0" fontId="0" fillId="0" borderId="0"/>
    <xf numFmtId="43" fontId="26" fillId="0" borderId="0" applyFont="0" applyFill="0" applyBorder="0" applyAlignment="0" applyProtection="0"/>
    <xf numFmtId="9" fontId="26" fillId="0" borderId="0" applyFont="0" applyFill="0" applyBorder="0" applyAlignment="0" applyProtection="0"/>
    <xf numFmtId="0" fontId="29" fillId="0" borderId="0"/>
    <xf numFmtId="0" fontId="29" fillId="0" borderId="0">
      <alignment vertical="center"/>
    </xf>
    <xf numFmtId="43" fontId="29" fillId="0" borderId="0" applyFont="0" applyFill="0" applyBorder="0" applyAlignment="0" applyProtection="0">
      <alignment vertical="center"/>
    </xf>
    <xf numFmtId="0" fontId="24" fillId="0" borderId="0"/>
    <xf numFmtId="9" fontId="29" fillId="0" borderId="0" applyFont="0" applyFill="0" applyBorder="0" applyAlignment="0" applyProtection="0"/>
    <xf numFmtId="0" fontId="23" fillId="0" borderId="0"/>
    <xf numFmtId="43" fontId="23" fillId="0" borderId="0" applyFont="0" applyFill="0" applyBorder="0" applyAlignment="0" applyProtection="0"/>
  </cellStyleXfs>
  <cellXfs count="598">
    <xf numFmtId="0" fontId="0" fillId="0" borderId="0" xfId="0"/>
    <xf numFmtId="49" fontId="25" fillId="2" borderId="1" xfId="0" applyNumberFormat="1" applyFont="1" applyFill="1" applyBorder="1" applyAlignment="1">
      <alignment horizontal="center" vertical="center"/>
    </xf>
    <xf numFmtId="49" fontId="25" fillId="0" borderId="1" xfId="0" applyNumberFormat="1" applyFont="1" applyBorder="1" applyAlignment="1">
      <alignment horizontal="left" vertical="center"/>
    </xf>
    <xf numFmtId="49" fontId="25" fillId="3" borderId="1" xfId="0" applyNumberFormat="1" applyFont="1" applyFill="1" applyBorder="1" applyAlignment="1">
      <alignment horizontal="center" vertical="center"/>
    </xf>
    <xf numFmtId="0" fontId="28" fillId="4" borderId="0" xfId="0" applyFont="1" applyFill="1" applyAlignment="1">
      <alignment horizontal="center"/>
    </xf>
    <xf numFmtId="0" fontId="28" fillId="5" borderId="0" xfId="0" applyFont="1" applyFill="1" applyAlignment="1">
      <alignment horizontal="center"/>
    </xf>
    <xf numFmtId="0" fontId="28" fillId="4" borderId="0" xfId="0" applyFont="1" applyFill="1"/>
    <xf numFmtId="43" fontId="28" fillId="4" borderId="0" xfId="1" applyFont="1" applyFill="1"/>
    <xf numFmtId="0" fontId="0" fillId="6" borderId="0" xfId="0" applyFill="1"/>
    <xf numFmtId="0" fontId="27" fillId="6" borderId="0" xfId="0" applyFont="1" applyFill="1"/>
    <xf numFmtId="0" fontId="0" fillId="7" borderId="0" xfId="0" applyFill="1"/>
    <xf numFmtId="0" fontId="28" fillId="0" borderId="0" xfId="0" applyFont="1"/>
    <xf numFmtId="0" fontId="28" fillId="0" borderId="0" xfId="0" applyFont="1" applyAlignment="1">
      <alignment horizontal="center"/>
    </xf>
    <xf numFmtId="0" fontId="0" fillId="4" borderId="0" xfId="0" applyFill="1"/>
    <xf numFmtId="165" fontId="0" fillId="0" borderId="0" xfId="1" applyNumberFormat="1" applyFont="1"/>
    <xf numFmtId="165" fontId="28" fillId="0" borderId="3" xfId="1" applyNumberFormat="1" applyFont="1" applyBorder="1"/>
    <xf numFmtId="165" fontId="0" fillId="0" borderId="0" xfId="0" applyNumberFormat="1"/>
    <xf numFmtId="164" fontId="25" fillId="7" borderId="2" xfId="0" applyNumberFormat="1" applyFont="1" applyFill="1" applyBorder="1" applyAlignment="1">
      <alignment horizontal="right" vertical="center"/>
    </xf>
    <xf numFmtId="49" fontId="25" fillId="7" borderId="0" xfId="0" applyNumberFormat="1" applyFont="1" applyFill="1" applyAlignment="1">
      <alignment horizontal="left" vertical="center"/>
    </xf>
    <xf numFmtId="49" fontId="25" fillId="7" borderId="1" xfId="0" applyNumberFormat="1" applyFont="1" applyFill="1" applyBorder="1" applyAlignment="1">
      <alignment horizontal="center" vertical="center"/>
    </xf>
    <xf numFmtId="49" fontId="25" fillId="7" borderId="1" xfId="0" applyNumberFormat="1" applyFont="1" applyFill="1" applyBorder="1" applyAlignment="1">
      <alignment horizontal="left" vertical="center"/>
    </xf>
    <xf numFmtId="166" fontId="25" fillId="0" borderId="2" xfId="0" applyNumberFormat="1" applyFont="1" applyBorder="1" applyAlignment="1">
      <alignment horizontal="right" vertical="center"/>
    </xf>
    <xf numFmtId="166" fontId="25" fillId="3" borderId="2" xfId="0" applyNumberFormat="1" applyFont="1" applyFill="1" applyBorder="1" applyAlignment="1">
      <alignment horizontal="right" vertical="center"/>
    </xf>
    <xf numFmtId="9" fontId="0" fillId="0" borderId="0" xfId="2" applyFont="1"/>
    <xf numFmtId="165" fontId="28" fillId="0" borderId="0" xfId="1" applyNumberFormat="1" applyFont="1" applyBorder="1"/>
    <xf numFmtId="49" fontId="25" fillId="2" borderId="4" xfId="0" applyNumberFormat="1" applyFont="1" applyFill="1" applyBorder="1" applyAlignment="1">
      <alignment horizontal="center" vertical="center"/>
    </xf>
    <xf numFmtId="0" fontId="0" fillId="0" borderId="0" xfId="0" applyFill="1" applyBorder="1"/>
    <xf numFmtId="49" fontId="25" fillId="0" borderId="0" xfId="0" applyNumberFormat="1" applyFont="1" applyFill="1" applyBorder="1" applyAlignment="1">
      <alignment horizontal="center" vertical="center"/>
    </xf>
    <xf numFmtId="9" fontId="25" fillId="0" borderId="0" xfId="2" applyFont="1" applyFill="1" applyBorder="1" applyAlignment="1">
      <alignment horizontal="right" vertical="center"/>
    </xf>
    <xf numFmtId="49" fontId="25" fillId="0" borderId="4" xfId="0" applyNumberFormat="1" applyFont="1" applyBorder="1" applyAlignment="1">
      <alignment horizontal="left" vertical="center"/>
    </xf>
    <xf numFmtId="166" fontId="25" fillId="0" borderId="4" xfId="0" applyNumberFormat="1" applyFont="1" applyBorder="1" applyAlignment="1">
      <alignment horizontal="right" vertical="center"/>
    </xf>
    <xf numFmtId="49" fontId="25" fillId="3" borderId="4" xfId="0" applyNumberFormat="1" applyFont="1" applyFill="1" applyBorder="1" applyAlignment="1">
      <alignment horizontal="center" vertical="center"/>
    </xf>
    <xf numFmtId="166" fontId="25" fillId="3" borderId="4" xfId="0" applyNumberFormat="1" applyFont="1" applyFill="1" applyBorder="1" applyAlignment="1">
      <alignment horizontal="right" vertical="center"/>
    </xf>
    <xf numFmtId="0" fontId="0" fillId="0" borderId="4" xfId="0" applyBorder="1"/>
    <xf numFmtId="49" fontId="25" fillId="0" borderId="0" xfId="0" applyNumberFormat="1" applyFont="1" applyFill="1" applyBorder="1" applyAlignment="1">
      <alignment horizontal="left" vertical="center"/>
    </xf>
    <xf numFmtId="49" fontId="25" fillId="2" borderId="5" xfId="0" applyNumberFormat="1" applyFont="1" applyFill="1" applyBorder="1" applyAlignment="1">
      <alignment horizontal="center" vertical="center"/>
    </xf>
    <xf numFmtId="0" fontId="0" fillId="0" borderId="0" xfId="0" applyAlignment="1">
      <alignment horizontal="center"/>
    </xf>
    <xf numFmtId="0" fontId="0" fillId="4" borderId="6" xfId="0" applyFill="1" applyBorder="1"/>
    <xf numFmtId="165" fontId="0" fillId="4" borderId="6" xfId="0" applyNumberFormat="1" applyFill="1" applyBorder="1"/>
    <xf numFmtId="165" fontId="0" fillId="0" borderId="4" xfId="1" applyNumberFormat="1" applyFont="1" applyBorder="1"/>
    <xf numFmtId="49" fontId="25" fillId="8" borderId="0" xfId="0" applyNumberFormat="1" applyFont="1" applyFill="1" applyBorder="1" applyAlignment="1">
      <alignment horizontal="left" vertical="center"/>
    </xf>
    <xf numFmtId="49" fontId="25" fillId="8" borderId="0" xfId="0" applyNumberFormat="1" applyFont="1" applyFill="1" applyBorder="1" applyAlignment="1">
      <alignment horizontal="center" vertical="center"/>
    </xf>
    <xf numFmtId="0" fontId="0" fillId="8" borderId="0" xfId="0" applyFill="1"/>
    <xf numFmtId="0" fontId="34" fillId="0" borderId="0" xfId="0" applyFont="1" applyAlignment="1">
      <alignment vertical="center"/>
    </xf>
    <xf numFmtId="0" fontId="37" fillId="9" borderId="0" xfId="0" applyFont="1" applyFill="1"/>
    <xf numFmtId="0" fontId="38" fillId="9" borderId="0" xfId="0" applyFont="1" applyFill="1" applyAlignment="1">
      <alignment vertical="center"/>
    </xf>
    <xf numFmtId="0" fontId="29" fillId="10" borderId="4" xfId="3" applyFill="1" applyBorder="1" applyAlignment="1">
      <alignment vertical="top"/>
    </xf>
    <xf numFmtId="0" fontId="29" fillId="10" borderId="4" xfId="3" applyFill="1" applyBorder="1" applyAlignment="1">
      <alignment vertical="top" wrapText="1"/>
    </xf>
    <xf numFmtId="0" fontId="29" fillId="0" borderId="0" xfId="3" applyAlignment="1">
      <alignment vertical="top"/>
    </xf>
    <xf numFmtId="14" fontId="29" fillId="0" borderId="0" xfId="3" applyNumberFormat="1" applyAlignment="1">
      <alignment horizontal="right" vertical="top"/>
    </xf>
    <xf numFmtId="2" fontId="29" fillId="0" borderId="0" xfId="3" applyNumberFormat="1" applyAlignment="1">
      <alignment horizontal="right" vertical="top"/>
    </xf>
    <xf numFmtId="167" fontId="29" fillId="0" borderId="0" xfId="3" applyNumberFormat="1" applyAlignment="1">
      <alignment horizontal="right" vertical="top"/>
    </xf>
    <xf numFmtId="1" fontId="29" fillId="0" borderId="0" xfId="3" applyNumberFormat="1" applyAlignment="1">
      <alignment horizontal="right" vertical="top"/>
    </xf>
    <xf numFmtId="168" fontId="29" fillId="0" borderId="0" xfId="3" applyNumberFormat="1" applyAlignment="1">
      <alignment horizontal="right" vertical="top"/>
    </xf>
    <xf numFmtId="43" fontId="29" fillId="0" borderId="0" xfId="1" applyFont="1" applyAlignment="1">
      <alignment vertical="top"/>
    </xf>
    <xf numFmtId="165" fontId="29" fillId="10" borderId="4" xfId="1" applyNumberFormat="1" applyFont="1" applyFill="1" applyBorder="1" applyAlignment="1">
      <alignment vertical="top"/>
    </xf>
    <xf numFmtId="165" fontId="29" fillId="0" borderId="0" xfId="1" applyNumberFormat="1" applyFont="1" applyAlignment="1">
      <alignment vertical="top"/>
    </xf>
    <xf numFmtId="0" fontId="29" fillId="9" borderId="0" xfId="3" applyFill="1" applyAlignment="1">
      <alignment vertical="top"/>
    </xf>
    <xf numFmtId="0" fontId="29" fillId="9" borderId="4" xfId="3" applyFill="1" applyBorder="1" applyAlignment="1">
      <alignment vertical="top"/>
    </xf>
    <xf numFmtId="169" fontId="29" fillId="0" borderId="0" xfId="3" applyNumberFormat="1" applyAlignment="1">
      <alignment horizontal="right" vertical="top"/>
    </xf>
    <xf numFmtId="0" fontId="30" fillId="0" borderId="0" xfId="3" applyFont="1" applyAlignment="1">
      <alignment vertical="top"/>
    </xf>
    <xf numFmtId="0" fontId="31" fillId="0" borderId="0" xfId="3" applyFont="1" applyAlignment="1">
      <alignment horizontal="center" vertical="top"/>
    </xf>
    <xf numFmtId="43" fontId="29" fillId="0" borderId="0" xfId="3" applyNumberFormat="1" applyAlignment="1">
      <alignment vertical="top"/>
    </xf>
    <xf numFmtId="170" fontId="29" fillId="0" borderId="0" xfId="3" applyNumberFormat="1" applyAlignment="1">
      <alignment vertical="top"/>
    </xf>
    <xf numFmtId="165" fontId="29" fillId="0" borderId="0" xfId="3" applyNumberFormat="1" applyAlignment="1">
      <alignment vertical="top"/>
    </xf>
    <xf numFmtId="165" fontId="29" fillId="0" borderId="6" xfId="3" applyNumberFormat="1" applyBorder="1" applyAlignment="1">
      <alignment vertical="top"/>
    </xf>
    <xf numFmtId="43" fontId="29" fillId="0" borderId="0" xfId="1" applyNumberFormat="1" applyFont="1" applyAlignment="1">
      <alignment vertical="top"/>
    </xf>
    <xf numFmtId="9" fontId="29" fillId="0" borderId="0" xfId="2" applyFont="1" applyAlignment="1">
      <alignment vertical="top"/>
    </xf>
    <xf numFmtId="10" fontId="29" fillId="0" borderId="0" xfId="2" applyNumberFormat="1" applyFont="1" applyAlignment="1">
      <alignment vertical="top"/>
    </xf>
    <xf numFmtId="0" fontId="31" fillId="11" borderId="0" xfId="3" applyFont="1" applyFill="1" applyAlignment="1">
      <alignment horizontal="center" vertical="top"/>
    </xf>
    <xf numFmtId="10" fontId="29" fillId="0" borderId="6" xfId="2" applyNumberFormat="1" applyFont="1" applyBorder="1" applyAlignment="1">
      <alignment vertical="top"/>
    </xf>
    <xf numFmtId="10" fontId="29" fillId="0" borderId="0" xfId="3" applyNumberFormat="1" applyAlignment="1">
      <alignment vertical="top"/>
    </xf>
    <xf numFmtId="0" fontId="35" fillId="0" borderId="0" xfId="0" applyFont="1" applyFill="1" applyAlignment="1">
      <alignment vertical="center"/>
    </xf>
    <xf numFmtId="0" fontId="34" fillId="0" borderId="0" xfId="0" applyFont="1" applyFill="1" applyAlignment="1">
      <alignment vertical="center"/>
    </xf>
    <xf numFmtId="0" fontId="39" fillId="0" borderId="0" xfId="0" applyFont="1"/>
    <xf numFmtId="0" fontId="29" fillId="12" borderId="0" xfId="3" applyFill="1" applyAlignment="1">
      <alignment vertical="top"/>
    </xf>
    <xf numFmtId="165" fontId="31" fillId="0" borderId="6" xfId="3" applyNumberFormat="1" applyFont="1" applyBorder="1" applyAlignment="1">
      <alignment vertical="top"/>
    </xf>
    <xf numFmtId="1" fontId="0" fillId="0" borderId="0" xfId="0" applyNumberFormat="1"/>
    <xf numFmtId="0" fontId="28" fillId="14" borderId="0" xfId="0" applyFont="1" applyFill="1"/>
    <xf numFmtId="0" fontId="0" fillId="14" borderId="0" xfId="0" applyFill="1"/>
    <xf numFmtId="166" fontId="0" fillId="0" borderId="0" xfId="0" applyNumberFormat="1"/>
    <xf numFmtId="49" fontId="25" fillId="0" borderId="0" xfId="0" applyNumberFormat="1" applyFont="1" applyBorder="1" applyAlignment="1">
      <alignment horizontal="left" vertical="center"/>
    </xf>
    <xf numFmtId="0" fontId="33" fillId="14" borderId="0" xfId="0" applyFont="1" applyFill="1" applyAlignment="1">
      <alignment vertical="top" wrapText="1"/>
    </xf>
    <xf numFmtId="0" fontId="36" fillId="14" borderId="0" xfId="0" applyFont="1" applyFill="1" applyAlignment="1">
      <alignment vertical="top" wrapText="1"/>
    </xf>
    <xf numFmtId="0" fontId="0" fillId="9" borderId="0" xfId="0" applyFill="1"/>
    <xf numFmtId="0" fontId="0" fillId="0" borderId="0" xfId="0" applyFill="1"/>
    <xf numFmtId="0" fontId="27" fillId="0" borderId="0" xfId="0" applyFont="1" applyFill="1" applyAlignment="1">
      <alignment horizontal="center"/>
    </xf>
    <xf numFmtId="0" fontId="32" fillId="0" borderId="0" xfId="0" applyFont="1" applyFill="1" applyAlignment="1">
      <alignment horizontal="left" vertical="center" wrapText="1"/>
    </xf>
    <xf numFmtId="0" fontId="36" fillId="0" borderId="0" xfId="0" applyFont="1" applyFill="1" applyAlignment="1">
      <alignment horizontal="left" vertical="top" wrapText="1"/>
    </xf>
    <xf numFmtId="0" fontId="0" fillId="0" borderId="0" xfId="0" applyFont="1" applyFill="1" applyAlignment="1">
      <alignment vertical="center"/>
    </xf>
    <xf numFmtId="0" fontId="0" fillId="0" borderId="0" xfId="0" applyFont="1" applyAlignment="1">
      <alignment vertical="center"/>
    </xf>
    <xf numFmtId="0" fontId="40" fillId="9" borderId="0" xfId="0" applyFont="1" applyFill="1"/>
    <xf numFmtId="1" fontId="40" fillId="7" borderId="0" xfId="0" applyNumberFormat="1" applyFont="1" applyFill="1"/>
    <xf numFmtId="10" fontId="40" fillId="7" borderId="0" xfId="2" applyNumberFormat="1" applyFont="1" applyFill="1"/>
    <xf numFmtId="0" fontId="41" fillId="15" borderId="0" xfId="0" applyFont="1" applyFill="1"/>
    <xf numFmtId="0" fontId="43" fillId="9" borderId="0" xfId="0" applyFont="1" applyFill="1"/>
    <xf numFmtId="0" fontId="40" fillId="9" borderId="0" xfId="0" applyFont="1" applyFill="1" applyAlignment="1">
      <alignment horizontal="right"/>
    </xf>
    <xf numFmtId="49" fontId="25" fillId="2" borderId="7" xfId="0" applyNumberFormat="1" applyFont="1" applyFill="1" applyBorder="1" applyAlignment="1">
      <alignment horizontal="center" vertical="center"/>
    </xf>
    <xf numFmtId="0" fontId="0" fillId="15" borderId="0" xfId="0" applyFill="1"/>
    <xf numFmtId="49" fontId="28" fillId="0" borderId="0" xfId="0" applyNumberFormat="1" applyFont="1" applyAlignment="1">
      <alignment horizontal="center"/>
    </xf>
    <xf numFmtId="0" fontId="29" fillId="0" borderId="0" xfId="4">
      <alignment vertical="center"/>
    </xf>
    <xf numFmtId="0" fontId="58" fillId="0" borderId="0" xfId="4" applyFont="1">
      <alignment vertical="center"/>
    </xf>
    <xf numFmtId="0" fontId="29" fillId="4" borderId="0" xfId="4" applyFill="1">
      <alignment vertical="center"/>
    </xf>
    <xf numFmtId="0" fontId="59" fillId="20" borderId="24" xfId="6" applyFont="1" applyFill="1" applyBorder="1" applyAlignment="1">
      <alignment horizontal="center" vertical="center" wrapText="1"/>
    </xf>
    <xf numFmtId="0" fontId="60" fillId="0" borderId="28" xfId="4" applyFont="1" applyBorder="1" applyAlignment="1">
      <alignment horizontal="center" vertical="top" wrapText="1"/>
    </xf>
    <xf numFmtId="0" fontId="61" fillId="21" borderId="29" xfId="4" applyFont="1" applyFill="1" applyBorder="1" applyAlignment="1">
      <alignment vertical="center" wrapText="1"/>
    </xf>
    <xf numFmtId="0" fontId="61" fillId="21" borderId="30" xfId="4" applyFont="1" applyFill="1" applyBorder="1" applyAlignment="1">
      <alignment horizontal="center" vertical="top" wrapText="1"/>
    </xf>
    <xf numFmtId="43" fontId="62" fillId="22" borderId="0" xfId="5" applyFont="1" applyFill="1" applyAlignment="1"/>
    <xf numFmtId="0" fontId="61" fillId="21" borderId="28" xfId="4" applyFont="1" applyFill="1" applyBorder="1" applyAlignment="1">
      <alignment vertical="center" wrapText="1"/>
    </xf>
    <xf numFmtId="0" fontId="61" fillId="21" borderId="30" xfId="4" applyFont="1" applyFill="1" applyBorder="1" applyAlignment="1">
      <alignment vertical="center" wrapText="1"/>
    </xf>
    <xf numFmtId="0" fontId="31" fillId="0" borderId="0" xfId="4" applyFont="1">
      <alignment vertical="center"/>
    </xf>
    <xf numFmtId="0" fontId="0" fillId="5" borderId="0" xfId="0" applyFill="1"/>
    <xf numFmtId="43" fontId="0" fillId="5" borderId="0" xfId="1" applyFont="1" applyFill="1"/>
    <xf numFmtId="0" fontId="0" fillId="25" borderId="0" xfId="0" applyFill="1"/>
    <xf numFmtId="43" fontId="0" fillId="25" borderId="0" xfId="1" applyFont="1" applyFill="1"/>
    <xf numFmtId="0" fontId="0" fillId="0" borderId="6" xfId="0" applyBorder="1"/>
    <xf numFmtId="172" fontId="0" fillId="0" borderId="0" xfId="0" applyNumberFormat="1"/>
    <xf numFmtId="173" fontId="0" fillId="0" borderId="6" xfId="1" applyNumberFormat="1" applyFont="1" applyBorder="1"/>
    <xf numFmtId="43" fontId="0" fillId="0" borderId="0" xfId="0" applyNumberFormat="1"/>
    <xf numFmtId="2" fontId="29" fillId="0" borderId="0" xfId="3" applyNumberFormat="1" applyAlignment="1">
      <alignment vertical="top"/>
    </xf>
    <xf numFmtId="166" fontId="0" fillId="0" borderId="4" xfId="0" applyNumberFormat="1" applyBorder="1"/>
    <xf numFmtId="0" fontId="28" fillId="14" borderId="4" xfId="0" applyFont="1" applyFill="1" applyBorder="1"/>
    <xf numFmtId="2" fontId="29" fillId="0" borderId="0" xfId="1" applyNumberFormat="1" applyFont="1" applyAlignment="1">
      <alignment horizontal="right" vertical="top"/>
    </xf>
    <xf numFmtId="173" fontId="0" fillId="0" borderId="0" xfId="1" applyNumberFormat="1" applyFont="1" applyFill="1"/>
    <xf numFmtId="173" fontId="0" fillId="0" borderId="6" xfId="1" applyNumberFormat="1" applyFont="1" applyFill="1" applyBorder="1"/>
    <xf numFmtId="1" fontId="0" fillId="0" borderId="0" xfId="0" applyNumberFormat="1" applyFill="1"/>
    <xf numFmtId="43" fontId="0" fillId="0" borderId="0" xfId="1" applyFont="1"/>
    <xf numFmtId="43" fontId="0" fillId="26" borderId="0" xfId="1" applyFont="1" applyFill="1"/>
    <xf numFmtId="0" fontId="28" fillId="23" borderId="0" xfId="0" applyFont="1" applyFill="1"/>
    <xf numFmtId="1" fontId="28" fillId="23" borderId="0" xfId="0" applyNumberFormat="1" applyFont="1" applyFill="1"/>
    <xf numFmtId="174" fontId="0" fillId="0" borderId="0" xfId="0" applyNumberFormat="1"/>
    <xf numFmtId="0" fontId="66" fillId="0" borderId="0" xfId="0" applyFont="1"/>
    <xf numFmtId="0" fontId="68" fillId="0" borderId="0" xfId="4" applyFont="1">
      <alignment vertical="center"/>
    </xf>
    <xf numFmtId="0" fontId="70" fillId="27" borderId="0" xfId="4" applyFont="1" applyFill="1" applyAlignment="1">
      <alignment horizontal="center" vertical="center"/>
    </xf>
    <xf numFmtId="0" fontId="70" fillId="27" borderId="0" xfId="4" applyFont="1" applyFill="1" applyAlignment="1">
      <alignment horizontal="right" vertical="center"/>
    </xf>
    <xf numFmtId="165" fontId="0" fillId="0" borderId="0" xfId="5" applyNumberFormat="1" applyFont="1">
      <alignment vertical="center"/>
    </xf>
    <xf numFmtId="165" fontId="31" fillId="0" borderId="0" xfId="5" applyNumberFormat="1" applyFont="1">
      <alignment vertical="center"/>
    </xf>
    <xf numFmtId="0" fontId="31" fillId="28" borderId="8" xfId="4" applyFont="1" applyFill="1" applyBorder="1">
      <alignment vertical="center"/>
    </xf>
    <xf numFmtId="0" fontId="31" fillId="0" borderId="34" xfId="4" applyFont="1" applyBorder="1" applyAlignment="1">
      <alignment horizontal="center" vertical="center"/>
    </xf>
    <xf numFmtId="0" fontId="71" fillId="0" borderId="34" xfId="4" applyFont="1" applyBorder="1" applyAlignment="1">
      <alignment horizontal="center" vertical="center"/>
    </xf>
    <xf numFmtId="0" fontId="71" fillId="0" borderId="35" xfId="4" applyFont="1" applyBorder="1" applyAlignment="1">
      <alignment horizontal="center" vertical="center"/>
    </xf>
    <xf numFmtId="0" fontId="31" fillId="28" borderId="17" xfId="4" applyFont="1" applyFill="1" applyBorder="1">
      <alignment vertical="center"/>
    </xf>
    <xf numFmtId="0" fontId="31" fillId="0" borderId="4" xfId="4" applyFont="1" applyBorder="1" applyAlignment="1">
      <alignment horizontal="center" vertical="center"/>
    </xf>
    <xf numFmtId="0" fontId="31" fillId="0" borderId="4" xfId="4" applyFont="1" applyBorder="1" applyAlignment="1">
      <alignment horizontal="center" vertical="center" wrapText="1"/>
    </xf>
    <xf numFmtId="0" fontId="71" fillId="0" borderId="4" xfId="4" applyFont="1" applyBorder="1" applyAlignment="1">
      <alignment horizontal="center" vertical="center"/>
    </xf>
    <xf numFmtId="0" fontId="71" fillId="0" borderId="36" xfId="4" applyFont="1" applyBorder="1" applyAlignment="1">
      <alignment horizontal="center" vertical="center"/>
    </xf>
    <xf numFmtId="0" fontId="31" fillId="0" borderId="37" xfId="4" applyFont="1" applyBorder="1">
      <alignment vertical="center"/>
    </xf>
    <xf numFmtId="165" fontId="0" fillId="0" borderId="4" xfId="5" applyNumberFormat="1" applyFont="1" applyBorder="1">
      <alignment vertical="center"/>
    </xf>
    <xf numFmtId="165" fontId="63" fillId="0" borderId="4" xfId="5" applyNumberFormat="1" applyFont="1" applyBorder="1">
      <alignment vertical="center"/>
    </xf>
    <xf numFmtId="165" fontId="0" fillId="0" borderId="38" xfId="5" applyNumberFormat="1" applyFont="1" applyBorder="1">
      <alignment vertical="center"/>
    </xf>
    <xf numFmtId="165" fontId="63" fillId="0" borderId="36" xfId="5" applyNumberFormat="1" applyFont="1" applyBorder="1">
      <alignment vertical="center"/>
    </xf>
    <xf numFmtId="0" fontId="31" fillId="0" borderId="39" xfId="4" applyFont="1" applyBorder="1">
      <alignment vertical="center"/>
    </xf>
    <xf numFmtId="165" fontId="0" fillId="0" borderId="40" xfId="5" applyNumberFormat="1" applyFont="1" applyBorder="1">
      <alignment vertical="center"/>
    </xf>
    <xf numFmtId="165" fontId="63" fillId="0" borderId="40" xfId="5" applyNumberFormat="1" applyFont="1" applyBorder="1">
      <alignment vertical="center"/>
    </xf>
    <xf numFmtId="165" fontId="0" fillId="0" borderId="32" xfId="5" applyNumberFormat="1" applyFont="1" applyBorder="1">
      <alignment vertical="center"/>
    </xf>
    <xf numFmtId="165" fontId="63" fillId="0" borderId="41" xfId="5" applyNumberFormat="1" applyFont="1" applyBorder="1">
      <alignment vertical="center"/>
    </xf>
    <xf numFmtId="2" fontId="0" fillId="0" borderId="0" xfId="0" applyNumberFormat="1" applyFill="1"/>
    <xf numFmtId="172" fontId="0" fillId="0" borderId="0" xfId="0" applyNumberFormat="1" applyFill="1"/>
    <xf numFmtId="0" fontId="0" fillId="29" borderId="0" xfId="0" applyFill="1"/>
    <xf numFmtId="0" fontId="34" fillId="14" borderId="0" xfId="0" applyFont="1" applyFill="1"/>
    <xf numFmtId="0" fontId="74" fillId="9" borderId="0" xfId="0" applyFont="1" applyFill="1"/>
    <xf numFmtId="0" fontId="67" fillId="0" borderId="0" xfId="8" applyFont="1"/>
    <xf numFmtId="0" fontId="67" fillId="18" borderId="38" xfId="8" applyFont="1" applyFill="1" applyBorder="1" applyAlignment="1">
      <alignment horizontal="center"/>
    </xf>
    <xf numFmtId="0" fontId="67" fillId="18" borderId="42" xfId="8" applyFont="1" applyFill="1" applyBorder="1" applyAlignment="1">
      <alignment horizontal="center"/>
    </xf>
    <xf numFmtId="0" fontId="67" fillId="18" borderId="33" xfId="8" applyFont="1" applyFill="1" applyBorder="1" applyAlignment="1">
      <alignment horizontal="center"/>
    </xf>
    <xf numFmtId="173" fontId="67" fillId="18" borderId="0" xfId="8" applyNumberFormat="1" applyFont="1" applyFill="1" applyAlignment="1">
      <alignment horizontal="center"/>
    </xf>
    <xf numFmtId="0" fontId="67" fillId="18" borderId="0" xfId="8" applyFont="1" applyFill="1" applyAlignment="1">
      <alignment horizontal="center" wrapText="1"/>
    </xf>
    <xf numFmtId="0" fontId="23" fillId="0" borderId="0" xfId="8"/>
    <xf numFmtId="0" fontId="75" fillId="0" borderId="0" xfId="8" applyFont="1"/>
    <xf numFmtId="0" fontId="23" fillId="0" borderId="21" xfId="8" applyBorder="1"/>
    <xf numFmtId="0" fontId="23" fillId="0" borderId="22" xfId="8" applyBorder="1" applyAlignment="1">
      <alignment horizontal="center"/>
    </xf>
    <xf numFmtId="165" fontId="23" fillId="0" borderId="23" xfId="8" applyNumberFormat="1" applyBorder="1"/>
    <xf numFmtId="43" fontId="23" fillId="0" borderId="0" xfId="8" applyNumberFormat="1"/>
    <xf numFmtId="0" fontId="23" fillId="0" borderId="7" xfId="8" applyBorder="1"/>
    <xf numFmtId="0" fontId="23" fillId="0" borderId="0" xfId="8" applyAlignment="1">
      <alignment horizontal="center"/>
    </xf>
    <xf numFmtId="165" fontId="23" fillId="0" borderId="31" xfId="8" applyNumberFormat="1" applyBorder="1"/>
    <xf numFmtId="0" fontId="23" fillId="0" borderId="25" xfId="8" applyBorder="1"/>
    <xf numFmtId="0" fontId="23" fillId="0" borderId="26" xfId="8" applyBorder="1" applyAlignment="1">
      <alignment horizontal="center"/>
    </xf>
    <xf numFmtId="165" fontId="23" fillId="0" borderId="27" xfId="8" applyNumberFormat="1" applyBorder="1"/>
    <xf numFmtId="0" fontId="23" fillId="0" borderId="0" xfId="8" applyAlignment="1">
      <alignment horizontal="left" vertical="center" wrapText="1"/>
    </xf>
    <xf numFmtId="0" fontId="23" fillId="0" borderId="7" xfId="8" applyBorder="1" applyAlignment="1">
      <alignment wrapText="1"/>
    </xf>
    <xf numFmtId="0" fontId="23" fillId="0" borderId="25" xfId="8" applyBorder="1" applyAlignment="1">
      <alignment wrapText="1"/>
    </xf>
    <xf numFmtId="0" fontId="67" fillId="19" borderId="25" xfId="8" applyFont="1" applyFill="1" applyBorder="1" applyAlignment="1">
      <alignment horizontal="center"/>
    </xf>
    <xf numFmtId="0" fontId="23" fillId="19" borderId="26" xfId="8" applyFill="1" applyBorder="1" applyAlignment="1">
      <alignment horizontal="center"/>
    </xf>
    <xf numFmtId="0" fontId="67" fillId="19" borderId="26" xfId="8" applyFont="1" applyFill="1" applyBorder="1" applyAlignment="1">
      <alignment horizontal="center"/>
    </xf>
    <xf numFmtId="43" fontId="67" fillId="19" borderId="43" xfId="8" applyNumberFormat="1" applyFont="1" applyFill="1" applyBorder="1"/>
    <xf numFmtId="173" fontId="23" fillId="0" borderId="0" xfId="8" applyNumberFormat="1"/>
    <xf numFmtId="0" fontId="66" fillId="0" borderId="0" xfId="8" applyFont="1" applyAlignment="1">
      <alignment horizontal="center"/>
    </xf>
    <xf numFmtId="0" fontId="23" fillId="0" borderId="0" xfId="8" applyFill="1"/>
    <xf numFmtId="0" fontId="23" fillId="0" borderId="0" xfId="8" applyFill="1" applyAlignment="1">
      <alignment wrapText="1"/>
    </xf>
    <xf numFmtId="0" fontId="75" fillId="0" borderId="0" xfId="8" applyFont="1" applyAlignment="1">
      <alignment wrapText="1"/>
    </xf>
    <xf numFmtId="0" fontId="67" fillId="0" borderId="0" xfId="8" applyFont="1" applyFill="1" applyAlignment="1">
      <alignment horizontal="center"/>
    </xf>
    <xf numFmtId="43" fontId="23" fillId="0" borderId="0" xfId="8" applyNumberFormat="1" applyFill="1"/>
    <xf numFmtId="165" fontId="23" fillId="0" borderId="31" xfId="8" applyNumberFormat="1" applyFill="1" applyBorder="1"/>
    <xf numFmtId="165" fontId="23" fillId="0" borderId="27" xfId="8" applyNumberFormat="1" applyFill="1" applyBorder="1"/>
    <xf numFmtId="174" fontId="0" fillId="11" borderId="0" xfId="0" applyNumberFormat="1" applyFill="1"/>
    <xf numFmtId="173" fontId="23" fillId="0" borderId="31" xfId="8" applyNumberFormat="1" applyFill="1" applyBorder="1"/>
    <xf numFmtId="0" fontId="0" fillId="0" borderId="0" xfId="0" pivotButton="1"/>
    <xf numFmtId="0" fontId="0" fillId="0" borderId="0" xfId="0" applyAlignment="1">
      <alignment horizontal="left"/>
    </xf>
    <xf numFmtId="0" fontId="0" fillId="0" borderId="0" xfId="0" applyNumberFormat="1"/>
    <xf numFmtId="0" fontId="76" fillId="0" borderId="0" xfId="8" applyFont="1"/>
    <xf numFmtId="0" fontId="67" fillId="30" borderId="21" xfId="8" applyFont="1" applyFill="1" applyBorder="1"/>
    <xf numFmtId="0" fontId="67" fillId="30" borderId="22" xfId="8" applyFont="1" applyFill="1" applyBorder="1"/>
    <xf numFmtId="0" fontId="67" fillId="30" borderId="23" xfId="8" applyFont="1" applyFill="1" applyBorder="1"/>
    <xf numFmtId="0" fontId="67" fillId="30" borderId="4" xfId="8" applyFont="1" applyFill="1" applyBorder="1"/>
    <xf numFmtId="0" fontId="67" fillId="30" borderId="0" xfId="8" applyFont="1" applyFill="1"/>
    <xf numFmtId="0" fontId="67" fillId="30" borderId="31" xfId="8" applyFont="1" applyFill="1" applyBorder="1"/>
    <xf numFmtId="0" fontId="67" fillId="4" borderId="4" xfId="8" applyFont="1" applyFill="1" applyBorder="1" applyAlignment="1">
      <alignment horizontal="left"/>
    </xf>
    <xf numFmtId="165" fontId="67" fillId="4" borderId="4" xfId="8" applyNumberFormat="1" applyFont="1" applyFill="1" applyBorder="1"/>
    <xf numFmtId="165" fontId="67" fillId="33" borderId="4" xfId="8" applyNumberFormat="1" applyFont="1" applyFill="1" applyBorder="1"/>
    <xf numFmtId="0" fontId="67" fillId="25" borderId="4" xfId="8" applyFont="1" applyFill="1" applyBorder="1" applyAlignment="1">
      <alignment horizontal="left" indent="1"/>
    </xf>
    <xf numFmtId="165" fontId="67" fillId="25" borderId="4" xfId="8" applyNumberFormat="1" applyFont="1" applyFill="1" applyBorder="1"/>
    <xf numFmtId="165" fontId="67" fillId="34" borderId="4" xfId="8" applyNumberFormat="1" applyFont="1" applyFill="1" applyBorder="1"/>
    <xf numFmtId="0" fontId="23" fillId="0" borderId="15" xfId="8" applyBorder="1" applyAlignment="1">
      <alignment horizontal="left" indent="2"/>
    </xf>
    <xf numFmtId="165" fontId="23" fillId="0" borderId="4" xfId="8" applyNumberFormat="1" applyBorder="1"/>
    <xf numFmtId="165" fontId="23" fillId="32" borderId="4" xfId="8" applyNumberFormat="1" applyFill="1" applyBorder="1"/>
    <xf numFmtId="165" fontId="23" fillId="13" borderId="4" xfId="8" applyNumberFormat="1" applyFill="1" applyBorder="1"/>
    <xf numFmtId="165" fontId="0" fillId="0" borderId="4" xfId="9" applyNumberFormat="1" applyFont="1" applyBorder="1"/>
    <xf numFmtId="165" fontId="0" fillId="32" borderId="4" xfId="9" applyNumberFormat="1" applyFont="1" applyFill="1" applyBorder="1"/>
    <xf numFmtId="165" fontId="23" fillId="0" borderId="0" xfId="8" applyNumberFormat="1"/>
    <xf numFmtId="14" fontId="0" fillId="0" borderId="0" xfId="0" applyNumberFormat="1"/>
    <xf numFmtId="165" fontId="77" fillId="0" borderId="0" xfId="0" applyNumberFormat="1" applyFont="1"/>
    <xf numFmtId="43" fontId="77" fillId="0" borderId="0" xfId="0" applyNumberFormat="1" applyFont="1" applyAlignment="1">
      <alignment horizontal="center"/>
    </xf>
    <xf numFmtId="0" fontId="77" fillId="0" borderId="0" xfId="0" applyFont="1" applyAlignment="1">
      <alignment horizontal="center"/>
    </xf>
    <xf numFmtId="0" fontId="78" fillId="30" borderId="0" xfId="0" applyFont="1" applyFill="1" applyAlignment="1">
      <alignment vertical="center"/>
    </xf>
    <xf numFmtId="0" fontId="78" fillId="30" borderId="45" xfId="0" applyFont="1" applyFill="1" applyBorder="1" applyAlignment="1">
      <alignment vertical="center"/>
    </xf>
    <xf numFmtId="0" fontId="0" fillId="0" borderId="0" xfId="0" applyAlignment="1">
      <alignment horizontal="left" vertical="center"/>
    </xf>
    <xf numFmtId="165" fontId="0" fillId="0" borderId="0" xfId="0" applyNumberFormat="1" applyAlignment="1">
      <alignment vertical="center"/>
    </xf>
    <xf numFmtId="43" fontId="0" fillId="0" borderId="0" xfId="0" quotePrefix="1" applyNumberFormat="1" applyAlignment="1">
      <alignment horizontal="left" vertical="center"/>
    </xf>
    <xf numFmtId="165" fontId="0" fillId="0" borderId="48" xfId="0" applyNumberFormat="1" applyBorder="1" applyAlignment="1">
      <alignment vertical="center"/>
    </xf>
    <xf numFmtId="0" fontId="78" fillId="30" borderId="46" xfId="0" applyFont="1" applyFill="1" applyBorder="1" applyAlignment="1">
      <alignment horizontal="left" vertical="center"/>
    </xf>
    <xf numFmtId="165" fontId="78" fillId="30" borderId="46" xfId="0" applyNumberFormat="1" applyFont="1" applyFill="1" applyBorder="1" applyAlignment="1">
      <alignment vertical="center"/>
    </xf>
    <xf numFmtId="0" fontId="0" fillId="0" borderId="0" xfId="0" applyAlignment="1">
      <alignment vertical="center"/>
    </xf>
    <xf numFmtId="43" fontId="0" fillId="0" borderId="44" xfId="9" applyFont="1" applyFill="1" applyBorder="1"/>
    <xf numFmtId="173" fontId="29" fillId="0" borderId="0" xfId="1" applyNumberFormat="1" applyFont="1" applyAlignment="1">
      <alignment vertical="top"/>
    </xf>
    <xf numFmtId="175" fontId="29" fillId="0" borderId="0" xfId="2" applyNumberFormat="1" applyFont="1" applyAlignment="1">
      <alignment vertical="top"/>
    </xf>
    <xf numFmtId="43" fontId="31" fillId="0" borderId="6" xfId="3" applyNumberFormat="1" applyFont="1" applyBorder="1" applyAlignment="1">
      <alignment vertical="top"/>
    </xf>
    <xf numFmtId="10" fontId="31" fillId="0" borderId="6" xfId="3" applyNumberFormat="1" applyFont="1" applyBorder="1" applyAlignment="1">
      <alignment vertical="top"/>
    </xf>
    <xf numFmtId="10" fontId="40" fillId="7" borderId="0" xfId="0" applyNumberFormat="1" applyFont="1" applyFill="1"/>
    <xf numFmtId="1" fontId="40" fillId="7" borderId="6" xfId="0" applyNumberFormat="1" applyFont="1" applyFill="1" applyBorder="1"/>
    <xf numFmtId="165" fontId="74" fillId="14" borderId="0" xfId="1" applyNumberFormat="1" applyFont="1" applyFill="1"/>
    <xf numFmtId="0" fontId="45" fillId="9" borderId="0" xfId="0" applyFont="1" applyFill="1" applyAlignment="1">
      <alignment horizontal="right"/>
    </xf>
    <xf numFmtId="0" fontId="45" fillId="9" borderId="0" xfId="0" applyFont="1" applyFill="1" applyAlignment="1">
      <alignment horizontal="left"/>
    </xf>
    <xf numFmtId="165" fontId="44" fillId="17" borderId="0" xfId="1" applyNumberFormat="1" applyFont="1" applyFill="1"/>
    <xf numFmtId="173" fontId="23" fillId="0" borderId="0" xfId="1" applyNumberFormat="1" applyFont="1"/>
    <xf numFmtId="0" fontId="22" fillId="0" borderId="0" xfId="8" applyFont="1"/>
    <xf numFmtId="43" fontId="66" fillId="0" borderId="0" xfId="8" applyNumberFormat="1" applyFont="1"/>
    <xf numFmtId="0" fontId="21" fillId="0" borderId="7" xfId="8" applyFont="1" applyBorder="1"/>
    <xf numFmtId="0" fontId="21" fillId="0" borderId="0" xfId="8" applyFont="1" applyAlignment="1">
      <alignment horizontal="center"/>
    </xf>
    <xf numFmtId="0" fontId="21" fillId="0" borderId="0" xfId="8" applyFont="1"/>
    <xf numFmtId="172" fontId="23" fillId="0" borderId="0" xfId="8" applyNumberFormat="1"/>
    <xf numFmtId="0" fontId="20" fillId="0" borderId="0" xfId="8" applyFont="1"/>
    <xf numFmtId="1" fontId="29" fillId="0" borderId="0" xfId="1" applyNumberFormat="1" applyFont="1" applyAlignment="1">
      <alignment horizontal="right" vertical="top"/>
    </xf>
    <xf numFmtId="1" fontId="29" fillId="0" borderId="0" xfId="3" applyNumberFormat="1" applyAlignment="1">
      <alignment vertical="top"/>
    </xf>
    <xf numFmtId="14" fontId="29" fillId="0" borderId="0" xfId="3" applyNumberFormat="1" applyAlignment="1">
      <alignment vertical="top"/>
    </xf>
    <xf numFmtId="169" fontId="29" fillId="0" borderId="0" xfId="3" applyNumberFormat="1" applyAlignment="1">
      <alignment vertical="top"/>
    </xf>
    <xf numFmtId="167" fontId="29" fillId="0" borderId="0" xfId="3" applyNumberFormat="1" applyAlignment="1">
      <alignment vertical="top"/>
    </xf>
    <xf numFmtId="43" fontId="29" fillId="18" borderId="0" xfId="1" applyFont="1" applyFill="1" applyAlignment="1">
      <alignment vertical="top"/>
    </xf>
    <xf numFmtId="165" fontId="0" fillId="0" borderId="0" xfId="0" applyNumberFormat="1" applyBorder="1" applyAlignment="1">
      <alignment vertical="center"/>
    </xf>
    <xf numFmtId="0" fontId="78" fillId="30" borderId="21" xfId="0" applyFont="1" applyFill="1" applyBorder="1" applyAlignment="1">
      <alignment vertical="center"/>
    </xf>
    <xf numFmtId="0" fontId="78" fillId="30" borderId="22" xfId="0" applyFont="1" applyFill="1" applyBorder="1" applyAlignment="1">
      <alignment vertical="center"/>
    </xf>
    <xf numFmtId="0" fontId="78" fillId="30" borderId="23" xfId="0" applyFont="1" applyFill="1" applyBorder="1" applyAlignment="1">
      <alignment vertical="center"/>
    </xf>
    <xf numFmtId="0" fontId="78" fillId="30" borderId="49" xfId="0" applyFont="1" applyFill="1" applyBorder="1" applyAlignment="1">
      <alignment vertical="center"/>
    </xf>
    <xf numFmtId="165" fontId="0" fillId="0" borderId="31" xfId="0" applyNumberFormat="1" applyBorder="1" applyAlignment="1">
      <alignment vertical="center"/>
    </xf>
    <xf numFmtId="165" fontId="0" fillId="0" borderId="7" xfId="0" applyNumberFormat="1" applyBorder="1" applyAlignment="1">
      <alignment vertical="center"/>
    </xf>
    <xf numFmtId="165" fontId="0" fillId="0" borderId="50" xfId="0" applyNumberFormat="1" applyBorder="1" applyAlignment="1">
      <alignment vertical="center"/>
    </xf>
    <xf numFmtId="165" fontId="78" fillId="30" borderId="51" xfId="0" applyNumberFormat="1" applyFont="1" applyFill="1" applyBorder="1" applyAlignment="1">
      <alignment vertical="center"/>
    </xf>
    <xf numFmtId="165" fontId="78" fillId="30" borderId="47" xfId="0" applyNumberFormat="1" applyFont="1" applyFill="1" applyBorder="1" applyAlignment="1">
      <alignment vertical="center"/>
    </xf>
    <xf numFmtId="0" fontId="78" fillId="30" borderId="52" xfId="0" applyFont="1" applyFill="1" applyBorder="1" applyAlignment="1">
      <alignment vertical="center"/>
    </xf>
    <xf numFmtId="0" fontId="78" fillId="30" borderId="53" xfId="0" applyFont="1" applyFill="1" applyBorder="1" applyAlignment="1">
      <alignment vertical="center"/>
    </xf>
    <xf numFmtId="0" fontId="78" fillId="30" borderId="54" xfId="0" applyFont="1" applyFill="1" applyBorder="1" applyAlignment="1">
      <alignment vertical="center"/>
    </xf>
    <xf numFmtId="0" fontId="29" fillId="4" borderId="0" xfId="3" applyFill="1" applyAlignment="1">
      <alignment vertical="top"/>
    </xf>
    <xf numFmtId="167" fontId="29" fillId="4" borderId="0" xfId="3" applyNumberFormat="1" applyFill="1" applyAlignment="1">
      <alignment vertical="top"/>
    </xf>
    <xf numFmtId="2" fontId="29" fillId="4" borderId="0" xfId="3" applyNumberFormat="1" applyFill="1" applyAlignment="1">
      <alignment vertical="top"/>
    </xf>
    <xf numFmtId="43" fontId="29" fillId="4" borderId="0" xfId="1" applyFont="1" applyFill="1" applyAlignment="1">
      <alignment vertical="top"/>
    </xf>
    <xf numFmtId="43" fontId="29" fillId="4" borderId="0" xfId="3" applyNumberFormat="1" applyFill="1" applyAlignment="1">
      <alignment vertical="top"/>
    </xf>
    <xf numFmtId="170" fontId="29" fillId="4" borderId="0" xfId="3" applyNumberFormat="1" applyFill="1" applyAlignment="1">
      <alignment vertical="top"/>
    </xf>
    <xf numFmtId="0" fontId="0" fillId="0" borderId="0" xfId="0" applyAlignment="1">
      <alignment horizontal="left" indent="1"/>
    </xf>
    <xf numFmtId="0" fontId="0" fillId="0" borderId="0" xfId="0" applyAlignment="1">
      <alignment horizontal="left" indent="2"/>
    </xf>
    <xf numFmtId="2" fontId="0" fillId="0" borderId="0" xfId="0" applyNumberFormat="1"/>
    <xf numFmtId="166" fontId="0" fillId="35" borderId="0" xfId="0" applyNumberFormat="1" applyFill="1"/>
    <xf numFmtId="165" fontId="28" fillId="0" borderId="0" xfId="1" applyNumberFormat="1" applyFont="1"/>
    <xf numFmtId="174" fontId="0" fillId="0" borderId="0" xfId="0" applyNumberFormat="1" applyFill="1"/>
    <xf numFmtId="2" fontId="29" fillId="0" borderId="0" xfId="1" applyNumberFormat="1" applyFont="1" applyAlignment="1">
      <alignment vertical="top"/>
    </xf>
    <xf numFmtId="43" fontId="0" fillId="0" borderId="0" xfId="1" applyNumberFormat="1" applyFont="1"/>
    <xf numFmtId="0" fontId="0" fillId="0" borderId="55" xfId="0" applyBorder="1" applyAlignment="1">
      <alignment vertical="center"/>
    </xf>
    <xf numFmtId="0" fontId="0" fillId="0" borderId="56" xfId="0" applyBorder="1" applyAlignment="1">
      <alignment vertical="center"/>
    </xf>
    <xf numFmtId="0" fontId="0" fillId="0" borderId="27" xfId="0" applyBorder="1" applyAlignment="1">
      <alignment vertical="center"/>
    </xf>
    <xf numFmtId="173" fontId="23" fillId="0" borderId="31" xfId="8" applyNumberFormat="1" applyBorder="1"/>
    <xf numFmtId="1" fontId="67" fillId="4" borderId="4" xfId="8" applyNumberFormat="1" applyFont="1" applyFill="1" applyBorder="1"/>
    <xf numFmtId="1" fontId="67" fillId="33" borderId="4" xfId="8" applyNumberFormat="1" applyFont="1" applyFill="1" applyBorder="1"/>
    <xf numFmtId="1" fontId="67" fillId="25" borderId="4" xfId="8" applyNumberFormat="1" applyFont="1" applyFill="1" applyBorder="1"/>
    <xf numFmtId="1" fontId="67" fillId="34" borderId="4" xfId="8" applyNumberFormat="1" applyFont="1" applyFill="1" applyBorder="1"/>
    <xf numFmtId="1" fontId="0" fillId="0" borderId="4" xfId="9" applyNumberFormat="1" applyFont="1" applyBorder="1"/>
    <xf numFmtId="1" fontId="0" fillId="31" borderId="4" xfId="9" applyNumberFormat="1" applyFont="1" applyFill="1" applyBorder="1"/>
    <xf numFmtId="43" fontId="29" fillId="18" borderId="4" xfId="1" applyFont="1" applyFill="1" applyBorder="1" applyAlignment="1">
      <alignment vertical="top" wrapText="1"/>
    </xf>
    <xf numFmtId="43" fontId="29" fillId="10" borderId="4" xfId="1" applyFont="1" applyFill="1" applyBorder="1" applyAlignment="1">
      <alignment vertical="top"/>
    </xf>
    <xf numFmtId="176" fontId="29" fillId="0" borderId="0" xfId="3" applyNumberFormat="1" applyAlignment="1">
      <alignment vertical="top"/>
    </xf>
    <xf numFmtId="43" fontId="29" fillId="9" borderId="4" xfId="1" applyFont="1" applyFill="1" applyBorder="1" applyAlignment="1">
      <alignment vertical="top" wrapText="1"/>
    </xf>
    <xf numFmtId="43" fontId="29" fillId="9" borderId="0" xfId="1" applyFont="1" applyFill="1" applyAlignment="1">
      <alignment vertical="top"/>
    </xf>
    <xf numFmtId="0" fontId="0" fillId="0" borderId="0" xfId="0" applyFont="1"/>
    <xf numFmtId="166" fontId="25" fillId="16" borderId="4" xfId="0" applyNumberFormat="1" applyFont="1" applyFill="1" applyBorder="1" applyAlignment="1">
      <alignment horizontal="right" vertical="center"/>
    </xf>
    <xf numFmtId="177" fontId="29" fillId="0" borderId="0" xfId="3" applyNumberFormat="1" applyAlignment="1">
      <alignment vertical="top"/>
    </xf>
    <xf numFmtId="10" fontId="79" fillId="0" borderId="0" xfId="2" applyNumberFormat="1" applyFont="1" applyAlignment="1">
      <alignment horizontal="right" vertical="top"/>
    </xf>
    <xf numFmtId="0" fontId="29" fillId="0" borderId="0" xfId="3" applyFill="1" applyAlignment="1">
      <alignment vertical="top"/>
    </xf>
    <xf numFmtId="43" fontId="29" fillId="0" borderId="0" xfId="3" applyNumberFormat="1" applyFill="1" applyAlignment="1">
      <alignment vertical="top"/>
    </xf>
    <xf numFmtId="0" fontId="29" fillId="0" borderId="0" xfId="1" applyNumberFormat="1" applyFont="1" applyFill="1" applyAlignment="1">
      <alignment vertical="top"/>
    </xf>
    <xf numFmtId="2" fontId="29" fillId="0" borderId="0" xfId="3" applyNumberFormat="1" applyFill="1" applyAlignment="1">
      <alignment vertical="top"/>
    </xf>
    <xf numFmtId="167" fontId="29" fillId="0" borderId="0" xfId="3" applyNumberFormat="1" applyFill="1" applyAlignment="1">
      <alignment vertical="top"/>
    </xf>
    <xf numFmtId="0" fontId="29" fillId="0" borderId="0" xfId="2" applyNumberFormat="1" applyFont="1" applyFill="1" applyAlignment="1">
      <alignment vertical="top"/>
    </xf>
    <xf numFmtId="177" fontId="29" fillId="0" borderId="0" xfId="3" applyNumberFormat="1" applyFill="1" applyAlignment="1">
      <alignment vertical="top"/>
    </xf>
    <xf numFmtId="43" fontId="29" fillId="0" borderId="0" xfId="1" applyFont="1" applyFill="1" applyAlignment="1">
      <alignment vertical="top"/>
    </xf>
    <xf numFmtId="0" fontId="29" fillId="17" borderId="0" xfId="3" applyFill="1" applyAlignment="1">
      <alignment vertical="top"/>
    </xf>
    <xf numFmtId="165" fontId="29" fillId="17" borderId="0" xfId="3" applyNumberFormat="1" applyFill="1" applyAlignment="1">
      <alignment vertical="top"/>
    </xf>
    <xf numFmtId="43" fontId="29" fillId="17" borderId="0" xfId="3" applyNumberFormat="1" applyFill="1" applyAlignment="1">
      <alignment vertical="top"/>
    </xf>
    <xf numFmtId="0" fontId="29" fillId="17" borderId="0" xfId="1" applyNumberFormat="1" applyFont="1" applyFill="1" applyAlignment="1">
      <alignment vertical="top"/>
    </xf>
    <xf numFmtId="43" fontId="29" fillId="17" borderId="0" xfId="1" applyFont="1" applyFill="1" applyAlignment="1">
      <alignment vertical="top"/>
    </xf>
    <xf numFmtId="0" fontId="29" fillId="17" borderId="0" xfId="3" applyFill="1" applyAlignment="1">
      <alignment vertical="top" wrapText="1"/>
    </xf>
    <xf numFmtId="43" fontId="29" fillId="0" borderId="6" xfId="3" applyNumberFormat="1" applyFill="1" applyBorder="1" applyAlignment="1">
      <alignment vertical="top"/>
    </xf>
    <xf numFmtId="0" fontId="29" fillId="5" borderId="0" xfId="3" applyFill="1" applyAlignment="1">
      <alignment vertical="top"/>
    </xf>
    <xf numFmtId="0" fontId="31" fillId="5" borderId="0" xfId="3" applyFont="1" applyFill="1" applyAlignment="1">
      <alignment vertical="top"/>
    </xf>
    <xf numFmtId="43" fontId="29" fillId="5" borderId="0" xfId="1" applyFont="1" applyFill="1" applyAlignment="1">
      <alignment vertical="top"/>
    </xf>
    <xf numFmtId="10" fontId="29" fillId="5" borderId="0" xfId="3" applyNumberFormat="1" applyFill="1" applyAlignment="1">
      <alignment vertical="top"/>
    </xf>
    <xf numFmtId="10" fontId="29" fillId="0" borderId="0" xfId="2" applyNumberFormat="1" applyFont="1" applyFill="1" applyAlignment="1">
      <alignment vertical="top"/>
    </xf>
    <xf numFmtId="0" fontId="60" fillId="8" borderId="28" xfId="4" applyFont="1" applyFill="1" applyBorder="1" applyAlignment="1">
      <alignment horizontal="center" vertical="top" wrapText="1"/>
    </xf>
    <xf numFmtId="169" fontId="29" fillId="0" borderId="0" xfId="3" applyNumberFormat="1" applyFill="1" applyAlignment="1">
      <alignment horizontal="right" vertical="top"/>
    </xf>
    <xf numFmtId="1" fontId="19" fillId="0" borderId="4" xfId="8" applyNumberFormat="1" applyFont="1" applyBorder="1"/>
    <xf numFmtId="1" fontId="19" fillId="31" borderId="4" xfId="8" applyNumberFormat="1" applyFont="1" applyFill="1" applyBorder="1"/>
    <xf numFmtId="1" fontId="19" fillId="0" borderId="15" xfId="8" applyNumberFormat="1" applyFont="1" applyBorder="1"/>
    <xf numFmtId="1" fontId="19" fillId="0" borderId="0" xfId="8" applyNumberFormat="1" applyFont="1"/>
    <xf numFmtId="10" fontId="29" fillId="5" borderId="0" xfId="2" applyNumberFormat="1" applyFont="1" applyFill="1" applyAlignment="1">
      <alignment vertical="top"/>
    </xf>
    <xf numFmtId="0" fontId="29" fillId="17" borderId="0" xfId="3" applyFill="1" applyAlignment="1">
      <alignment horizontal="center" vertical="top" wrapText="1"/>
    </xf>
    <xf numFmtId="0" fontId="29" fillId="36" borderId="0" xfId="3" applyFill="1" applyAlignment="1">
      <alignment vertical="top"/>
    </xf>
    <xf numFmtId="0" fontId="0" fillId="37" borderId="0" xfId="0" applyFill="1"/>
    <xf numFmtId="0" fontId="39" fillId="37" borderId="0" xfId="0" applyFont="1" applyFill="1"/>
    <xf numFmtId="0" fontId="76" fillId="37" borderId="0" xfId="0" applyFont="1" applyFill="1"/>
    <xf numFmtId="165" fontId="0" fillId="37" borderId="0" xfId="0" applyNumberFormat="1" applyFill="1"/>
    <xf numFmtId="166" fontId="0" fillId="37" borderId="0" xfId="0" applyNumberFormat="1" applyFill="1"/>
    <xf numFmtId="49" fontId="25" fillId="4" borderId="1" xfId="0" applyNumberFormat="1" applyFont="1" applyFill="1" applyBorder="1" applyAlignment="1">
      <alignment horizontal="left" vertical="center"/>
    </xf>
    <xf numFmtId="1" fontId="25" fillId="0" borderId="57" xfId="1" applyNumberFormat="1" applyFont="1" applyFill="1" applyBorder="1" applyAlignment="1">
      <alignment horizontal="right" vertical="center"/>
    </xf>
    <xf numFmtId="1" fontId="0" fillId="0" borderId="0" xfId="1" applyNumberFormat="1" applyFont="1" applyFill="1"/>
    <xf numFmtId="43" fontId="80" fillId="18" borderId="0" xfId="1" applyFont="1" applyFill="1" applyAlignment="1">
      <alignment vertical="top"/>
    </xf>
    <xf numFmtId="178" fontId="0" fillId="11" borderId="0" xfId="0" applyNumberFormat="1" applyFill="1"/>
    <xf numFmtId="43" fontId="67" fillId="0" borderId="26" xfId="8" applyNumberFormat="1" applyFont="1" applyBorder="1"/>
    <xf numFmtId="0" fontId="67" fillId="8" borderId="0" xfId="8" applyFont="1" applyFill="1"/>
    <xf numFmtId="0" fontId="23" fillId="8" borderId="0" xfId="8" applyFill="1"/>
    <xf numFmtId="166" fontId="25" fillId="8" borderId="2" xfId="0" applyNumberFormat="1" applyFont="1" applyFill="1" applyBorder="1" applyAlignment="1">
      <alignment horizontal="right" vertical="center"/>
    </xf>
    <xf numFmtId="0" fontId="80" fillId="0" borderId="0" xfId="3" applyFont="1" applyAlignment="1">
      <alignment vertical="top"/>
    </xf>
    <xf numFmtId="10" fontId="80" fillId="0" borderId="0" xfId="3" applyNumberFormat="1" applyFont="1" applyAlignment="1">
      <alignment vertical="top"/>
    </xf>
    <xf numFmtId="49" fontId="25" fillId="24" borderId="1" xfId="0" applyNumberFormat="1" applyFont="1" applyFill="1" applyBorder="1" applyAlignment="1">
      <alignment horizontal="left" vertical="center"/>
    </xf>
    <xf numFmtId="166" fontId="25" fillId="24" borderId="2" xfId="0" applyNumberFormat="1" applyFont="1" applyFill="1" applyBorder="1" applyAlignment="1">
      <alignment horizontal="right" vertical="center"/>
    </xf>
    <xf numFmtId="0" fontId="35" fillId="0" borderId="0" xfId="0" applyFont="1" applyFill="1" applyAlignment="1">
      <alignment vertical="top" wrapText="1"/>
    </xf>
    <xf numFmtId="49" fontId="83" fillId="2" borderId="4" xfId="0" applyNumberFormat="1" applyFont="1" applyFill="1" applyBorder="1" applyAlignment="1">
      <alignment horizontal="center" vertical="center"/>
    </xf>
    <xf numFmtId="9" fontId="0" fillId="4" borderId="6" xfId="0" applyNumberFormat="1" applyFill="1" applyBorder="1"/>
    <xf numFmtId="43" fontId="0" fillId="37" borderId="0" xfId="1" applyFont="1" applyFill="1"/>
    <xf numFmtId="165" fontId="0" fillId="0" borderId="0" xfId="0" applyNumberFormat="1" applyAlignment="1">
      <alignment horizontal="left" indent="1"/>
    </xf>
    <xf numFmtId="0" fontId="78" fillId="30" borderId="58" xfId="0" applyFont="1" applyFill="1" applyBorder="1" applyAlignment="1">
      <alignment vertical="center"/>
    </xf>
    <xf numFmtId="0" fontId="0" fillId="0" borderId="31" xfId="0" applyBorder="1" applyAlignment="1">
      <alignment vertical="center"/>
    </xf>
    <xf numFmtId="43" fontId="67" fillId="0" borderId="0" xfId="8" applyNumberFormat="1" applyFont="1"/>
    <xf numFmtId="0" fontId="18" fillId="0" borderId="7" xfId="8" applyFont="1" applyBorder="1"/>
    <xf numFmtId="0" fontId="18" fillId="0" borderId="0" xfId="8" applyFont="1" applyAlignment="1">
      <alignment horizontal="center"/>
    </xf>
    <xf numFmtId="0" fontId="18" fillId="0" borderId="0" xfId="8" applyFont="1"/>
    <xf numFmtId="0" fontId="29" fillId="11" borderId="0" xfId="3" applyFill="1" applyAlignment="1">
      <alignment vertical="top"/>
    </xf>
    <xf numFmtId="0" fontId="29" fillId="11" borderId="0" xfId="3" applyFill="1" applyAlignment="1">
      <alignment vertical="top" wrapText="1"/>
    </xf>
    <xf numFmtId="0" fontId="29" fillId="11" borderId="0" xfId="3" applyFill="1" applyAlignment="1">
      <alignment horizontal="center" vertical="top" wrapText="1"/>
    </xf>
    <xf numFmtId="165" fontId="29" fillId="11" borderId="0" xfId="3" applyNumberFormat="1" applyFill="1" applyAlignment="1">
      <alignment vertical="top"/>
    </xf>
    <xf numFmtId="43" fontId="29" fillId="11" borderId="0" xfId="3" applyNumberFormat="1" applyFill="1" applyAlignment="1">
      <alignment vertical="top"/>
    </xf>
    <xf numFmtId="0" fontId="29" fillId="11" borderId="0" xfId="1" applyNumberFormat="1" applyFont="1" applyFill="1" applyAlignment="1">
      <alignment vertical="top"/>
    </xf>
    <xf numFmtId="43" fontId="29" fillId="11" borderId="0" xfId="1" applyFont="1" applyFill="1" applyAlignment="1">
      <alignment vertical="top"/>
    </xf>
    <xf numFmtId="0" fontId="0" fillId="0" borderId="0" xfId="0" applyBorder="1"/>
    <xf numFmtId="173" fontId="0" fillId="0" borderId="0" xfId="1" applyNumberFormat="1" applyFont="1" applyFill="1" applyBorder="1"/>
    <xf numFmtId="1" fontId="0" fillId="0" borderId="0" xfId="0" applyNumberFormat="1" applyBorder="1"/>
    <xf numFmtId="174" fontId="0" fillId="0" borderId="0" xfId="0" applyNumberFormat="1" applyBorder="1"/>
    <xf numFmtId="0" fontId="0" fillId="0" borderId="0" xfId="1" applyNumberFormat="1" applyFont="1" applyFill="1"/>
    <xf numFmtId="0" fontId="17" fillId="0" borderId="7" xfId="8" applyFont="1" applyBorder="1"/>
    <xf numFmtId="0" fontId="29" fillId="0" borderId="0" xfId="3" applyAlignment="1">
      <alignment horizontal="left" vertical="top"/>
    </xf>
    <xf numFmtId="41" fontId="0" fillId="0" borderId="0" xfId="0" applyNumberFormat="1"/>
    <xf numFmtId="38" fontId="0" fillId="0" borderId="0" xfId="0" applyNumberFormat="1"/>
    <xf numFmtId="0" fontId="31" fillId="0" borderId="0" xfId="0" applyFont="1"/>
    <xf numFmtId="41" fontId="47" fillId="0" borderId="0" xfId="0" applyNumberFormat="1" applyFont="1" applyAlignment="1">
      <alignment horizontal="center"/>
    </xf>
    <xf numFmtId="171" fontId="48" fillId="0" borderId="0" xfId="0" applyNumberFormat="1" applyFont="1" applyAlignment="1">
      <alignment horizontal="center"/>
    </xf>
    <xf numFmtId="38" fontId="0" fillId="0" borderId="0" xfId="0" applyNumberFormat="1" applyAlignment="1">
      <alignment horizontal="center"/>
    </xf>
    <xf numFmtId="0" fontId="31" fillId="16" borderId="8" xfId="0" applyFont="1" applyFill="1" applyBorder="1" applyAlignment="1">
      <alignment horizontal="center" vertical="center"/>
    </xf>
    <xf numFmtId="0" fontId="31" fillId="16" borderId="9" xfId="0" applyFont="1" applyFill="1" applyBorder="1" applyAlignment="1">
      <alignment horizontal="center" vertical="center"/>
    </xf>
    <xf numFmtId="41" fontId="31" fillId="16" borderId="9" xfId="0" applyNumberFormat="1" applyFont="1" applyFill="1" applyBorder="1" applyAlignment="1">
      <alignment horizontal="center" vertical="center"/>
    </xf>
    <xf numFmtId="38" fontId="31" fillId="16" borderId="10" xfId="0" applyNumberFormat="1" applyFont="1" applyFill="1" applyBorder="1" applyAlignment="1">
      <alignment horizontal="center" vertical="center"/>
    </xf>
    <xf numFmtId="0" fontId="31" fillId="16" borderId="11" xfId="0" applyFont="1" applyFill="1" applyBorder="1" applyAlignment="1">
      <alignment horizontal="center" vertical="center"/>
    </xf>
    <xf numFmtId="0" fontId="31" fillId="16" borderId="12" xfId="0" applyFont="1" applyFill="1" applyBorder="1" applyAlignment="1">
      <alignment horizontal="center" vertical="center"/>
    </xf>
    <xf numFmtId="41" fontId="31" fillId="16" borderId="12" xfId="0" applyNumberFormat="1" applyFont="1" applyFill="1" applyBorder="1" applyAlignment="1">
      <alignment horizontal="center" vertical="center"/>
    </xf>
    <xf numFmtId="38" fontId="31" fillId="16" borderId="13" xfId="0" applyNumberFormat="1" applyFont="1" applyFill="1" applyBorder="1" applyAlignment="1">
      <alignment horizontal="center" vertical="center"/>
    </xf>
    <xf numFmtId="0" fontId="30" fillId="0" borderId="14" xfId="0" applyFont="1" applyBorder="1" applyAlignment="1">
      <alignment horizontal="center"/>
    </xf>
    <xf numFmtId="0" fontId="30" fillId="0" borderId="15" xfId="0" applyFont="1" applyBorder="1" applyAlignment="1">
      <alignment horizontal="center"/>
    </xf>
    <xf numFmtId="41" fontId="30" fillId="0" borderId="15" xfId="0" applyNumberFormat="1" applyFont="1" applyBorder="1" applyAlignment="1">
      <alignment horizontal="center"/>
    </xf>
    <xf numFmtId="38" fontId="30" fillId="0" borderId="16" xfId="0" applyNumberFormat="1" applyFont="1" applyBorder="1" applyAlignment="1">
      <alignment horizontal="center"/>
    </xf>
    <xf numFmtId="0" fontId="29" fillId="0" borderId="14" xfId="0" applyFont="1" applyBorder="1"/>
    <xf numFmtId="0" fontId="49" fillId="0" borderId="15" xfId="0" applyFont="1" applyBorder="1" applyAlignment="1">
      <alignment horizontal="left"/>
    </xf>
    <xf numFmtId="41" fontId="29" fillId="0" borderId="15" xfId="0" applyNumberFormat="1" applyFont="1" applyBorder="1"/>
    <xf numFmtId="41" fontId="0" fillId="0" borderId="15" xfId="0" applyNumberFormat="1" applyBorder="1"/>
    <xf numFmtId="41" fontId="0" fillId="0" borderId="16" xfId="0" applyNumberFormat="1" applyBorder="1"/>
    <xf numFmtId="0" fontId="29" fillId="0" borderId="15" xfId="0" applyFont="1" applyBorder="1" applyAlignment="1">
      <alignment horizontal="left"/>
    </xf>
    <xf numFmtId="165" fontId="0" fillId="0" borderId="15" xfId="1" applyNumberFormat="1" applyFont="1" applyFill="1" applyBorder="1"/>
    <xf numFmtId="41" fontId="0" fillId="0" borderId="16" xfId="1" applyNumberFormat="1" applyFont="1" applyBorder="1"/>
    <xf numFmtId="165" fontId="29" fillId="0" borderId="15" xfId="1" applyNumberFormat="1" applyFont="1" applyFill="1" applyBorder="1"/>
    <xf numFmtId="41" fontId="29" fillId="0" borderId="16" xfId="0" applyNumberFormat="1" applyFont="1" applyBorder="1"/>
    <xf numFmtId="0" fontId="29" fillId="0" borderId="17" xfId="0" applyFont="1" applyBorder="1"/>
    <xf numFmtId="41" fontId="29" fillId="0" borderId="18" xfId="0" applyNumberFormat="1" applyFont="1" applyBorder="1"/>
    <xf numFmtId="165" fontId="0" fillId="0" borderId="18" xfId="1" applyNumberFormat="1" applyFont="1" applyFill="1" applyBorder="1"/>
    <xf numFmtId="0" fontId="49" fillId="0" borderId="15" xfId="0" applyFont="1" applyBorder="1"/>
    <xf numFmtId="0" fontId="29" fillId="0" borderId="15" xfId="0" applyFont="1" applyBorder="1"/>
    <xf numFmtId="0" fontId="46" fillId="0" borderId="11" xfId="0" applyFont="1" applyBorder="1"/>
    <xf numFmtId="0" fontId="46" fillId="0" borderId="12" xfId="0" applyFont="1" applyBorder="1"/>
    <xf numFmtId="41" fontId="46" fillId="0" borderId="12" xfId="0" applyNumberFormat="1" applyFont="1" applyBorder="1"/>
    <xf numFmtId="0" fontId="46" fillId="0" borderId="0" xfId="0" applyFont="1"/>
    <xf numFmtId="41" fontId="46" fillId="0" borderId="0" xfId="0" applyNumberFormat="1" applyFont="1"/>
    <xf numFmtId="38" fontId="46" fillId="0" borderId="0" xfId="0" applyNumberFormat="1" applyFont="1"/>
    <xf numFmtId="0" fontId="51" fillId="0" borderId="0" xfId="0" applyFont="1" applyAlignment="1">
      <alignment horizontal="left"/>
    </xf>
    <xf numFmtId="0" fontId="52" fillId="0" borderId="0" xfId="0" applyFont="1"/>
    <xf numFmtId="41" fontId="48" fillId="0" borderId="0" xfId="0" applyNumberFormat="1" applyFont="1"/>
    <xf numFmtId="38" fontId="47" fillId="0" borderId="0" xfId="0" applyNumberFormat="1" applyFont="1"/>
    <xf numFmtId="0" fontId="53" fillId="0" borderId="0" xfId="0" applyFont="1"/>
    <xf numFmtId="0" fontId="29" fillId="0" borderId="0" xfId="0" applyFont="1" applyAlignment="1">
      <alignment horizontal="left"/>
    </xf>
    <xf numFmtId="41" fontId="31" fillId="0" borderId="0" xfId="0" applyNumberFormat="1" applyFont="1"/>
    <xf numFmtId="38" fontId="29" fillId="0" borderId="0" xfId="0" applyNumberFormat="1" applyFont="1"/>
    <xf numFmtId="38" fontId="31" fillId="0" borderId="0" xfId="0" applyNumberFormat="1" applyFont="1"/>
    <xf numFmtId="0" fontId="47" fillId="0" borderId="0" xfId="0" applyFont="1"/>
    <xf numFmtId="0" fontId="54" fillId="0" borderId="0" xfId="0" applyFont="1"/>
    <xf numFmtId="41" fontId="55" fillId="0" borderId="0" xfId="0" applyNumberFormat="1" applyFont="1" applyAlignment="1">
      <alignment horizontal="center"/>
    </xf>
    <xf numFmtId="0" fontId="56" fillId="0" borderId="0" xfId="0" applyFont="1"/>
    <xf numFmtId="10" fontId="54" fillId="0" borderId="0" xfId="0" applyNumberFormat="1" applyFont="1"/>
    <xf numFmtId="16" fontId="56" fillId="0" borderId="0" xfId="0" applyNumberFormat="1" applyFont="1"/>
    <xf numFmtId="0" fontId="57" fillId="0" borderId="0" xfId="0" applyFont="1"/>
    <xf numFmtId="0" fontId="17" fillId="0" borderId="0" xfId="8" applyFont="1" applyFill="1"/>
    <xf numFmtId="10" fontId="31" fillId="0" borderId="6" xfId="3" applyNumberFormat="1" applyFont="1" applyFill="1" applyBorder="1" applyAlignment="1">
      <alignment vertical="top"/>
    </xf>
    <xf numFmtId="0" fontId="16" fillId="0" borderId="0" xfId="8" applyFont="1" applyFill="1" applyAlignment="1">
      <alignment horizontal="left" vertical="center" wrapText="1"/>
    </xf>
    <xf numFmtId="43" fontId="76" fillId="0" borderId="0" xfId="0" applyNumberFormat="1" applyFont="1"/>
    <xf numFmtId="0" fontId="84" fillId="0" borderId="0" xfId="0" applyFont="1"/>
    <xf numFmtId="0" fontId="27" fillId="38" borderId="0" xfId="0" applyFont="1" applyFill="1"/>
    <xf numFmtId="0" fontId="15" fillId="0" borderId="0" xfId="8" applyFont="1" applyFill="1" applyAlignment="1">
      <alignment wrapText="1"/>
    </xf>
    <xf numFmtId="0" fontId="34" fillId="14" borderId="0" xfId="0" applyFont="1" applyFill="1" applyAlignment="1">
      <alignment vertical="top"/>
    </xf>
    <xf numFmtId="169" fontId="79" fillId="0" borderId="0" xfId="2" applyNumberFormat="1" applyFont="1" applyAlignment="1">
      <alignment horizontal="right" vertical="top"/>
    </xf>
    <xf numFmtId="0" fontId="60" fillId="0" borderId="28" xfId="4" applyFont="1" applyFill="1" applyBorder="1" applyAlignment="1">
      <alignment horizontal="center" vertical="top" wrapText="1"/>
    </xf>
    <xf numFmtId="0" fontId="14" fillId="0" borderId="0" xfId="8" applyFont="1" applyFill="1" applyAlignment="1">
      <alignment wrapText="1"/>
    </xf>
    <xf numFmtId="43" fontId="66" fillId="0" borderId="0" xfId="1" applyNumberFormat="1" applyFont="1"/>
    <xf numFmtId="0" fontId="23" fillId="0" borderId="0" xfId="8" applyFill="1" applyBorder="1"/>
    <xf numFmtId="43" fontId="23" fillId="0" borderId="0" xfId="8" applyNumberFormat="1" applyFill="1" applyBorder="1"/>
    <xf numFmtId="167" fontId="29" fillId="0" borderId="0" xfId="2" applyNumberFormat="1" applyFont="1" applyAlignment="1">
      <alignment vertical="top"/>
    </xf>
    <xf numFmtId="14" fontId="0" fillId="0" borderId="0" xfId="0" applyNumberFormat="1" applyFill="1"/>
    <xf numFmtId="165" fontId="0" fillId="0" borderId="0" xfId="1" applyNumberFormat="1" applyFont="1" applyFill="1"/>
    <xf numFmtId="165" fontId="77" fillId="0" borderId="0" xfId="0" applyNumberFormat="1" applyFont="1" applyFill="1"/>
    <xf numFmtId="43" fontId="77" fillId="0" borderId="0" xfId="0" applyNumberFormat="1" applyFont="1" applyFill="1" applyAlignment="1">
      <alignment horizontal="center"/>
    </xf>
    <xf numFmtId="0" fontId="77" fillId="0" borderId="0" xfId="0" applyFont="1" applyFill="1" applyAlignment="1">
      <alignment horizontal="center"/>
    </xf>
    <xf numFmtId="40" fontId="0" fillId="0" borderId="0" xfId="0" applyNumberFormat="1"/>
    <xf numFmtId="40" fontId="31" fillId="0" borderId="0" xfId="0" applyNumberFormat="1" applyFont="1"/>
    <xf numFmtId="41" fontId="29" fillId="0" borderId="0" xfId="0" applyNumberFormat="1" applyFont="1"/>
    <xf numFmtId="0" fontId="29" fillId="0" borderId="18" xfId="0" applyFont="1" applyBorder="1"/>
    <xf numFmtId="41" fontId="29" fillId="0" borderId="19" xfId="0" applyNumberFormat="1" applyFont="1" applyBorder="1"/>
    <xf numFmtId="40" fontId="50" fillId="0" borderId="0" xfId="0" applyNumberFormat="1" applyFont="1"/>
    <xf numFmtId="43" fontId="13" fillId="0" borderId="0" xfId="8" applyNumberFormat="1" applyFont="1"/>
    <xf numFmtId="173" fontId="0" fillId="0" borderId="0" xfId="0" applyNumberFormat="1"/>
    <xf numFmtId="178" fontId="0" fillId="0" borderId="0" xfId="0" applyNumberFormat="1"/>
    <xf numFmtId="166" fontId="76" fillId="37" borderId="0" xfId="0" applyNumberFormat="1" applyFont="1" applyFill="1"/>
    <xf numFmtId="165" fontId="0" fillId="4" borderId="0" xfId="0" applyNumberFormat="1" applyFill="1"/>
    <xf numFmtId="49" fontId="25" fillId="39" borderId="1" xfId="0" applyNumberFormat="1" applyFont="1" applyFill="1" applyBorder="1" applyAlignment="1">
      <alignment horizontal="left" vertical="center"/>
    </xf>
    <xf numFmtId="166" fontId="25" fillId="39" borderId="2" xfId="0" applyNumberFormat="1" applyFont="1" applyFill="1" applyBorder="1" applyAlignment="1">
      <alignment horizontal="right" vertical="center"/>
    </xf>
    <xf numFmtId="0" fontId="67" fillId="30" borderId="4" xfId="8" applyFont="1" applyFill="1" applyBorder="1" applyAlignment="1">
      <alignment vertical="center"/>
    </xf>
    <xf numFmtId="0" fontId="67" fillId="30" borderId="4" xfId="8" applyFont="1" applyFill="1" applyBorder="1" applyAlignment="1">
      <alignment horizontal="center" vertical="center" wrapText="1"/>
    </xf>
    <xf numFmtId="0" fontId="67" fillId="30" borderId="42" xfId="8" applyFont="1" applyFill="1" applyBorder="1" applyAlignment="1">
      <alignment horizontal="center" vertical="center"/>
    </xf>
    <xf numFmtId="0" fontId="67" fillId="31" borderId="4" xfId="8" applyFont="1" applyFill="1" applyBorder="1" applyAlignment="1">
      <alignment horizontal="center" vertical="center"/>
    </xf>
    <xf numFmtId="0" fontId="67" fillId="30" borderId="4" xfId="8" applyFont="1" applyFill="1" applyBorder="1" applyAlignment="1">
      <alignment horizontal="center" vertical="center"/>
    </xf>
    <xf numFmtId="0" fontId="67" fillId="32" borderId="4" xfId="8" applyFont="1" applyFill="1" applyBorder="1" applyAlignment="1">
      <alignment horizontal="center" vertical="center" wrapText="1"/>
    </xf>
    <xf numFmtId="0" fontId="67" fillId="32" borderId="4" xfId="8" applyFont="1" applyFill="1" applyBorder="1" applyAlignment="1">
      <alignment horizontal="center" vertical="center"/>
    </xf>
    <xf numFmtId="0" fontId="67" fillId="30" borderId="33" xfId="8" applyFont="1" applyFill="1" applyBorder="1" applyAlignment="1">
      <alignment horizontal="center" vertical="center"/>
    </xf>
    <xf numFmtId="43" fontId="0" fillId="0" borderId="6" xfId="1" applyNumberFormat="1" applyFont="1" applyBorder="1"/>
    <xf numFmtId="0" fontId="12" fillId="0" borderId="0" xfId="8" applyFont="1" applyFill="1"/>
    <xf numFmtId="0" fontId="29" fillId="0" borderId="0" xfId="3" applyFont="1" applyAlignment="1">
      <alignment vertical="top"/>
    </xf>
    <xf numFmtId="0" fontId="29" fillId="0" borderId="0" xfId="3" applyFill="1" applyAlignment="1">
      <alignment horizontal="left" vertical="top"/>
    </xf>
    <xf numFmtId="1" fontId="29" fillId="0" borderId="0" xfId="3" applyNumberFormat="1" applyFill="1" applyAlignment="1">
      <alignment horizontal="right" vertical="top"/>
    </xf>
    <xf numFmtId="14" fontId="29" fillId="0" borderId="0" xfId="3" applyNumberFormat="1" applyFill="1" applyAlignment="1">
      <alignment horizontal="right" vertical="top"/>
    </xf>
    <xf numFmtId="2" fontId="29" fillId="0" borderId="0" xfId="1" applyNumberFormat="1" applyFont="1" applyFill="1" applyAlignment="1">
      <alignment horizontal="right" vertical="top"/>
    </xf>
    <xf numFmtId="2" fontId="29" fillId="0" borderId="0" xfId="3" applyNumberFormat="1" applyFill="1" applyAlignment="1">
      <alignment horizontal="right" vertical="top"/>
    </xf>
    <xf numFmtId="167" fontId="29" fillId="0" borderId="0" xfId="3" applyNumberFormat="1" applyFill="1" applyAlignment="1">
      <alignment horizontal="right" vertical="top"/>
    </xf>
    <xf numFmtId="170" fontId="29" fillId="0" borderId="0" xfId="3" applyNumberFormat="1" applyFill="1" applyAlignment="1">
      <alignment vertical="top"/>
    </xf>
    <xf numFmtId="43" fontId="11" fillId="0" borderId="0" xfId="8" applyNumberFormat="1" applyFont="1" applyFill="1" applyBorder="1"/>
    <xf numFmtId="0" fontId="31" fillId="40" borderId="0" xfId="3" applyFont="1" applyFill="1" applyAlignment="1">
      <alignment horizontal="center" vertical="top"/>
    </xf>
    <xf numFmtId="0" fontId="10" fillId="0" borderId="0" xfId="8" applyFont="1" applyFill="1" applyAlignment="1">
      <alignment wrapText="1"/>
    </xf>
    <xf numFmtId="0" fontId="9" fillId="0" borderId="0" xfId="8" applyFont="1" applyAlignment="1">
      <alignment horizontal="center"/>
    </xf>
    <xf numFmtId="0" fontId="9" fillId="0" borderId="0" xfId="8" applyFont="1" applyFill="1" applyAlignment="1">
      <alignment wrapText="1"/>
    </xf>
    <xf numFmtId="0" fontId="8" fillId="0" borderId="7" xfId="8" applyFont="1" applyBorder="1"/>
    <xf numFmtId="172" fontId="40" fillId="7" borderId="0" xfId="0" applyNumberFormat="1" applyFont="1" applyFill="1"/>
    <xf numFmtId="43" fontId="29" fillId="9" borderId="0" xfId="1" applyFont="1" applyFill="1" applyAlignment="1">
      <alignment horizontal="right" vertical="top"/>
    </xf>
    <xf numFmtId="2" fontId="29" fillId="9" borderId="0" xfId="1" applyNumberFormat="1" applyFont="1" applyFill="1" applyAlignment="1">
      <alignment horizontal="right" vertical="top"/>
    </xf>
    <xf numFmtId="1" fontId="29" fillId="9" borderId="0" xfId="1" applyNumberFormat="1" applyFont="1" applyFill="1" applyAlignment="1">
      <alignment horizontal="right" vertical="top"/>
    </xf>
    <xf numFmtId="43" fontId="29" fillId="0" borderId="0" xfId="4" applyNumberFormat="1">
      <alignment vertical="center"/>
    </xf>
    <xf numFmtId="0" fontId="29" fillId="0" borderId="0" xfId="4" applyAlignment="1">
      <alignment horizontal="left" vertical="center"/>
    </xf>
    <xf numFmtId="0" fontId="7" fillId="0" borderId="0" xfId="8" applyFont="1" applyAlignment="1">
      <alignment horizontal="center"/>
    </xf>
    <xf numFmtId="0" fontId="67" fillId="35" borderId="4" xfId="8" applyFont="1" applyFill="1" applyBorder="1" applyAlignment="1">
      <alignment horizontal="left" indent="1"/>
    </xf>
    <xf numFmtId="165" fontId="67" fillId="41" borderId="4" xfId="8" applyNumberFormat="1" applyFont="1" applyFill="1" applyBorder="1"/>
    <xf numFmtId="165" fontId="67" fillId="35" borderId="4" xfId="8" applyNumberFormat="1" applyFont="1" applyFill="1" applyBorder="1"/>
    <xf numFmtId="1" fontId="67" fillId="35" borderId="4" xfId="8" applyNumberFormat="1" applyFont="1" applyFill="1" applyBorder="1"/>
    <xf numFmtId="1" fontId="67" fillId="41" borderId="4" xfId="8" applyNumberFormat="1" applyFont="1" applyFill="1" applyBorder="1"/>
    <xf numFmtId="2" fontId="29" fillId="18" borderId="0" xfId="1" applyNumberFormat="1" applyFont="1" applyFill="1" applyAlignment="1">
      <alignment horizontal="right" vertical="top"/>
    </xf>
    <xf numFmtId="2" fontId="29" fillId="29" borderId="0" xfId="1" applyNumberFormat="1" applyFont="1" applyFill="1" applyAlignment="1">
      <alignment horizontal="right" vertical="top"/>
    </xf>
    <xf numFmtId="0" fontId="0" fillId="42" borderId="0" xfId="0" applyFill="1"/>
    <xf numFmtId="14" fontId="0" fillId="42" borderId="0" xfId="0" applyNumberFormat="1" applyFill="1"/>
    <xf numFmtId="2" fontId="0" fillId="42" borderId="0" xfId="0" applyNumberFormat="1" applyFill="1"/>
    <xf numFmtId="165" fontId="0" fillId="42" borderId="0" xfId="1" applyNumberFormat="1" applyFont="1" applyFill="1"/>
    <xf numFmtId="165" fontId="77" fillId="42" borderId="0" xfId="0" applyNumberFormat="1" applyFont="1" applyFill="1"/>
    <xf numFmtId="43" fontId="77" fillId="42" borderId="0" xfId="0" applyNumberFormat="1" applyFont="1" applyFill="1" applyAlignment="1">
      <alignment horizontal="center"/>
    </xf>
    <xf numFmtId="0" fontId="77" fillId="42" borderId="0" xfId="0" applyFont="1" applyFill="1" applyAlignment="1">
      <alignment horizontal="center"/>
    </xf>
    <xf numFmtId="0" fontId="0" fillId="42" borderId="0" xfId="0" applyFill="1" applyAlignment="1">
      <alignment horizontal="right"/>
    </xf>
    <xf numFmtId="0" fontId="6" fillId="0" borderId="0" xfId="8" applyFont="1" applyFill="1"/>
    <xf numFmtId="0" fontId="85" fillId="0" borderId="0" xfId="0" applyFont="1"/>
    <xf numFmtId="0" fontId="86" fillId="43" borderId="4" xfId="0" applyFont="1" applyFill="1" applyBorder="1" applyAlignment="1">
      <alignment horizontal="center" vertical="center" wrapText="1"/>
    </xf>
    <xf numFmtId="49" fontId="86" fillId="43" borderId="4" xfId="0" applyNumberFormat="1" applyFont="1" applyFill="1" applyBorder="1" applyAlignment="1">
      <alignment horizontal="center" vertical="center" wrapText="1"/>
    </xf>
    <xf numFmtId="0" fontId="86" fillId="43" borderId="31" xfId="0" applyFont="1" applyFill="1" applyBorder="1" applyAlignment="1">
      <alignment horizontal="center" vertical="center" wrapText="1"/>
    </xf>
    <xf numFmtId="0" fontId="87" fillId="0" borderId="4" xfId="0" applyFont="1" applyBorder="1" applyAlignment="1">
      <alignment horizontal="center" vertical="center"/>
    </xf>
    <xf numFmtId="49" fontId="87" fillId="0" borderId="4" xfId="0" applyNumberFormat="1" applyFont="1" applyBorder="1" applyAlignment="1">
      <alignment horizontal="center" vertical="center"/>
    </xf>
    <xf numFmtId="164" fontId="25" fillId="4" borderId="2" xfId="0" applyNumberFormat="1" applyFont="1" applyFill="1" applyBorder="1" applyAlignment="1">
      <alignment horizontal="right" vertical="center"/>
    </xf>
    <xf numFmtId="2" fontId="29" fillId="18" borderId="0" xfId="1" applyNumberFormat="1" applyFont="1" applyFill="1" applyAlignment="1">
      <alignment vertical="top"/>
    </xf>
    <xf numFmtId="43" fontId="0" fillId="44" borderId="0" xfId="1" applyFont="1" applyFill="1"/>
    <xf numFmtId="0" fontId="88" fillId="0" borderId="38" xfId="0" applyFont="1" applyBorder="1" applyAlignment="1">
      <alignment horizontal="center" vertical="center"/>
    </xf>
    <xf numFmtId="43" fontId="87" fillId="0" borderId="62" xfId="1" applyFont="1" applyBorder="1" applyAlignment="1">
      <alignment horizontal="center" vertical="center"/>
    </xf>
    <xf numFmtId="0" fontId="87" fillId="0" borderId="0" xfId="0" applyFont="1" applyBorder="1" applyAlignment="1">
      <alignment horizontal="center" vertical="center"/>
    </xf>
    <xf numFmtId="0" fontId="87" fillId="5" borderId="59" xfId="0" applyFont="1" applyFill="1" applyBorder="1" applyAlignment="1">
      <alignment horizontal="center" vertical="center"/>
    </xf>
    <xf numFmtId="43" fontId="0" fillId="5" borderId="0" xfId="0" applyNumberFormat="1" applyFill="1"/>
    <xf numFmtId="0" fontId="5" fillId="0" borderId="7" xfId="8" applyFont="1" applyBorder="1"/>
    <xf numFmtId="0" fontId="5" fillId="0" borderId="0" xfId="8" applyFont="1" applyAlignment="1">
      <alignment horizontal="center"/>
    </xf>
    <xf numFmtId="43" fontId="87" fillId="4" borderId="63" xfId="1" applyFont="1" applyFill="1" applyBorder="1" applyAlignment="1">
      <alignment horizontal="center" vertical="center"/>
    </xf>
    <xf numFmtId="0" fontId="74" fillId="4" borderId="31" xfId="0" applyFont="1" applyFill="1" applyBorder="1" applyAlignment="1">
      <alignment horizontal="center" vertical="center" wrapText="1"/>
    </xf>
    <xf numFmtId="43" fontId="87" fillId="0" borderId="18" xfId="1" applyFont="1" applyFill="1" applyBorder="1" applyAlignment="1">
      <alignment horizontal="center" vertical="center"/>
    </xf>
    <xf numFmtId="43" fontId="89" fillId="0" borderId="60" xfId="1" applyFont="1" applyFill="1" applyBorder="1" applyAlignment="1">
      <alignment horizontal="center" vertical="center"/>
    </xf>
    <xf numFmtId="43" fontId="87" fillId="0" borderId="60" xfId="1" applyFont="1" applyFill="1" applyBorder="1" applyAlignment="1">
      <alignment horizontal="center" vertical="center"/>
    </xf>
    <xf numFmtId="43" fontId="89" fillId="0" borderId="61" xfId="1" applyFont="1" applyFill="1" applyBorder="1" applyAlignment="1">
      <alignment horizontal="center" vertical="center"/>
    </xf>
    <xf numFmtId="43" fontId="87" fillId="0" borderId="15" xfId="1" applyFont="1" applyFill="1" applyBorder="1" applyAlignment="1">
      <alignment horizontal="center" vertical="center"/>
    </xf>
    <xf numFmtId="43" fontId="23" fillId="0" borderId="31" xfId="8" applyNumberFormat="1" applyFill="1" applyBorder="1"/>
    <xf numFmtId="0" fontId="23" fillId="0" borderId="15" xfId="8" applyFill="1" applyBorder="1" applyAlignment="1">
      <alignment horizontal="left" indent="2"/>
    </xf>
    <xf numFmtId="43" fontId="0" fillId="45" borderId="0" xfId="1" applyFont="1" applyFill="1"/>
    <xf numFmtId="0" fontId="5" fillId="0" borderId="0" xfId="8" applyFont="1" applyFill="1" applyAlignment="1">
      <alignment wrapText="1"/>
    </xf>
    <xf numFmtId="0" fontId="5" fillId="0" borderId="0" xfId="8" applyFont="1" applyFill="1"/>
    <xf numFmtId="38" fontId="46" fillId="0" borderId="20" xfId="0" applyNumberFormat="1" applyFont="1" applyBorder="1"/>
    <xf numFmtId="0" fontId="4" fillId="0" borderId="0" xfId="8" applyFont="1"/>
    <xf numFmtId="0" fontId="0" fillId="17" borderId="0" xfId="0" applyFill="1"/>
    <xf numFmtId="0" fontId="0" fillId="17" borderId="0" xfId="0" applyFill="1" applyBorder="1"/>
    <xf numFmtId="0" fontId="3" fillId="0" borderId="7" xfId="8" applyFont="1" applyBorder="1"/>
    <xf numFmtId="0" fontId="3" fillId="0" borderId="0" xfId="8" applyFont="1" applyAlignment="1">
      <alignment horizontal="center"/>
    </xf>
    <xf numFmtId="0" fontId="3" fillId="0" borderId="15" xfId="8" applyFont="1" applyBorder="1" applyAlignment="1">
      <alignment horizontal="left" indent="2"/>
    </xf>
    <xf numFmtId="1" fontId="3" fillId="0" borderId="4" xfId="8" applyNumberFormat="1" applyFont="1" applyBorder="1"/>
    <xf numFmtId="1" fontId="3" fillId="31" borderId="4" xfId="8" applyNumberFormat="1" applyFont="1" applyFill="1" applyBorder="1"/>
    <xf numFmtId="165" fontId="3" fillId="32" borderId="4" xfId="8" applyNumberFormat="1" applyFont="1" applyFill="1" applyBorder="1"/>
    <xf numFmtId="165" fontId="3" fillId="0" borderId="4" xfId="8" applyNumberFormat="1" applyFont="1" applyBorder="1"/>
    <xf numFmtId="14" fontId="0" fillId="0" borderId="0" xfId="0" applyNumberFormat="1" applyBorder="1"/>
    <xf numFmtId="2" fontId="0" fillId="0" borderId="0" xfId="0" applyNumberFormat="1" applyBorder="1"/>
    <xf numFmtId="169" fontId="0" fillId="0" borderId="0" xfId="0" applyNumberFormat="1" applyBorder="1"/>
    <xf numFmtId="167" fontId="0" fillId="0" borderId="0" xfId="0" applyNumberFormat="1" applyBorder="1"/>
    <xf numFmtId="43" fontId="66" fillId="0" borderId="0" xfId="0" applyNumberFormat="1" applyFont="1"/>
    <xf numFmtId="43" fontId="37" fillId="35" borderId="0" xfId="1" applyFont="1" applyFill="1"/>
    <xf numFmtId="0" fontId="0" fillId="37" borderId="64" xfId="0" applyFill="1" applyBorder="1"/>
    <xf numFmtId="0" fontId="0" fillId="37" borderId="65" xfId="0" applyFill="1" applyBorder="1"/>
    <xf numFmtId="43" fontId="0" fillId="37" borderId="65" xfId="0" applyNumberFormat="1" applyFill="1" applyBorder="1"/>
    <xf numFmtId="0" fontId="0" fillId="37" borderId="66" xfId="0" applyFill="1" applyBorder="1"/>
    <xf numFmtId="0" fontId="0" fillId="0" borderId="67" xfId="0" applyBorder="1"/>
    <xf numFmtId="0" fontId="0" fillId="0" borderId="68" xfId="0" applyBorder="1"/>
    <xf numFmtId="0" fontId="0" fillId="0" borderId="69" xfId="0" applyBorder="1"/>
    <xf numFmtId="0" fontId="0" fillId="0" borderId="48" xfId="0" applyBorder="1"/>
    <xf numFmtId="0" fontId="0" fillId="0" borderId="70" xfId="0" applyBorder="1"/>
    <xf numFmtId="0" fontId="88" fillId="0" borderId="4" xfId="0" applyFont="1" applyBorder="1" applyAlignment="1">
      <alignment horizontal="center" vertical="center"/>
    </xf>
    <xf numFmtId="43" fontId="87" fillId="0" borderId="60" xfId="1" applyFont="1" applyBorder="1" applyAlignment="1">
      <alignment horizontal="center" vertical="center"/>
    </xf>
    <xf numFmtId="49" fontId="87" fillId="0" borderId="60" xfId="0" applyNumberFormat="1" applyFont="1" applyBorder="1" applyAlignment="1">
      <alignment horizontal="center" vertical="center"/>
    </xf>
    <xf numFmtId="0" fontId="88" fillId="0" borderId="60" xfId="0" applyFont="1" applyBorder="1" applyAlignment="1">
      <alignment horizontal="center" vertical="center"/>
    </xf>
    <xf numFmtId="43" fontId="89" fillId="0" borderId="60" xfId="1" applyFont="1" applyBorder="1" applyAlignment="1">
      <alignment horizontal="center" vertical="center"/>
    </xf>
    <xf numFmtId="2" fontId="29" fillId="9" borderId="0" xfId="1" applyNumberFormat="1" applyFont="1" applyFill="1" applyAlignment="1">
      <alignment vertical="top"/>
    </xf>
    <xf numFmtId="168" fontId="29" fillId="0" borderId="0" xfId="1" applyNumberFormat="1" applyFont="1" applyAlignment="1">
      <alignment horizontal="right" vertical="top"/>
    </xf>
    <xf numFmtId="0" fontId="2" fillId="0" borderId="0" xfId="8" applyFont="1" applyFill="1"/>
    <xf numFmtId="43" fontId="29" fillId="0" borderId="0" xfId="1" applyFont="1" applyFill="1" applyAlignment="1">
      <alignment horizontal="right" vertical="top"/>
    </xf>
    <xf numFmtId="43" fontId="90" fillId="18" borderId="0" xfId="1" applyFont="1" applyFill="1" applyAlignment="1">
      <alignment vertical="top"/>
    </xf>
    <xf numFmtId="43" fontId="90" fillId="18" borderId="0" xfId="1" applyFont="1" applyFill="1" applyAlignment="1">
      <alignment horizontal="right" vertical="top"/>
    </xf>
    <xf numFmtId="0" fontId="1" fillId="0" borderId="0" xfId="8" applyFont="1" applyFill="1" applyAlignment="1">
      <alignment wrapText="1"/>
    </xf>
    <xf numFmtId="0" fontId="1" fillId="0" borderId="0" xfId="8" applyFont="1"/>
    <xf numFmtId="0" fontId="1" fillId="0" borderId="0" xfId="8" applyFont="1" applyFill="1"/>
    <xf numFmtId="0" fontId="91" fillId="0" borderId="0" xfId="3" applyFont="1" applyAlignment="1">
      <alignment vertical="top"/>
    </xf>
    <xf numFmtId="0" fontId="29" fillId="46" borderId="0" xfId="3" applyFill="1" applyAlignment="1">
      <alignment vertical="top"/>
    </xf>
    <xf numFmtId="43" fontId="29" fillId="46" borderId="0" xfId="1" applyFont="1" applyFill="1" applyAlignment="1">
      <alignment vertical="top"/>
    </xf>
    <xf numFmtId="10" fontId="29" fillId="46" borderId="0" xfId="2" applyNumberFormat="1" applyFont="1" applyFill="1" applyAlignment="1">
      <alignment vertical="top"/>
    </xf>
    <xf numFmtId="0" fontId="92" fillId="0" borderId="0" xfId="3" applyFont="1" applyFill="1" applyAlignment="1">
      <alignment vertical="top"/>
    </xf>
    <xf numFmtId="0" fontId="27" fillId="6" borderId="0" xfId="0" applyFont="1" applyFill="1" applyAlignment="1">
      <alignment horizontal="center" vertical="center"/>
    </xf>
    <xf numFmtId="0" fontId="27" fillId="6" borderId="0" xfId="0" applyFont="1" applyFill="1" applyAlignment="1">
      <alignment horizontal="center" vertical="center" wrapText="1"/>
    </xf>
    <xf numFmtId="0" fontId="42" fillId="6" borderId="0" xfId="0" applyFont="1" applyFill="1" applyAlignment="1">
      <alignment horizontal="center"/>
    </xf>
    <xf numFmtId="0" fontId="27" fillId="6" borderId="0" xfId="0" applyFont="1" applyFill="1" applyAlignment="1">
      <alignment horizontal="center"/>
    </xf>
    <xf numFmtId="0" fontId="32" fillId="14" borderId="0" xfId="0" applyFont="1" applyFill="1" applyAlignment="1">
      <alignment horizontal="left" vertical="center" wrapText="1"/>
    </xf>
    <xf numFmtId="0" fontId="36" fillId="14" borderId="0" xfId="0" applyFont="1" applyFill="1" applyAlignment="1">
      <alignment horizontal="left" vertical="top" wrapText="1"/>
    </xf>
    <xf numFmtId="0" fontId="38" fillId="9" borderId="0" xfId="0" applyFont="1" applyFill="1" applyAlignment="1">
      <alignment horizontal="left" wrapText="1"/>
    </xf>
    <xf numFmtId="0" fontId="67" fillId="30" borderId="4" xfId="8" applyFont="1" applyFill="1" applyBorder="1" applyAlignment="1">
      <alignment horizontal="center"/>
    </xf>
    <xf numFmtId="0" fontId="82" fillId="14" borderId="0" xfId="0" applyFont="1" applyFill="1" applyAlignment="1">
      <alignment horizontal="left" vertical="top" wrapText="1"/>
    </xf>
    <xf numFmtId="0" fontId="81" fillId="6" borderId="0" xfId="3" applyFont="1" applyFill="1" applyAlignment="1">
      <alignment horizontal="center" vertical="top"/>
    </xf>
    <xf numFmtId="41" fontId="46" fillId="0" borderId="0" xfId="0" applyNumberFormat="1" applyFont="1" applyAlignment="1">
      <alignment horizontal="center"/>
    </xf>
    <xf numFmtId="0" fontId="87" fillId="0" borderId="59" xfId="0" applyFont="1" applyBorder="1" applyAlignment="1">
      <alignment horizontal="center" vertical="center"/>
    </xf>
    <xf numFmtId="0" fontId="87" fillId="0" borderId="18" xfId="0" applyFont="1" applyBorder="1" applyAlignment="1">
      <alignment horizontal="center" vertical="center"/>
    </xf>
    <xf numFmtId="0" fontId="87" fillId="0" borderId="15" xfId="0" applyFont="1" applyBorder="1" applyAlignment="1">
      <alignment horizontal="center" vertical="center"/>
    </xf>
  </cellXfs>
  <cellStyles count="10">
    <cellStyle name="Comma" xfId="1" builtinId="3"/>
    <cellStyle name="Comma 2" xfId="5" xr:uid="{C1285A00-66AA-4960-873B-42C43F600875}"/>
    <cellStyle name="Comma 4" xfId="9" xr:uid="{9B08FA2C-5FC3-4426-96E2-093344FCEE83}"/>
    <cellStyle name="Normal" xfId="0" builtinId="0"/>
    <cellStyle name="Normal 2" xfId="3" xr:uid="{34F5C178-766F-4BA2-86EA-4D12F9B9DD43}"/>
    <cellStyle name="Normal 2 2" xfId="6" xr:uid="{A2CE94F0-36BA-4D53-9CBD-4780AA516B4D}"/>
    <cellStyle name="Normal 3" xfId="4" xr:uid="{3532E0E4-AA34-4AEC-9F4C-F3DEACDBDCA3}"/>
    <cellStyle name="Normal 4" xfId="8" xr:uid="{350E4F2B-9C93-4B24-B196-4D202E6B9E2E}"/>
    <cellStyle name="Percent" xfId="2" builtinId="5"/>
    <cellStyle name="Percent 2" xfId="7" xr:uid="{C46EB782-9482-4294-AC9D-46B3A563E361}"/>
  </cellStyles>
  <dxfs count="37">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alignment horizontal="general"/>
    </dxf>
    <dxf>
      <numFmt numFmtId="2" formatCode="0.00"/>
    </dxf>
  </dxfs>
  <tableStyles count="0" defaultTableStyle="TableStyleMedium9" defaultPivotStyle="PivotStyleLight16"/>
  <colors>
    <mruColors>
      <color rgb="FF008000"/>
      <color rgb="FF9966FF"/>
      <color rgb="FF9900FF"/>
      <color rgb="FFFF6699"/>
      <color rgb="FFFFFF00"/>
      <color rgb="FFCC66FF"/>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By</a:t>
            </a:r>
            <a:r>
              <a:rPr lang="en-US" sz="1100" b="1" baseline="0"/>
              <a:t> Currency</a:t>
            </a:r>
            <a:endParaRPr lang="en-US" sz="1100" b="1"/>
          </a:p>
        </c:rich>
      </c:tx>
      <c:layout>
        <c:manualLayout>
          <c:xMode val="edge"/>
          <c:yMode val="edge"/>
          <c:x val="0.30544780586637199"/>
          <c:y val="9.7806798567507333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pieChart>
        <c:varyColors val="1"/>
        <c:ser>
          <c:idx val="0"/>
          <c:order val="0"/>
          <c:tx>
            <c:strRef>
              <c:f>'Cash Balance Report'!$A$4:$A$6</c:f>
              <c:strCache>
                <c:ptCount val="3"/>
                <c:pt idx="0">
                  <c:v>THB</c:v>
                </c:pt>
                <c:pt idx="1">
                  <c:v>USD</c:v>
                </c:pt>
                <c:pt idx="2">
                  <c:v>Other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B504-4A9C-A5D9-ABAADFA5B6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B504-4A9C-A5D9-ABAADFA5B6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B504-4A9C-A5D9-ABAADFA5B61B}"/>
              </c:ext>
            </c:extLst>
          </c:dPt>
          <c:dLbls>
            <c:dLbl>
              <c:idx val="0"/>
              <c:layout>
                <c:manualLayout>
                  <c:x val="-0.16404268545379197"/>
                  <c:y val="0.20009112817830454"/>
                </c:manualLayout>
              </c:layout>
              <c:showLegendKey val="0"/>
              <c:showVal val="1"/>
              <c:showCatName val="1"/>
              <c:showSerName val="0"/>
              <c:showPercent val="1"/>
              <c:showBubbleSize val="0"/>
              <c:extLst>
                <c:ext xmlns:c15="http://schemas.microsoft.com/office/drawing/2012/chart" uri="{CE6537A1-D6FC-4f65-9D91-7224C49458BB}">
                  <c15:layout>
                    <c:manualLayout>
                      <c:w val="0.27207207207207207"/>
                      <c:h val="0.18554474705527133"/>
                    </c:manualLayout>
                  </c15:layout>
                </c:ext>
                <c:ext xmlns:c16="http://schemas.microsoft.com/office/drawing/2014/chart" uri="{C3380CC4-5D6E-409C-BE32-E72D297353CC}">
                  <c16:uniqueId val="{0000000D-B504-4A9C-A5D9-ABAADFA5B61B}"/>
                </c:ext>
              </c:extLst>
            </c:dLbl>
            <c:dLbl>
              <c:idx val="1"/>
              <c:layout>
                <c:manualLayout>
                  <c:x val="0.32082492027957921"/>
                  <c:y val="-0.21179423915570131"/>
                </c:manualLayout>
              </c:layout>
              <c:showLegendKey val="0"/>
              <c:showVal val="1"/>
              <c:showCatName val="1"/>
              <c:showSerName val="0"/>
              <c:showPercent val="1"/>
              <c:showBubbleSize val="0"/>
              <c:extLst>
                <c:ext xmlns:c15="http://schemas.microsoft.com/office/drawing/2012/chart" uri="{CE6537A1-D6FC-4f65-9D91-7224C49458BB}">
                  <c15:layout>
                    <c:manualLayout>
                      <c:w val="0.43376231911361257"/>
                      <c:h val="0.18554470058860276"/>
                    </c:manualLayout>
                  </c15:layout>
                </c:ext>
                <c:ext xmlns:c16="http://schemas.microsoft.com/office/drawing/2014/chart" uri="{C3380CC4-5D6E-409C-BE32-E72D297353CC}">
                  <c16:uniqueId val="{0000000C-B504-4A9C-A5D9-ABAADFA5B61B}"/>
                </c:ext>
              </c:extLst>
            </c:dLbl>
            <c:dLbl>
              <c:idx val="2"/>
              <c:layout>
                <c:manualLayout>
                  <c:x val="-5.7199429018741617E-3"/>
                  <c:y val="0.11072602454203463"/>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504-4A9C-A5D9-ABAADFA5B61B}"/>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TH"/>
              </a:p>
            </c:txPr>
            <c:showLegendKey val="0"/>
            <c:showVal val="1"/>
            <c:showCatName val="1"/>
            <c:showSerName val="0"/>
            <c:showPercent val="1"/>
            <c:showBubbleSize val="0"/>
            <c:showLeaderLines val="0"/>
            <c:extLst>
              <c:ext xmlns:c15="http://schemas.microsoft.com/office/drawing/2012/chart" uri="{CE6537A1-D6FC-4f65-9D91-7224C49458BB}"/>
            </c:extLst>
          </c:dLbls>
          <c:cat>
            <c:strRef>
              <c:f>'Cash Balance Report'!$A$4:$A$6</c:f>
              <c:strCache>
                <c:ptCount val="3"/>
                <c:pt idx="0">
                  <c:v>THB</c:v>
                </c:pt>
                <c:pt idx="1">
                  <c:v>USD</c:v>
                </c:pt>
                <c:pt idx="2">
                  <c:v>Other</c:v>
                </c:pt>
              </c:strCache>
            </c:strRef>
          </c:cat>
          <c:val>
            <c:numRef>
              <c:f>'Cash Balance Report'!$D$4:$D$6</c:f>
              <c:numCache>
                <c:formatCode>#,##0_-</c:formatCode>
                <c:ptCount val="3"/>
                <c:pt idx="0">
                  <c:v>282.63458539741708</c:v>
                </c:pt>
                <c:pt idx="1">
                  <c:v>2453.1773520699999</c:v>
                </c:pt>
                <c:pt idx="2">
                  <c:v>17.614142020000003</c:v>
                </c:pt>
              </c:numCache>
            </c:numRef>
          </c:val>
          <c:extLst>
            <c:ext xmlns:c16="http://schemas.microsoft.com/office/drawing/2014/chart" uri="{C3380CC4-5D6E-409C-BE32-E72D297353CC}">
              <c16:uniqueId val="{00000000-B504-4A9C-A5D9-ABAADFA5B61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TH"/>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By</a:t>
            </a:r>
            <a:r>
              <a:rPr lang="en-US" sz="1100" b="1" baseline="0"/>
              <a:t> Group Report</a:t>
            </a:r>
            <a:endParaRPr lang="en-US" sz="1100" b="1"/>
          </a:p>
        </c:rich>
      </c:tx>
      <c:layout>
        <c:manualLayout>
          <c:xMode val="edge"/>
          <c:yMode val="edge"/>
          <c:x val="0.28690813648293961"/>
          <c:y val="0.11757233922068117"/>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pieChart>
        <c:varyColors val="1"/>
        <c:ser>
          <c:idx val="0"/>
          <c:order val="0"/>
          <c:tx>
            <c:strRef>
              <c:f>'Cash Balance Report'!$H$4:$H$5</c:f>
              <c:strCache>
                <c:ptCount val="2"/>
                <c:pt idx="0">
                  <c:v>Available Cash</c:v>
                </c:pt>
                <c:pt idx="1">
                  <c:v>Reserved Cash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8827-407A-B5D9-DADBDD6428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8827-407A-B5D9-DADBDD642874}"/>
              </c:ext>
            </c:extLst>
          </c:dPt>
          <c:dLbls>
            <c:dLbl>
              <c:idx val="0"/>
              <c:layout>
                <c:manualLayout>
                  <c:x val="-0.15802822479916906"/>
                  <c:y val="3.7990829515908833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TH"/>
                </a:p>
              </c:txPr>
              <c:showLegendKey val="0"/>
              <c:showVal val="1"/>
              <c:showCatName val="1"/>
              <c:showSerName val="0"/>
              <c:showPercent val="1"/>
              <c:showBubbleSize val="0"/>
              <c:extLst>
                <c:ext xmlns:c15="http://schemas.microsoft.com/office/drawing/2012/chart" uri="{CE6537A1-D6FC-4f65-9D91-7224C49458BB}">
                  <c15:layout>
                    <c:manualLayout>
                      <c:w val="0.35605025967498749"/>
                      <c:h val="0.15172424817698635"/>
                    </c:manualLayout>
                  </c15:layout>
                </c:ext>
                <c:ext xmlns:c16="http://schemas.microsoft.com/office/drawing/2014/chart" uri="{C3380CC4-5D6E-409C-BE32-E72D297353CC}">
                  <c16:uniqueId val="{0000000A-8827-407A-B5D9-DADBDD642874}"/>
                </c:ext>
              </c:extLst>
            </c:dLbl>
            <c:dLbl>
              <c:idx val="1"/>
              <c:layout>
                <c:manualLayout>
                  <c:x val="0.14033677802758385"/>
                  <c:y val="1.3586319575296451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TH"/>
                </a:p>
              </c:txPr>
              <c:showLegendKey val="0"/>
              <c:showVal val="1"/>
              <c:showCatName val="1"/>
              <c:showSerName val="0"/>
              <c:showPercent val="1"/>
              <c:showBubbleSize val="0"/>
              <c:extLst>
                <c:ext xmlns:c15="http://schemas.microsoft.com/office/drawing/2012/chart" uri="{CE6537A1-D6FC-4f65-9D91-7224C49458BB}">
                  <c15:layout>
                    <c:manualLayout>
                      <c:w val="0.37350776895514959"/>
                      <c:h val="0.19770138715758204"/>
                    </c:manualLayout>
                  </c15:layout>
                </c:ext>
                <c:ext xmlns:c16="http://schemas.microsoft.com/office/drawing/2014/chart" uri="{C3380CC4-5D6E-409C-BE32-E72D297353CC}">
                  <c16:uniqueId val="{0000000B-8827-407A-B5D9-DADBDD642874}"/>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1"/>
            <c:showSerName val="0"/>
            <c:showPercent val="1"/>
            <c:showBubbleSize val="0"/>
            <c:showLeaderLines val="0"/>
            <c:extLst>
              <c:ext xmlns:c15="http://schemas.microsoft.com/office/drawing/2012/chart" uri="{CE6537A1-D6FC-4f65-9D91-7224C49458BB}"/>
            </c:extLst>
          </c:dLbls>
          <c:cat>
            <c:strRef>
              <c:f>'Cash Balance Report'!$H$4:$H$5</c:f>
              <c:strCache>
                <c:ptCount val="2"/>
                <c:pt idx="0">
                  <c:v>Available Cash</c:v>
                </c:pt>
                <c:pt idx="1">
                  <c:v>Reserved Cash</c:v>
                </c:pt>
              </c:strCache>
            </c:strRef>
          </c:cat>
          <c:val>
            <c:numRef>
              <c:f>'Cash Balance Report'!$I$4:$I$5</c:f>
              <c:numCache>
                <c:formatCode>_(* #,##0_);_(* \(#,##0\);_(* "-"??_);_(@_)</c:formatCode>
                <c:ptCount val="2"/>
                <c:pt idx="0">
                  <c:v>1449.3114352799998</c:v>
                </c:pt>
                <c:pt idx="1">
                  <c:v>1304.1146442074171</c:v>
                </c:pt>
              </c:numCache>
            </c:numRef>
          </c:val>
          <c:extLst>
            <c:ext xmlns:c16="http://schemas.microsoft.com/office/drawing/2014/chart" uri="{C3380CC4-5D6E-409C-BE32-E72D297353CC}">
              <c16:uniqueId val="{00000009-8827-407A-B5D9-DADBDD64287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T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By Company</a:t>
            </a:r>
          </a:p>
        </c:rich>
      </c:tx>
      <c:layout>
        <c:manualLayout>
          <c:xMode val="edge"/>
          <c:yMode val="edge"/>
          <c:x val="0.30834332149904498"/>
          <c:y val="0.12221027249642577"/>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pieChart>
        <c:varyColors val="1"/>
        <c:ser>
          <c:idx val="0"/>
          <c:order val="0"/>
          <c:tx>
            <c:strRef>
              <c:f>'Cash Balance Report'!$C$18:$C$23</c:f>
              <c:strCache>
                <c:ptCount val="6"/>
                <c:pt idx="0">
                  <c:v>PTTEP TC</c:v>
                </c:pt>
                <c:pt idx="1">
                  <c:v>PTTEP</c:v>
                </c:pt>
                <c:pt idx="2">
                  <c:v>Orange</c:v>
                </c:pt>
                <c:pt idx="3">
                  <c:v>ATL</c:v>
                </c:pt>
                <c:pt idx="4">
                  <c:v>PTTEP SP Limited</c:v>
                </c:pt>
                <c:pt idx="5">
                  <c:v>Others</c:v>
                </c:pt>
              </c:strCache>
            </c:strRef>
          </c:tx>
          <c:dPt>
            <c:idx val="0"/>
            <c:bubble3D val="0"/>
            <c:spPr>
              <a:solidFill>
                <a:schemeClr val="accent5">
                  <a:tint val="50000"/>
                </a:schemeClr>
              </a:solidFill>
              <a:ln w="19050">
                <a:solidFill>
                  <a:schemeClr val="lt1"/>
                </a:solidFill>
              </a:ln>
              <a:effectLst/>
            </c:spPr>
            <c:extLst>
              <c:ext xmlns:c16="http://schemas.microsoft.com/office/drawing/2014/chart" uri="{C3380CC4-5D6E-409C-BE32-E72D297353CC}">
                <c16:uniqueId val="{00000007-E528-405A-8C2C-D4D061023279}"/>
              </c:ext>
            </c:extLst>
          </c:dPt>
          <c:dPt>
            <c:idx val="1"/>
            <c:bubble3D val="0"/>
            <c:spPr>
              <a:solidFill>
                <a:schemeClr val="accent5">
                  <a:tint val="70000"/>
                </a:schemeClr>
              </a:solidFill>
              <a:ln w="19050">
                <a:solidFill>
                  <a:schemeClr val="lt1"/>
                </a:solidFill>
              </a:ln>
              <a:effectLst/>
            </c:spPr>
            <c:extLst>
              <c:ext xmlns:c16="http://schemas.microsoft.com/office/drawing/2014/chart" uri="{C3380CC4-5D6E-409C-BE32-E72D297353CC}">
                <c16:uniqueId val="{00000008-E528-405A-8C2C-D4D061023279}"/>
              </c:ext>
            </c:extLst>
          </c:dPt>
          <c:dPt>
            <c:idx val="2"/>
            <c:bubble3D val="0"/>
            <c:spPr>
              <a:solidFill>
                <a:schemeClr val="accent5">
                  <a:tint val="90000"/>
                </a:schemeClr>
              </a:solidFill>
              <a:ln w="19050">
                <a:solidFill>
                  <a:schemeClr val="lt1"/>
                </a:solidFill>
              </a:ln>
              <a:effectLst/>
            </c:spPr>
            <c:extLst>
              <c:ext xmlns:c16="http://schemas.microsoft.com/office/drawing/2014/chart" uri="{C3380CC4-5D6E-409C-BE32-E72D297353CC}">
                <c16:uniqueId val="{0000000A-E528-405A-8C2C-D4D061023279}"/>
              </c:ext>
            </c:extLst>
          </c:dPt>
          <c:dPt>
            <c:idx val="3"/>
            <c:bubble3D val="0"/>
            <c:spPr>
              <a:solidFill>
                <a:schemeClr val="accent5">
                  <a:shade val="90000"/>
                </a:schemeClr>
              </a:solidFill>
              <a:ln w="19050">
                <a:solidFill>
                  <a:schemeClr val="lt1"/>
                </a:solidFill>
              </a:ln>
              <a:effectLst/>
            </c:spPr>
            <c:extLst>
              <c:ext xmlns:c16="http://schemas.microsoft.com/office/drawing/2014/chart" uri="{C3380CC4-5D6E-409C-BE32-E72D297353CC}">
                <c16:uniqueId val="{00000009-E528-405A-8C2C-D4D061023279}"/>
              </c:ext>
            </c:extLst>
          </c:dPt>
          <c:dPt>
            <c:idx val="4"/>
            <c:bubble3D val="0"/>
            <c:spPr>
              <a:solidFill>
                <a:schemeClr val="accent5">
                  <a:shade val="70000"/>
                </a:schemeClr>
              </a:solidFill>
              <a:ln w="19050">
                <a:solidFill>
                  <a:schemeClr val="lt1"/>
                </a:solidFill>
              </a:ln>
              <a:effectLst/>
            </c:spPr>
            <c:extLst>
              <c:ext xmlns:c16="http://schemas.microsoft.com/office/drawing/2014/chart" uri="{C3380CC4-5D6E-409C-BE32-E72D297353CC}">
                <c16:uniqueId val="{0000000B-E528-405A-8C2C-D4D061023279}"/>
              </c:ext>
            </c:extLst>
          </c:dPt>
          <c:dPt>
            <c:idx val="5"/>
            <c:bubble3D val="0"/>
            <c:spPr>
              <a:solidFill>
                <a:schemeClr val="accent5">
                  <a:shade val="50000"/>
                </a:schemeClr>
              </a:solidFill>
              <a:ln w="19050">
                <a:solidFill>
                  <a:schemeClr val="lt1"/>
                </a:solidFill>
              </a:ln>
              <a:effectLst/>
            </c:spPr>
            <c:extLst>
              <c:ext xmlns:c16="http://schemas.microsoft.com/office/drawing/2014/chart" uri="{C3380CC4-5D6E-409C-BE32-E72D297353CC}">
                <c16:uniqueId val="{0000000C-E528-405A-8C2C-D4D061023279}"/>
              </c:ext>
            </c:extLst>
          </c:dPt>
          <c:dLbls>
            <c:dLbl>
              <c:idx val="0"/>
              <c:layout>
                <c:manualLayout>
                  <c:x val="-0.18160326708186414"/>
                  <c:y val="0.1959527233206714"/>
                </c:manualLayout>
              </c:layout>
              <c:showLegendKey val="0"/>
              <c:showVal val="1"/>
              <c:showCatName val="1"/>
              <c:showSerName val="0"/>
              <c:showPercent val="1"/>
              <c:showBubbleSize val="0"/>
              <c:extLst>
                <c:ext xmlns:c15="http://schemas.microsoft.com/office/drawing/2012/chart" uri="{CE6537A1-D6FC-4f65-9D91-7224C49458BB}">
                  <c15:layout>
                    <c:manualLayout>
                      <c:w val="0.30511463844797176"/>
                      <c:h val="0.16082477708142481"/>
                    </c:manualLayout>
                  </c15:layout>
                </c:ext>
                <c:ext xmlns:c16="http://schemas.microsoft.com/office/drawing/2014/chart" uri="{C3380CC4-5D6E-409C-BE32-E72D297353CC}">
                  <c16:uniqueId val="{00000007-E528-405A-8C2C-D4D061023279}"/>
                </c:ext>
              </c:extLst>
            </c:dLbl>
            <c:dLbl>
              <c:idx val="1"/>
              <c:layout>
                <c:manualLayout>
                  <c:x val="-0.17743594394589707"/>
                  <c:y val="-0.13063339974069507"/>
                </c:manualLayout>
              </c:layout>
              <c:showLegendKey val="0"/>
              <c:showVal val="1"/>
              <c:showCatName val="1"/>
              <c:showSerName val="0"/>
              <c:showPercent val="1"/>
              <c:showBubbleSize val="0"/>
              <c:extLst>
                <c:ext xmlns:c15="http://schemas.microsoft.com/office/drawing/2012/chart" uri="{CE6537A1-D6FC-4f65-9D91-7224C49458BB}">
                  <c15:layout>
                    <c:manualLayout>
                      <c:w val="0.24338624338624337"/>
                      <c:h val="0.15670106484856777"/>
                    </c:manualLayout>
                  </c15:layout>
                </c:ext>
                <c:ext xmlns:c16="http://schemas.microsoft.com/office/drawing/2014/chart" uri="{C3380CC4-5D6E-409C-BE32-E72D297353CC}">
                  <c16:uniqueId val="{00000008-E528-405A-8C2C-D4D061023279}"/>
                </c:ext>
              </c:extLst>
            </c:dLbl>
            <c:dLbl>
              <c:idx val="2"/>
              <c:layout>
                <c:manualLayout>
                  <c:x val="8.9331034138496343E-2"/>
                  <c:y val="-3.9248043994011092E-2"/>
                </c:manualLayout>
              </c:layout>
              <c:spPr>
                <a:no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mn-lt"/>
                      <a:ea typeface="+mn-ea"/>
                      <a:cs typeface="+mn-cs"/>
                    </a:defRPr>
                  </a:pPr>
                  <a:endParaRPr lang="en-TH"/>
                </a:p>
              </c:txPr>
              <c:showLegendKey val="0"/>
              <c:showVal val="1"/>
              <c:showCatName val="1"/>
              <c:showSerName val="0"/>
              <c:showPercent val="1"/>
              <c:showBubbleSize val="0"/>
              <c:extLst>
                <c:ext xmlns:c15="http://schemas.microsoft.com/office/drawing/2012/chart" uri="{CE6537A1-D6FC-4f65-9D91-7224C49458BB}">
                  <c15:layout>
                    <c:manualLayout>
                      <c:w val="0.2698751658027676"/>
                      <c:h val="0.16208766273150563"/>
                    </c:manualLayout>
                  </c15:layout>
                </c:ext>
                <c:ext xmlns:c16="http://schemas.microsoft.com/office/drawing/2014/chart" uri="{C3380CC4-5D6E-409C-BE32-E72D297353CC}">
                  <c16:uniqueId val="{0000000A-E528-405A-8C2C-D4D061023279}"/>
                </c:ext>
              </c:extLst>
            </c:dLbl>
            <c:dLbl>
              <c:idx val="3"/>
              <c:layout>
                <c:manualLayout>
                  <c:x val="3.2594991293998996E-4"/>
                  <c:y val="-5.7961164676568935E-2"/>
                </c:manualLayout>
              </c:layout>
              <c:tx>
                <c:rich>
                  <a:bodyPr/>
                  <a:lstStyle/>
                  <a:p>
                    <a:fld id="{E474C23D-CF8E-428E-8A54-D1589F1F603D}" type="CATEGORYNAME">
                      <a:rPr lang="en-US"/>
                      <a:pPr/>
                      <a:t>[CATEGORY NAME]</a:t>
                    </a:fld>
                    <a:r>
                      <a:rPr lang="en-US" baseline="0"/>
                      <a:t>, 124, </a:t>
                    </a:r>
                    <a:fld id="{62B1F0B1-FDEB-4167-94E9-4D59265DC929}"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30239296220680179"/>
                      <c:h val="0.15744363791832092"/>
                    </c:manualLayout>
                  </c15:layout>
                  <c15:dlblFieldTable/>
                  <c15:showDataLabelsRange val="0"/>
                </c:ext>
                <c:ext xmlns:c16="http://schemas.microsoft.com/office/drawing/2014/chart" uri="{C3380CC4-5D6E-409C-BE32-E72D297353CC}">
                  <c16:uniqueId val="{00000009-E528-405A-8C2C-D4D061023279}"/>
                </c:ext>
              </c:extLst>
            </c:dLbl>
            <c:dLbl>
              <c:idx val="4"/>
              <c:layout>
                <c:manualLayout>
                  <c:x val="0"/>
                  <c:y val="-2.7017552224370137E-2"/>
                </c:manualLayout>
              </c:layout>
              <c:tx>
                <c:rich>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mn-lt"/>
                        <a:ea typeface="+mn-ea"/>
                        <a:cs typeface="+mn-cs"/>
                      </a:defRPr>
                    </a:pPr>
                    <a:r>
                      <a:rPr lang="en-US" baseline="0"/>
                      <a:t>PTTEP SP , </a:t>
                    </a:r>
                    <a:fld id="{C44515FF-AE95-4D25-9B6C-0B7A22857158}" type="VALUE">
                      <a:rPr lang="en-US" baseline="0"/>
                      <a:pPr>
                        <a:defRPr sz="700" b="1"/>
                      </a:pPr>
                      <a:t>[VALUE]</a:t>
                    </a:fld>
                    <a:r>
                      <a:rPr lang="en-US" baseline="0"/>
                      <a:t>, </a:t>
                    </a:r>
                    <a:fld id="{ACDA1D6A-C1B2-4C5C-8B16-DD73C6D3B1D1}" type="PERCENTAGE">
                      <a:rPr lang="en-US" baseline="0"/>
                      <a:pPr>
                        <a:defRPr sz="700" b="1"/>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mn-lt"/>
                      <a:ea typeface="+mn-ea"/>
                      <a:cs typeface="+mn-cs"/>
                    </a:defRPr>
                  </a:pPr>
                  <a:endParaRPr lang="en-TH"/>
                </a:p>
              </c:txPr>
              <c:showLegendKey val="0"/>
              <c:showVal val="1"/>
              <c:showCatName val="1"/>
              <c:showSerName val="0"/>
              <c:showPercent val="1"/>
              <c:showBubbleSize val="0"/>
              <c:extLst>
                <c:ext xmlns:c15="http://schemas.microsoft.com/office/drawing/2012/chart" uri="{CE6537A1-D6FC-4f65-9D91-7224C49458BB}">
                  <c15:layout>
                    <c:manualLayout>
                      <c:w val="0.23058432948709015"/>
                      <c:h val="0.12371130480026754"/>
                    </c:manualLayout>
                  </c15:layout>
                  <c15:dlblFieldTable/>
                  <c15:showDataLabelsRange val="0"/>
                </c:ext>
                <c:ext xmlns:c16="http://schemas.microsoft.com/office/drawing/2014/chart" uri="{C3380CC4-5D6E-409C-BE32-E72D297353CC}">
                  <c16:uniqueId val="{0000000B-E528-405A-8C2C-D4D061023279}"/>
                </c:ext>
              </c:extLst>
            </c:dLbl>
            <c:dLbl>
              <c:idx val="5"/>
              <c:layout>
                <c:manualLayout>
                  <c:x val="0.15520321284822594"/>
                  <c:y val="9.3072472265902137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TH"/>
                </a:p>
              </c:txPr>
              <c:showLegendKey val="0"/>
              <c:showVal val="1"/>
              <c:showCatName val="1"/>
              <c:showSerName val="0"/>
              <c:showPercent val="1"/>
              <c:showBubbleSize val="0"/>
              <c:extLst>
                <c:ext xmlns:c15="http://schemas.microsoft.com/office/drawing/2012/chart" uri="{CE6537A1-D6FC-4f65-9D91-7224C49458BB}">
                  <c15:layout>
                    <c:manualLayout>
                      <c:w val="0.35097001763668428"/>
                      <c:h val="0.11134023028714025"/>
                    </c:manualLayout>
                  </c15:layout>
                </c:ext>
                <c:ext xmlns:c16="http://schemas.microsoft.com/office/drawing/2014/chart" uri="{C3380CC4-5D6E-409C-BE32-E72D297353CC}">
                  <c16:uniqueId val="{0000000C-E528-405A-8C2C-D4D061023279}"/>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TH"/>
              </a:p>
            </c:txPr>
            <c:showLegendKey val="0"/>
            <c:showVal val="1"/>
            <c:showCatName val="1"/>
            <c:showSerName val="0"/>
            <c:showPercent val="1"/>
            <c:showBubbleSize val="0"/>
            <c:showLeaderLines val="0"/>
            <c:extLst>
              <c:ext xmlns:c15="http://schemas.microsoft.com/office/drawing/2012/chart" uri="{CE6537A1-D6FC-4f65-9D91-7224C49458BB}"/>
            </c:extLst>
          </c:dLbls>
          <c:cat>
            <c:strRef>
              <c:f>'Cash Balance Report'!$C$18:$C$23</c:f>
              <c:strCache>
                <c:ptCount val="6"/>
                <c:pt idx="0">
                  <c:v>PTTEP TC</c:v>
                </c:pt>
                <c:pt idx="1">
                  <c:v>PTTEP</c:v>
                </c:pt>
                <c:pt idx="2">
                  <c:v>Orange</c:v>
                </c:pt>
                <c:pt idx="3">
                  <c:v>ATL</c:v>
                </c:pt>
                <c:pt idx="4">
                  <c:v>PTTEP SP Limited</c:v>
                </c:pt>
                <c:pt idx="5">
                  <c:v>Others</c:v>
                </c:pt>
              </c:strCache>
            </c:strRef>
          </c:cat>
          <c:val>
            <c:numRef>
              <c:f>'Cash Balance Report'!$B$18:$B$23</c:f>
              <c:numCache>
                <c:formatCode>_(* #,##0_);_(* \(#,##0\);_(* "-"??_);_(@_)</c:formatCode>
                <c:ptCount val="6"/>
                <c:pt idx="0">
                  <c:v>816.41878972999996</c:v>
                </c:pt>
                <c:pt idx="1">
                  <c:v>636.72786006000001</c:v>
                </c:pt>
                <c:pt idx="2">
                  <c:v>185.90704751000001</c:v>
                </c:pt>
                <c:pt idx="3">
                  <c:v>123.71979492</c:v>
                </c:pt>
                <c:pt idx="4">
                  <c:v>119.11496096</c:v>
                </c:pt>
                <c:pt idx="5">
                  <c:v>871.53762630741721</c:v>
                </c:pt>
              </c:numCache>
            </c:numRef>
          </c:val>
          <c:extLst>
            <c:ext xmlns:c16="http://schemas.microsoft.com/office/drawing/2014/chart" uri="{C3380CC4-5D6E-409C-BE32-E72D297353CC}">
              <c16:uniqueId val="{00000006-E528-405A-8C2C-D4D06102327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TH"/>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160950423684882"/>
          <c:y val="0.11396014804649574"/>
          <c:w val="0.70012369364163241"/>
          <c:h val="0.75428876005974976"/>
        </c:manualLayout>
      </c:layout>
      <c:barChart>
        <c:barDir val="col"/>
        <c:grouping val="clustered"/>
        <c:varyColors val="0"/>
        <c:ser>
          <c:idx val="0"/>
          <c:order val="0"/>
          <c:tx>
            <c:strRef>
              <c:f>Investment!$G$3:$G$6</c:f>
              <c:strCache>
                <c:ptCount val="4"/>
                <c:pt idx="0">
                  <c:v>&lt;3M</c:v>
                </c:pt>
                <c:pt idx="1">
                  <c:v>3M-6M</c:v>
                </c:pt>
                <c:pt idx="2">
                  <c:v>6M-12M</c:v>
                </c:pt>
                <c:pt idx="3">
                  <c:v>&gt;12M</c:v>
                </c:pt>
              </c:strCache>
            </c:strRef>
          </c:tx>
          <c:spPr>
            <a:solidFill>
              <a:schemeClr val="accent1"/>
            </a:solidFill>
            <a:ln>
              <a:noFill/>
            </a:ln>
            <a:effectLst/>
          </c:spPr>
          <c:invertIfNegative val="0"/>
          <c:cat>
            <c:strRef>
              <c:f>Investment!$G$3:$G$6</c:f>
              <c:strCache>
                <c:ptCount val="4"/>
                <c:pt idx="0">
                  <c:v>&lt;3M</c:v>
                </c:pt>
                <c:pt idx="1">
                  <c:v>3M-6M</c:v>
                </c:pt>
                <c:pt idx="2">
                  <c:v>6M-12M</c:v>
                </c:pt>
                <c:pt idx="3">
                  <c:v>&gt;12M</c:v>
                </c:pt>
              </c:strCache>
            </c:strRef>
          </c:cat>
          <c:val>
            <c:numRef>
              <c:f>Investment!$H$3:$H$6</c:f>
              <c:numCache>
                <c:formatCode>General</c:formatCode>
                <c:ptCount val="4"/>
                <c:pt idx="0" formatCode="_(* #,##0_);_(* \(#,##0\);_(* &quot;-&quot;??_);_(@_)">
                  <c:v>894.07760838999991</c:v>
                </c:pt>
                <c:pt idx="1">
                  <c:v>0</c:v>
                </c:pt>
                <c:pt idx="2">
                  <c:v>0</c:v>
                </c:pt>
                <c:pt idx="3">
                  <c:v>0</c:v>
                </c:pt>
              </c:numCache>
            </c:numRef>
          </c:val>
          <c:extLst>
            <c:ext xmlns:c16="http://schemas.microsoft.com/office/drawing/2014/chart" uri="{C3380CC4-5D6E-409C-BE32-E72D297353CC}">
              <c16:uniqueId val="{00000000-57E4-4689-BDD0-0D014AED807F}"/>
            </c:ext>
          </c:extLst>
        </c:ser>
        <c:dLbls>
          <c:showLegendKey val="0"/>
          <c:showVal val="0"/>
          <c:showCatName val="0"/>
          <c:showSerName val="0"/>
          <c:showPercent val="0"/>
          <c:showBubbleSize val="0"/>
        </c:dLbls>
        <c:gapWidth val="219"/>
        <c:overlap val="-27"/>
        <c:axId val="1028604815"/>
        <c:axId val="1028594415"/>
      </c:barChart>
      <c:lineChart>
        <c:grouping val="stacked"/>
        <c:varyColors val="0"/>
        <c:ser>
          <c:idx val="1"/>
          <c:order val="1"/>
          <c:tx>
            <c:strRef>
              <c:f>Investment!$I$2</c:f>
              <c:strCache>
                <c:ptCount val="1"/>
                <c:pt idx="0">
                  <c:v>Interest rate (p.a.)</c:v>
                </c:pt>
              </c:strCache>
            </c:strRef>
          </c:tx>
          <c:spPr>
            <a:ln w="28575" cap="rnd">
              <a:noFill/>
              <a:round/>
            </a:ln>
            <a:effectLst/>
          </c:spPr>
          <c:marker>
            <c:symbol val="circle"/>
            <c:size val="5"/>
            <c:spPr>
              <a:solidFill>
                <a:schemeClr val="accent2"/>
              </a:solidFill>
              <a:ln w="9525">
                <a:solidFill>
                  <a:schemeClr val="accent2"/>
                </a:solidFill>
              </a:ln>
              <a:effectLst/>
            </c:spPr>
          </c:marker>
          <c:dPt>
            <c:idx val="1"/>
            <c:marker>
              <c:symbol val="circle"/>
              <c:size val="5"/>
              <c:spPr>
                <a:noFill/>
                <a:ln w="9525">
                  <a:noFill/>
                </a:ln>
                <a:effectLst/>
              </c:spPr>
            </c:marker>
            <c:bubble3D val="0"/>
            <c:extLst>
              <c:ext xmlns:c16="http://schemas.microsoft.com/office/drawing/2014/chart" uri="{C3380CC4-5D6E-409C-BE32-E72D297353CC}">
                <c16:uniqueId val="{00000002-3566-436C-ADF8-2FCC49626D46}"/>
              </c:ext>
            </c:extLst>
          </c:dPt>
          <c:dPt>
            <c:idx val="2"/>
            <c:marker>
              <c:symbol val="circle"/>
              <c:size val="5"/>
              <c:spPr>
                <a:noFill/>
                <a:ln w="9525">
                  <a:noFill/>
                </a:ln>
                <a:effectLst/>
              </c:spPr>
            </c:marker>
            <c:bubble3D val="0"/>
            <c:extLst>
              <c:ext xmlns:c16="http://schemas.microsoft.com/office/drawing/2014/chart" uri="{C3380CC4-5D6E-409C-BE32-E72D297353CC}">
                <c16:uniqueId val="{00000003-3566-436C-ADF8-2FCC49626D46}"/>
              </c:ext>
            </c:extLst>
          </c:dPt>
          <c:dPt>
            <c:idx val="3"/>
            <c:marker>
              <c:symbol val="circle"/>
              <c:size val="5"/>
              <c:spPr>
                <a:noFill/>
                <a:ln w="9525">
                  <a:noFill/>
                </a:ln>
                <a:effectLst/>
              </c:spPr>
            </c:marker>
            <c:bubble3D val="0"/>
            <c:extLst>
              <c:ext xmlns:c16="http://schemas.microsoft.com/office/drawing/2014/chart" uri="{C3380CC4-5D6E-409C-BE32-E72D297353CC}">
                <c16:uniqueId val="{00000004-3566-436C-ADF8-2FCC49626D46}"/>
              </c:ext>
            </c:extLst>
          </c:dPt>
          <c:dLbls>
            <c:dLbl>
              <c:idx val="0"/>
              <c:layout>
                <c:manualLayout>
                  <c:x val="-7.7290526842002938E-2"/>
                  <c:y val="-7.5995066169179393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2">
                          <a:lumMod val="75000"/>
                        </a:schemeClr>
                      </a:solidFill>
                      <a:latin typeface="+mn-lt"/>
                      <a:ea typeface="+mn-ea"/>
                      <a:cs typeface="+mn-cs"/>
                    </a:defRPr>
                  </a:pPr>
                  <a:endParaRPr lang="en-TH"/>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566-436C-ADF8-2FCC49626D46}"/>
                </c:ext>
              </c:extLst>
            </c:dLbl>
            <c:dLbl>
              <c:idx val="1"/>
              <c:layout>
                <c:manualLayout>
                  <c:x val="-1.6145312901249115E-2"/>
                  <c:y val="-3.7986716015498717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TH"/>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566-436C-ADF8-2FCC49626D46}"/>
                </c:ext>
              </c:extLst>
            </c:dLbl>
            <c:dLbl>
              <c:idx val="2"/>
              <c:layout>
                <c:manualLayout>
                  <c:x val="-1.6145312901249164E-2"/>
                  <c:y val="-2.279202960929914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TH"/>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566-436C-ADF8-2FCC49626D46}"/>
                </c:ext>
              </c:extLst>
            </c:dLbl>
            <c:dLbl>
              <c:idx val="3"/>
              <c:layout>
                <c:manualLayout>
                  <c:x val="-4.8435938703747496E-2"/>
                  <c:y val="-3.0389372812399004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TH"/>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566-436C-ADF8-2FCC49626D46}"/>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Investment!$I$3:$I$6</c:f>
              <c:numCache>
                <c:formatCode>0%</c:formatCode>
                <c:ptCount val="4"/>
                <c:pt idx="0" formatCode="0.00%">
                  <c:v>4.3848293172652373E-3</c:v>
                </c:pt>
              </c:numCache>
            </c:numRef>
          </c:val>
          <c:smooth val="0"/>
          <c:extLst>
            <c:ext xmlns:c16="http://schemas.microsoft.com/office/drawing/2014/chart" uri="{C3380CC4-5D6E-409C-BE32-E72D297353CC}">
              <c16:uniqueId val="{00000001-3566-436C-ADF8-2FCC49626D46}"/>
            </c:ext>
          </c:extLst>
        </c:ser>
        <c:dLbls>
          <c:showLegendKey val="0"/>
          <c:showVal val="0"/>
          <c:showCatName val="0"/>
          <c:showSerName val="0"/>
          <c:showPercent val="0"/>
          <c:showBubbleSize val="0"/>
        </c:dLbls>
        <c:marker val="1"/>
        <c:smooth val="0"/>
        <c:axId val="532542544"/>
        <c:axId val="532521744"/>
      </c:lineChart>
      <c:catAx>
        <c:axId val="102860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TH"/>
          </a:p>
        </c:txPr>
        <c:crossAx val="1028594415"/>
        <c:crosses val="autoZero"/>
        <c:auto val="1"/>
        <c:lblAlgn val="ctr"/>
        <c:lblOffset val="100"/>
        <c:noMultiLvlLbl val="0"/>
      </c:catAx>
      <c:valAx>
        <c:axId val="1028594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700" b="1" i="0" u="none" strike="noStrike" kern="1200" baseline="0">
                    <a:solidFill>
                      <a:schemeClr val="tx1">
                        <a:lumMod val="65000"/>
                        <a:lumOff val="35000"/>
                      </a:schemeClr>
                    </a:solidFill>
                    <a:latin typeface="+mn-lt"/>
                    <a:ea typeface="+mn-ea"/>
                    <a:cs typeface="+mn-cs"/>
                  </a:defRPr>
                </a:pPr>
                <a:r>
                  <a:rPr lang="en-US" sz="700"/>
                  <a:t>M$</a:t>
                </a:r>
              </a:p>
            </c:rich>
          </c:tx>
          <c:layout>
            <c:manualLayout>
              <c:xMode val="edge"/>
              <c:yMode val="edge"/>
              <c:x val="4.2328050165590443E-2"/>
              <c:y val="9.0762796961704631E-4"/>
            </c:manualLayout>
          </c:layout>
          <c:overlay val="0"/>
          <c:spPr>
            <a:noFill/>
            <a:ln>
              <a:noFill/>
            </a:ln>
            <a:effectLst/>
          </c:spPr>
          <c:txPr>
            <a:bodyPr rot="0" spcFirstLastPara="1" vertOverflow="ellipsis"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TH"/>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TH"/>
          </a:p>
        </c:txPr>
        <c:crossAx val="1028604815"/>
        <c:crosses val="autoZero"/>
        <c:crossBetween val="between"/>
      </c:valAx>
      <c:valAx>
        <c:axId val="5325217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TH"/>
          </a:p>
        </c:txPr>
        <c:crossAx val="532542544"/>
        <c:crosses val="max"/>
        <c:crossBetween val="between"/>
        <c:majorUnit val="1.0000000000000002E-3"/>
      </c:valAx>
      <c:catAx>
        <c:axId val="532542544"/>
        <c:scaling>
          <c:orientation val="minMax"/>
        </c:scaling>
        <c:delete val="1"/>
        <c:axPos val="b"/>
        <c:majorTickMark val="out"/>
        <c:minorTickMark val="none"/>
        <c:tickLblPos val="nextTo"/>
        <c:crossAx val="53252174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800" b="1"/>
      </a:pPr>
      <a:endParaRPr lang="en-TH"/>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35959294561864"/>
          <c:y val="0.20657246449674393"/>
          <c:w val="0.50671964932972524"/>
          <c:h val="0.58685507100651213"/>
        </c:manualLayout>
      </c:layout>
      <c:barChart>
        <c:barDir val="bar"/>
        <c:grouping val="clustered"/>
        <c:varyColors val="0"/>
        <c:ser>
          <c:idx val="0"/>
          <c:order val="0"/>
          <c:tx>
            <c:strRef>
              <c:f>'Working Cap'!$G$3:$G$4</c:f>
              <c:strCache>
                <c:ptCount val="2"/>
                <c:pt idx="0">
                  <c:v>0.01%</c:v>
                </c:pt>
                <c:pt idx="1">
                  <c:v>0.28%</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 Cap'!$B$3:$B$4</c:f>
              <c:strCache>
                <c:ptCount val="2"/>
                <c:pt idx="0">
                  <c:v>Money market fund 0.01%</c:v>
                </c:pt>
                <c:pt idx="1">
                  <c:v>Special saving 0.28%</c:v>
                </c:pt>
              </c:strCache>
            </c:strRef>
          </c:cat>
          <c:val>
            <c:numRef>
              <c:f>'Working Cap'!$E$3:$E$4</c:f>
              <c:numCache>
                <c:formatCode>_(* #,##0_);_(* \(#,##0\);_(* "-"??_);_(@_)</c:formatCode>
                <c:ptCount val="2"/>
                <c:pt idx="0" formatCode="_(* #,##0.0_);_(* \(#,##0.0\);_(* &quot;-&quot;??_);_(@_)">
                  <c:v>0.17928833999999999</c:v>
                </c:pt>
                <c:pt idx="1">
                  <c:v>491.30195689999999</c:v>
                </c:pt>
              </c:numCache>
            </c:numRef>
          </c:val>
          <c:extLst>
            <c:ext xmlns:c16="http://schemas.microsoft.com/office/drawing/2014/chart" uri="{C3380CC4-5D6E-409C-BE32-E72D297353CC}">
              <c16:uniqueId val="{00000000-2E91-4489-88F0-7BA87BA48B29}"/>
            </c:ext>
          </c:extLst>
        </c:ser>
        <c:dLbls>
          <c:showLegendKey val="0"/>
          <c:showVal val="0"/>
          <c:showCatName val="0"/>
          <c:showSerName val="0"/>
          <c:showPercent val="0"/>
          <c:showBubbleSize val="0"/>
        </c:dLbls>
        <c:gapWidth val="148"/>
        <c:axId val="1958247952"/>
        <c:axId val="1958260432"/>
      </c:barChart>
      <c:catAx>
        <c:axId val="19582479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TH"/>
          </a:p>
        </c:txPr>
        <c:crossAx val="1958260432"/>
        <c:crosses val="autoZero"/>
        <c:auto val="1"/>
        <c:lblAlgn val="ctr"/>
        <c:lblOffset val="100"/>
        <c:noMultiLvlLbl val="0"/>
      </c:catAx>
      <c:valAx>
        <c:axId val="1958260432"/>
        <c:scaling>
          <c:orientation val="minMax"/>
          <c:max val="600"/>
        </c:scaling>
        <c:delete val="1"/>
        <c:axPos val="b"/>
        <c:majorGridlines>
          <c:spPr>
            <a:ln w="9525" cap="flat" cmpd="sng" algn="ctr">
              <a:solidFill>
                <a:schemeClr val="tx1">
                  <a:lumMod val="15000"/>
                  <a:lumOff val="85000"/>
                </a:schemeClr>
              </a:solidFill>
              <a:round/>
            </a:ln>
            <a:effectLst/>
          </c:spPr>
        </c:majorGridlines>
        <c:numFmt formatCode="_(* #,##0.0_);_(* \(#,##0.0\);_(* &quot;-&quot;??_);_(@_)" sourceLinked="1"/>
        <c:majorTickMark val="out"/>
        <c:minorTickMark val="none"/>
        <c:tickLblPos val="nextTo"/>
        <c:crossAx val="1958247952"/>
        <c:crosses val="autoZero"/>
        <c:crossBetween val="between"/>
        <c:majorUnit val="2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00" b="1"/>
      </a:pPr>
      <a:endParaRPr lang="en-TH"/>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4114050041529401"/>
          <c:y val="0.20370370370370369"/>
          <c:w val="0.50685002395712064"/>
          <c:h val="0.59259259259259256"/>
        </c:manualLayout>
      </c:layout>
      <c:barChart>
        <c:barDir val="bar"/>
        <c:grouping val="clustered"/>
        <c:varyColors val="0"/>
        <c:ser>
          <c:idx val="0"/>
          <c:order val="0"/>
          <c:tx>
            <c:strRef>
              <c:f>'Working Cap'!$B$6:$B$8</c:f>
              <c:strCache>
                <c:ptCount val="3"/>
                <c:pt idx="0">
                  <c:v>Treasury Bill</c:v>
                </c:pt>
                <c:pt idx="1">
                  <c:v>Special saving 0.40%</c:v>
                </c:pt>
                <c:pt idx="2">
                  <c:v>Mutual Funds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 Cap'!$I$6:$I$8</c:f>
              <c:strCache>
                <c:ptCount val="3"/>
                <c:pt idx="0">
                  <c:v>Treasury Bill 0.42%</c:v>
                </c:pt>
                <c:pt idx="1">
                  <c:v>Special saving 0.40%</c:v>
                </c:pt>
                <c:pt idx="2">
                  <c:v>Mutual Funds 0.38%</c:v>
                </c:pt>
              </c:strCache>
            </c:strRef>
          </c:cat>
          <c:val>
            <c:numRef>
              <c:f>'Working Cap'!$D$6:$D$8</c:f>
              <c:numCache>
                <c:formatCode>_(* #,##0_);_(* \(#,##0\);_(* "-"??_);_(@_)</c:formatCode>
                <c:ptCount val="3"/>
                <c:pt idx="0">
                  <c:v>0</c:v>
                </c:pt>
                <c:pt idx="1">
                  <c:v>1.9366027400000001</c:v>
                </c:pt>
                <c:pt idx="2" formatCode="General">
                  <c:v>0</c:v>
                </c:pt>
              </c:numCache>
            </c:numRef>
          </c:val>
          <c:extLst>
            <c:ext xmlns:c16="http://schemas.microsoft.com/office/drawing/2014/chart" uri="{C3380CC4-5D6E-409C-BE32-E72D297353CC}">
              <c16:uniqueId val="{00000000-929B-4FDF-8519-F04ED0D2F248}"/>
            </c:ext>
          </c:extLst>
        </c:ser>
        <c:dLbls>
          <c:dLblPos val="outEnd"/>
          <c:showLegendKey val="0"/>
          <c:showVal val="1"/>
          <c:showCatName val="0"/>
          <c:showSerName val="0"/>
          <c:showPercent val="0"/>
          <c:showBubbleSize val="0"/>
        </c:dLbls>
        <c:gapWidth val="45"/>
        <c:axId val="1958247952"/>
        <c:axId val="1958260432"/>
      </c:barChart>
      <c:catAx>
        <c:axId val="19582479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TH"/>
          </a:p>
        </c:txPr>
        <c:crossAx val="1958260432"/>
        <c:crosses val="autoZero"/>
        <c:auto val="0"/>
        <c:lblAlgn val="ctr"/>
        <c:lblOffset val="100"/>
        <c:tickLblSkip val="1"/>
        <c:noMultiLvlLbl val="1"/>
      </c:catAx>
      <c:valAx>
        <c:axId val="1958260432"/>
        <c:scaling>
          <c:orientation val="minMax"/>
          <c:max val="600"/>
        </c:scaling>
        <c:delete val="1"/>
        <c:axPos val="b"/>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crossAx val="1958247952"/>
        <c:crossesAt val="500"/>
        <c:crossBetween val="between"/>
        <c:majorUnit val="2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00" b="1"/>
      </a:pPr>
      <a:endParaRPr lang="en-TH"/>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1"/>
              <a:t>M$</a:t>
            </a:r>
          </a:p>
        </c:rich>
      </c:tx>
      <c:layout>
        <c:manualLayout>
          <c:xMode val="edge"/>
          <c:yMode val="edge"/>
          <c:x val="4.2451355755926477E-4"/>
          <c:y val="1.61779523807704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manualLayout>
          <c:layoutTarget val="inner"/>
          <c:xMode val="edge"/>
          <c:yMode val="edge"/>
          <c:x val="5.9676290463692036E-2"/>
          <c:y val="0.14371926322771419"/>
          <c:w val="0.90167636654113892"/>
          <c:h val="0.70806561264700085"/>
        </c:manualLayout>
      </c:layout>
      <c:barChart>
        <c:barDir val="col"/>
        <c:grouping val="stacked"/>
        <c:varyColors val="0"/>
        <c:ser>
          <c:idx val="1"/>
          <c:order val="1"/>
          <c:tx>
            <c:strRef>
              <c:f>'Counterparty Limit'!$I$5</c:f>
              <c:strCache>
                <c:ptCount val="1"/>
                <c:pt idx="0">
                  <c:v>Utilized</c:v>
                </c:pt>
              </c:strCache>
            </c:strRef>
          </c:tx>
          <c:spPr>
            <a:solidFill>
              <a:schemeClr val="accent2"/>
            </a:solidFill>
            <a:ln>
              <a:noFill/>
            </a:ln>
            <a:effectLst/>
          </c:spPr>
          <c:invertIfNegative val="0"/>
          <c:cat>
            <c:strRef>
              <c:extLst>
                <c:ext xmlns:c15="http://schemas.microsoft.com/office/drawing/2012/chart" uri="{02D57815-91ED-43cb-92C2-25804820EDAC}">
                  <c15:fullRef>
                    <c15:sqref>'Counterparty Limit'!$A$65:$A$109</c15:sqref>
                  </c15:fullRef>
                </c:ext>
              </c:extLst>
              <c:f>('Counterparty Limit'!$A$65:$A$72,'Counterparty Limit'!$A$74:$A$75)</c:f>
              <c:strCache>
                <c:ptCount val="10"/>
                <c:pt idx="0">
                  <c:v>BAML</c:v>
                </c:pt>
                <c:pt idx="1">
                  <c:v>ANZTH</c:v>
                </c:pt>
                <c:pt idx="2">
                  <c:v>JPM</c:v>
                </c:pt>
                <c:pt idx="3">
                  <c:v>AMBANK</c:v>
                </c:pt>
                <c:pt idx="4">
                  <c:v>OCBC</c:v>
                </c:pt>
                <c:pt idx="5">
                  <c:v>KTB</c:v>
                </c:pt>
                <c:pt idx="6">
                  <c:v>NATIXIS</c:v>
                </c:pt>
                <c:pt idx="7">
                  <c:v>DBSG</c:v>
                </c:pt>
                <c:pt idx="8">
                  <c:v>KBANK</c:v>
                </c:pt>
                <c:pt idx="9">
                  <c:v>UOB</c:v>
                </c:pt>
              </c:strCache>
            </c:strRef>
          </c:cat>
          <c:val>
            <c:numRef>
              <c:extLst>
                <c:ext xmlns:c15="http://schemas.microsoft.com/office/drawing/2012/chart" uri="{02D57815-91ED-43cb-92C2-25804820EDAC}">
                  <c15:fullRef>
                    <c15:sqref>'Counterparty Limit'!$I$65:$I$109</c15:sqref>
                  </c15:fullRef>
                </c:ext>
              </c:extLst>
              <c:f>('Counterparty Limit'!$I$65:$I$72,'Counterparty Limit'!$I$74:$I$75)</c:f>
              <c:numCache>
                <c:formatCode>_(* #,##0.0_);_(* \(#,##0.0\);_(* "-"?_);_(@_)</c:formatCode>
                <c:ptCount val="10"/>
                <c:pt idx="0">
                  <c:v>615.72239407999996</c:v>
                </c:pt>
                <c:pt idx="1">
                  <c:v>274.34993327000001</c:v>
                </c:pt>
                <c:pt idx="2">
                  <c:v>241.12394392000002</c:v>
                </c:pt>
                <c:pt idx="3">
                  <c:v>240.11453324999999</c:v>
                </c:pt>
                <c:pt idx="4">
                  <c:v>233.97400543000001</c:v>
                </c:pt>
                <c:pt idx="5">
                  <c:v>217.88245358941089</c:v>
                </c:pt>
                <c:pt idx="6">
                  <c:v>201.42679409000002</c:v>
                </c:pt>
                <c:pt idx="7">
                  <c:v>170</c:v>
                </c:pt>
                <c:pt idx="8">
                  <c:v>135.61497045000002</c:v>
                </c:pt>
                <c:pt idx="9">
                  <c:v>115.38947122</c:v>
                </c:pt>
              </c:numCache>
            </c:numRef>
          </c:val>
          <c:extLst>
            <c:ext xmlns:c16="http://schemas.microsoft.com/office/drawing/2014/chart" uri="{C3380CC4-5D6E-409C-BE32-E72D297353CC}">
              <c16:uniqueId val="{00000000-36D3-43C0-9EF7-18D2F828CEA5}"/>
            </c:ext>
          </c:extLst>
        </c:ser>
        <c:ser>
          <c:idx val="2"/>
          <c:order val="2"/>
          <c:tx>
            <c:strRef>
              <c:f>'Counterparty Limit'!$J$5</c:f>
              <c:strCache>
                <c:ptCount val="1"/>
                <c:pt idx="0">
                  <c:v>Available</c:v>
                </c:pt>
              </c:strCache>
            </c:strRef>
          </c:tx>
          <c:spPr>
            <a:solidFill>
              <a:schemeClr val="bg2"/>
            </a:solidFill>
            <a:ln>
              <a:noFill/>
            </a:ln>
            <a:effectLst/>
          </c:spPr>
          <c:invertIfNegative val="0"/>
          <c:cat>
            <c:strRef>
              <c:extLst>
                <c:ext xmlns:c15="http://schemas.microsoft.com/office/drawing/2012/chart" uri="{02D57815-91ED-43cb-92C2-25804820EDAC}">
                  <c15:fullRef>
                    <c15:sqref>'Counterparty Limit'!$A$65:$A$109</c15:sqref>
                  </c15:fullRef>
                </c:ext>
              </c:extLst>
              <c:f>('Counterparty Limit'!$A$65:$A$72,'Counterparty Limit'!$A$74:$A$75)</c:f>
              <c:strCache>
                <c:ptCount val="10"/>
                <c:pt idx="0">
                  <c:v>BAML</c:v>
                </c:pt>
                <c:pt idx="1">
                  <c:v>ANZTH</c:v>
                </c:pt>
                <c:pt idx="2">
                  <c:v>JPM</c:v>
                </c:pt>
                <c:pt idx="3">
                  <c:v>AMBANK</c:v>
                </c:pt>
                <c:pt idx="4">
                  <c:v>OCBC</c:v>
                </c:pt>
                <c:pt idx="5">
                  <c:v>KTB</c:v>
                </c:pt>
                <c:pt idx="6">
                  <c:v>NATIXIS</c:v>
                </c:pt>
                <c:pt idx="7">
                  <c:v>DBSG</c:v>
                </c:pt>
                <c:pt idx="8">
                  <c:v>KBANK</c:v>
                </c:pt>
                <c:pt idx="9">
                  <c:v>UOB</c:v>
                </c:pt>
              </c:strCache>
            </c:strRef>
          </c:cat>
          <c:val>
            <c:numRef>
              <c:extLst>
                <c:ext xmlns:c15="http://schemas.microsoft.com/office/drawing/2012/chart" uri="{02D57815-91ED-43cb-92C2-25804820EDAC}">
                  <c15:fullRef>
                    <c15:sqref>'Counterparty Limit'!$J$65:$J$109</c15:sqref>
                  </c15:fullRef>
                </c:ext>
              </c:extLst>
              <c:f>('Counterparty Limit'!$J$65:$J$72,'Counterparty Limit'!$J$74:$J$75)</c:f>
              <c:numCache>
                <c:formatCode>_(* #,##0.0_);_(* \(#,##0.0\);_(* "-"?_);_(@_)</c:formatCode>
                <c:ptCount val="10"/>
                <c:pt idx="0">
                  <c:v>72.634125791854331</c:v>
                </c:pt>
                <c:pt idx="1">
                  <c:v>414.00658660185428</c:v>
                </c:pt>
                <c:pt idx="2">
                  <c:v>428.87605608000001</c:v>
                </c:pt>
                <c:pt idx="3">
                  <c:v>289.88546674999998</c:v>
                </c:pt>
                <c:pt idx="4">
                  <c:v>454.38251444185425</c:v>
                </c:pt>
                <c:pt idx="5">
                  <c:v>202.11754641058911</c:v>
                </c:pt>
                <c:pt idx="6">
                  <c:v>486.92972578185424</c:v>
                </c:pt>
                <c:pt idx="7">
                  <c:v>500</c:v>
                </c:pt>
                <c:pt idx="8">
                  <c:v>294.38502955000001</c:v>
                </c:pt>
                <c:pt idx="9">
                  <c:v>394.61052877999998</c:v>
                </c:pt>
              </c:numCache>
            </c:numRef>
          </c:val>
          <c:extLst>
            <c:ext xmlns:c16="http://schemas.microsoft.com/office/drawing/2014/chart" uri="{C3380CC4-5D6E-409C-BE32-E72D297353CC}">
              <c16:uniqueId val="{00000001-36D3-43C0-9EF7-18D2F828CEA5}"/>
            </c:ext>
          </c:extLst>
        </c:ser>
        <c:dLbls>
          <c:showLegendKey val="0"/>
          <c:showVal val="0"/>
          <c:showCatName val="0"/>
          <c:showSerName val="0"/>
          <c:showPercent val="0"/>
          <c:showBubbleSize val="0"/>
        </c:dLbls>
        <c:gapWidth val="150"/>
        <c:overlap val="100"/>
        <c:axId val="1016653679"/>
        <c:axId val="1016657423"/>
      </c:barChart>
      <c:lineChart>
        <c:grouping val="standard"/>
        <c:varyColors val="0"/>
        <c:ser>
          <c:idx val="0"/>
          <c:order val="0"/>
          <c:tx>
            <c:strRef>
              <c:f>'Counterparty Limit'!$F$5</c:f>
              <c:strCache>
                <c:ptCount val="1"/>
                <c:pt idx="0">
                  <c:v>Assigned Limited</c:v>
                </c:pt>
              </c:strCache>
            </c:strRef>
          </c:tx>
          <c:spPr>
            <a:ln w="28575" cap="rnd">
              <a:solidFill>
                <a:schemeClr val="accent1"/>
              </a:solidFill>
              <a:round/>
            </a:ln>
            <a:effectLst/>
          </c:spPr>
          <c:marker>
            <c:symbol val="none"/>
          </c:marker>
          <c:cat>
            <c:strRef>
              <c:extLst>
                <c:ext xmlns:c15="http://schemas.microsoft.com/office/drawing/2012/chart" uri="{02D57815-91ED-43cb-92C2-25804820EDAC}">
                  <c15:fullRef>
                    <c15:sqref>'Counterparty Limit'!$A$65:$A$109</c15:sqref>
                  </c15:fullRef>
                </c:ext>
              </c:extLst>
              <c:f>('Counterparty Limit'!$A$65:$A$72,'Counterparty Limit'!$A$74:$A$75)</c:f>
              <c:strCache>
                <c:ptCount val="10"/>
                <c:pt idx="0">
                  <c:v>BAML</c:v>
                </c:pt>
                <c:pt idx="1">
                  <c:v>ANZTH</c:v>
                </c:pt>
                <c:pt idx="2">
                  <c:v>JPM</c:v>
                </c:pt>
                <c:pt idx="3">
                  <c:v>AMBANK</c:v>
                </c:pt>
                <c:pt idx="4">
                  <c:v>OCBC</c:v>
                </c:pt>
                <c:pt idx="5">
                  <c:v>KTB</c:v>
                </c:pt>
                <c:pt idx="6">
                  <c:v>NATIXIS</c:v>
                </c:pt>
                <c:pt idx="7">
                  <c:v>DBSG</c:v>
                </c:pt>
                <c:pt idx="8">
                  <c:v>KBANK</c:v>
                </c:pt>
                <c:pt idx="9">
                  <c:v>UOB</c:v>
                </c:pt>
              </c:strCache>
            </c:strRef>
          </c:cat>
          <c:val>
            <c:numRef>
              <c:extLst>
                <c:ext xmlns:c15="http://schemas.microsoft.com/office/drawing/2012/chart" uri="{02D57815-91ED-43cb-92C2-25804820EDAC}">
                  <c15:fullRef>
                    <c15:sqref>'Counterparty Limit'!$F$65:$F$109</c15:sqref>
                  </c15:fullRef>
                </c:ext>
              </c:extLst>
              <c:f>('Counterparty Limit'!$F$65:$F$72,'Counterparty Limit'!$F$74:$F$75)</c:f>
              <c:numCache>
                <c:formatCode>0</c:formatCode>
                <c:ptCount val="10"/>
                <c:pt idx="0">
                  <c:v>688.35651987185429</c:v>
                </c:pt>
                <c:pt idx="1">
                  <c:v>688.35651987185429</c:v>
                </c:pt>
                <c:pt idx="2">
                  <c:v>670</c:v>
                </c:pt>
                <c:pt idx="3">
                  <c:v>530</c:v>
                </c:pt>
                <c:pt idx="4">
                  <c:v>688.35651987185429</c:v>
                </c:pt>
                <c:pt idx="5">
                  <c:v>420</c:v>
                </c:pt>
                <c:pt idx="6">
                  <c:v>688.35651987185429</c:v>
                </c:pt>
                <c:pt idx="7">
                  <c:v>670</c:v>
                </c:pt>
                <c:pt idx="8">
                  <c:v>430</c:v>
                </c:pt>
                <c:pt idx="9">
                  <c:v>510</c:v>
                </c:pt>
              </c:numCache>
            </c:numRef>
          </c:val>
          <c:smooth val="0"/>
          <c:extLst>
            <c:ext xmlns:c16="http://schemas.microsoft.com/office/drawing/2014/chart" uri="{C3380CC4-5D6E-409C-BE32-E72D297353CC}">
              <c16:uniqueId val="{00000002-36D3-43C0-9EF7-18D2F828CEA5}"/>
            </c:ext>
          </c:extLst>
        </c:ser>
        <c:dLbls>
          <c:showLegendKey val="0"/>
          <c:showVal val="0"/>
          <c:showCatName val="0"/>
          <c:showSerName val="0"/>
          <c:showPercent val="0"/>
          <c:showBubbleSize val="0"/>
        </c:dLbls>
        <c:marker val="1"/>
        <c:smooth val="0"/>
        <c:axId val="1016653679"/>
        <c:axId val="1016657423"/>
      </c:lineChart>
      <c:catAx>
        <c:axId val="10166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TH"/>
          </a:p>
        </c:txPr>
        <c:crossAx val="1016657423"/>
        <c:crosses val="autoZero"/>
        <c:auto val="1"/>
        <c:lblAlgn val="ctr"/>
        <c:lblOffset val="100"/>
        <c:noMultiLvlLbl val="0"/>
      </c:catAx>
      <c:valAx>
        <c:axId val="1016657423"/>
        <c:scaling>
          <c:orientation val="minMax"/>
          <c:max val="700"/>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TH"/>
          </a:p>
        </c:txPr>
        <c:crossAx val="1016653679"/>
        <c:crosses val="autoZero"/>
        <c:crossBetween val="between"/>
      </c:valAx>
      <c:spPr>
        <a:noFill/>
        <a:ln>
          <a:noFill/>
        </a:ln>
        <a:effectLst/>
      </c:spPr>
    </c:plotArea>
    <c:legend>
      <c:legendPos val="b"/>
      <c:layout>
        <c:manualLayout>
          <c:xMode val="edge"/>
          <c:yMode val="edge"/>
          <c:x val="0.17338560410558512"/>
          <c:y val="5.8332658530109098E-2"/>
          <c:w val="0.71696712780161231"/>
          <c:h val="6.6595055570524905E-2"/>
        </c:manualLayout>
      </c:layout>
      <c:overlay val="0"/>
      <c:spPr>
        <a:noFill/>
        <a:ln>
          <a:noFill/>
        </a:ln>
        <a:effectLst/>
      </c:spPr>
      <c:txPr>
        <a:bodyPr rot="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22594622407523"/>
          <c:y val="4.9320577389909998E-2"/>
          <c:w val="0.85570581867101803"/>
          <c:h val="0.63473359188828904"/>
        </c:manualLayout>
      </c:layout>
      <c:barChart>
        <c:barDir val="col"/>
        <c:grouping val="stacked"/>
        <c:varyColors val="0"/>
        <c:ser>
          <c:idx val="0"/>
          <c:order val="0"/>
          <c:tx>
            <c:strRef>
              <c:f>Graph!$S$4</c:f>
              <c:strCache>
                <c:ptCount val="1"/>
                <c:pt idx="0">
                  <c:v>GS</c:v>
                </c:pt>
              </c:strCache>
            </c:strRef>
          </c:tx>
          <c:spPr>
            <a:solidFill>
              <a:schemeClr val="accent1"/>
            </a:solidFill>
            <a:ln>
              <a:noFill/>
            </a:ln>
            <a:effectLst/>
          </c:spPr>
          <c:invertIfNegative val="0"/>
          <c:dLbls>
            <c:delete val="1"/>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Graph!$S$5:$S$7</c15:sqref>
                  </c15:fullRef>
                </c:ext>
              </c:extLst>
              <c:f>Graph!$S$5:$S$7</c:f>
              <c:numCache>
                <c:formatCode>_(* #,##0_);_(* \(#,##0\);_(* "-"??_);_(@_)</c:formatCode>
                <c:ptCount val="3"/>
                <c:pt idx="0" formatCode="General">
                  <c:v>8.5649009999999998E-2</c:v>
                </c:pt>
              </c:numCache>
            </c:numRef>
          </c:val>
          <c:extLst>
            <c:ext xmlns:c16="http://schemas.microsoft.com/office/drawing/2014/chart" uri="{C3380CC4-5D6E-409C-BE32-E72D297353CC}">
              <c16:uniqueId val="{00000000-6682-42A9-A3A9-072159814695}"/>
            </c:ext>
          </c:extLst>
        </c:ser>
        <c:ser>
          <c:idx val="1"/>
          <c:order val="1"/>
          <c:tx>
            <c:strRef>
              <c:f>Graph!$T$4</c:f>
              <c:strCache>
                <c:ptCount val="1"/>
                <c:pt idx="0">
                  <c:v>HSBCLF</c:v>
                </c:pt>
              </c:strCache>
            </c:strRef>
          </c:tx>
          <c:spPr>
            <a:solidFill>
              <a:schemeClr val="accent2"/>
            </a:solidFill>
            <a:ln>
              <a:noFill/>
            </a:ln>
            <a:effectLst/>
          </c:spPr>
          <c:invertIfNegative val="0"/>
          <c:dLbls>
            <c:delete val="1"/>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Graph!$T$5:$T$8</c15:sqref>
                  </c15:fullRef>
                </c:ext>
              </c:extLst>
              <c:f>Graph!$T$5:$T$7</c:f>
              <c:numCache>
                <c:formatCode>_(* #,##0_);_(* \(#,##0\);_(* "-"??_);_(@_)</c:formatCode>
                <c:ptCount val="3"/>
                <c:pt idx="0" formatCode="General">
                  <c:v>9.3639330000000007E-2</c:v>
                </c:pt>
              </c:numCache>
            </c:numRef>
          </c:val>
          <c:extLst>
            <c:ext xmlns:c16="http://schemas.microsoft.com/office/drawing/2014/chart" uri="{C3380CC4-5D6E-409C-BE32-E72D297353CC}">
              <c16:uniqueId val="{00000001-6682-42A9-A3A9-072159814695}"/>
            </c:ext>
          </c:extLst>
        </c:ser>
        <c:ser>
          <c:idx val="2"/>
          <c:order val="2"/>
          <c:tx>
            <c:strRef>
              <c:f>Graph!$U$4</c:f>
              <c:strCache>
                <c:ptCount val="1"/>
                <c:pt idx="0">
                  <c:v>KFSPLUS</c:v>
                </c:pt>
              </c:strCache>
            </c:strRef>
          </c:tx>
          <c:spPr>
            <a:solidFill>
              <a:schemeClr val="accent3"/>
            </a:solidFill>
            <a:ln>
              <a:noFill/>
            </a:ln>
            <a:effectLst/>
          </c:spPr>
          <c:invertIfNegative val="0"/>
          <c:dLbls>
            <c:delete val="1"/>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Graph!$U$5:$U$7</c15:sqref>
                  </c15:fullRef>
                </c:ext>
              </c:extLst>
              <c:f>Graph!$U$5:$U$7</c:f>
              <c:numCache>
                <c:formatCode>_(* #,##0_);_(* \(#,##0\);_(* "-"??_);_(@_)</c:formatCode>
                <c:ptCount val="3"/>
                <c:pt idx="0" formatCode="General">
                  <c:v>0</c:v>
                </c:pt>
              </c:numCache>
            </c:numRef>
          </c:val>
          <c:extLst>
            <c:ext xmlns:c16="http://schemas.microsoft.com/office/drawing/2014/chart" uri="{C3380CC4-5D6E-409C-BE32-E72D297353CC}">
              <c16:uniqueId val="{00000002-6682-42A9-A3A9-072159814695}"/>
            </c:ext>
          </c:extLst>
        </c:ser>
        <c:ser>
          <c:idx val="3"/>
          <c:order val="3"/>
          <c:tx>
            <c:strRef>
              <c:f>Graph!$V$4</c:f>
              <c:strCache>
                <c:ptCount val="1"/>
                <c:pt idx="0">
                  <c:v>NAT</c:v>
                </c:pt>
              </c:strCache>
            </c:strRef>
          </c:tx>
          <c:spPr>
            <a:solidFill>
              <a:schemeClr val="accent4"/>
            </a:solidFill>
            <a:ln>
              <a:noFill/>
            </a:ln>
            <a:effectLst/>
          </c:spPr>
          <c:invertIfNegative val="0"/>
          <c:dLbls>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extLst>
                <c:ext xmlns:c16="http://schemas.microsoft.com/office/drawing/2014/chart" uri="{C3380CC4-5D6E-409C-BE32-E72D297353CC}">
                  <c16:uniqueId val="{00000003-6682-42A9-A3A9-072159814695}"/>
                </c:ext>
              </c:extLst>
            </c:dLbl>
            <c:dLbl>
              <c:idx val="2"/>
              <c:delete val="1"/>
              <c:extLst>
                <c:ext xmlns:c15="http://schemas.microsoft.com/office/drawing/2012/chart" uri="{CE6537A1-D6FC-4f65-9D91-7224C49458BB}"/>
                <c:ext xmlns:c16="http://schemas.microsoft.com/office/drawing/2014/chart" uri="{C3380CC4-5D6E-409C-BE32-E72D297353CC}">
                  <c16:uniqueId val="{00000004-6682-42A9-A3A9-072159814695}"/>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Graph!$V$5:$V$9</c15:sqref>
                  </c15:fullRef>
                </c:ext>
              </c:extLst>
              <c:f>Graph!$V$5:$V$7</c:f>
              <c:numCache>
                <c:formatCode>_(* #,##0_);_(* \(#,##0\);_(* "-"??_);_(@_)</c:formatCode>
                <c:ptCount val="3"/>
                <c:pt idx="0" formatCode="General">
                  <c:v>201.42679409000002</c:v>
                </c:pt>
              </c:numCache>
            </c:numRef>
          </c:val>
          <c:extLst>
            <c:ext xmlns:c16="http://schemas.microsoft.com/office/drawing/2014/chart" uri="{C3380CC4-5D6E-409C-BE32-E72D297353CC}">
              <c16:uniqueId val="{00000005-6682-42A9-A3A9-072159814695}"/>
            </c:ext>
          </c:extLst>
        </c:ser>
        <c:ser>
          <c:idx val="4"/>
          <c:order val="4"/>
          <c:tx>
            <c:strRef>
              <c:f>Graph!$W$4</c:f>
              <c:strCache>
                <c:ptCount val="1"/>
                <c:pt idx="0">
                  <c:v>UOB</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7-6682-42A9-A3A9-07215981469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Graph!$W$5:$W$9</c15:sqref>
                  </c15:fullRef>
                </c:ext>
              </c:extLst>
              <c:f>Graph!$W$5:$W$7</c:f>
              <c:numCache>
                <c:formatCode>_(* #,##0_);_(* \(#,##0\);_(* "-"??_);_(@_)</c:formatCode>
                <c:ptCount val="3"/>
                <c:pt idx="0" formatCode="General">
                  <c:v>115.38947122</c:v>
                </c:pt>
              </c:numCache>
            </c:numRef>
          </c:val>
          <c:extLst xmlns:c15="http://schemas.microsoft.com/office/drawing/2012/chart">
            <c:ext xmlns:c16="http://schemas.microsoft.com/office/drawing/2014/chart" uri="{C3380CC4-5D6E-409C-BE32-E72D297353CC}">
              <c16:uniqueId val="{00000008-6682-42A9-A3A9-072159814695}"/>
            </c:ext>
          </c:extLst>
        </c:ser>
        <c:ser>
          <c:idx val="5"/>
          <c:order val="5"/>
          <c:tx>
            <c:strRef>
              <c:f>Graph!$Y$4</c:f>
              <c:strCache>
                <c:ptCount val="1"/>
                <c:pt idx="0">
                  <c:v>DBSG</c:v>
                </c:pt>
              </c:strCache>
            </c:strRef>
          </c:tx>
          <c:spPr>
            <a:solidFill>
              <a:schemeClr val="accent6"/>
            </a:solidFill>
            <a:ln>
              <a:noFill/>
            </a:ln>
            <a:effectLst/>
          </c:spPr>
          <c:invertIfNegative val="0"/>
          <c:dLbls>
            <c:dLbl>
              <c:idx val="2"/>
              <c:layout>
                <c:manualLayout>
                  <c:x val="8.6773779901723573E-3"/>
                  <c:y val="7.233388409605711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682-42A9-A3A9-072159814695}"/>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Graph!$Y$5:$Y$8</c15:sqref>
                  </c15:fullRef>
                </c:ext>
              </c:extLst>
              <c:f>Graph!$Y$5:$Y$7</c:f>
              <c:numCache>
                <c:formatCode>_(* #,##0_);_(* \(#,##0\);_(* "-"??_);_(@_)</c:formatCode>
                <c:ptCount val="3"/>
                <c:pt idx="1">
                  <c:v>170</c:v>
                </c:pt>
              </c:numCache>
            </c:numRef>
          </c:val>
          <c:extLst xmlns:c15="http://schemas.microsoft.com/office/drawing/2012/chart">
            <c:ext xmlns:c16="http://schemas.microsoft.com/office/drawing/2014/chart" uri="{C3380CC4-5D6E-409C-BE32-E72D297353CC}">
              <c16:uniqueId val="{0000000A-6682-42A9-A3A9-072159814695}"/>
            </c:ext>
          </c:extLst>
        </c:ser>
        <c:ser>
          <c:idx val="6"/>
          <c:order val="6"/>
          <c:tx>
            <c:strRef>
              <c:f>Graph!$Z$4</c:f>
              <c:strCache>
                <c:ptCount val="1"/>
                <c:pt idx="0">
                  <c:v>ANZ</c:v>
                </c:pt>
              </c:strCache>
            </c:strRef>
          </c:tx>
          <c:spPr>
            <a:solidFill>
              <a:schemeClr val="accent1">
                <a:lumMod val="60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Graph!$Z$5:$Z$9</c15:sqref>
                  </c15:fullRef>
                </c:ext>
              </c:extLst>
              <c:f>Graph!$Z$5:$Z$7</c:f>
              <c:numCache>
                <c:formatCode>_(* #,##0_);_(* \(#,##0\);_(* "-"??_);_(@_)</c:formatCode>
                <c:ptCount val="3"/>
                <c:pt idx="0" formatCode="General">
                  <c:v>174.34993327000001</c:v>
                </c:pt>
                <c:pt idx="2" formatCode="General">
                  <c:v>100</c:v>
                </c:pt>
              </c:numCache>
            </c:numRef>
          </c:val>
          <c:extLst xmlns:c15="http://schemas.microsoft.com/office/drawing/2012/chart">
            <c:ext xmlns:c16="http://schemas.microsoft.com/office/drawing/2014/chart" uri="{C3380CC4-5D6E-409C-BE32-E72D297353CC}">
              <c16:uniqueId val="{0000000B-6682-42A9-A3A9-072159814695}"/>
            </c:ext>
          </c:extLst>
        </c:ser>
        <c:ser>
          <c:idx val="7"/>
          <c:order val="7"/>
          <c:tx>
            <c:strRef>
              <c:f>Graph!$AA$4</c:f>
              <c:strCache>
                <c:ptCount val="1"/>
                <c:pt idx="0">
                  <c:v>ICBC</c:v>
                </c:pt>
              </c:strCache>
            </c:strRef>
          </c:tx>
          <c:spPr>
            <a:solidFill>
              <a:schemeClr val="accent2">
                <a:lumMod val="60000"/>
              </a:schemeClr>
            </a:solidFill>
            <a:ln>
              <a:noFill/>
            </a:ln>
            <a:effectLst/>
          </c:spPr>
          <c:invertIfNegative val="0"/>
          <c:dLbls>
            <c:dLbl>
              <c:idx val="2"/>
              <c:layout>
                <c:manualLayout>
                  <c:x val="3.6344074772467227E-3"/>
                  <c:y val="-1.00854474799924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6682-42A9-A3A9-072159814695}"/>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Graph!$AA$5:$AA$9</c15:sqref>
                  </c15:fullRef>
                </c:ext>
              </c:extLst>
              <c:f>Graph!$AA$5:$AA$7</c:f>
              <c:numCache>
                <c:formatCode>_(* #,##0_);_(* \(#,##0\);_(* "-"??_);_(@_)</c:formatCode>
                <c:ptCount val="3"/>
                <c:pt idx="1">
                  <c:v>35</c:v>
                </c:pt>
              </c:numCache>
            </c:numRef>
          </c:val>
          <c:extLst xmlns:c15="http://schemas.microsoft.com/office/drawing/2012/chart">
            <c:ext xmlns:c16="http://schemas.microsoft.com/office/drawing/2014/chart" uri="{C3380CC4-5D6E-409C-BE32-E72D297353CC}">
              <c16:uniqueId val="{0000000C-6682-42A9-A3A9-072159814695}"/>
            </c:ext>
          </c:extLst>
        </c:ser>
        <c:ser>
          <c:idx val="10"/>
          <c:order val="10"/>
          <c:tx>
            <c:strRef>
              <c:f>Graph!$AB$4</c:f>
              <c:strCache>
                <c:ptCount val="1"/>
                <c:pt idx="0">
                  <c:v>AMBANK</c:v>
                </c:pt>
              </c:strCache>
            </c:strRef>
          </c:tx>
          <c:spPr>
            <a:solidFill>
              <a:schemeClr val="accent4">
                <a:lumMod val="75000"/>
              </a:schemeClr>
            </a:solidFill>
            <a:ln>
              <a:noFill/>
            </a:ln>
            <a:effectLst/>
          </c:spPr>
          <c:invertIfNegative val="0"/>
          <c:dLbls>
            <c:dLbl>
              <c:idx val="0"/>
              <c:layout>
                <c:manualLayout>
                  <c:x val="-7.2687957751698508E-3"/>
                  <c:y val="-1.0101460018898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6682-42A9-A3A9-072159814695}"/>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Graph!$AB$5:$AB$9</c15:sqref>
                  </c15:fullRef>
                </c:ext>
              </c:extLst>
              <c:f>Graph!$AB$5:$AB$7</c:f>
              <c:numCache>
                <c:formatCode>_(* #,##0_);_(* \(#,##0\);_(* "-"??_);_(@_)</c:formatCode>
                <c:ptCount val="3"/>
                <c:pt idx="1">
                  <c:v>140</c:v>
                </c:pt>
                <c:pt idx="2">
                  <c:v>100.11453324999999</c:v>
                </c:pt>
              </c:numCache>
            </c:numRef>
          </c:val>
          <c:extLst>
            <c:ext xmlns:c16="http://schemas.microsoft.com/office/drawing/2014/chart" uri="{C3380CC4-5D6E-409C-BE32-E72D297353CC}">
              <c16:uniqueId val="{0000000D-6682-42A9-A3A9-072159814695}"/>
            </c:ext>
          </c:extLst>
        </c:ser>
        <c:ser>
          <c:idx val="11"/>
          <c:order val="11"/>
          <c:tx>
            <c:strRef>
              <c:f>Graph!$AC$4</c:f>
              <c:strCache>
                <c:ptCount val="1"/>
                <c:pt idx="0">
                  <c:v>KTB</c:v>
                </c:pt>
              </c:strCache>
            </c:strRef>
          </c:tx>
          <c:spPr>
            <a:solidFill>
              <a:schemeClr val="bg1">
                <a:lumMod val="75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FEB-22</c:v>
              </c:pt>
              <c:pt idx="1">
                <c:v> MAR-22 </c:v>
              </c:pt>
              <c:pt idx="2">
                <c:v> APR-22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Graph!$AC$5:$AC$8</c15:sqref>
                  </c15:fullRef>
                </c:ext>
              </c:extLst>
              <c:f>Graph!$AC$5:$AC$7</c:f>
              <c:numCache>
                <c:formatCode>_(* #,##0_);_(* \(#,##0\);_(* "-"??_);_(@_)</c:formatCode>
                <c:ptCount val="3"/>
                <c:pt idx="1">
                  <c:v>170.04261432999999</c:v>
                </c:pt>
              </c:numCache>
            </c:numRef>
          </c:val>
          <c:extLst>
            <c:ext xmlns:c16="http://schemas.microsoft.com/office/drawing/2014/chart" uri="{C3380CC4-5D6E-409C-BE32-E72D297353CC}">
              <c16:uniqueId val="{0000000E-6682-42A9-A3A9-072159814695}"/>
            </c:ext>
          </c:extLst>
        </c:ser>
        <c:ser>
          <c:idx val="12"/>
          <c:order val="12"/>
          <c:tx>
            <c:strRef>
              <c:f>Graph!$AD$4</c:f>
              <c:strCache>
                <c:ptCount val="1"/>
              </c:strCache>
            </c:strRef>
          </c:tx>
          <c:spPr>
            <a:solidFill>
              <a:schemeClr val="accent2"/>
            </a:solidFill>
            <a:ln>
              <a:noFill/>
            </a:ln>
            <a:effectLst/>
          </c:spPr>
          <c:invertIfNegative val="0"/>
          <c:dLbls>
            <c:dLbl>
              <c:idx val="2"/>
              <c:layout>
                <c:manualLayout>
                  <c:x val="0"/>
                  <c:y val="-6.06860137279268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45D-4C91-8225-77CD581C5C9E}"/>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Graph!$R$5:$R$8</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Graph!$AD$5:$AD$8</c15:sqref>
                  </c15:fullRef>
                </c:ext>
              </c:extLst>
              <c:f>Graph!$AD$5:$AD$7</c:f>
              <c:numCache>
                <c:formatCode>_(* #,##0_);_(* \(#,##0\);_(* "-"??_);_(@_)</c:formatCode>
                <c:ptCount val="3"/>
              </c:numCache>
            </c:numRef>
          </c:val>
          <c:extLst>
            <c:ext xmlns:c16="http://schemas.microsoft.com/office/drawing/2014/chart" uri="{C3380CC4-5D6E-409C-BE32-E72D297353CC}">
              <c16:uniqueId val="{0000000F-6682-42A9-A3A9-072159814695}"/>
            </c:ext>
          </c:extLst>
        </c:ser>
        <c:dLbls>
          <c:showLegendKey val="0"/>
          <c:showVal val="1"/>
          <c:showCatName val="0"/>
          <c:showSerName val="0"/>
          <c:showPercent val="0"/>
          <c:showBubbleSize val="0"/>
        </c:dLbls>
        <c:gapWidth val="150"/>
        <c:overlap val="100"/>
        <c:axId val="1813685807"/>
        <c:axId val="1813686639"/>
      </c:barChart>
      <c:lineChart>
        <c:grouping val="standard"/>
        <c:varyColors val="0"/>
        <c:ser>
          <c:idx val="9"/>
          <c:order val="9"/>
          <c:tx>
            <c:strRef>
              <c:f>Graph!$AF$4</c:f>
              <c:strCache>
                <c:ptCount val="1"/>
                <c:pt idx="0">
                  <c:v>Accum Total</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dLbl>
              <c:idx val="0"/>
              <c:layout>
                <c:manualLayout>
                  <c:x val="-6.0477463685952283E-2"/>
                  <c:y val="-0.148612276773417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682-42A9-A3A9-072159814695}"/>
                </c:ext>
              </c:extLst>
            </c:dLbl>
            <c:dLbl>
              <c:idx val="1"/>
              <c:layout>
                <c:manualLayout>
                  <c:x val="-6.9645772504905765E-2"/>
                  <c:y val="-8.35573547301343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6682-42A9-A3A9-072159814695}"/>
                </c:ext>
              </c:extLst>
            </c:dLbl>
            <c:dLbl>
              <c:idx val="2"/>
              <c:layout>
                <c:manualLayout>
                  <c:x val="-6.1909998519043469E-2"/>
                  <c:y val="-5.55034228897402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F2B-49FF-A0EA-A7F39BE11D78}"/>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Graph!$R$5:$R$8</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Graph!$AF$5:$AF$9</c15:sqref>
                  </c15:fullRef>
                </c:ext>
              </c:extLst>
              <c:f>Graph!$AF$5:$AF$7</c:f>
              <c:numCache>
                <c:formatCode>_(* #,##0_);_(* \(#,##0\);_(* "-"??_);_(@_)</c:formatCode>
                <c:ptCount val="3"/>
                <c:pt idx="0">
                  <c:v>491.34548692000004</c:v>
                </c:pt>
                <c:pt idx="1">
                  <c:v>1006.3881012500001</c:v>
                </c:pt>
                <c:pt idx="2">
                  <c:v>1206.5026345000001</c:v>
                </c:pt>
              </c:numCache>
            </c:numRef>
          </c:val>
          <c:smooth val="0"/>
          <c:extLst>
            <c:ext xmlns:c16="http://schemas.microsoft.com/office/drawing/2014/chart" uri="{C3380CC4-5D6E-409C-BE32-E72D297353CC}">
              <c16:uniqueId val="{00000012-6682-42A9-A3A9-072159814695}"/>
            </c:ext>
          </c:extLst>
        </c:ser>
        <c:dLbls>
          <c:showLegendKey val="0"/>
          <c:showVal val="1"/>
          <c:showCatName val="0"/>
          <c:showSerName val="0"/>
          <c:showPercent val="0"/>
          <c:showBubbleSize val="0"/>
        </c:dLbls>
        <c:marker val="1"/>
        <c:smooth val="0"/>
        <c:axId val="1813685807"/>
        <c:axId val="1813686639"/>
        <c:extLst>
          <c:ext xmlns:c15="http://schemas.microsoft.com/office/drawing/2012/chart" uri="{02D57815-91ED-43cb-92C2-25804820EDAC}">
            <c15:filteredLineSeries>
              <c15:ser>
                <c:idx val="8"/>
                <c:order val="8"/>
                <c:tx>
                  <c:strRef>
                    <c:extLst>
                      <c:ext uri="{02D57815-91ED-43cb-92C2-25804820EDAC}">
                        <c15:formulaRef>
                          <c15:sqref>Graph!$AE$4</c15:sqref>
                        </c15:formulaRef>
                      </c:ext>
                    </c:extLst>
                    <c:strCache>
                      <c:ptCount val="1"/>
                      <c:pt idx="0">
                        <c:v>Grand Total</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Graph!$R$5:$R$8</c15:sqref>
                        </c15:fullRef>
                        <c15:formulaRef>
                          <c15:sqref>Graph!$R$5:$R$7</c15:sqref>
                        </c15:formulaRef>
                      </c:ext>
                    </c:extLst>
                    <c:strCache>
                      <c:ptCount val="3"/>
                      <c:pt idx="0">
                        <c:v>FEB-22</c:v>
                      </c:pt>
                      <c:pt idx="1">
                        <c:v> MAR-22 </c:v>
                      </c:pt>
                      <c:pt idx="2">
                        <c:v> APR-22 </c:v>
                      </c:pt>
                    </c:strCache>
                  </c:strRef>
                </c:cat>
                <c:val>
                  <c:numRef>
                    <c:extLst>
                      <c:ext uri="{02D57815-91ED-43cb-92C2-25804820EDAC}">
                        <c15:fullRef>
                          <c15:sqref>Graph!$AE$5:$AE$7</c15:sqref>
                        </c15:fullRef>
                        <c15:formulaRef>
                          <c15:sqref>Graph!$AE$5:$AE$7</c15:sqref>
                        </c15:formulaRef>
                      </c:ext>
                    </c:extLst>
                    <c:numCache>
                      <c:formatCode>_(* #,##0_);_(* \(#,##0\);_(* "-"??_);_(@_)</c:formatCode>
                      <c:ptCount val="3"/>
                      <c:pt idx="0">
                        <c:v>491.34548692000004</c:v>
                      </c:pt>
                      <c:pt idx="1">
                        <c:v>515.04261432999999</c:v>
                      </c:pt>
                      <c:pt idx="2">
                        <c:v>200.11453324999999</c:v>
                      </c:pt>
                    </c:numCache>
                  </c:numRef>
                </c:val>
                <c:smooth val="0"/>
                <c:extLst>
                  <c:ext xmlns:c16="http://schemas.microsoft.com/office/drawing/2014/chart" uri="{C3380CC4-5D6E-409C-BE32-E72D297353CC}">
                    <c16:uniqueId val="{00000013-6682-42A9-A3A9-072159814695}"/>
                  </c:ext>
                </c:extLst>
              </c15:ser>
            </c15:filteredLineSeries>
          </c:ext>
        </c:extLst>
      </c:lineChart>
      <c:catAx>
        <c:axId val="181368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TH"/>
          </a:p>
        </c:txPr>
        <c:crossAx val="1813686639"/>
        <c:crosses val="autoZero"/>
        <c:auto val="1"/>
        <c:lblAlgn val="ctr"/>
        <c:lblOffset val="100"/>
        <c:noMultiLvlLbl val="0"/>
      </c:catAx>
      <c:valAx>
        <c:axId val="1813686639"/>
        <c:scaling>
          <c:orientation val="minMax"/>
          <c:max val="1300"/>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TH"/>
          </a:p>
        </c:txPr>
        <c:crossAx val="1813685807"/>
        <c:crosses val="autoZero"/>
        <c:crossBetween val="between"/>
        <c:majorUnit val="200"/>
      </c:valAx>
      <c:spPr>
        <a:noFill/>
        <a:ln>
          <a:noFill/>
        </a:ln>
        <a:effectLst/>
      </c:spPr>
    </c:plotArea>
    <c:legend>
      <c:legendPos val="r"/>
      <c:legendEntry>
        <c:idx val="0"/>
        <c:delete val="1"/>
      </c:legendEntry>
      <c:legendEntry>
        <c:idx val="8"/>
        <c:delete val="1"/>
      </c:legendEntry>
      <c:legendEntry>
        <c:idx val="9"/>
        <c:delete val="1"/>
      </c:legendEntry>
      <c:legendEntry>
        <c:idx val="10"/>
        <c:delete val="1"/>
      </c:legendEntry>
      <c:layout>
        <c:manualLayout>
          <c:xMode val="edge"/>
          <c:yMode val="edge"/>
          <c:x val="0"/>
          <c:y val="0.78960170022684539"/>
          <c:w val="0.9509437010626135"/>
          <c:h val="0.20941996939337154"/>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092377216282489E-2"/>
          <c:y val="0.14496836926849477"/>
          <c:w val="0.89568430757607209"/>
          <c:h val="0.59933331917069665"/>
        </c:manualLayout>
      </c:layout>
      <c:barChart>
        <c:barDir val="col"/>
        <c:grouping val="stacked"/>
        <c:varyColors val="0"/>
        <c:ser>
          <c:idx val="0"/>
          <c:order val="0"/>
          <c:tx>
            <c:strRef>
              <c:f>Graph!$S$4</c:f>
              <c:strCache>
                <c:ptCount val="1"/>
                <c:pt idx="0">
                  <c:v>GS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Graph!$S$5:$S$7</c15:sqref>
                  </c15:fullRef>
                </c:ext>
              </c:extLst>
              <c:f>Graph!$S$5:$S$7</c:f>
              <c:numCache>
                <c:formatCode>_(* #,##0_);_(* \(#,##0\);_(* "-"??_);_(@_)</c:formatCode>
                <c:ptCount val="3"/>
                <c:pt idx="0" formatCode="General">
                  <c:v>8.5649009999999998E-2</c:v>
                </c:pt>
              </c:numCache>
            </c:numRef>
          </c:val>
          <c:extLst>
            <c:ext xmlns:c16="http://schemas.microsoft.com/office/drawing/2014/chart" uri="{C3380CC4-5D6E-409C-BE32-E72D297353CC}">
              <c16:uniqueId val="{00000000-F62D-4E4C-A32F-F13C3057E7BC}"/>
            </c:ext>
          </c:extLst>
        </c:ser>
        <c:ser>
          <c:idx val="1"/>
          <c:order val="1"/>
          <c:tx>
            <c:strRef>
              <c:f>Graph!$T$4</c:f>
              <c:strCache>
                <c:ptCount val="1"/>
                <c:pt idx="0">
                  <c:v>HSBCLF</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Graph!$T$5:$T$8</c15:sqref>
                  </c15:fullRef>
                </c:ext>
              </c:extLst>
              <c:f>Graph!$T$5:$T$7</c:f>
              <c:numCache>
                <c:formatCode>_(* #,##0_);_(* \(#,##0\);_(* "-"??_);_(@_)</c:formatCode>
                <c:ptCount val="3"/>
                <c:pt idx="0" formatCode="General">
                  <c:v>9.3639330000000007E-2</c:v>
                </c:pt>
              </c:numCache>
            </c:numRef>
          </c:val>
          <c:extLst>
            <c:ext xmlns:c16="http://schemas.microsoft.com/office/drawing/2014/chart" uri="{C3380CC4-5D6E-409C-BE32-E72D297353CC}">
              <c16:uniqueId val="{00000001-F62D-4E4C-A32F-F13C3057E7BC}"/>
            </c:ext>
          </c:extLst>
        </c:ser>
        <c:ser>
          <c:idx val="2"/>
          <c:order val="2"/>
          <c:tx>
            <c:strRef>
              <c:f>Graph!$U$4</c:f>
              <c:strCache>
                <c:ptCount val="1"/>
                <c:pt idx="0">
                  <c:v>KFSPLUS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Graph!$U$5:$U$7</c15:sqref>
                  </c15:fullRef>
                </c:ext>
              </c:extLst>
              <c:f>Graph!$U$5:$U$7</c:f>
              <c:numCache>
                <c:formatCode>_(* #,##0_);_(* \(#,##0\);_(* "-"??_);_(@_)</c:formatCode>
                <c:ptCount val="3"/>
                <c:pt idx="0" formatCode="General">
                  <c:v>0</c:v>
                </c:pt>
              </c:numCache>
            </c:numRef>
          </c:val>
          <c:extLst>
            <c:ext xmlns:c16="http://schemas.microsoft.com/office/drawing/2014/chart" uri="{C3380CC4-5D6E-409C-BE32-E72D297353CC}">
              <c16:uniqueId val="{00000002-F62D-4E4C-A32F-F13C3057E7BC}"/>
            </c:ext>
          </c:extLst>
        </c:ser>
        <c:ser>
          <c:idx val="3"/>
          <c:order val="3"/>
          <c:tx>
            <c:strRef>
              <c:f>Graph!$V$4</c:f>
              <c:strCache>
                <c:ptCount val="1"/>
                <c:pt idx="0">
                  <c:v>NAT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Graph!$V$5:$V$9</c15:sqref>
                  </c15:fullRef>
                </c:ext>
              </c:extLst>
              <c:f>Graph!$V$5:$V$7</c:f>
              <c:numCache>
                <c:formatCode>_(* #,##0_);_(* \(#,##0\);_(* "-"??_);_(@_)</c:formatCode>
                <c:ptCount val="3"/>
                <c:pt idx="0" formatCode="General">
                  <c:v>201.42679409000002</c:v>
                </c:pt>
              </c:numCache>
            </c:numRef>
          </c:val>
          <c:extLst>
            <c:ext xmlns:c16="http://schemas.microsoft.com/office/drawing/2014/chart" uri="{C3380CC4-5D6E-409C-BE32-E72D297353CC}">
              <c16:uniqueId val="{00000004-F62D-4E4C-A32F-F13C3057E7BC}"/>
            </c:ext>
          </c:extLst>
        </c:ser>
        <c:ser>
          <c:idx val="4"/>
          <c:order val="4"/>
          <c:tx>
            <c:strRef>
              <c:f>Graph!$W$4</c:f>
              <c:strCache>
                <c:ptCount val="1"/>
                <c:pt idx="0">
                  <c:v>UOB</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2-491B-475D-A260-08EF843AEE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Graph!$W$5:$W$9</c15:sqref>
                  </c15:fullRef>
                </c:ext>
              </c:extLst>
              <c:f>Graph!$W$5:$W$7</c:f>
              <c:numCache>
                <c:formatCode>_(* #,##0_);_(* \(#,##0\);_(* "-"??_);_(@_)</c:formatCode>
                <c:ptCount val="3"/>
                <c:pt idx="0" formatCode="General">
                  <c:v>115.38947122</c:v>
                </c:pt>
              </c:numCache>
            </c:numRef>
          </c:val>
          <c:extLst xmlns:c15="http://schemas.microsoft.com/office/drawing/2012/chart">
            <c:ext xmlns:c16="http://schemas.microsoft.com/office/drawing/2014/chart" uri="{C3380CC4-5D6E-409C-BE32-E72D297353CC}">
              <c16:uniqueId val="{00000005-F62D-4E4C-A32F-F13C3057E7BC}"/>
            </c:ext>
          </c:extLst>
        </c:ser>
        <c:ser>
          <c:idx val="5"/>
          <c:order val="5"/>
          <c:tx>
            <c:strRef>
              <c:f>Graph!$Y$4</c:f>
              <c:strCache>
                <c:ptCount val="1"/>
                <c:pt idx="0">
                  <c:v>DBSG</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Graph!$Y$5:$Y$8</c15:sqref>
                  </c15:fullRef>
                </c:ext>
              </c:extLst>
              <c:f>Graph!$Y$5:$Y$7</c:f>
              <c:numCache>
                <c:formatCode>_(* #,##0_);_(* \(#,##0\);_(* "-"??_);_(@_)</c:formatCode>
                <c:ptCount val="3"/>
                <c:pt idx="1">
                  <c:v>170</c:v>
                </c:pt>
              </c:numCache>
            </c:numRef>
          </c:val>
          <c:extLst xmlns:c15="http://schemas.microsoft.com/office/drawing/2012/chart">
            <c:ext xmlns:c16="http://schemas.microsoft.com/office/drawing/2014/chart" uri="{C3380CC4-5D6E-409C-BE32-E72D297353CC}">
              <c16:uniqueId val="{00000006-F62D-4E4C-A32F-F13C3057E7BC}"/>
            </c:ext>
          </c:extLst>
        </c:ser>
        <c:ser>
          <c:idx val="6"/>
          <c:order val="6"/>
          <c:tx>
            <c:strRef>
              <c:f>Graph!$Z$4</c:f>
              <c:strCache>
                <c:ptCount val="1"/>
                <c:pt idx="0">
                  <c:v>ANZ</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Graph!$Z$5:$Z$9</c15:sqref>
                  </c15:fullRef>
                </c:ext>
              </c:extLst>
              <c:f>Graph!$Z$5:$Z$7</c:f>
              <c:numCache>
                <c:formatCode>_(* #,##0_);_(* \(#,##0\);_(* "-"??_);_(@_)</c:formatCode>
                <c:ptCount val="3"/>
                <c:pt idx="0" formatCode="General">
                  <c:v>174.34993327000001</c:v>
                </c:pt>
                <c:pt idx="2" formatCode="General">
                  <c:v>100</c:v>
                </c:pt>
              </c:numCache>
            </c:numRef>
          </c:val>
          <c:extLst xmlns:c15="http://schemas.microsoft.com/office/drawing/2012/chart">
            <c:ext xmlns:c16="http://schemas.microsoft.com/office/drawing/2014/chart" uri="{C3380CC4-5D6E-409C-BE32-E72D297353CC}">
              <c16:uniqueId val="{00000007-F62D-4E4C-A32F-F13C3057E7BC}"/>
            </c:ext>
          </c:extLst>
        </c:ser>
        <c:ser>
          <c:idx val="7"/>
          <c:order val="7"/>
          <c:tx>
            <c:strRef>
              <c:f>Graph!$AA$4</c:f>
              <c:strCache>
                <c:ptCount val="1"/>
                <c:pt idx="0">
                  <c:v>ICBC</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Graph!$AA$5:$AA$9</c15:sqref>
                  </c15:fullRef>
                </c:ext>
              </c:extLst>
              <c:f>Graph!$AA$5:$AA$7</c:f>
              <c:numCache>
                <c:formatCode>_(* #,##0_);_(* \(#,##0\);_(* "-"??_);_(@_)</c:formatCode>
                <c:ptCount val="3"/>
                <c:pt idx="1">
                  <c:v>35</c:v>
                </c:pt>
              </c:numCache>
            </c:numRef>
          </c:val>
          <c:extLst xmlns:c15="http://schemas.microsoft.com/office/drawing/2012/chart">
            <c:ext xmlns:c16="http://schemas.microsoft.com/office/drawing/2014/chart" uri="{C3380CC4-5D6E-409C-BE32-E72D297353CC}">
              <c16:uniqueId val="{00000008-F62D-4E4C-A32F-F13C3057E7BC}"/>
            </c:ext>
          </c:extLst>
        </c:ser>
        <c:ser>
          <c:idx val="10"/>
          <c:order val="10"/>
          <c:tx>
            <c:strRef>
              <c:f>Graph!$AB$4</c:f>
              <c:strCache>
                <c:ptCount val="1"/>
                <c:pt idx="0">
                  <c:v>AMBANK</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Graph!$R$5:$R$9</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Graph!$AB$5:$AB$9</c15:sqref>
                  </c15:fullRef>
                </c:ext>
              </c:extLst>
              <c:f>Graph!$AB$5:$AB$7</c:f>
              <c:numCache>
                <c:formatCode>_(* #,##0_);_(* \(#,##0\);_(* "-"??_);_(@_)</c:formatCode>
                <c:ptCount val="3"/>
                <c:pt idx="1">
                  <c:v>140</c:v>
                </c:pt>
                <c:pt idx="2">
                  <c:v>100.11453324999999</c:v>
                </c:pt>
              </c:numCache>
            </c:numRef>
          </c:val>
          <c:extLst>
            <c:ext xmlns:c16="http://schemas.microsoft.com/office/drawing/2014/chart" uri="{C3380CC4-5D6E-409C-BE32-E72D297353CC}">
              <c16:uniqueId val="{00000003-CBD2-4B05-B4F1-CBB69794BC7C}"/>
            </c:ext>
          </c:extLst>
        </c:ser>
        <c:ser>
          <c:idx val="11"/>
          <c:order val="11"/>
          <c:tx>
            <c:strRef>
              <c:f>Graph!$AC$4</c:f>
              <c:strCache>
                <c:ptCount val="1"/>
                <c:pt idx="0">
                  <c:v>KTB</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FEB-22</c:v>
              </c:pt>
              <c:pt idx="1">
                <c:v> MAR-22 </c:v>
              </c:pt>
              <c:pt idx="2">
                <c:v> APR-22 </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Graph!$AC$5:$AC$8</c15:sqref>
                  </c15:fullRef>
                </c:ext>
              </c:extLst>
              <c:f>Graph!$AC$5:$AC$7</c:f>
              <c:numCache>
                <c:formatCode>_(* #,##0_);_(* \(#,##0\);_(* "-"??_);_(@_)</c:formatCode>
                <c:ptCount val="3"/>
                <c:pt idx="1">
                  <c:v>170.04261432999999</c:v>
                </c:pt>
              </c:numCache>
            </c:numRef>
          </c:val>
          <c:extLst>
            <c:ext xmlns:c16="http://schemas.microsoft.com/office/drawing/2014/chart" uri="{C3380CC4-5D6E-409C-BE32-E72D297353CC}">
              <c16:uniqueId val="{00000005-2378-4AC9-ADB5-99B95CA74339}"/>
            </c:ext>
          </c:extLst>
        </c:ser>
        <c:ser>
          <c:idx val="12"/>
          <c:order val="12"/>
          <c:tx>
            <c:strRef>
              <c:f>Graph!$AD$4</c:f>
              <c:strCache>
                <c:ptCount val="1"/>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Graph!$R$5:$R$8</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Graph!$AD$5:$AD$8</c15:sqref>
                  </c15:fullRef>
                </c:ext>
              </c:extLst>
              <c:f>Graph!$AD$5:$AD$7</c:f>
              <c:numCache>
                <c:formatCode>_(* #,##0_);_(* \(#,##0\);_(* "-"??_);_(@_)</c:formatCode>
                <c:ptCount val="3"/>
              </c:numCache>
            </c:numRef>
          </c:val>
          <c:extLst>
            <c:ext xmlns:c16="http://schemas.microsoft.com/office/drawing/2014/chart" uri="{C3380CC4-5D6E-409C-BE32-E72D297353CC}">
              <c16:uniqueId val="{00000004-29E1-4606-8F88-757A505EB931}"/>
            </c:ext>
          </c:extLst>
        </c:ser>
        <c:dLbls>
          <c:showLegendKey val="0"/>
          <c:showVal val="1"/>
          <c:showCatName val="0"/>
          <c:showSerName val="0"/>
          <c:showPercent val="0"/>
          <c:showBubbleSize val="0"/>
        </c:dLbls>
        <c:gapWidth val="150"/>
        <c:overlap val="100"/>
        <c:axId val="1813685807"/>
        <c:axId val="1813686639"/>
      </c:barChart>
      <c:lineChart>
        <c:grouping val="standard"/>
        <c:varyColors val="0"/>
        <c:ser>
          <c:idx val="9"/>
          <c:order val="9"/>
          <c:tx>
            <c:strRef>
              <c:f>Graph!$AF$4</c:f>
              <c:strCache>
                <c:ptCount val="1"/>
                <c:pt idx="0">
                  <c:v>Accum Total</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Graph!$R$5:$R$7</c15:sqref>
                  </c15:fullRef>
                </c:ext>
              </c:extLst>
              <c:f>Graph!$R$5:$R$7</c:f>
              <c:strCache>
                <c:ptCount val="3"/>
                <c:pt idx="0">
                  <c:v>FEB-22</c:v>
                </c:pt>
                <c:pt idx="1">
                  <c:v> MAR-22 </c:v>
                </c:pt>
                <c:pt idx="2">
                  <c:v> APR-22 </c:v>
                </c:pt>
              </c:strCache>
            </c:strRef>
          </c:cat>
          <c:val>
            <c:numRef>
              <c:extLst>
                <c:ext xmlns:c15="http://schemas.microsoft.com/office/drawing/2012/chart" uri="{02D57815-91ED-43cb-92C2-25804820EDAC}">
                  <c15:fullRef>
                    <c15:sqref>Graph!$AF$5:$AF$7</c15:sqref>
                  </c15:fullRef>
                </c:ext>
              </c:extLst>
              <c:f>Graph!$AF$5:$AF$7</c:f>
              <c:numCache>
                <c:formatCode>_(* #,##0_);_(* \(#,##0\);_(* "-"??_);_(@_)</c:formatCode>
                <c:ptCount val="3"/>
                <c:pt idx="0">
                  <c:v>491.34548692000004</c:v>
                </c:pt>
                <c:pt idx="1">
                  <c:v>1006.3881012500001</c:v>
                </c:pt>
                <c:pt idx="2">
                  <c:v>1206.5026345000001</c:v>
                </c:pt>
              </c:numCache>
            </c:numRef>
          </c:val>
          <c:smooth val="0"/>
          <c:extLst>
            <c:ext xmlns:c16="http://schemas.microsoft.com/office/drawing/2014/chart" uri="{C3380CC4-5D6E-409C-BE32-E72D297353CC}">
              <c16:uniqueId val="{0000000A-F62D-4E4C-A32F-F13C3057E7BC}"/>
            </c:ext>
          </c:extLst>
        </c:ser>
        <c:dLbls>
          <c:showLegendKey val="0"/>
          <c:showVal val="1"/>
          <c:showCatName val="0"/>
          <c:showSerName val="0"/>
          <c:showPercent val="0"/>
          <c:showBubbleSize val="0"/>
        </c:dLbls>
        <c:marker val="1"/>
        <c:smooth val="0"/>
        <c:axId val="1813685807"/>
        <c:axId val="1813686639"/>
        <c:extLst>
          <c:ext xmlns:c15="http://schemas.microsoft.com/office/drawing/2012/chart" uri="{02D57815-91ED-43cb-92C2-25804820EDAC}">
            <c15:filteredLineSeries>
              <c15:ser>
                <c:idx val="8"/>
                <c:order val="8"/>
                <c:tx>
                  <c:strRef>
                    <c:extLst>
                      <c:ext uri="{02D57815-91ED-43cb-92C2-25804820EDAC}">
                        <c15:formulaRef>
                          <c15:sqref>Graph!$AE$4</c15:sqref>
                        </c15:formulaRef>
                      </c:ext>
                    </c:extLst>
                    <c:strCache>
                      <c:ptCount val="1"/>
                      <c:pt idx="0">
                        <c:v>Grand Total</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Graph!$R$5:$R$7</c15:sqref>
                        </c15:fullRef>
                        <c15:formulaRef>
                          <c15:sqref>Graph!$R$5:$R$7</c15:sqref>
                        </c15:formulaRef>
                      </c:ext>
                    </c:extLst>
                    <c:strCache>
                      <c:ptCount val="3"/>
                      <c:pt idx="0">
                        <c:v>FEB-22</c:v>
                      </c:pt>
                      <c:pt idx="1">
                        <c:v> MAR-22 </c:v>
                      </c:pt>
                      <c:pt idx="2">
                        <c:v> APR-22 </c:v>
                      </c:pt>
                    </c:strCache>
                  </c:strRef>
                </c:cat>
                <c:val>
                  <c:numRef>
                    <c:extLst>
                      <c:ext uri="{02D57815-91ED-43cb-92C2-25804820EDAC}">
                        <c15:fullRef>
                          <c15:sqref>Graph!$AE$5:$AE$7</c15:sqref>
                        </c15:fullRef>
                        <c15:formulaRef>
                          <c15:sqref>Graph!$AE$5:$AE$7</c15:sqref>
                        </c15:formulaRef>
                      </c:ext>
                    </c:extLst>
                    <c:numCache>
                      <c:formatCode>_(* #,##0_);_(* \(#,##0\);_(* "-"??_);_(@_)</c:formatCode>
                      <c:ptCount val="3"/>
                      <c:pt idx="0">
                        <c:v>491.34548692000004</c:v>
                      </c:pt>
                      <c:pt idx="1">
                        <c:v>515.04261432999999</c:v>
                      </c:pt>
                      <c:pt idx="2">
                        <c:v>200.11453324999999</c:v>
                      </c:pt>
                    </c:numCache>
                  </c:numRef>
                </c:val>
                <c:smooth val="0"/>
                <c:extLst>
                  <c:ext xmlns:c16="http://schemas.microsoft.com/office/drawing/2014/chart" uri="{C3380CC4-5D6E-409C-BE32-E72D297353CC}">
                    <c16:uniqueId val="{00000009-F62D-4E4C-A32F-F13C3057E7BC}"/>
                  </c:ext>
                </c:extLst>
              </c15:ser>
            </c15:filteredLineSeries>
          </c:ext>
        </c:extLst>
      </c:lineChart>
      <c:catAx>
        <c:axId val="181368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TH"/>
          </a:p>
        </c:txPr>
        <c:crossAx val="1813686639"/>
        <c:crosses val="autoZero"/>
        <c:auto val="1"/>
        <c:lblAlgn val="ctr"/>
        <c:lblOffset val="100"/>
        <c:noMultiLvlLbl val="0"/>
      </c:catAx>
      <c:valAx>
        <c:axId val="1813686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813685807"/>
        <c:crosses val="autoZero"/>
        <c:crossBetween val="between"/>
        <c:majorUnit val="200"/>
      </c:valAx>
      <c:spPr>
        <a:noFill/>
        <a:ln>
          <a:noFill/>
        </a:ln>
        <a:effectLst/>
      </c:spPr>
    </c:plotArea>
    <c:legend>
      <c:legendPos val="r"/>
      <c:layout>
        <c:manualLayout>
          <c:xMode val="edge"/>
          <c:yMode val="edge"/>
          <c:x val="2.1167991601730163E-2"/>
          <c:y val="0.7920454940261894"/>
          <c:w val="0.96673011426125643"/>
          <c:h val="0.157331323932206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MMUSD</a:t>
            </a:r>
          </a:p>
        </c:rich>
      </c:tx>
      <c:layout>
        <c:manualLayout>
          <c:xMode val="edge"/>
          <c:yMode val="edge"/>
          <c:x val="4.2451355755926477E-4"/>
          <c:y val="1.617795238077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stacked"/>
        <c:varyColors val="0"/>
        <c:ser>
          <c:idx val="1"/>
          <c:order val="1"/>
          <c:tx>
            <c:strRef>
              <c:f>'Counterparty Limit'!$I$5</c:f>
              <c:strCache>
                <c:ptCount val="1"/>
                <c:pt idx="0">
                  <c:v>Utilized</c:v>
                </c:pt>
              </c:strCache>
            </c:strRef>
          </c:tx>
          <c:spPr>
            <a:solidFill>
              <a:schemeClr val="accent2"/>
            </a:solidFill>
            <a:ln>
              <a:noFill/>
            </a:ln>
            <a:effectLst/>
          </c:spPr>
          <c:invertIfNegative val="0"/>
          <c:cat>
            <c:strRef>
              <c:f>'Counterparty Limit'!$A$6:$A$51</c:f>
              <c:strCache>
                <c:ptCount val="46"/>
                <c:pt idx="0">
                  <c:v>TMBTHANAPLUS</c:v>
                </c:pt>
                <c:pt idx="1">
                  <c:v>TMBTM</c:v>
                </c:pt>
                <c:pt idx="2">
                  <c:v>KFS MMF</c:v>
                </c:pt>
                <c:pt idx="3">
                  <c:v>KCASH MMF</c:v>
                </c:pt>
                <c:pt idx="4">
                  <c:v>CCB</c:v>
                </c:pt>
                <c:pt idx="5">
                  <c:v>MIZ</c:v>
                </c:pt>
                <c:pt idx="6">
                  <c:v>MAY</c:v>
                </c:pt>
                <c:pt idx="7">
                  <c:v>SHI</c:v>
                </c:pt>
                <c:pt idx="8">
                  <c:v>JPM</c:v>
                </c:pt>
                <c:pt idx="9">
                  <c:v>SCB</c:v>
                </c:pt>
                <c:pt idx="10">
                  <c:v>CS</c:v>
                </c:pt>
                <c:pt idx="11">
                  <c:v>DBSG</c:v>
                </c:pt>
                <c:pt idx="12">
                  <c:v>BOC</c:v>
                </c:pt>
                <c:pt idx="13">
                  <c:v>ICB</c:v>
                </c:pt>
                <c:pt idx="14">
                  <c:v>KBANK</c:v>
                </c:pt>
                <c:pt idx="15">
                  <c:v>KTB</c:v>
                </c:pt>
                <c:pt idx="16">
                  <c:v>CBQ</c:v>
                </c:pt>
                <c:pt idx="17">
                  <c:v>DBT</c:v>
                </c:pt>
                <c:pt idx="18">
                  <c:v>AMBANK</c:v>
                </c:pt>
                <c:pt idx="19">
                  <c:v>GSI</c:v>
                </c:pt>
                <c:pt idx="20">
                  <c:v>HSBC</c:v>
                </c:pt>
                <c:pt idx="21">
                  <c:v>HSBC LF</c:v>
                </c:pt>
                <c:pt idx="22">
                  <c:v>GS LF</c:v>
                </c:pt>
                <c:pt idx="23">
                  <c:v>NATIXIS</c:v>
                </c:pt>
                <c:pt idx="24">
                  <c:v>ICA</c:v>
                </c:pt>
                <c:pt idx="25">
                  <c:v>KEB</c:v>
                </c:pt>
                <c:pt idx="26">
                  <c:v>US Treasury</c:v>
                </c:pt>
                <c:pt idx="27">
                  <c:v>SC</c:v>
                </c:pt>
                <c:pt idx="28">
                  <c:v>SMBC</c:v>
                </c:pt>
                <c:pt idx="29">
                  <c:v>OCBC</c:v>
                </c:pt>
                <c:pt idx="30">
                  <c:v>UOB</c:v>
                </c:pt>
                <c:pt idx="31">
                  <c:v>ABO</c:v>
                </c:pt>
                <c:pt idx="32">
                  <c:v>BNP</c:v>
                </c:pt>
                <c:pt idx="33">
                  <c:v>SOC</c:v>
                </c:pt>
                <c:pt idx="34">
                  <c:v>BBL</c:v>
                </c:pt>
                <c:pt idx="35">
                  <c:v>BAML</c:v>
                </c:pt>
                <c:pt idx="36">
                  <c:v>BAY</c:v>
                </c:pt>
                <c:pt idx="37">
                  <c:v>QNB</c:v>
                </c:pt>
                <c:pt idx="38">
                  <c:v>FNB</c:v>
                </c:pt>
                <c:pt idx="39">
                  <c:v>MICB</c:v>
                </c:pt>
                <c:pt idx="40">
                  <c:v>TMB</c:v>
                </c:pt>
                <c:pt idx="41">
                  <c:v>CSS</c:v>
                </c:pt>
                <c:pt idx="42">
                  <c:v>CITI</c:v>
                </c:pt>
                <c:pt idx="43">
                  <c:v>TBILL_CASH</c:v>
                </c:pt>
                <c:pt idx="44">
                  <c:v>Operator acct</c:v>
                </c:pt>
                <c:pt idx="45">
                  <c:v>ANZTH</c:v>
                </c:pt>
              </c:strCache>
            </c:strRef>
          </c:cat>
          <c:val>
            <c:numRef>
              <c:f>'Counterparty Limit'!$I$6:$I$51</c:f>
              <c:numCache>
                <c:formatCode>_(* #,##0.0_);_(* \(#,##0.0\);_(* "-"?_);_(@_)</c:formatCode>
                <c:ptCount val="46"/>
                <c:pt idx="0">
                  <c:v>0</c:v>
                </c:pt>
                <c:pt idx="1">
                  <c:v>0</c:v>
                </c:pt>
                <c:pt idx="2">
                  <c:v>0</c:v>
                </c:pt>
                <c:pt idx="3">
                  <c:v>0</c:v>
                </c:pt>
                <c:pt idx="4">
                  <c:v>0</c:v>
                </c:pt>
                <c:pt idx="5">
                  <c:v>0</c:v>
                </c:pt>
                <c:pt idx="6">
                  <c:v>0</c:v>
                </c:pt>
                <c:pt idx="7">
                  <c:v>0</c:v>
                </c:pt>
                <c:pt idx="8">
                  <c:v>241.12394392000002</c:v>
                </c:pt>
                <c:pt idx="9">
                  <c:v>5.3630199999999996E-3</c:v>
                </c:pt>
                <c:pt idx="10">
                  <c:v>0</c:v>
                </c:pt>
                <c:pt idx="11">
                  <c:v>170</c:v>
                </c:pt>
                <c:pt idx="12">
                  <c:v>0</c:v>
                </c:pt>
                <c:pt idx="13">
                  <c:v>35</c:v>
                </c:pt>
                <c:pt idx="14">
                  <c:v>135.61497045000002</c:v>
                </c:pt>
                <c:pt idx="15">
                  <c:v>217.88245358941089</c:v>
                </c:pt>
                <c:pt idx="16">
                  <c:v>0</c:v>
                </c:pt>
                <c:pt idx="17">
                  <c:v>0</c:v>
                </c:pt>
                <c:pt idx="18">
                  <c:v>240.11453324999999</c:v>
                </c:pt>
                <c:pt idx="19">
                  <c:v>0</c:v>
                </c:pt>
                <c:pt idx="20">
                  <c:v>84.597367449999993</c:v>
                </c:pt>
                <c:pt idx="21">
                  <c:v>9.3639330000000007E-2</c:v>
                </c:pt>
                <c:pt idx="22" formatCode="_(* #,##0.00_);_(* \(#,##0.00\);_(* &quot;-&quot;?_);_(@_)">
                  <c:v>8.5649009999999998E-2</c:v>
                </c:pt>
                <c:pt idx="23">
                  <c:v>201.42679409000002</c:v>
                </c:pt>
                <c:pt idx="24">
                  <c:v>0</c:v>
                </c:pt>
                <c:pt idx="25">
                  <c:v>0</c:v>
                </c:pt>
                <c:pt idx="26">
                  <c:v>0</c:v>
                </c:pt>
                <c:pt idx="27">
                  <c:v>5.9681000000000006</c:v>
                </c:pt>
                <c:pt idx="28">
                  <c:v>0</c:v>
                </c:pt>
                <c:pt idx="29">
                  <c:v>233.97400543000001</c:v>
                </c:pt>
                <c:pt idx="30">
                  <c:v>115.38947122</c:v>
                </c:pt>
                <c:pt idx="31">
                  <c:v>0</c:v>
                </c:pt>
                <c:pt idx="32">
                  <c:v>0</c:v>
                </c:pt>
                <c:pt idx="33">
                  <c:v>0</c:v>
                </c:pt>
                <c:pt idx="34">
                  <c:v>2.04193991</c:v>
                </c:pt>
                <c:pt idx="35">
                  <c:v>615.72239407999996</c:v>
                </c:pt>
                <c:pt idx="36">
                  <c:v>1.3725657380062244</c:v>
                </c:pt>
                <c:pt idx="37">
                  <c:v>0</c:v>
                </c:pt>
                <c:pt idx="38">
                  <c:v>2.0884085400000001</c:v>
                </c:pt>
                <c:pt idx="39">
                  <c:v>6.5599999999999999E-6</c:v>
                </c:pt>
                <c:pt idx="40">
                  <c:v>2.9841769900000004</c:v>
                </c:pt>
                <c:pt idx="41">
                  <c:v>0</c:v>
                </c:pt>
                <c:pt idx="42">
                  <c:v>26.441145249999998</c:v>
                </c:pt>
                <c:pt idx="43">
                  <c:v>0</c:v>
                </c:pt>
                <c:pt idx="44">
                  <c:v>147.14921839000002</c:v>
                </c:pt>
                <c:pt idx="45">
                  <c:v>274.34993327000001</c:v>
                </c:pt>
              </c:numCache>
            </c:numRef>
          </c:val>
          <c:extLst>
            <c:ext xmlns:c16="http://schemas.microsoft.com/office/drawing/2014/chart" uri="{C3380CC4-5D6E-409C-BE32-E72D297353CC}">
              <c16:uniqueId val="{00000001-FA7D-4109-BF1E-2F28D7CA7ABC}"/>
            </c:ext>
          </c:extLst>
        </c:ser>
        <c:ser>
          <c:idx val="2"/>
          <c:order val="2"/>
          <c:tx>
            <c:strRef>
              <c:f>'Counterparty Limit'!$J$5</c:f>
              <c:strCache>
                <c:ptCount val="1"/>
                <c:pt idx="0">
                  <c:v>Available</c:v>
                </c:pt>
              </c:strCache>
            </c:strRef>
          </c:tx>
          <c:spPr>
            <a:solidFill>
              <a:schemeClr val="bg2"/>
            </a:solidFill>
            <a:ln>
              <a:noFill/>
            </a:ln>
            <a:effectLst/>
          </c:spPr>
          <c:invertIfNegative val="0"/>
          <c:cat>
            <c:strRef>
              <c:f>'Counterparty Limit'!$A$6:$A$51</c:f>
              <c:strCache>
                <c:ptCount val="46"/>
                <c:pt idx="0">
                  <c:v>TMBTHANAPLUS</c:v>
                </c:pt>
                <c:pt idx="1">
                  <c:v>TMBTM</c:v>
                </c:pt>
                <c:pt idx="2">
                  <c:v>KFS MMF</c:v>
                </c:pt>
                <c:pt idx="3">
                  <c:v>KCASH MMF</c:v>
                </c:pt>
                <c:pt idx="4">
                  <c:v>CCB</c:v>
                </c:pt>
                <c:pt idx="5">
                  <c:v>MIZ</c:v>
                </c:pt>
                <c:pt idx="6">
                  <c:v>MAY</c:v>
                </c:pt>
                <c:pt idx="7">
                  <c:v>SHI</c:v>
                </c:pt>
                <c:pt idx="8">
                  <c:v>JPM</c:v>
                </c:pt>
                <c:pt idx="9">
                  <c:v>SCB</c:v>
                </c:pt>
                <c:pt idx="10">
                  <c:v>CS</c:v>
                </c:pt>
                <c:pt idx="11">
                  <c:v>DBSG</c:v>
                </c:pt>
                <c:pt idx="12">
                  <c:v>BOC</c:v>
                </c:pt>
                <c:pt idx="13">
                  <c:v>ICB</c:v>
                </c:pt>
                <c:pt idx="14">
                  <c:v>KBANK</c:v>
                </c:pt>
                <c:pt idx="15">
                  <c:v>KTB</c:v>
                </c:pt>
                <c:pt idx="16">
                  <c:v>CBQ</c:v>
                </c:pt>
                <c:pt idx="17">
                  <c:v>DBT</c:v>
                </c:pt>
                <c:pt idx="18">
                  <c:v>AMBANK</c:v>
                </c:pt>
                <c:pt idx="19">
                  <c:v>GSI</c:v>
                </c:pt>
                <c:pt idx="20">
                  <c:v>HSBC</c:v>
                </c:pt>
                <c:pt idx="21">
                  <c:v>HSBC LF</c:v>
                </c:pt>
                <c:pt idx="22">
                  <c:v>GS LF</c:v>
                </c:pt>
                <c:pt idx="23">
                  <c:v>NATIXIS</c:v>
                </c:pt>
                <c:pt idx="24">
                  <c:v>ICA</c:v>
                </c:pt>
                <c:pt idx="25">
                  <c:v>KEB</c:v>
                </c:pt>
                <c:pt idx="26">
                  <c:v>US Treasury</c:v>
                </c:pt>
                <c:pt idx="27">
                  <c:v>SC</c:v>
                </c:pt>
                <c:pt idx="28">
                  <c:v>SMBC</c:v>
                </c:pt>
                <c:pt idx="29">
                  <c:v>OCBC</c:v>
                </c:pt>
                <c:pt idx="30">
                  <c:v>UOB</c:v>
                </c:pt>
                <c:pt idx="31">
                  <c:v>ABO</c:v>
                </c:pt>
                <c:pt idx="32">
                  <c:v>BNP</c:v>
                </c:pt>
                <c:pt idx="33">
                  <c:v>SOC</c:v>
                </c:pt>
                <c:pt idx="34">
                  <c:v>BBL</c:v>
                </c:pt>
                <c:pt idx="35">
                  <c:v>BAML</c:v>
                </c:pt>
                <c:pt idx="36">
                  <c:v>BAY</c:v>
                </c:pt>
                <c:pt idx="37">
                  <c:v>QNB</c:v>
                </c:pt>
                <c:pt idx="38">
                  <c:v>FNB</c:v>
                </c:pt>
                <c:pt idx="39">
                  <c:v>MICB</c:v>
                </c:pt>
                <c:pt idx="40">
                  <c:v>TMB</c:v>
                </c:pt>
                <c:pt idx="41">
                  <c:v>CSS</c:v>
                </c:pt>
                <c:pt idx="42">
                  <c:v>CITI</c:v>
                </c:pt>
                <c:pt idx="43">
                  <c:v>TBILL_CASH</c:v>
                </c:pt>
                <c:pt idx="44">
                  <c:v>Operator acct</c:v>
                </c:pt>
                <c:pt idx="45">
                  <c:v>ANZTH</c:v>
                </c:pt>
              </c:strCache>
            </c:strRef>
          </c:cat>
          <c:val>
            <c:numRef>
              <c:f>'Counterparty Limit'!$J$6:$J$51</c:f>
              <c:numCache>
                <c:formatCode>_(* #,##0.0_);_(* \(#,##0.0\);_(* "-"?_);_(@_)</c:formatCode>
                <c:ptCount val="46"/>
                <c:pt idx="0">
                  <c:v>450</c:v>
                </c:pt>
                <c:pt idx="1">
                  <c:v>110</c:v>
                </c:pt>
                <c:pt idx="2">
                  <c:v>450</c:v>
                </c:pt>
                <c:pt idx="3">
                  <c:v>420</c:v>
                </c:pt>
                <c:pt idx="4">
                  <c:v>688.35651987185429</c:v>
                </c:pt>
                <c:pt idx="5">
                  <c:v>688.35651987185429</c:v>
                </c:pt>
                <c:pt idx="6">
                  <c:v>688.35651987185429</c:v>
                </c:pt>
                <c:pt idx="7">
                  <c:v>688.35651987185429</c:v>
                </c:pt>
                <c:pt idx="8">
                  <c:v>428.87605608000001</c:v>
                </c:pt>
                <c:pt idx="9">
                  <c:v>419.99463698</c:v>
                </c:pt>
                <c:pt idx="10">
                  <c:v>688.35651987185429</c:v>
                </c:pt>
                <c:pt idx="11">
                  <c:v>500</c:v>
                </c:pt>
                <c:pt idx="12">
                  <c:v>688.35651987185429</c:v>
                </c:pt>
                <c:pt idx="13">
                  <c:v>653.35651987185429</c:v>
                </c:pt>
                <c:pt idx="14">
                  <c:v>294.38502955000001</c:v>
                </c:pt>
                <c:pt idx="15">
                  <c:v>202.11754641058911</c:v>
                </c:pt>
                <c:pt idx="16">
                  <c:v>688.35651987185429</c:v>
                </c:pt>
                <c:pt idx="17">
                  <c:v>670</c:v>
                </c:pt>
                <c:pt idx="18">
                  <c:v>289.88546674999998</c:v>
                </c:pt>
                <c:pt idx="19">
                  <c:v>688.35651987185429</c:v>
                </c:pt>
                <c:pt idx="20">
                  <c:v>603.75915242185431</c:v>
                </c:pt>
                <c:pt idx="21">
                  <c:v>688.26288054185432</c:v>
                </c:pt>
                <c:pt idx="22">
                  <c:v>688.27087086185429</c:v>
                </c:pt>
                <c:pt idx="23">
                  <c:v>486.92972578185424</c:v>
                </c:pt>
                <c:pt idx="24">
                  <c:v>688.35651987185429</c:v>
                </c:pt>
                <c:pt idx="25">
                  <c:v>688.35651987185429</c:v>
                </c:pt>
                <c:pt idx="26">
                  <c:v>688.35651987185429</c:v>
                </c:pt>
                <c:pt idx="27">
                  <c:v>682.38841987185424</c:v>
                </c:pt>
                <c:pt idx="28">
                  <c:v>688.35651987185429</c:v>
                </c:pt>
                <c:pt idx="29">
                  <c:v>454.38251444185425</c:v>
                </c:pt>
                <c:pt idx="30">
                  <c:v>394.61052877999998</c:v>
                </c:pt>
                <c:pt idx="31">
                  <c:v>688.35651987185429</c:v>
                </c:pt>
                <c:pt idx="32">
                  <c:v>688.35651987185429</c:v>
                </c:pt>
                <c:pt idx="33">
                  <c:v>688.35651987185429</c:v>
                </c:pt>
                <c:pt idx="34">
                  <c:v>427.95806009</c:v>
                </c:pt>
                <c:pt idx="35">
                  <c:v>72.634125791854331</c:v>
                </c:pt>
                <c:pt idx="37">
                  <c:v>688.35651987185429</c:v>
                </c:pt>
                <c:pt idx="38">
                  <c:v>686.26811133185424</c:v>
                </c:pt>
                <c:pt idx="39">
                  <c:v>688.35651331185431</c:v>
                </c:pt>
                <c:pt idx="40">
                  <c:v>427.01582301000002</c:v>
                </c:pt>
                <c:pt idx="41">
                  <c:v>688.35651987185429</c:v>
                </c:pt>
                <c:pt idx="42">
                  <c:v>463.55885475000002</c:v>
                </c:pt>
                <c:pt idx="43">
                  <c:v>688.35651987185429</c:v>
                </c:pt>
                <c:pt idx="44">
                  <c:v>-147.14921839000002</c:v>
                </c:pt>
                <c:pt idx="45">
                  <c:v>414.00658660185428</c:v>
                </c:pt>
              </c:numCache>
            </c:numRef>
          </c:val>
          <c:extLst>
            <c:ext xmlns:c16="http://schemas.microsoft.com/office/drawing/2014/chart" uri="{C3380CC4-5D6E-409C-BE32-E72D297353CC}">
              <c16:uniqueId val="{00000001-69E9-4FA0-B86B-7CDE898BD748}"/>
            </c:ext>
          </c:extLst>
        </c:ser>
        <c:dLbls>
          <c:showLegendKey val="0"/>
          <c:showVal val="0"/>
          <c:showCatName val="0"/>
          <c:showSerName val="0"/>
          <c:showPercent val="0"/>
          <c:showBubbleSize val="0"/>
        </c:dLbls>
        <c:gapWidth val="150"/>
        <c:overlap val="100"/>
        <c:axId val="1016653679"/>
        <c:axId val="1016657423"/>
      </c:barChart>
      <c:lineChart>
        <c:grouping val="standard"/>
        <c:varyColors val="0"/>
        <c:ser>
          <c:idx val="0"/>
          <c:order val="0"/>
          <c:tx>
            <c:strRef>
              <c:f>'Counterparty Limit'!$F$5</c:f>
              <c:strCache>
                <c:ptCount val="1"/>
                <c:pt idx="0">
                  <c:v>Assigned Limited</c:v>
                </c:pt>
              </c:strCache>
            </c:strRef>
          </c:tx>
          <c:spPr>
            <a:ln w="28575" cap="rnd">
              <a:solidFill>
                <a:schemeClr val="accent1"/>
              </a:solidFill>
              <a:round/>
            </a:ln>
            <a:effectLst/>
          </c:spPr>
          <c:marker>
            <c:symbol val="none"/>
          </c:marker>
          <c:cat>
            <c:strRef>
              <c:f>'Counterparty Limit'!$A$6:$A$51</c:f>
              <c:strCache>
                <c:ptCount val="46"/>
                <c:pt idx="0">
                  <c:v>TMBTHANAPLUS</c:v>
                </c:pt>
                <c:pt idx="1">
                  <c:v>TMBTM</c:v>
                </c:pt>
                <c:pt idx="2">
                  <c:v>KFS MMF</c:v>
                </c:pt>
                <c:pt idx="3">
                  <c:v>KCASH MMF</c:v>
                </c:pt>
                <c:pt idx="4">
                  <c:v>CCB</c:v>
                </c:pt>
                <c:pt idx="5">
                  <c:v>MIZ</c:v>
                </c:pt>
                <c:pt idx="6">
                  <c:v>MAY</c:v>
                </c:pt>
                <c:pt idx="7">
                  <c:v>SHI</c:v>
                </c:pt>
                <c:pt idx="8">
                  <c:v>JPM</c:v>
                </c:pt>
                <c:pt idx="9">
                  <c:v>SCB</c:v>
                </c:pt>
                <c:pt idx="10">
                  <c:v>CS</c:v>
                </c:pt>
                <c:pt idx="11">
                  <c:v>DBSG</c:v>
                </c:pt>
                <c:pt idx="12">
                  <c:v>BOC</c:v>
                </c:pt>
                <c:pt idx="13">
                  <c:v>ICB</c:v>
                </c:pt>
                <c:pt idx="14">
                  <c:v>KBANK</c:v>
                </c:pt>
                <c:pt idx="15">
                  <c:v>KTB</c:v>
                </c:pt>
                <c:pt idx="16">
                  <c:v>CBQ</c:v>
                </c:pt>
                <c:pt idx="17">
                  <c:v>DBT</c:v>
                </c:pt>
                <c:pt idx="18">
                  <c:v>AMBANK</c:v>
                </c:pt>
                <c:pt idx="19">
                  <c:v>GSI</c:v>
                </c:pt>
                <c:pt idx="20">
                  <c:v>HSBC</c:v>
                </c:pt>
                <c:pt idx="21">
                  <c:v>HSBC LF</c:v>
                </c:pt>
                <c:pt idx="22">
                  <c:v>GS LF</c:v>
                </c:pt>
                <c:pt idx="23">
                  <c:v>NATIXIS</c:v>
                </c:pt>
                <c:pt idx="24">
                  <c:v>ICA</c:v>
                </c:pt>
                <c:pt idx="25">
                  <c:v>KEB</c:v>
                </c:pt>
                <c:pt idx="26">
                  <c:v>US Treasury</c:v>
                </c:pt>
                <c:pt idx="27">
                  <c:v>SC</c:v>
                </c:pt>
                <c:pt idx="28">
                  <c:v>SMBC</c:v>
                </c:pt>
                <c:pt idx="29">
                  <c:v>OCBC</c:v>
                </c:pt>
                <c:pt idx="30">
                  <c:v>UOB</c:v>
                </c:pt>
                <c:pt idx="31">
                  <c:v>ABO</c:v>
                </c:pt>
                <c:pt idx="32">
                  <c:v>BNP</c:v>
                </c:pt>
                <c:pt idx="33">
                  <c:v>SOC</c:v>
                </c:pt>
                <c:pt idx="34">
                  <c:v>BBL</c:v>
                </c:pt>
                <c:pt idx="35">
                  <c:v>BAML</c:v>
                </c:pt>
                <c:pt idx="36">
                  <c:v>BAY</c:v>
                </c:pt>
                <c:pt idx="37">
                  <c:v>QNB</c:v>
                </c:pt>
                <c:pt idx="38">
                  <c:v>FNB</c:v>
                </c:pt>
                <c:pt idx="39">
                  <c:v>MICB</c:v>
                </c:pt>
                <c:pt idx="40">
                  <c:v>TMB</c:v>
                </c:pt>
                <c:pt idx="41">
                  <c:v>CSS</c:v>
                </c:pt>
                <c:pt idx="42">
                  <c:v>CITI</c:v>
                </c:pt>
                <c:pt idx="43">
                  <c:v>TBILL_CASH</c:v>
                </c:pt>
                <c:pt idx="44">
                  <c:v>Operator acct</c:v>
                </c:pt>
                <c:pt idx="45">
                  <c:v>ANZTH</c:v>
                </c:pt>
              </c:strCache>
            </c:strRef>
          </c:cat>
          <c:val>
            <c:numRef>
              <c:f>'Counterparty Limit'!$F$6:$F$51</c:f>
              <c:numCache>
                <c:formatCode>0</c:formatCode>
                <c:ptCount val="46"/>
                <c:pt idx="0">
                  <c:v>450</c:v>
                </c:pt>
                <c:pt idx="1">
                  <c:v>110</c:v>
                </c:pt>
                <c:pt idx="2">
                  <c:v>450</c:v>
                </c:pt>
                <c:pt idx="3">
                  <c:v>420</c:v>
                </c:pt>
                <c:pt idx="4">
                  <c:v>688.35651987185429</c:v>
                </c:pt>
                <c:pt idx="5">
                  <c:v>688.35651987185429</c:v>
                </c:pt>
                <c:pt idx="6">
                  <c:v>688.35651987185429</c:v>
                </c:pt>
                <c:pt idx="7">
                  <c:v>688.35651987185429</c:v>
                </c:pt>
                <c:pt idx="8">
                  <c:v>670</c:v>
                </c:pt>
                <c:pt idx="9">
                  <c:v>420</c:v>
                </c:pt>
                <c:pt idx="10">
                  <c:v>688.35651987185429</c:v>
                </c:pt>
                <c:pt idx="11">
                  <c:v>670</c:v>
                </c:pt>
                <c:pt idx="12">
                  <c:v>688.35651987185429</c:v>
                </c:pt>
                <c:pt idx="13">
                  <c:v>688.35651987185429</c:v>
                </c:pt>
                <c:pt idx="14">
                  <c:v>430</c:v>
                </c:pt>
                <c:pt idx="15">
                  <c:v>420</c:v>
                </c:pt>
                <c:pt idx="16">
                  <c:v>688.35651987185429</c:v>
                </c:pt>
                <c:pt idx="17">
                  <c:v>670</c:v>
                </c:pt>
                <c:pt idx="18">
                  <c:v>530</c:v>
                </c:pt>
                <c:pt idx="19">
                  <c:v>688.35651987185429</c:v>
                </c:pt>
                <c:pt idx="20">
                  <c:v>688.35651987185429</c:v>
                </c:pt>
                <c:pt idx="21">
                  <c:v>688.35651987185429</c:v>
                </c:pt>
                <c:pt idx="22">
                  <c:v>688.35651987185429</c:v>
                </c:pt>
                <c:pt idx="23">
                  <c:v>688.35651987185429</c:v>
                </c:pt>
                <c:pt idx="24">
                  <c:v>688.35651987185429</c:v>
                </c:pt>
                <c:pt idx="25">
                  <c:v>688.35651987185429</c:v>
                </c:pt>
                <c:pt idx="26">
                  <c:v>688.35651987185429</c:v>
                </c:pt>
                <c:pt idx="27">
                  <c:v>688.35651987185429</c:v>
                </c:pt>
                <c:pt idx="28">
                  <c:v>688.35651987185429</c:v>
                </c:pt>
                <c:pt idx="29">
                  <c:v>688.35651987185429</c:v>
                </c:pt>
                <c:pt idx="30">
                  <c:v>510</c:v>
                </c:pt>
                <c:pt idx="31">
                  <c:v>688.35651987185429</c:v>
                </c:pt>
                <c:pt idx="32">
                  <c:v>688.35651987185429</c:v>
                </c:pt>
                <c:pt idx="33">
                  <c:v>688.35651987185429</c:v>
                </c:pt>
                <c:pt idx="34">
                  <c:v>430</c:v>
                </c:pt>
                <c:pt idx="35">
                  <c:v>688.35651987185429</c:v>
                </c:pt>
                <c:pt idx="36">
                  <c:v>430</c:v>
                </c:pt>
                <c:pt idx="37">
                  <c:v>688.35651987185429</c:v>
                </c:pt>
                <c:pt idx="38">
                  <c:v>688.35651987185429</c:v>
                </c:pt>
                <c:pt idx="39">
                  <c:v>688.35651987185429</c:v>
                </c:pt>
                <c:pt idx="40">
                  <c:v>430</c:v>
                </c:pt>
                <c:pt idx="41">
                  <c:v>688.35651987185429</c:v>
                </c:pt>
                <c:pt idx="42">
                  <c:v>490</c:v>
                </c:pt>
                <c:pt idx="43" formatCode="0.0">
                  <c:v>688.35651987185429</c:v>
                </c:pt>
                <c:pt idx="44">
                  <c:v>0</c:v>
                </c:pt>
                <c:pt idx="45">
                  <c:v>688.35651987185429</c:v>
                </c:pt>
              </c:numCache>
            </c:numRef>
          </c:val>
          <c:smooth val="0"/>
          <c:extLst>
            <c:ext xmlns:c16="http://schemas.microsoft.com/office/drawing/2014/chart" uri="{C3380CC4-5D6E-409C-BE32-E72D297353CC}">
              <c16:uniqueId val="{00000000-FA7D-4109-BF1E-2F28D7CA7ABC}"/>
            </c:ext>
          </c:extLst>
        </c:ser>
        <c:dLbls>
          <c:showLegendKey val="0"/>
          <c:showVal val="0"/>
          <c:showCatName val="0"/>
          <c:showSerName val="0"/>
          <c:showPercent val="0"/>
          <c:showBubbleSize val="0"/>
        </c:dLbls>
        <c:marker val="1"/>
        <c:smooth val="0"/>
        <c:axId val="1016653679"/>
        <c:axId val="1016657423"/>
      </c:lineChart>
      <c:catAx>
        <c:axId val="10166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TH"/>
          </a:p>
        </c:txPr>
        <c:crossAx val="1016657423"/>
        <c:crosses val="autoZero"/>
        <c:auto val="1"/>
        <c:lblAlgn val="ctr"/>
        <c:lblOffset val="100"/>
        <c:noMultiLvlLbl val="0"/>
      </c:catAx>
      <c:valAx>
        <c:axId val="1016657423"/>
        <c:scaling>
          <c:orientation val="minMax"/>
          <c:max val="700"/>
          <c:min val="0"/>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TH"/>
          </a:p>
        </c:txPr>
        <c:crossAx val="101665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MMUSD</a:t>
            </a:r>
          </a:p>
        </c:rich>
      </c:tx>
      <c:layout>
        <c:manualLayout>
          <c:xMode val="edge"/>
          <c:yMode val="edge"/>
          <c:x val="4.2451355755926477E-4"/>
          <c:y val="1.617795238077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stacked"/>
        <c:varyColors val="0"/>
        <c:ser>
          <c:idx val="1"/>
          <c:order val="1"/>
          <c:tx>
            <c:strRef>
              <c:f>'Counterparty Limit'!$I$5</c:f>
              <c:strCache>
                <c:ptCount val="1"/>
                <c:pt idx="0">
                  <c:v>Utilized</c:v>
                </c:pt>
              </c:strCache>
            </c:strRef>
          </c:tx>
          <c:spPr>
            <a:solidFill>
              <a:schemeClr val="accent2"/>
            </a:solidFill>
            <a:ln>
              <a:noFill/>
            </a:ln>
            <a:effectLst/>
          </c:spPr>
          <c:invertIfNegative val="0"/>
          <c:cat>
            <c:strRef>
              <c:extLst>
                <c:ext xmlns:c15="http://schemas.microsoft.com/office/drawing/2012/chart" uri="{02D57815-91ED-43cb-92C2-25804820EDAC}">
                  <c15:fullRef>
                    <c15:sqref>'Counterparty Limit'!$A$65:$A$109</c15:sqref>
                  </c15:fullRef>
                </c:ext>
              </c:extLst>
              <c:f>('Counterparty Limit'!$A$65:$A$69,'Counterparty Limit'!$A$71:$A$75,'Counterparty Limit'!$A$78:$A$109)</c:f>
              <c:strCache>
                <c:ptCount val="42"/>
                <c:pt idx="0">
                  <c:v>BAML</c:v>
                </c:pt>
                <c:pt idx="1">
                  <c:v>ANZTH</c:v>
                </c:pt>
                <c:pt idx="2">
                  <c:v>JPM</c:v>
                </c:pt>
                <c:pt idx="3">
                  <c:v>AMBANK</c:v>
                </c:pt>
                <c:pt idx="4">
                  <c:v>OCBC</c:v>
                </c:pt>
                <c:pt idx="5">
                  <c:v>NATIXIS</c:v>
                </c:pt>
                <c:pt idx="6">
                  <c:v>DBSG</c:v>
                </c:pt>
                <c:pt idx="7">
                  <c:v>Operator acct</c:v>
                </c:pt>
                <c:pt idx="8">
                  <c:v>KBANK</c:v>
                </c:pt>
                <c:pt idx="9">
                  <c:v>UOB</c:v>
                </c:pt>
                <c:pt idx="10">
                  <c:v>CITI</c:v>
                </c:pt>
                <c:pt idx="11">
                  <c:v>SC</c:v>
                </c:pt>
                <c:pt idx="12">
                  <c:v>TMB</c:v>
                </c:pt>
                <c:pt idx="13">
                  <c:v>FNB</c:v>
                </c:pt>
                <c:pt idx="14">
                  <c:v>BBL</c:v>
                </c:pt>
                <c:pt idx="15">
                  <c:v>BAY</c:v>
                </c:pt>
                <c:pt idx="16">
                  <c:v>HSBC LF</c:v>
                </c:pt>
                <c:pt idx="17">
                  <c:v>GS LF</c:v>
                </c:pt>
                <c:pt idx="18">
                  <c:v>SCB</c:v>
                </c:pt>
                <c:pt idx="19">
                  <c:v>MICB</c:v>
                </c:pt>
                <c:pt idx="20">
                  <c:v>TMBTHANAPLUS</c:v>
                </c:pt>
                <c:pt idx="21">
                  <c:v>TMBTM</c:v>
                </c:pt>
                <c:pt idx="22">
                  <c:v>KFS MMF</c:v>
                </c:pt>
                <c:pt idx="23">
                  <c:v>KCASH MMF</c:v>
                </c:pt>
                <c:pt idx="24">
                  <c:v>CCB</c:v>
                </c:pt>
                <c:pt idx="25">
                  <c:v>MIZ</c:v>
                </c:pt>
                <c:pt idx="26">
                  <c:v>MAY</c:v>
                </c:pt>
                <c:pt idx="27">
                  <c:v>SHI</c:v>
                </c:pt>
                <c:pt idx="28">
                  <c:v>CS</c:v>
                </c:pt>
                <c:pt idx="29">
                  <c:v>BOC</c:v>
                </c:pt>
                <c:pt idx="30">
                  <c:v>CBQ</c:v>
                </c:pt>
                <c:pt idx="31">
                  <c:v>DBT</c:v>
                </c:pt>
                <c:pt idx="32">
                  <c:v>GSI</c:v>
                </c:pt>
                <c:pt idx="33">
                  <c:v>ICA</c:v>
                </c:pt>
                <c:pt idx="34">
                  <c:v>KEB</c:v>
                </c:pt>
                <c:pt idx="35">
                  <c:v>US Treasury</c:v>
                </c:pt>
                <c:pt idx="36">
                  <c:v>SMBC</c:v>
                </c:pt>
                <c:pt idx="37">
                  <c:v>ABO</c:v>
                </c:pt>
                <c:pt idx="38">
                  <c:v>BNP</c:v>
                </c:pt>
                <c:pt idx="39">
                  <c:v>SOC</c:v>
                </c:pt>
                <c:pt idx="40">
                  <c:v>QNB</c:v>
                </c:pt>
                <c:pt idx="41">
                  <c:v>CSS</c:v>
                </c:pt>
              </c:strCache>
            </c:strRef>
          </c:cat>
          <c:val>
            <c:numRef>
              <c:extLst>
                <c:ext xmlns:c15="http://schemas.microsoft.com/office/drawing/2012/chart" uri="{02D57815-91ED-43cb-92C2-25804820EDAC}">
                  <c15:fullRef>
                    <c15:sqref>'Counterparty Limit'!$I$65:$I$109</c15:sqref>
                  </c15:fullRef>
                </c:ext>
              </c:extLst>
              <c:f>('Counterparty Limit'!$I$65:$I$69,'Counterparty Limit'!$I$71:$I$75,'Counterparty Limit'!$I$78:$I$109)</c:f>
              <c:numCache>
                <c:formatCode>_(* #,##0.0_);_(* \(#,##0.0\);_(* "-"?_);_(@_)</c:formatCode>
                <c:ptCount val="42"/>
                <c:pt idx="0">
                  <c:v>615.72239407999996</c:v>
                </c:pt>
                <c:pt idx="1">
                  <c:v>274.34993327000001</c:v>
                </c:pt>
                <c:pt idx="2">
                  <c:v>241.12394392000002</c:v>
                </c:pt>
                <c:pt idx="3">
                  <c:v>240.11453324999999</c:v>
                </c:pt>
                <c:pt idx="4">
                  <c:v>233.97400543000001</c:v>
                </c:pt>
                <c:pt idx="5">
                  <c:v>201.42679409000002</c:v>
                </c:pt>
                <c:pt idx="6">
                  <c:v>170</c:v>
                </c:pt>
                <c:pt idx="7">
                  <c:v>147.14921839000002</c:v>
                </c:pt>
                <c:pt idx="8">
                  <c:v>135.61497045000002</c:v>
                </c:pt>
                <c:pt idx="9">
                  <c:v>115.38947122</c:v>
                </c:pt>
                <c:pt idx="10">
                  <c:v>26.441145249999998</c:v>
                </c:pt>
                <c:pt idx="11">
                  <c:v>5.9681000000000006</c:v>
                </c:pt>
                <c:pt idx="12">
                  <c:v>2.9841769900000004</c:v>
                </c:pt>
                <c:pt idx="13">
                  <c:v>2.0884085400000001</c:v>
                </c:pt>
                <c:pt idx="14">
                  <c:v>2.04193991</c:v>
                </c:pt>
                <c:pt idx="15">
                  <c:v>1.3725657380062244</c:v>
                </c:pt>
                <c:pt idx="16" formatCode="_(* #,##0.00_);_(* \(#,##0.00\);_(* &quot;-&quot;?_);_(@_)">
                  <c:v>9.3639330000000007E-2</c:v>
                </c:pt>
                <c:pt idx="17">
                  <c:v>8.5649009999999998E-2</c:v>
                </c:pt>
                <c:pt idx="18">
                  <c:v>5.3630199999999996E-3</c:v>
                </c:pt>
                <c:pt idx="19">
                  <c:v>6.5599999999999999E-6</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val>
          <c:extLst>
            <c:ext xmlns:c16="http://schemas.microsoft.com/office/drawing/2014/chart" uri="{C3380CC4-5D6E-409C-BE32-E72D297353CC}">
              <c16:uniqueId val="{00000000-4A51-49DA-ACD6-C075E78B7CBA}"/>
            </c:ext>
          </c:extLst>
        </c:ser>
        <c:ser>
          <c:idx val="2"/>
          <c:order val="2"/>
          <c:tx>
            <c:strRef>
              <c:f>'Counterparty Limit'!$J$5</c:f>
              <c:strCache>
                <c:ptCount val="1"/>
                <c:pt idx="0">
                  <c:v>Available</c:v>
                </c:pt>
              </c:strCache>
            </c:strRef>
          </c:tx>
          <c:spPr>
            <a:solidFill>
              <a:schemeClr val="bg2"/>
            </a:solidFill>
            <a:ln>
              <a:noFill/>
            </a:ln>
            <a:effectLst/>
          </c:spPr>
          <c:invertIfNegative val="0"/>
          <c:cat>
            <c:strRef>
              <c:extLst>
                <c:ext xmlns:c15="http://schemas.microsoft.com/office/drawing/2012/chart" uri="{02D57815-91ED-43cb-92C2-25804820EDAC}">
                  <c15:fullRef>
                    <c15:sqref>'Counterparty Limit'!$A$65:$A$109</c15:sqref>
                  </c15:fullRef>
                </c:ext>
              </c:extLst>
              <c:f>('Counterparty Limit'!$A$65:$A$69,'Counterparty Limit'!$A$71:$A$75,'Counterparty Limit'!$A$78:$A$109)</c:f>
              <c:strCache>
                <c:ptCount val="42"/>
                <c:pt idx="0">
                  <c:v>BAML</c:v>
                </c:pt>
                <c:pt idx="1">
                  <c:v>ANZTH</c:v>
                </c:pt>
                <c:pt idx="2">
                  <c:v>JPM</c:v>
                </c:pt>
                <c:pt idx="3">
                  <c:v>AMBANK</c:v>
                </c:pt>
                <c:pt idx="4">
                  <c:v>OCBC</c:v>
                </c:pt>
                <c:pt idx="5">
                  <c:v>NATIXIS</c:v>
                </c:pt>
                <c:pt idx="6">
                  <c:v>DBSG</c:v>
                </c:pt>
                <c:pt idx="7">
                  <c:v>Operator acct</c:v>
                </c:pt>
                <c:pt idx="8">
                  <c:v>KBANK</c:v>
                </c:pt>
                <c:pt idx="9">
                  <c:v>UOB</c:v>
                </c:pt>
                <c:pt idx="10">
                  <c:v>CITI</c:v>
                </c:pt>
                <c:pt idx="11">
                  <c:v>SC</c:v>
                </c:pt>
                <c:pt idx="12">
                  <c:v>TMB</c:v>
                </c:pt>
                <c:pt idx="13">
                  <c:v>FNB</c:v>
                </c:pt>
                <c:pt idx="14">
                  <c:v>BBL</c:v>
                </c:pt>
                <c:pt idx="15">
                  <c:v>BAY</c:v>
                </c:pt>
                <c:pt idx="16">
                  <c:v>HSBC LF</c:v>
                </c:pt>
                <c:pt idx="17">
                  <c:v>GS LF</c:v>
                </c:pt>
                <c:pt idx="18">
                  <c:v>SCB</c:v>
                </c:pt>
                <c:pt idx="19">
                  <c:v>MICB</c:v>
                </c:pt>
                <c:pt idx="20">
                  <c:v>TMBTHANAPLUS</c:v>
                </c:pt>
                <c:pt idx="21">
                  <c:v>TMBTM</c:v>
                </c:pt>
                <c:pt idx="22">
                  <c:v>KFS MMF</c:v>
                </c:pt>
                <c:pt idx="23">
                  <c:v>KCASH MMF</c:v>
                </c:pt>
                <c:pt idx="24">
                  <c:v>CCB</c:v>
                </c:pt>
                <c:pt idx="25">
                  <c:v>MIZ</c:v>
                </c:pt>
                <c:pt idx="26">
                  <c:v>MAY</c:v>
                </c:pt>
                <c:pt idx="27">
                  <c:v>SHI</c:v>
                </c:pt>
                <c:pt idx="28">
                  <c:v>CS</c:v>
                </c:pt>
                <c:pt idx="29">
                  <c:v>BOC</c:v>
                </c:pt>
                <c:pt idx="30">
                  <c:v>CBQ</c:v>
                </c:pt>
                <c:pt idx="31">
                  <c:v>DBT</c:v>
                </c:pt>
                <c:pt idx="32">
                  <c:v>GSI</c:v>
                </c:pt>
                <c:pt idx="33">
                  <c:v>ICA</c:v>
                </c:pt>
                <c:pt idx="34">
                  <c:v>KEB</c:v>
                </c:pt>
                <c:pt idx="35">
                  <c:v>US Treasury</c:v>
                </c:pt>
                <c:pt idx="36">
                  <c:v>SMBC</c:v>
                </c:pt>
                <c:pt idx="37">
                  <c:v>ABO</c:v>
                </c:pt>
                <c:pt idx="38">
                  <c:v>BNP</c:v>
                </c:pt>
                <c:pt idx="39">
                  <c:v>SOC</c:v>
                </c:pt>
                <c:pt idx="40">
                  <c:v>QNB</c:v>
                </c:pt>
                <c:pt idx="41">
                  <c:v>CSS</c:v>
                </c:pt>
              </c:strCache>
            </c:strRef>
          </c:cat>
          <c:val>
            <c:numRef>
              <c:extLst>
                <c:ext xmlns:c15="http://schemas.microsoft.com/office/drawing/2012/chart" uri="{02D57815-91ED-43cb-92C2-25804820EDAC}">
                  <c15:fullRef>
                    <c15:sqref>'Counterparty Limit'!$J$65:$J$109</c15:sqref>
                  </c15:fullRef>
                </c:ext>
              </c:extLst>
              <c:f>('Counterparty Limit'!$J$65:$J$69,'Counterparty Limit'!$J$71:$J$75,'Counterparty Limit'!$J$78:$J$109)</c:f>
              <c:numCache>
                <c:formatCode>_(* #,##0.0_);_(* \(#,##0.0\);_(* "-"?_);_(@_)</c:formatCode>
                <c:ptCount val="42"/>
                <c:pt idx="0">
                  <c:v>72.634125791854331</c:v>
                </c:pt>
                <c:pt idx="1">
                  <c:v>414.00658660185428</c:v>
                </c:pt>
                <c:pt idx="2">
                  <c:v>428.87605608000001</c:v>
                </c:pt>
                <c:pt idx="3">
                  <c:v>289.88546674999998</c:v>
                </c:pt>
                <c:pt idx="4">
                  <c:v>454.38251444185425</c:v>
                </c:pt>
                <c:pt idx="5">
                  <c:v>486.92972578185424</c:v>
                </c:pt>
                <c:pt idx="6">
                  <c:v>500</c:v>
                </c:pt>
                <c:pt idx="7">
                  <c:v>-147.14921839000002</c:v>
                </c:pt>
                <c:pt idx="8">
                  <c:v>294.38502955000001</c:v>
                </c:pt>
                <c:pt idx="9">
                  <c:v>394.61052877999998</c:v>
                </c:pt>
                <c:pt idx="10">
                  <c:v>463.55885475000002</c:v>
                </c:pt>
                <c:pt idx="11">
                  <c:v>682.38841987185424</c:v>
                </c:pt>
                <c:pt idx="12">
                  <c:v>427.01582301000002</c:v>
                </c:pt>
                <c:pt idx="13">
                  <c:v>686.26811133185424</c:v>
                </c:pt>
                <c:pt idx="14">
                  <c:v>427.95806009</c:v>
                </c:pt>
                <c:pt idx="16">
                  <c:v>688.26288054185432</c:v>
                </c:pt>
                <c:pt idx="17">
                  <c:v>688.27087086185429</c:v>
                </c:pt>
                <c:pt idx="18">
                  <c:v>419.99463698</c:v>
                </c:pt>
                <c:pt idx="19">
                  <c:v>688.35651331185431</c:v>
                </c:pt>
                <c:pt idx="20">
                  <c:v>450</c:v>
                </c:pt>
                <c:pt idx="21">
                  <c:v>110</c:v>
                </c:pt>
                <c:pt idx="22">
                  <c:v>450</c:v>
                </c:pt>
                <c:pt idx="23">
                  <c:v>420</c:v>
                </c:pt>
                <c:pt idx="24">
                  <c:v>688.35651987185429</c:v>
                </c:pt>
                <c:pt idx="25">
                  <c:v>688.35651987185429</c:v>
                </c:pt>
                <c:pt idx="26">
                  <c:v>688.35651987185429</c:v>
                </c:pt>
                <c:pt idx="27">
                  <c:v>688.35651987185429</c:v>
                </c:pt>
                <c:pt idx="28">
                  <c:v>688.35651987185429</c:v>
                </c:pt>
                <c:pt idx="29">
                  <c:v>688.35651987185429</c:v>
                </c:pt>
                <c:pt idx="30">
                  <c:v>688.35651987185429</c:v>
                </c:pt>
                <c:pt idx="31">
                  <c:v>670</c:v>
                </c:pt>
                <c:pt idx="32">
                  <c:v>688.35651987185429</c:v>
                </c:pt>
                <c:pt idx="33">
                  <c:v>688.35651987185429</c:v>
                </c:pt>
                <c:pt idx="34">
                  <c:v>688.35651987185429</c:v>
                </c:pt>
                <c:pt idx="35">
                  <c:v>688.35651987185429</c:v>
                </c:pt>
                <c:pt idx="36">
                  <c:v>688.35651987185429</c:v>
                </c:pt>
                <c:pt idx="37">
                  <c:v>688.35651987185429</c:v>
                </c:pt>
                <c:pt idx="38">
                  <c:v>688.35651987185429</c:v>
                </c:pt>
                <c:pt idx="39">
                  <c:v>688.35651987185429</c:v>
                </c:pt>
                <c:pt idx="40">
                  <c:v>688.35651987185429</c:v>
                </c:pt>
                <c:pt idx="41">
                  <c:v>688.35651987185429</c:v>
                </c:pt>
              </c:numCache>
            </c:numRef>
          </c:val>
          <c:extLst>
            <c:ext xmlns:c16="http://schemas.microsoft.com/office/drawing/2014/chart" uri="{C3380CC4-5D6E-409C-BE32-E72D297353CC}">
              <c16:uniqueId val="{00000001-4A51-49DA-ACD6-C075E78B7CBA}"/>
            </c:ext>
          </c:extLst>
        </c:ser>
        <c:dLbls>
          <c:showLegendKey val="0"/>
          <c:showVal val="0"/>
          <c:showCatName val="0"/>
          <c:showSerName val="0"/>
          <c:showPercent val="0"/>
          <c:showBubbleSize val="0"/>
        </c:dLbls>
        <c:gapWidth val="150"/>
        <c:overlap val="100"/>
        <c:axId val="1016653679"/>
        <c:axId val="1016657423"/>
      </c:barChart>
      <c:lineChart>
        <c:grouping val="standard"/>
        <c:varyColors val="0"/>
        <c:ser>
          <c:idx val="0"/>
          <c:order val="0"/>
          <c:tx>
            <c:strRef>
              <c:f>'Counterparty Limit'!$F$5</c:f>
              <c:strCache>
                <c:ptCount val="1"/>
                <c:pt idx="0">
                  <c:v>Assigned Limited</c:v>
                </c:pt>
              </c:strCache>
            </c:strRef>
          </c:tx>
          <c:spPr>
            <a:ln w="28575" cap="rnd">
              <a:solidFill>
                <a:schemeClr val="accent1"/>
              </a:solidFill>
              <a:round/>
            </a:ln>
            <a:effectLst/>
          </c:spPr>
          <c:marker>
            <c:symbol val="none"/>
          </c:marker>
          <c:cat>
            <c:strRef>
              <c:extLst>
                <c:ext xmlns:c15="http://schemas.microsoft.com/office/drawing/2012/chart" uri="{02D57815-91ED-43cb-92C2-25804820EDAC}">
                  <c15:fullRef>
                    <c15:sqref>'Counterparty Limit'!$A$65:$A$109</c15:sqref>
                  </c15:fullRef>
                </c:ext>
              </c:extLst>
              <c:f>('Counterparty Limit'!$A$65:$A$69,'Counterparty Limit'!$A$71:$A$75,'Counterparty Limit'!$A$78:$A$109)</c:f>
              <c:strCache>
                <c:ptCount val="42"/>
                <c:pt idx="0">
                  <c:v>BAML</c:v>
                </c:pt>
                <c:pt idx="1">
                  <c:v>ANZTH</c:v>
                </c:pt>
                <c:pt idx="2">
                  <c:v>JPM</c:v>
                </c:pt>
                <c:pt idx="3">
                  <c:v>AMBANK</c:v>
                </c:pt>
                <c:pt idx="4">
                  <c:v>OCBC</c:v>
                </c:pt>
                <c:pt idx="5">
                  <c:v>NATIXIS</c:v>
                </c:pt>
                <c:pt idx="6">
                  <c:v>DBSG</c:v>
                </c:pt>
                <c:pt idx="7">
                  <c:v>Operator acct</c:v>
                </c:pt>
                <c:pt idx="8">
                  <c:v>KBANK</c:v>
                </c:pt>
                <c:pt idx="9">
                  <c:v>UOB</c:v>
                </c:pt>
                <c:pt idx="10">
                  <c:v>CITI</c:v>
                </c:pt>
                <c:pt idx="11">
                  <c:v>SC</c:v>
                </c:pt>
                <c:pt idx="12">
                  <c:v>TMB</c:v>
                </c:pt>
                <c:pt idx="13">
                  <c:v>FNB</c:v>
                </c:pt>
                <c:pt idx="14">
                  <c:v>BBL</c:v>
                </c:pt>
                <c:pt idx="15">
                  <c:v>BAY</c:v>
                </c:pt>
                <c:pt idx="16">
                  <c:v>HSBC LF</c:v>
                </c:pt>
                <c:pt idx="17">
                  <c:v>GS LF</c:v>
                </c:pt>
                <c:pt idx="18">
                  <c:v>SCB</c:v>
                </c:pt>
                <c:pt idx="19">
                  <c:v>MICB</c:v>
                </c:pt>
                <c:pt idx="20">
                  <c:v>TMBTHANAPLUS</c:v>
                </c:pt>
                <c:pt idx="21">
                  <c:v>TMBTM</c:v>
                </c:pt>
                <c:pt idx="22">
                  <c:v>KFS MMF</c:v>
                </c:pt>
                <c:pt idx="23">
                  <c:v>KCASH MMF</c:v>
                </c:pt>
                <c:pt idx="24">
                  <c:v>CCB</c:v>
                </c:pt>
                <c:pt idx="25">
                  <c:v>MIZ</c:v>
                </c:pt>
                <c:pt idx="26">
                  <c:v>MAY</c:v>
                </c:pt>
                <c:pt idx="27">
                  <c:v>SHI</c:v>
                </c:pt>
                <c:pt idx="28">
                  <c:v>CS</c:v>
                </c:pt>
                <c:pt idx="29">
                  <c:v>BOC</c:v>
                </c:pt>
                <c:pt idx="30">
                  <c:v>CBQ</c:v>
                </c:pt>
                <c:pt idx="31">
                  <c:v>DBT</c:v>
                </c:pt>
                <c:pt idx="32">
                  <c:v>GSI</c:v>
                </c:pt>
                <c:pt idx="33">
                  <c:v>ICA</c:v>
                </c:pt>
                <c:pt idx="34">
                  <c:v>KEB</c:v>
                </c:pt>
                <c:pt idx="35">
                  <c:v>US Treasury</c:v>
                </c:pt>
                <c:pt idx="36">
                  <c:v>SMBC</c:v>
                </c:pt>
                <c:pt idx="37">
                  <c:v>ABO</c:v>
                </c:pt>
                <c:pt idx="38">
                  <c:v>BNP</c:v>
                </c:pt>
                <c:pt idx="39">
                  <c:v>SOC</c:v>
                </c:pt>
                <c:pt idx="40">
                  <c:v>QNB</c:v>
                </c:pt>
                <c:pt idx="41">
                  <c:v>CSS</c:v>
                </c:pt>
              </c:strCache>
            </c:strRef>
          </c:cat>
          <c:val>
            <c:numRef>
              <c:extLst>
                <c:ext xmlns:c15="http://schemas.microsoft.com/office/drawing/2012/chart" uri="{02D57815-91ED-43cb-92C2-25804820EDAC}">
                  <c15:fullRef>
                    <c15:sqref>'Counterparty Limit'!$F$65:$F$109</c15:sqref>
                  </c15:fullRef>
                </c:ext>
              </c:extLst>
              <c:f>('Counterparty Limit'!$F$65:$F$69,'Counterparty Limit'!$F$71:$F$75,'Counterparty Limit'!$F$78:$F$109)</c:f>
              <c:numCache>
                <c:formatCode>0</c:formatCode>
                <c:ptCount val="42"/>
                <c:pt idx="0">
                  <c:v>688.35651987185429</c:v>
                </c:pt>
                <c:pt idx="1">
                  <c:v>688.35651987185429</c:v>
                </c:pt>
                <c:pt idx="2">
                  <c:v>670</c:v>
                </c:pt>
                <c:pt idx="3">
                  <c:v>530</c:v>
                </c:pt>
                <c:pt idx="4">
                  <c:v>688.35651987185429</c:v>
                </c:pt>
                <c:pt idx="5">
                  <c:v>688.35651987185429</c:v>
                </c:pt>
                <c:pt idx="6">
                  <c:v>670</c:v>
                </c:pt>
                <c:pt idx="7">
                  <c:v>0</c:v>
                </c:pt>
                <c:pt idx="8">
                  <c:v>430</c:v>
                </c:pt>
                <c:pt idx="9">
                  <c:v>510</c:v>
                </c:pt>
                <c:pt idx="10">
                  <c:v>490</c:v>
                </c:pt>
                <c:pt idx="11">
                  <c:v>688.35651987185429</c:v>
                </c:pt>
                <c:pt idx="12">
                  <c:v>430</c:v>
                </c:pt>
                <c:pt idx="13">
                  <c:v>688.35651987185429</c:v>
                </c:pt>
                <c:pt idx="14">
                  <c:v>430</c:v>
                </c:pt>
                <c:pt idx="15">
                  <c:v>430</c:v>
                </c:pt>
                <c:pt idx="16">
                  <c:v>688.35651987185429</c:v>
                </c:pt>
                <c:pt idx="17">
                  <c:v>688.35651987185429</c:v>
                </c:pt>
                <c:pt idx="18">
                  <c:v>420</c:v>
                </c:pt>
                <c:pt idx="19">
                  <c:v>688.35651987185429</c:v>
                </c:pt>
                <c:pt idx="20">
                  <c:v>450</c:v>
                </c:pt>
                <c:pt idx="21">
                  <c:v>110</c:v>
                </c:pt>
                <c:pt idx="22">
                  <c:v>450</c:v>
                </c:pt>
                <c:pt idx="23">
                  <c:v>420</c:v>
                </c:pt>
                <c:pt idx="24">
                  <c:v>688.35651987185429</c:v>
                </c:pt>
                <c:pt idx="25">
                  <c:v>688.35651987185429</c:v>
                </c:pt>
                <c:pt idx="26">
                  <c:v>688.35651987185429</c:v>
                </c:pt>
                <c:pt idx="27">
                  <c:v>688.35651987185429</c:v>
                </c:pt>
                <c:pt idx="28">
                  <c:v>688.35651987185429</c:v>
                </c:pt>
                <c:pt idx="29">
                  <c:v>688.35651987185429</c:v>
                </c:pt>
                <c:pt idx="30">
                  <c:v>688.35651987185429</c:v>
                </c:pt>
                <c:pt idx="31">
                  <c:v>670</c:v>
                </c:pt>
                <c:pt idx="32">
                  <c:v>688.35651987185429</c:v>
                </c:pt>
                <c:pt idx="33">
                  <c:v>688.35651987185429</c:v>
                </c:pt>
                <c:pt idx="34">
                  <c:v>688.35651987185429</c:v>
                </c:pt>
                <c:pt idx="35">
                  <c:v>688.35651987185429</c:v>
                </c:pt>
                <c:pt idx="36">
                  <c:v>688.35651987185429</c:v>
                </c:pt>
                <c:pt idx="37">
                  <c:v>688.35651987185429</c:v>
                </c:pt>
                <c:pt idx="38">
                  <c:v>688.35651987185429</c:v>
                </c:pt>
                <c:pt idx="39">
                  <c:v>688.35651987185429</c:v>
                </c:pt>
                <c:pt idx="40">
                  <c:v>688.35651987185429</c:v>
                </c:pt>
                <c:pt idx="41" formatCode="0.0">
                  <c:v>688.35651987185429</c:v>
                </c:pt>
              </c:numCache>
            </c:numRef>
          </c:val>
          <c:smooth val="0"/>
          <c:extLst>
            <c:ext xmlns:c16="http://schemas.microsoft.com/office/drawing/2014/chart" uri="{C3380CC4-5D6E-409C-BE32-E72D297353CC}">
              <c16:uniqueId val="{00000002-4A51-49DA-ACD6-C075E78B7CBA}"/>
            </c:ext>
          </c:extLst>
        </c:ser>
        <c:dLbls>
          <c:showLegendKey val="0"/>
          <c:showVal val="0"/>
          <c:showCatName val="0"/>
          <c:showSerName val="0"/>
          <c:showPercent val="0"/>
          <c:showBubbleSize val="0"/>
        </c:dLbls>
        <c:marker val="1"/>
        <c:smooth val="0"/>
        <c:axId val="1016653679"/>
        <c:axId val="1016657423"/>
      </c:lineChart>
      <c:catAx>
        <c:axId val="10166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TH"/>
          </a:p>
        </c:txPr>
        <c:crossAx val="1016657423"/>
        <c:crosses val="autoZero"/>
        <c:auto val="1"/>
        <c:lblAlgn val="ctr"/>
        <c:lblOffset val="100"/>
        <c:noMultiLvlLbl val="0"/>
      </c:catAx>
      <c:valAx>
        <c:axId val="1016657423"/>
        <c:scaling>
          <c:orientation val="minMax"/>
          <c:max val="700"/>
          <c:min val="0"/>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TH"/>
          </a:p>
        </c:txPr>
        <c:crossAx val="101665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111918</xdr:rowOff>
    </xdr:from>
    <xdr:to>
      <xdr:col>3</xdr:col>
      <xdr:colOff>485775</xdr:colOff>
      <xdr:row>16</xdr:row>
      <xdr:rowOff>28574</xdr:rowOff>
    </xdr:to>
    <xdr:graphicFrame macro="">
      <xdr:nvGraphicFramePr>
        <xdr:cNvPr id="6" name="Chart 4">
          <a:extLst>
            <a:ext uri="{FF2B5EF4-FFF2-40B4-BE49-F238E27FC236}">
              <a16:creationId xmlns:a16="http://schemas.microsoft.com/office/drawing/2014/main" id="{A5A99B49-48DD-4AA7-A949-1B572838E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157160</xdr:colOff>
      <xdr:row>3</xdr:row>
      <xdr:rowOff>66675</xdr:rowOff>
    </xdr:from>
    <xdr:to>
      <xdr:col>8</xdr:col>
      <xdr:colOff>14285</xdr:colOff>
      <xdr:row>16</xdr:row>
      <xdr:rowOff>23812</xdr:rowOff>
    </xdr:to>
    <xdr:graphicFrame macro="">
      <xdr:nvGraphicFramePr>
        <xdr:cNvPr id="27" name="Chart 5">
          <a:extLst>
            <a:ext uri="{FF2B5EF4-FFF2-40B4-BE49-F238E27FC236}">
              <a16:creationId xmlns:a16="http://schemas.microsoft.com/office/drawing/2014/main" id="{A797BC6E-F3D7-4BFE-85A5-FD56F092C4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690091</xdr:colOff>
      <xdr:row>3</xdr:row>
      <xdr:rowOff>57149</xdr:rowOff>
    </xdr:from>
    <xdr:to>
      <xdr:col>11</xdr:col>
      <xdr:colOff>290040</xdr:colOff>
      <xdr:row>16</xdr:row>
      <xdr:rowOff>47624</xdr:rowOff>
    </xdr:to>
    <xdr:graphicFrame macro="">
      <xdr:nvGraphicFramePr>
        <xdr:cNvPr id="5" name="Chart 6">
          <a:extLst>
            <a:ext uri="{FF2B5EF4-FFF2-40B4-BE49-F238E27FC236}">
              <a16:creationId xmlns:a16="http://schemas.microsoft.com/office/drawing/2014/main" id="{CB366CFC-7FED-4C4B-B12E-93D702EAC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142875</xdr:colOff>
      <xdr:row>24</xdr:row>
      <xdr:rowOff>28574</xdr:rowOff>
    </xdr:from>
    <xdr:to>
      <xdr:col>4</xdr:col>
      <xdr:colOff>561974</xdr:colOff>
      <xdr:row>35</xdr:row>
      <xdr:rowOff>133350</xdr:rowOff>
    </xdr:to>
    <xdr:graphicFrame macro="">
      <xdr:nvGraphicFramePr>
        <xdr:cNvPr id="7" name="Chart 7">
          <a:extLst>
            <a:ext uri="{FF2B5EF4-FFF2-40B4-BE49-F238E27FC236}">
              <a16:creationId xmlns:a16="http://schemas.microsoft.com/office/drawing/2014/main" id="{90564F12-70D6-4DD5-BE72-DE2131C4C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85724</xdr:colOff>
      <xdr:row>26</xdr:row>
      <xdr:rowOff>19050</xdr:rowOff>
    </xdr:from>
    <xdr:to>
      <xdr:col>11</xdr:col>
      <xdr:colOff>265697</xdr:colOff>
      <xdr:row>31</xdr:row>
      <xdr:rowOff>19051</xdr:rowOff>
    </xdr:to>
    <xdr:graphicFrame macro="">
      <xdr:nvGraphicFramePr>
        <xdr:cNvPr id="3" name="Chart 2">
          <a:extLst>
            <a:ext uri="{FF2B5EF4-FFF2-40B4-BE49-F238E27FC236}">
              <a16:creationId xmlns:a16="http://schemas.microsoft.com/office/drawing/2014/main" id="{9B416847-848B-4BC9-8D6A-42852F7466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76200</xdr:colOff>
      <xdr:row>32</xdr:row>
      <xdr:rowOff>0</xdr:rowOff>
    </xdr:from>
    <xdr:to>
      <xdr:col>11</xdr:col>
      <xdr:colOff>247650</xdr:colOff>
      <xdr:row>35</xdr:row>
      <xdr:rowOff>142875</xdr:rowOff>
    </xdr:to>
    <xdr:graphicFrame macro="">
      <xdr:nvGraphicFramePr>
        <xdr:cNvPr id="4" name="Chart 9">
          <a:extLst>
            <a:ext uri="{FF2B5EF4-FFF2-40B4-BE49-F238E27FC236}">
              <a16:creationId xmlns:a16="http://schemas.microsoft.com/office/drawing/2014/main" id="{CACE3AFF-B855-48E6-AE89-CB86F4DAF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190500</xdr:colOff>
      <xdr:row>23</xdr:row>
      <xdr:rowOff>180976</xdr:rowOff>
    </xdr:from>
    <xdr:to>
      <xdr:col>4</xdr:col>
      <xdr:colOff>619125</xdr:colOff>
      <xdr:row>25</xdr:row>
      <xdr:rowOff>76201</xdr:rowOff>
    </xdr:to>
    <xdr:sp macro="" textlink="">
      <xdr:nvSpPr>
        <xdr:cNvPr id="15" name="TextBox 14">
          <a:extLst>
            <a:ext uri="{FF2B5EF4-FFF2-40B4-BE49-F238E27FC236}">
              <a16:creationId xmlns:a16="http://schemas.microsoft.com/office/drawing/2014/main" id="{D8A841B2-AA42-4271-98A6-1FA39D9B2ABC}"/>
            </a:ext>
          </a:extLst>
        </xdr:cNvPr>
        <xdr:cNvSpPr txBox="1"/>
      </xdr:nvSpPr>
      <xdr:spPr>
        <a:xfrm>
          <a:off x="2486025" y="4619626"/>
          <a:ext cx="4286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Int.</a:t>
          </a:r>
        </a:p>
      </xdr:txBody>
    </xdr:sp>
    <xdr:clientData/>
  </xdr:twoCellAnchor>
  <xdr:twoCellAnchor>
    <xdr:from>
      <xdr:col>13</xdr:col>
      <xdr:colOff>95248</xdr:colOff>
      <xdr:row>5</xdr:row>
      <xdr:rowOff>171449</xdr:rowOff>
    </xdr:from>
    <xdr:to>
      <xdr:col>18</xdr:col>
      <xdr:colOff>557211</xdr:colOff>
      <xdr:row>17</xdr:row>
      <xdr:rowOff>305170</xdr:rowOff>
    </xdr:to>
    <xdr:graphicFrame macro="">
      <xdr:nvGraphicFramePr>
        <xdr:cNvPr id="14" name="Chart 13">
          <a:extLst>
            <a:ext uri="{FF2B5EF4-FFF2-40B4-BE49-F238E27FC236}">
              <a16:creationId xmlns:a16="http://schemas.microsoft.com/office/drawing/2014/main" id="{A92CC8F8-DD25-452E-9537-B349C5A92D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288396</xdr:colOff>
      <xdr:row>20</xdr:row>
      <xdr:rowOff>38100</xdr:rowOff>
    </xdr:from>
    <xdr:to>
      <xdr:col>18</xdr:col>
      <xdr:colOff>493258</xdr:colOff>
      <xdr:row>28</xdr:row>
      <xdr:rowOff>1985</xdr:rowOff>
    </xdr:to>
    <xdr:graphicFrame macro="">
      <xdr:nvGraphicFramePr>
        <xdr:cNvPr id="13" name="Chart 12">
          <a:extLst>
            <a:ext uri="{FF2B5EF4-FFF2-40B4-BE49-F238E27FC236}">
              <a16:creationId xmlns:a16="http://schemas.microsoft.com/office/drawing/2014/main" id="{A7FBA562-A3FC-4CC7-B710-407CE554D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151049</xdr:colOff>
      <xdr:row>19</xdr:row>
      <xdr:rowOff>153179</xdr:rowOff>
    </xdr:from>
    <xdr:to>
      <xdr:col>13</xdr:col>
      <xdr:colOff>579674</xdr:colOff>
      <xdr:row>21</xdr:row>
      <xdr:rowOff>59385</xdr:rowOff>
    </xdr:to>
    <xdr:sp macro="" textlink="">
      <xdr:nvSpPr>
        <xdr:cNvPr id="12" name="TextBox 1">
          <a:extLst>
            <a:ext uri="{FF2B5EF4-FFF2-40B4-BE49-F238E27FC236}">
              <a16:creationId xmlns:a16="http://schemas.microsoft.com/office/drawing/2014/main" id="{A83E4B74-DB1E-4C69-A25C-3FEC3458C53D}"/>
            </a:ext>
          </a:extLst>
        </xdr:cNvPr>
        <xdr:cNvSpPr txBox="1"/>
      </xdr:nvSpPr>
      <xdr:spPr>
        <a:xfrm>
          <a:off x="6242287" y="3901267"/>
          <a:ext cx="428625" cy="211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700" b="1"/>
            <a:t>M$</a:t>
          </a:r>
        </a:p>
      </xdr:txBody>
    </xdr:sp>
    <xdr:clientData/>
  </xdr:twoCellAnchor>
  <xdr:twoCellAnchor editAs="oneCell">
    <xdr:from>
      <xdr:col>13</xdr:col>
      <xdr:colOff>21704</xdr:colOff>
      <xdr:row>30</xdr:row>
      <xdr:rowOff>172307</xdr:rowOff>
    </xdr:from>
    <xdr:to>
      <xdr:col>18</xdr:col>
      <xdr:colOff>638174</xdr:colOff>
      <xdr:row>33</xdr:row>
      <xdr:rowOff>100012</xdr:rowOff>
    </xdr:to>
    <xdr:pic>
      <xdr:nvPicPr>
        <xdr:cNvPr id="11" name="Picture 4">
          <a:extLst>
            <a:ext uri="{FF2B5EF4-FFF2-40B4-BE49-F238E27FC236}">
              <a16:creationId xmlns:a16="http://schemas.microsoft.com/office/drawing/2014/main" id="{56C3D1B8-858D-4FB6-801F-82C3D3B29D36}"/>
            </a:ext>
          </a:extLst>
        </xdr:cNvPr>
        <xdr:cNvPicPr>
          <a:picLocks noChangeAspect="1"/>
        </xdr:cNvPicPr>
      </xdr:nvPicPr>
      <xdr:blipFill>
        <a:blip xmlns:r="http://schemas.openxmlformats.org/officeDocument/2006/relationships" r:embed="rId9"/>
        <a:stretch>
          <a:fillRect/>
        </a:stretch>
      </xdr:blipFill>
      <xdr:spPr>
        <a:xfrm>
          <a:off x="6109767" y="5625370"/>
          <a:ext cx="3907358" cy="4706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194072</xdr:colOff>
      <xdr:row>15</xdr:row>
      <xdr:rowOff>108006</xdr:rowOff>
    </xdr:from>
    <xdr:to>
      <xdr:col>16</xdr:col>
      <xdr:colOff>231322</xdr:colOff>
      <xdr:row>34</xdr:row>
      <xdr:rowOff>129268</xdr:rowOff>
    </xdr:to>
    <xdr:graphicFrame macro="">
      <xdr:nvGraphicFramePr>
        <xdr:cNvPr id="4" name="Chart 2">
          <a:extLst>
            <a:ext uri="{FF2B5EF4-FFF2-40B4-BE49-F238E27FC236}">
              <a16:creationId xmlns:a16="http://schemas.microsoft.com/office/drawing/2014/main" id="{BF70514E-D85A-4ADF-8B43-6BD272349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502441</xdr:colOff>
      <xdr:row>10</xdr:row>
      <xdr:rowOff>31750</xdr:rowOff>
    </xdr:from>
    <xdr:to>
      <xdr:col>23</xdr:col>
      <xdr:colOff>309563</xdr:colOff>
      <xdr:row>34</xdr:row>
      <xdr:rowOff>150812</xdr:rowOff>
    </xdr:to>
    <xdr:graphicFrame macro="">
      <xdr:nvGraphicFramePr>
        <xdr:cNvPr id="2" name="Chart 1">
          <a:extLst>
            <a:ext uri="{FF2B5EF4-FFF2-40B4-BE49-F238E27FC236}">
              <a16:creationId xmlns:a16="http://schemas.microsoft.com/office/drawing/2014/main" id="{E4B6C8C0-EF52-478A-A3B6-E90D678FA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206375</xdr:colOff>
      <xdr:row>63</xdr:row>
      <xdr:rowOff>127000</xdr:rowOff>
    </xdr:from>
    <xdr:to>
      <xdr:col>24</xdr:col>
      <xdr:colOff>13497</xdr:colOff>
      <xdr:row>88</xdr:row>
      <xdr:rowOff>76199</xdr:rowOff>
    </xdr:to>
    <xdr:graphicFrame macro="">
      <xdr:nvGraphicFramePr>
        <xdr:cNvPr id="4" name="Chart 2">
          <a:extLst>
            <a:ext uri="{FF2B5EF4-FFF2-40B4-BE49-F238E27FC236}">
              <a16:creationId xmlns:a16="http://schemas.microsoft.com/office/drawing/2014/main" id="{E4FFF6BA-E87A-437D-AC78-1E6C8D860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345281</xdr:colOff>
      <xdr:row>12</xdr:row>
      <xdr:rowOff>159544</xdr:rowOff>
    </xdr:from>
    <xdr:to>
      <xdr:col>24</xdr:col>
      <xdr:colOff>189558</xdr:colOff>
      <xdr:row>41</xdr:row>
      <xdr:rowOff>83878</xdr:rowOff>
    </xdr:to>
    <xdr:pic>
      <xdr:nvPicPr>
        <xdr:cNvPr id="2" name="Picture 1">
          <a:extLst>
            <a:ext uri="{FF2B5EF4-FFF2-40B4-BE49-F238E27FC236}">
              <a16:creationId xmlns:a16="http://schemas.microsoft.com/office/drawing/2014/main" id="{B1BB54DF-B0C8-4521-B3E5-787B0ED35C3E}"/>
            </a:ext>
          </a:extLst>
        </xdr:cNvPr>
        <xdr:cNvPicPr>
          <a:picLocks noChangeAspect="1"/>
        </xdr:cNvPicPr>
      </xdr:nvPicPr>
      <xdr:blipFill>
        <a:blip xmlns:r="http://schemas.openxmlformats.org/officeDocument/2006/relationships" r:embed="rId1"/>
        <a:stretch>
          <a:fillRect/>
        </a:stretch>
      </xdr:blipFill>
      <xdr:spPr>
        <a:xfrm>
          <a:off x="12668250" y="2350294"/>
          <a:ext cx="7554765" cy="50987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ttep.sharepoint.com/sites/0900FNA/FFI/PTC/Selective%20Access/FTR_C/Bank%20Account/Bank%20Account%20-%20Report/Bank%20Account%20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M&gt;&gt;"/>
      <sheetName val="Summary"/>
      <sheetName val="Data&gt;&gt;"/>
      <sheetName val="Sheet1"/>
      <sheetName val="Master Data"/>
      <sheetName val="ClosedList"/>
      <sheetName val="Mapping"/>
      <sheetName val="SAP&gt;&gt;"/>
      <sheetName val="SmartFIS-Other-GL_Form 01"/>
      <sheetName val="ForGLrequest"/>
      <sheetName val="For SAP Inactive GL"/>
      <sheetName val="TMS&gt;&gt;"/>
      <sheetName val="TMS Request Form"/>
      <sheetName val="Bank Account Pool Code"/>
      <sheetName val="Addenda"/>
      <sheetName val="TMS_form_index"/>
      <sheetName val="Reference&gt;&gt;"/>
      <sheetName val="AuditConfirmation"/>
      <sheetName val="Send to Bank"/>
    </sheetNames>
    <sheetDataSet>
      <sheetData sheetId="0"/>
      <sheetData sheetId="1"/>
      <sheetData sheetId="2"/>
      <sheetData sheetId="3"/>
      <sheetData sheetId="4"/>
      <sheetData sheetId="5"/>
      <sheetData sheetId="6">
        <row r="2">
          <cell r="B2" t="str">
            <v>BOA</v>
          </cell>
          <cell r="P2" t="str">
            <v>Active</v>
          </cell>
        </row>
        <row r="3">
          <cell r="B3" t="str">
            <v>BBL</v>
          </cell>
          <cell r="P3" t="str">
            <v>Closed</v>
          </cell>
        </row>
        <row r="4">
          <cell r="B4" t="str">
            <v>BOI</v>
          </cell>
          <cell r="P4" t="str">
            <v>Openning</v>
          </cell>
        </row>
        <row r="5">
          <cell r="B5" t="str">
            <v>CITI</v>
          </cell>
          <cell r="P5" t="str">
            <v>To be closed</v>
          </cell>
        </row>
        <row r="6">
          <cell r="B6" t="str">
            <v>DB</v>
          </cell>
          <cell r="P6" t="str">
            <v>Pending Issue</v>
          </cell>
        </row>
        <row r="7">
          <cell r="B7" t="str">
            <v>FNB</v>
          </cell>
        </row>
        <row r="8">
          <cell r="B8" t="str">
            <v>HSBC</v>
          </cell>
        </row>
        <row r="9">
          <cell r="B9" t="str">
            <v>KBANK</v>
          </cell>
        </row>
        <row r="10">
          <cell r="B10" t="str">
            <v>KBZ</v>
          </cell>
        </row>
        <row r="11">
          <cell r="B11" t="str">
            <v>KTB</v>
          </cell>
        </row>
        <row r="12">
          <cell r="B12" t="str">
            <v>MICB</v>
          </cell>
        </row>
        <row r="13">
          <cell r="B13" t="str">
            <v>OCBC</v>
          </cell>
        </row>
        <row r="14">
          <cell r="B14" t="str">
            <v>SCB</v>
          </cell>
        </row>
        <row r="15">
          <cell r="B15" t="str">
            <v>SMBC</v>
          </cell>
        </row>
        <row r="16">
          <cell r="B16" t="str">
            <v>SME</v>
          </cell>
        </row>
        <row r="17">
          <cell r="B17" t="str">
            <v>TMB</v>
          </cell>
        </row>
        <row r="18">
          <cell r="B18" t="str">
            <v>UOB</v>
          </cell>
        </row>
        <row r="19">
          <cell r="B19" t="str">
            <v>AMBank</v>
          </cell>
        </row>
        <row r="20">
          <cell r="B20" t="str">
            <v>MIZUHO</v>
          </cell>
        </row>
        <row r="21">
          <cell r="B21" t="str">
            <v>CCB</v>
          </cell>
        </row>
        <row r="22">
          <cell r="B22" t="str">
            <v>TISCO</v>
          </cell>
        </row>
        <row r="23">
          <cell r="B23" t="str">
            <v>BAY</v>
          </cell>
        </row>
        <row r="24">
          <cell r="B24" t="str">
            <v>CIMB</v>
          </cell>
        </row>
        <row r="25">
          <cell r="B25" t="str">
            <v>BTMU</v>
          </cell>
        </row>
        <row r="26">
          <cell r="B26" t="str">
            <v>GSI</v>
          </cell>
        </row>
        <row r="27">
          <cell r="B27" t="str">
            <v>GSB</v>
          </cell>
        </row>
        <row r="28">
          <cell r="B28" t="str">
            <v>NOMURA</v>
          </cell>
        </row>
        <row r="29">
          <cell r="B29" t="str">
            <v>JPM</v>
          </cell>
        </row>
        <row r="30">
          <cell r="B30" t="str">
            <v>NATIXIS</v>
          </cell>
        </row>
        <row r="31">
          <cell r="B31" t="str">
            <v>CS</v>
          </cell>
        </row>
        <row r="32">
          <cell r="B32" t="str">
            <v>RABO</v>
          </cell>
        </row>
        <row r="33">
          <cell r="B33" t="str">
            <v>CBD</v>
          </cell>
        </row>
        <row r="34">
          <cell r="B34" t="str">
            <v>BM</v>
          </cell>
        </row>
        <row r="35">
          <cell r="B35" t="str">
            <v>BPI</v>
          </cell>
        </row>
        <row r="36">
          <cell r="B36" t="str">
            <v>BST</v>
          </cell>
        </row>
        <row r="37">
          <cell r="B37" t="str">
            <v>BB</v>
          </cell>
        </row>
        <row r="38">
          <cell r="B38" t="str">
            <v>CGD</v>
          </cell>
        </row>
        <row r="39">
          <cell r="B39" t="str">
            <v>BI&amp;P</v>
          </cell>
        </row>
      </sheetData>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jaree Liamkaeo" refreshedDate="44440.635597106484" createdVersion="7" refreshedVersion="7" minRefreshableVersion="3" recordCount="225" xr:uid="{587BE800-AAA8-47D5-A837-F98332BEA906}">
  <cacheSource type="worksheet">
    <worksheetSource ref="A1:U1048576" sheet="Deposit"/>
  </cacheSource>
  <cacheFields count="21">
    <cacheField name="Company Code" numFmtId="0">
      <sharedItems containsBlank="1" count="56">
        <s v="1001"/>
        <s v="1002"/>
        <s v="1003"/>
        <s v="1004"/>
        <s v="1005"/>
        <s v="1006"/>
        <s v="1009"/>
        <s v="1010"/>
        <s v="1012"/>
        <s v="1013"/>
        <s v="1015"/>
        <s v="1017"/>
        <s v="1022"/>
        <s v="1023"/>
        <s v="1029"/>
        <s v="1033"/>
        <s v="1038"/>
        <s v="1040"/>
        <s v="1041"/>
        <s v="1042"/>
        <s v="1043"/>
        <s v="1046"/>
        <s v="1047"/>
        <s v="1049"/>
        <s v="1050"/>
        <s v="1051"/>
        <s v="1052"/>
        <s v="1053"/>
        <s v="1067"/>
        <s v="1069"/>
        <s v="1071"/>
        <s v="1072"/>
        <s v="1074"/>
        <s v="1076"/>
        <s v="1077"/>
        <s v="1078"/>
        <s v="1079"/>
        <s v="1081"/>
        <s v="1083"/>
        <s v="1084"/>
        <s v="1085"/>
        <s v="1086"/>
        <s v="1087"/>
        <s v="1088"/>
        <s v="1089"/>
        <s v="1090"/>
        <s v="1091"/>
        <s v="1094"/>
        <s v="1095"/>
        <s v="1096"/>
        <s v="1097"/>
        <s v="1099"/>
        <s v="1100"/>
        <s v="1101"/>
        <s v="1105"/>
        <m/>
      </sharedItems>
    </cacheField>
    <cacheField name="Balance Date" numFmtId="0">
      <sharedItems containsNonDate="0" containsDate="1" containsString="0" containsBlank="1" minDate="2013-12-30T00:00:00" maxDate="2021-09-01T00:00:00"/>
    </cacheField>
    <cacheField name="Bank Account" numFmtId="0">
      <sharedItems containsBlank="1"/>
    </cacheField>
    <cacheField name="GL Account" numFmtId="0">
      <sharedItems containsBlank="1"/>
    </cacheField>
    <cacheField name="Account No" numFmtId="0">
      <sharedItems containsBlank="1"/>
    </cacheField>
    <cacheField name="Original Currency" numFmtId="0">
      <sharedItems containsBlank="1"/>
    </cacheField>
    <cacheField name="Bank Balance" numFmtId="0">
      <sharedItems containsString="0" containsBlank="1" containsNumber="1" minValue="0" maxValue="56398704702"/>
    </cacheField>
    <cacheField name="Business Short Name" numFmtId="0">
      <sharedItems containsBlank="1"/>
    </cacheField>
    <cacheField name="Reporting Currency" numFmtId="0">
      <sharedItems containsBlank="1"/>
    </cacheField>
    <cacheField name="Bank Balance - USD Equivalent" numFmtId="0">
      <sharedItems containsString="0" containsBlank="1" containsNumber="1" minValue="0" maxValue="201104897.78"/>
    </cacheField>
    <cacheField name="% PTTEP" numFmtId="0">
      <sharedItems containsString="0" containsBlank="1" containsNumber="1" minValue="42.5" maxValue="100"/>
    </cacheField>
    <cacheField name="Bank Balance (PTTEP Ownership)" numFmtId="0">
      <sharedItems containsString="0" containsBlank="1" containsNumber="1" minValue="0" maxValue="56398704702"/>
    </cacheField>
    <cacheField name="Bank Balance (PTTEP Ownership)-USD Equiv" numFmtId="0">
      <sharedItems containsString="0" containsBlank="1" containsNumber="1" minValue="0" maxValue="201104897.78"/>
    </cacheField>
    <cacheField name="Registered Country" numFmtId="0">
      <sharedItems containsBlank="1"/>
    </cacheField>
    <cacheField name="Group report" numFmtId="0">
      <sharedItems containsBlank="1"/>
    </cacheField>
    <cacheField name="Business Unit" numFmtId="0">
      <sharedItems containsBlank="1"/>
    </cacheField>
    <cacheField name="Profit Center" numFmtId="0">
      <sharedItems containsBlank="1"/>
    </cacheField>
    <cacheField name="Bank" numFmtId="0">
      <sharedItems containsBlank="1"/>
    </cacheField>
    <cacheField name="Type" numFmtId="0">
      <sharedItems containsBlank="1"/>
    </cacheField>
    <cacheField name="Special saving" numFmtId="0">
      <sharedItems containsBlank="1"/>
    </cacheField>
    <cacheField name="Interest" numFmtId="0">
      <sharedItems containsString="0" containsBlank="1" containsNumber="1" minValue="1E-4" maxValue="4.0000000000000001E-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tapat Rattanakritanon" refreshedDate="44621.74506828704" createdVersion="7" refreshedVersion="7" minRefreshableVersion="3" recordCount="44" xr:uid="{33BA2DE8-873E-4A4E-9F83-507BE336DBE0}">
  <cacheSource type="worksheet">
    <worksheetSource ref="A1:G45" sheet="Change"/>
  </cacheSource>
  <cacheFields count="7">
    <cacheField name="As at 28 February 2022" numFmtId="0">
      <sharedItems/>
    </cacheField>
    <cacheField name="Counterparty" numFmtId="0">
      <sharedItems count="37">
        <s v="TMBTHANAPLUS"/>
        <s v="TMBTM"/>
        <s v="KFSPLUS"/>
        <s v="KCASH"/>
        <s v="TH Treasury"/>
        <s v="JPM"/>
        <s v="SCBTH"/>
        <s v="SC"/>
        <s v="Credit Suisse"/>
        <s v="HSBC"/>
        <s v="OCBC - Reserve fund"/>
        <s v="OCBC"/>
        <s v="BBL"/>
        <s v="CITI"/>
        <s v="TMB"/>
        <s v="BOATH"/>
        <s v="BAY"/>
        <s v="FNB"/>
        <s v="HSBC LF"/>
        <s v="GS LF"/>
        <s v="NATIXIS"/>
        <s v="UOB"/>
        <s v="Credit Suisse supply chain fund"/>
        <s v="CCB"/>
        <s v="MIZUHO"/>
        <s v="KBANK"/>
        <s v="ICBC"/>
        <s v="KTB"/>
        <s v="SMBC"/>
        <s v="DBSG"/>
        <s v="AMBANK"/>
        <s v="CBQ"/>
        <s v="QNB"/>
        <s v="ANZ THAILAND"/>
        <s v="US Treasury"/>
        <s v="Operator accounts_x000a_(Non-operating projects)"/>
        <s v="ICBL" u="1"/>
      </sharedItems>
    </cacheField>
    <cacheField name="Type (Majority)" numFmtId="0">
      <sharedItems count="6">
        <s v="Money Market Fund"/>
        <s v="T-bill"/>
        <s v="Current"/>
        <s v="Special Saving"/>
        <s v="Fixed Deposit"/>
        <s v="Deposit note"/>
      </sharedItems>
    </cacheField>
    <cacheField name="Type (Country)" numFmtId="0">
      <sharedItems count="2">
        <s v="Domestic"/>
        <s v="Overseas"/>
      </sharedItems>
    </cacheField>
    <cacheField name="Curr (Majority)" numFmtId="0">
      <sharedItems count="3">
        <s v="THB"/>
        <s v="USD"/>
        <s v="BRL" u="1"/>
      </sharedItems>
    </cacheField>
    <cacheField name="Tenor" numFmtId="0">
      <sharedItems count="6">
        <s v="Daily"/>
        <s v="&lt;1M"/>
        <s v="12M"/>
        <s v="Weekly"/>
        <s v="&lt;=3M"/>
        <s v="3-12M"/>
      </sharedItems>
    </cacheField>
    <cacheField name="Amount in MMUSD" numFmtId="0">
      <sharedItems containsSemiMixedTypes="0" containsString="0" containsNumber="1" minValue="0" maxValue="407.1046181799999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tapat Rattanakritanon" refreshedDate="44621.771190740743" createdVersion="7" refreshedVersion="7" minRefreshableVersion="3" recordCount="18" xr:uid="{9AA21AA1-97FA-4066-BD9A-F0C8BF151342}">
  <cacheSource type="worksheet">
    <worksheetSource ref="A18:I37" sheet="Availability"/>
  </cacheSource>
  <cacheFields count="9">
    <cacheField name="Company Code" numFmtId="0">
      <sharedItems containsBlank="1" containsMixedTypes="1" containsNumber="1" containsInteger="1" minValue="1001" maxValue="1086"/>
    </cacheField>
    <cacheField name="Counterparty" numFmtId="0">
      <sharedItems containsBlank="1" count="17">
        <s v="NAT"/>
        <s v="ANZ"/>
        <s v="UOB"/>
        <s v="GS_LRF"/>
        <s v="HSBCLF_01C"/>
        <s v="KFSPLUS"/>
        <s v="AMBANKMY"/>
        <s v="DBSG"/>
        <s v="KTBTH"/>
        <s v="ICBC"/>
        <m/>
        <s v="1086" u="1"/>
        <s v="ICBL" u="1"/>
        <s v="AMBANK" u="1"/>
        <s v="ANZTH" u="1"/>
        <s v="KBANKTH" u="1"/>
        <s v="KTB" u="1"/>
      </sharedItems>
    </cacheField>
    <cacheField name="Maturity" numFmtId="0">
      <sharedItems containsNonDate="0" containsDate="1" containsString="0" containsBlank="1" minDate="2022-02-18T00:00:00" maxDate="2022-04-06T00:00:00"/>
    </cacheField>
    <cacheField name="PTTEP Portion (mm$)" numFmtId="0">
      <sharedItems containsString="0" containsBlank="1" containsNumber="1" minValue="0" maxValue="201.42679409000002"/>
    </cacheField>
    <cacheField name="Availibility (mm$)" numFmtId="0">
      <sharedItems containsString="0" containsBlank="1" containsNumber="1" minValue="0" maxValue="201.42679409000002"/>
    </cacheField>
    <cacheField name="TTM (Days)" numFmtId="0">
      <sharedItems containsString="0" containsBlank="1" containsNumber="1" containsInteger="1" minValue="0" maxValue="46"/>
    </cacheField>
    <cacheField name="TTM (Mths)" numFmtId="0">
      <sharedItems containsString="0" containsBlank="1" containsNumber="1" containsInteger="1" minValue="0" maxValue="2"/>
    </cacheField>
    <cacheField name="Availibility (Mths)" numFmtId="0">
      <sharedItems containsBlank="1"/>
    </cacheField>
    <cacheField name="month" numFmtId="0">
      <sharedItems containsBlank="1" count="12">
        <s v="FEB-22"/>
        <s v="MAR-22"/>
        <s v="APR-22"/>
        <m/>
        <s v="SEP-21" u="1"/>
        <s v="JAN-22" u="1"/>
        <s v="NOV-21" u="1"/>
        <s v="DEC-21" u="1"/>
        <s v="OCT-21" u="1"/>
        <s v="JUL-21" u="1"/>
        <s v="MAR-21" u="1"/>
        <s v="AUG-21"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5">
  <r>
    <x v="0"/>
    <d v="2021-08-31T00:00:00"/>
    <s v="BBL01-C4468"/>
    <s v="10200150"/>
    <s v="1013184468"/>
    <s v="THB"/>
    <n v="7640.23"/>
    <s v="PTTEP"/>
    <s v="THB"/>
    <n v="235.91"/>
    <n v="100"/>
    <n v="7640.23"/>
    <n v="235.91"/>
    <s v="Thailand"/>
    <s v="HO"/>
    <s v="1001"/>
    <s v="C100100000"/>
    <s v="BBL"/>
    <s v="Deposit"/>
    <s v="UOB01-S2400"/>
    <n v="3.0000000000000001E-3"/>
  </r>
  <r>
    <x v="0"/>
    <d v="2021-08-31T00:00:00"/>
    <s v="BOA03-C3561"/>
    <s v="10201660"/>
    <s v="33333561"/>
    <s v="THB"/>
    <n v="0"/>
    <s v="PTTEP"/>
    <s v="THB"/>
    <n v="0"/>
    <n v="100"/>
    <n v="0"/>
    <n v="0"/>
    <s v="Thailand"/>
    <s v="HO"/>
    <s v="1001"/>
    <s v="C100100000"/>
    <s v="BAML"/>
    <s v="Deposit"/>
    <s v="UOB02-S1718"/>
    <n v="4.0000000000000001E-3"/>
  </r>
  <r>
    <x v="0"/>
    <d v="2021-08-31T00:00:00"/>
    <s v="BOA07-C3173"/>
    <s v="10201700"/>
    <s v="33333173"/>
    <s v="USD"/>
    <n v="0"/>
    <s v="PTTEP"/>
    <s v="USD"/>
    <n v="0"/>
    <n v="100"/>
    <n v="0"/>
    <n v="0"/>
    <s v="Thailand"/>
    <s v="HO"/>
    <s v="1001"/>
    <s v="C100100000"/>
    <s v="BAML"/>
    <s v="Deposit"/>
    <s v="JPM01-C0888"/>
    <n v="1E-4"/>
  </r>
  <r>
    <x v="0"/>
    <d v="2021-08-31T00:00:00"/>
    <s v="BOA09-C3751"/>
    <s v="10201720"/>
    <s v="33333751"/>
    <s v="THB"/>
    <n v="444170457.37"/>
    <s v="Bongkot (O)"/>
    <s v="THB"/>
    <n v="13715060.32"/>
    <n v="66.666700000000006"/>
    <n v="296113786.30000001"/>
    <n v="9143378.1199999992"/>
    <s v="Thailand"/>
    <s v="JV"/>
    <s v="100A"/>
    <s v="O100A00000"/>
    <s v="BAML"/>
    <s v="Deposit"/>
    <s v="NAT01-C9000"/>
    <n v="2.5000000000000001E-3"/>
  </r>
  <r>
    <x v="0"/>
    <d v="2021-08-31T00:00:00"/>
    <s v="BOA11-C3941"/>
    <s v="10201740"/>
    <s v="33333941"/>
    <s v="THB"/>
    <n v="351775845.44999999"/>
    <s v="Arthit:80% (O)"/>
    <s v="THB"/>
    <n v="10862106.779999999"/>
    <n v="80"/>
    <n v="281420676.36000001"/>
    <n v="8689685.4199999999"/>
    <s v="Thailand"/>
    <s v="JV"/>
    <s v="102A"/>
    <s v="O102A00000"/>
    <s v="BAML"/>
    <s v="Deposit"/>
    <m/>
    <m/>
  </r>
  <r>
    <x v="0"/>
    <d v="2021-08-31T00:00:00"/>
    <s v="BOA16-C3008"/>
    <s v="10203350"/>
    <s v="33333008"/>
    <s v="USD"/>
    <n v="0"/>
    <s v="Bongkot (O)"/>
    <s v="USD"/>
    <n v="0"/>
    <n v="66.666700000000006"/>
    <n v="0"/>
    <n v="0"/>
    <s v="Thailand"/>
    <s v="JV"/>
    <s v="100A"/>
    <s v="O100A00000"/>
    <s v="BAML"/>
    <s v="Deposit"/>
    <m/>
    <m/>
  </r>
  <r>
    <x v="0"/>
    <d v="2021-08-31T00:00:00"/>
    <s v="BOA17-C3016"/>
    <s v="10203360"/>
    <s v="33333016"/>
    <s v="USD"/>
    <n v="0"/>
    <s v="Arthit:80% (O)"/>
    <s v="USD"/>
    <n v="0"/>
    <n v="80"/>
    <n v="0"/>
    <n v="0"/>
    <s v="Thailand"/>
    <s v="JV"/>
    <s v="102A"/>
    <s v="O102A00000"/>
    <s v="BAML"/>
    <s v="Deposit"/>
    <m/>
    <m/>
  </r>
  <r>
    <x v="0"/>
    <d v="2021-08-31T00:00:00"/>
    <s v="BOA18-01012"/>
    <s v="10293740"/>
    <s v="80001012"/>
    <s v="THB"/>
    <n v="0"/>
    <s v="PTTEP"/>
    <s v="THB"/>
    <n v="0"/>
    <n v="100"/>
    <n v="0"/>
    <n v="0"/>
    <s v="Thailand"/>
    <s v="HO"/>
    <s v="1001"/>
    <s v="C100100000"/>
    <s v="BAML"/>
    <s v="Deposit"/>
    <m/>
    <m/>
  </r>
  <r>
    <x v="0"/>
    <d v="2021-08-31T00:00:00"/>
    <s v="BOA20-01038"/>
    <s v="10293760"/>
    <s v="80001038"/>
    <s v="THB"/>
    <n v="0"/>
    <s v="Arthit North (O)"/>
    <s v="THB"/>
    <n v="0"/>
    <n v="100"/>
    <n v="0"/>
    <n v="0"/>
    <s v="Thailand"/>
    <s v="JV"/>
    <s v="102C"/>
    <s v="O102C00000"/>
    <s v="BAML"/>
    <s v="Deposit"/>
    <m/>
    <m/>
  </r>
  <r>
    <x v="0"/>
    <d v="2021-08-31T00:00:00"/>
    <s v="BOA21-C3991"/>
    <s v="10204070"/>
    <s v="33333991"/>
    <s v="THB"/>
    <n v="0"/>
    <s v="Bongkot (O) Sole"/>
    <s v="THB"/>
    <n v="0"/>
    <n v="100"/>
    <n v="0"/>
    <n v="0"/>
    <s v="Thailand"/>
    <s v="JV"/>
    <s v="100B"/>
    <s v="O100B00000"/>
    <s v="BAML"/>
    <s v="Deposit"/>
    <m/>
    <m/>
  </r>
  <r>
    <x v="0"/>
    <d v="2021-08-30T00:00:00"/>
    <s v="HSB01-C7001"/>
    <s v="10200120"/>
    <s v="001193747001"/>
    <s v="THB"/>
    <n v="46275.519999999997"/>
    <s v="PTTEP"/>
    <s v="THB"/>
    <n v="1428.89"/>
    <n v="100"/>
    <n v="46275.519999999997"/>
    <n v="1428.89"/>
    <s v="Thailand"/>
    <s v="HO"/>
    <s v="1001"/>
    <s v="C100100000"/>
    <s v="HSBC"/>
    <s v="Deposit"/>
    <m/>
    <m/>
  </r>
  <r>
    <x v="0"/>
    <d v="2021-08-30T00:00:00"/>
    <s v="KB01-C9106"/>
    <s v="10200160"/>
    <s v="0991189106"/>
    <s v="THB"/>
    <n v="1719503.15"/>
    <s v="PTTEP"/>
    <s v="THB"/>
    <n v="53094.68"/>
    <n v="100"/>
    <n v="1719503.15"/>
    <n v="53094.68"/>
    <s v="Thailand"/>
    <s v="HO"/>
    <s v="1001"/>
    <s v="C100100000"/>
    <s v="KBANK"/>
    <s v="Deposit"/>
    <m/>
    <m/>
  </r>
  <r>
    <x v="0"/>
    <d v="2021-08-30T00:00:00"/>
    <s v="KB02-C0889"/>
    <s v="10200090"/>
    <s v="9431000889"/>
    <s v="THB"/>
    <n v="15373569.390000001"/>
    <s v="PTTEP"/>
    <s v="THB"/>
    <n v="474703.86"/>
    <n v="100"/>
    <n v="15373569.390000001"/>
    <n v="474703.86"/>
    <s v="Thailand"/>
    <s v="HO"/>
    <s v="1001"/>
    <s v="C100100000"/>
    <s v="KBANK"/>
    <s v="Deposit"/>
    <m/>
    <m/>
  </r>
  <r>
    <x v="0"/>
    <d v="2021-08-30T00:00:00"/>
    <s v="KB07-S2247"/>
    <s v="10301220"/>
    <s v="0999212247"/>
    <s v="USD"/>
    <n v="188.59"/>
    <s v="PTTEP"/>
    <s v="USD"/>
    <n v="188.59"/>
    <n v="100"/>
    <n v="188.59"/>
    <n v="188.59"/>
    <s v="Thailand"/>
    <s v="HO"/>
    <s v="1001"/>
    <s v="C100100000"/>
    <s v="KBANK"/>
    <s v="Deposit"/>
    <m/>
    <m/>
  </r>
  <r>
    <x v="0"/>
    <d v="2021-08-31T00:00:00"/>
    <s v="KTB04-C7676"/>
    <s v="10200140"/>
    <s v="0196047676"/>
    <s v="THB"/>
    <n v="1259629.5"/>
    <s v="PTTEP"/>
    <s v="THB"/>
    <n v="38894.74"/>
    <n v="100"/>
    <n v="1259629.5"/>
    <n v="38894.74"/>
    <s v="Thailand"/>
    <s v="HO"/>
    <s v="1001"/>
    <s v="C100100000"/>
    <s v="KTB"/>
    <s v="Deposit"/>
    <m/>
    <m/>
  </r>
  <r>
    <x v="0"/>
    <d v="2021-08-31T00:00:00"/>
    <s v="KTB06-C0999"/>
    <s v="10200130"/>
    <s v="0196020999"/>
    <s v="THB"/>
    <n v="61970663.789999999"/>
    <s v="PTTEP"/>
    <s v="THB"/>
    <n v="1913525.26"/>
    <n v="100"/>
    <n v="61970663.789999999"/>
    <n v="1913525.26"/>
    <s v="Thailand"/>
    <s v="HO"/>
    <s v="1001"/>
    <s v="C100100000"/>
    <s v="KTB"/>
    <s v="Deposit"/>
    <m/>
    <m/>
  </r>
  <r>
    <x v="0"/>
    <d v="2021-08-31T00:00:00"/>
    <s v="KTB07-C0507"/>
    <s v="10200100"/>
    <s v="0196040507"/>
    <s v="THB"/>
    <n v="12263005.439999999"/>
    <s v="PTTEP"/>
    <s v="THB"/>
    <n v="378656.11"/>
    <n v="100"/>
    <n v="12263005.439999999"/>
    <n v="378656.11"/>
    <s v="Thailand"/>
    <s v="HO"/>
    <s v="1001"/>
    <s v="C100100000"/>
    <s v="KTB"/>
    <s v="Deposit"/>
    <m/>
    <m/>
  </r>
  <r>
    <x v="0"/>
    <d v="2021-08-31T00:00:00"/>
    <s v="KTB08-C2254"/>
    <s v="10200290"/>
    <s v="0196052254"/>
    <s v="THB"/>
    <n v="7320438.3700000001"/>
    <s v="Bongkot (O)"/>
    <s v="THB"/>
    <n v="226039.92"/>
    <n v="66.666700000000006"/>
    <n v="4880294.6900000004"/>
    <n v="150693.35999999999"/>
    <s v="Thailand"/>
    <s v="JV"/>
    <s v="100A"/>
    <s v="O100A00000"/>
    <s v="KTB"/>
    <s v="Deposit"/>
    <m/>
    <m/>
  </r>
  <r>
    <x v="0"/>
    <d v="2021-08-31T00:00:00"/>
    <s v="KTB09-C5946"/>
    <s v="10200230"/>
    <s v="0196055946"/>
    <s v="THB"/>
    <n v="7366554.75"/>
    <s v="Arthit:80% (O)"/>
    <s v="THB"/>
    <n v="227463.9"/>
    <n v="80"/>
    <n v="5893243.7999999998"/>
    <n v="181971.12"/>
    <s v="Thailand"/>
    <s v="JV"/>
    <s v="102A"/>
    <s v="O102A00000"/>
    <s v="KTB"/>
    <s v="Deposit"/>
    <m/>
    <m/>
  </r>
  <r>
    <x v="0"/>
    <d v="2021-08-31T00:00:00"/>
    <s v="KTB14-C0237"/>
    <s v="10200110"/>
    <s v="9804220237"/>
    <s v="THB"/>
    <n v="0"/>
    <s v="PTTEP"/>
    <s v="THB"/>
    <n v="0"/>
    <n v="100"/>
    <n v="0"/>
    <n v="0"/>
    <s v="Thailand"/>
    <s v="HO"/>
    <s v="1001"/>
    <s v="C100100000"/>
    <s v="KTB"/>
    <s v="Deposit"/>
    <m/>
    <m/>
  </r>
  <r>
    <x v="0"/>
    <d v="2021-08-31T00:00:00"/>
    <s v="SCB01-C2730"/>
    <s v="10200180"/>
    <s v="4680092730"/>
    <s v="THB"/>
    <n v="0"/>
    <s v="PTTEP"/>
    <s v="THB"/>
    <n v="0"/>
    <n v="100"/>
    <n v="0"/>
    <n v="0"/>
    <s v="Thailand"/>
    <s v="HO"/>
    <s v="1001"/>
    <s v="C100100000"/>
    <s v="SCB"/>
    <s v="Deposit"/>
    <m/>
    <m/>
  </r>
  <r>
    <x v="0"/>
    <d v="2021-08-31T00:00:00"/>
    <s v="SCB04-S2840"/>
    <s v="10300930"/>
    <s v="1112005032840"/>
    <s v="USD"/>
    <n v="5170.79"/>
    <s v="PTTEP"/>
    <s v="USD"/>
    <n v="5170.79"/>
    <n v="100"/>
    <n v="5170.79"/>
    <n v="5170.79"/>
    <s v="Thailand"/>
    <s v="HO"/>
    <s v="1001"/>
    <s v="C100100000"/>
    <s v="SCB"/>
    <s v="Deposit"/>
    <m/>
    <m/>
  </r>
  <r>
    <x v="0"/>
    <d v="2021-08-31T00:00:00"/>
    <s v="SCB05-C8259"/>
    <s v="10202410"/>
    <s v="4680378259"/>
    <s v="THB"/>
    <n v="0"/>
    <s v="PTTEP"/>
    <s v="THB"/>
    <n v="0"/>
    <n v="100"/>
    <n v="0"/>
    <n v="0"/>
    <s v="Thailand"/>
    <s v="HO"/>
    <s v="1001"/>
    <s v="C100100000"/>
    <s v="SCB"/>
    <s v="Deposit"/>
    <m/>
    <m/>
  </r>
  <r>
    <x v="0"/>
    <d v="2021-08-06T00:00:00"/>
    <s v="TMB01-C0626"/>
    <s v="10200050"/>
    <s v="0041050626"/>
    <s v="THB"/>
    <n v="97686287.530000001"/>
    <s v="PTTEP"/>
    <s v="THB"/>
    <n v="3016349.47"/>
    <n v="100"/>
    <n v="97686287.530000001"/>
    <n v="3016349.47"/>
    <s v="Thailand"/>
    <s v="HO"/>
    <s v="1001"/>
    <s v="C100100000"/>
    <s v="TMB"/>
    <s v="Deposit"/>
    <m/>
    <m/>
  </r>
  <r>
    <x v="0"/>
    <d v="2016-10-18T00:00:00"/>
    <s v="TMB02-C1855"/>
    <s v="10200040"/>
    <s v="0041051855"/>
    <s v="THB"/>
    <n v="0"/>
    <s v="PTTEP"/>
    <s v="THB"/>
    <n v="0"/>
    <n v="100"/>
    <n v="0"/>
    <n v="0"/>
    <s v="Thailand"/>
    <s v="HO"/>
    <s v="1001"/>
    <s v="C100100000"/>
    <s v="TMB"/>
    <s v="Deposit"/>
    <m/>
    <m/>
  </r>
  <r>
    <x v="1"/>
    <d v="2021-08-31T00:00:00"/>
    <s v="BOA02-C4171"/>
    <s v="10201800"/>
    <s v="33334171"/>
    <s v="THB"/>
    <n v="0"/>
    <s v="PTTEPI"/>
    <s v="THB"/>
    <n v="0"/>
    <n v="100"/>
    <n v="0"/>
    <n v="0"/>
    <s v="Thailand"/>
    <s v="Subsidiary"/>
    <s v="1002"/>
    <s v="C100200000"/>
    <s v="BAML"/>
    <s v="Deposit"/>
    <m/>
    <m/>
  </r>
  <r>
    <x v="1"/>
    <d v="2021-08-31T00:00:00"/>
    <s v="BOA05-C4113"/>
    <s v="10201830"/>
    <s v="33334113"/>
    <s v="USD"/>
    <n v="0"/>
    <s v="PTTEPI"/>
    <s v="USD"/>
    <n v="0"/>
    <n v="100"/>
    <n v="0"/>
    <n v="0"/>
    <s v="Thailand"/>
    <s v="Subsidiary"/>
    <s v="1002"/>
    <s v="C100200000"/>
    <s v="BAML"/>
    <s v="Deposit"/>
    <m/>
    <m/>
  </r>
  <r>
    <x v="1"/>
    <d v="2021-08-31T00:00:00"/>
    <s v="BOA13-C4931"/>
    <s v="10201910"/>
    <s v="33334931"/>
    <s v="THB"/>
    <n v="7989304.1299999999"/>
    <s v="G12/48 (O)"/>
    <s v="THB"/>
    <n v="246693.1"/>
    <n v="66.666700000000006"/>
    <n v="5326205.42"/>
    <n v="164462.15"/>
    <s v="Thailand"/>
    <s v="JV"/>
    <s v="101A"/>
    <s v="O101A00000"/>
    <s v="BAML"/>
    <s v="Deposit"/>
    <m/>
    <m/>
  </r>
  <r>
    <x v="1"/>
    <d v="2021-08-31T00:00:00"/>
    <s v="BOA14-C4981"/>
    <s v="10201920"/>
    <s v="33334981"/>
    <s v="THB"/>
    <n v="3049777.05"/>
    <s v="G8/50 (O)"/>
    <s v="THB"/>
    <n v="94170.77"/>
    <n v="80"/>
    <n v="2439821.64"/>
    <n v="75336.62"/>
    <s v="Thailand"/>
    <s v="JV"/>
    <s v="103A"/>
    <s v="O103A00000"/>
    <s v="BAML"/>
    <s v="Deposit"/>
    <m/>
    <m/>
  </r>
  <r>
    <x v="1"/>
    <d v="2021-08-31T00:00:00"/>
    <s v="BOA19-04024"/>
    <s v="10293710"/>
    <s v="80004024"/>
    <s v="THB"/>
    <n v="0"/>
    <s v="L22/43 (O)"/>
    <s v="THB"/>
    <n v="0"/>
    <n v="100"/>
    <n v="0"/>
    <n v="0"/>
    <s v="Thailand"/>
    <s v="JV"/>
    <s v="506A"/>
    <s v="O506A00000"/>
    <s v="BAML"/>
    <s v="Deposit"/>
    <m/>
    <m/>
  </r>
  <r>
    <x v="1"/>
    <d v="2021-08-31T00:00:00"/>
    <s v="BOA20-04032"/>
    <s v="10293720"/>
    <s v="80004032"/>
    <s v="THB"/>
    <n v="0"/>
    <s v="L53/43 &amp; L54/43(O)"/>
    <s v="THB"/>
    <n v="0"/>
    <n v="100"/>
    <n v="0"/>
    <n v="0"/>
    <s v="Thailand"/>
    <s v="JV"/>
    <s v="507A"/>
    <s v="O507A00000"/>
    <s v="BAML"/>
    <s v="Deposit"/>
    <m/>
    <m/>
  </r>
  <r>
    <x v="1"/>
    <d v="2021-08-31T00:00:00"/>
    <s v="BOA21-04040"/>
    <s v="10293730"/>
    <s v="80004040"/>
    <s v="THB"/>
    <n v="0"/>
    <s v="PTTEP 1 (O)"/>
    <s v="THB"/>
    <n v="0"/>
    <n v="100"/>
    <n v="0"/>
    <n v="0"/>
    <s v="Thailand"/>
    <s v="JV"/>
    <s v="501A"/>
    <s v="O501A00000"/>
    <s v="BAML"/>
    <s v="Deposit"/>
    <m/>
    <m/>
  </r>
  <r>
    <x v="1"/>
    <d v="2021-08-31T00:00:00"/>
    <s v="KTB01-C7004"/>
    <s v="10200940"/>
    <s v="0196027004"/>
    <s v="THB"/>
    <n v="17786700.23"/>
    <s v="PTTEPI"/>
    <s v="THB"/>
    <n v="549216.32999999996"/>
    <n v="100"/>
    <n v="17786700.23"/>
    <n v="549216.32999999996"/>
    <s v="Thailand"/>
    <s v="Subsidiary"/>
    <s v="1002"/>
    <s v="C100200000"/>
    <s v="KTB"/>
    <s v="Deposit"/>
    <m/>
    <m/>
  </r>
  <r>
    <x v="1"/>
    <d v="2021-08-31T00:00:00"/>
    <s v="KTB05-S1820"/>
    <s v="10300620"/>
    <s v="800000001820"/>
    <s v="USD"/>
    <n v="3503902.08"/>
    <s v="PTTEPI"/>
    <s v="USD"/>
    <n v="3503902.08"/>
    <n v="100"/>
    <n v="3503902.08"/>
    <n v="3503902.08"/>
    <s v="Thailand"/>
    <s v="Subsidiary"/>
    <s v="1002"/>
    <s v="C100200000"/>
    <s v="KTB"/>
    <s v="Deposit"/>
    <m/>
    <m/>
  </r>
  <r>
    <x v="1"/>
    <d v="2021-08-31T00:00:00"/>
    <s v="OCB01-C1024"/>
    <s v="10203370"/>
    <s v="0010991024"/>
    <s v="USD"/>
    <n v="2867066.46"/>
    <s v="PTTEPI"/>
    <s v="USD"/>
    <n v="2867066.46"/>
    <n v="100"/>
    <n v="2867066.46"/>
    <n v="2867066.46"/>
    <s v="Thailand"/>
    <s v="Subsidiary"/>
    <s v="1002"/>
    <s v="C100200000"/>
    <s v="OCBC"/>
    <s v="Deposit"/>
    <m/>
    <m/>
  </r>
  <r>
    <x v="1"/>
    <d v="2021-08-31T00:00:00"/>
    <s v="OCB02-C1025"/>
    <s v="10203380"/>
    <s v="0010991025"/>
    <s v="USD"/>
    <n v="98417100.5"/>
    <s v="PTTEPI"/>
    <s v="USD"/>
    <n v="98417100.5"/>
    <n v="100"/>
    <n v="98417100.5"/>
    <n v="98417100.5"/>
    <s v="Thailand"/>
    <s v="Subsidiary"/>
    <s v="1002"/>
    <s v="C100200000"/>
    <s v="OCBC"/>
    <s v="Deposit"/>
    <m/>
    <m/>
  </r>
  <r>
    <x v="1"/>
    <d v="2021-08-31T00:00:00"/>
    <s v="OCB03-C1026"/>
    <s v="10203500"/>
    <s v="0010991026"/>
    <s v="USD"/>
    <n v="51694541.869999997"/>
    <s v="PTTEPI"/>
    <s v="USD"/>
    <n v="51694541.869999997"/>
    <n v="100"/>
    <n v="51694541.869999997"/>
    <n v="51694541.869999997"/>
    <s v="Thailand"/>
    <s v="Subsidiary"/>
    <s v="1002"/>
    <s v="C100200000"/>
    <s v="OCBC"/>
    <s v="Deposit"/>
    <m/>
    <m/>
  </r>
  <r>
    <x v="1"/>
    <d v="2021-08-31T00:00:00"/>
    <s v="OCB04-C1028"/>
    <s v="10204000"/>
    <s v="0010991028"/>
    <s v="USD"/>
    <n v="0"/>
    <s v="PTTEPI"/>
    <s v="USD"/>
    <n v="0"/>
    <n v="100"/>
    <n v="0"/>
    <n v="0"/>
    <s v="Thailand"/>
    <s v="Subsidiary"/>
    <s v="1002"/>
    <s v="C100200000"/>
    <s v="OCBC"/>
    <s v="Deposit"/>
    <m/>
    <m/>
  </r>
  <r>
    <x v="1"/>
    <d v="2021-08-31T00:00:00"/>
    <s v="OCB05-C1029"/>
    <s v="10204010"/>
    <s v="0010991029"/>
    <s v="USD"/>
    <n v="0"/>
    <s v="PTTEPI"/>
    <s v="USD"/>
    <n v="0"/>
    <n v="100"/>
    <n v="0"/>
    <n v="0"/>
    <s v="Thailand"/>
    <s v="Subsidiary"/>
    <s v="1002"/>
    <s v="C100200000"/>
    <s v="OCBC"/>
    <s v="Deposit"/>
    <m/>
    <m/>
  </r>
  <r>
    <x v="1"/>
    <d v="2021-08-31T00:00:00"/>
    <s v="OCB06-C1120"/>
    <s v="10204020"/>
    <s v="0010991120"/>
    <s v="USD"/>
    <n v="0"/>
    <s v="PTTEPI"/>
    <s v="USD"/>
    <n v="0"/>
    <n v="100"/>
    <n v="0"/>
    <n v="0"/>
    <s v="Thailand"/>
    <s v="Subsidiary"/>
    <s v="1002"/>
    <s v="C100200000"/>
    <s v="OCBC"/>
    <s v="Deposit"/>
    <m/>
    <m/>
  </r>
  <r>
    <x v="2"/>
    <d v="2021-05-17T00:00:00"/>
    <s v="MIC07-C0028"/>
    <s v="10203210"/>
    <s v="FDP130028"/>
    <s v="USD"/>
    <n v="125"/>
    <s v="Pool Cost for Myanma"/>
    <s v="USD"/>
    <n v="125"/>
    <n v="100"/>
    <n v="125"/>
    <n v="125"/>
    <s v="Myanmar"/>
    <s v="Subsidiary"/>
    <s v="1003"/>
    <s v="C100300001"/>
    <s v="MICB"/>
    <s v="Deposit"/>
    <m/>
    <m/>
  </r>
  <r>
    <x v="2"/>
    <d v="2021-08-31T00:00:00"/>
    <s v="OCB28-C1301"/>
    <s v="10203150"/>
    <s v="503326241301"/>
    <s v="USD"/>
    <n v="1994591.01"/>
    <s v="Pool Cost for Myanma"/>
    <s v="USD"/>
    <n v="1994591.01"/>
    <n v="100"/>
    <n v="1994591.01"/>
    <n v="1994591.01"/>
    <s v="Myanmar"/>
    <s v="Subsidiary"/>
    <s v="1003"/>
    <s v="C100300001"/>
    <s v="OCBC"/>
    <s v="Deposit"/>
    <m/>
    <m/>
  </r>
  <r>
    <x v="2"/>
    <d v="2021-08-31T00:00:00"/>
    <s v="OCB29-S3011"/>
    <s v="10301530"/>
    <s v="0000363011"/>
    <s v="THB"/>
    <n v="3079371.47"/>
    <s v="Pool Cost for Myanma"/>
    <s v="THB"/>
    <n v="95084.59"/>
    <n v="100"/>
    <n v="3079371.47"/>
    <n v="95084.59"/>
    <s v="Myanmar"/>
    <s v="Subsidiary"/>
    <s v="1003"/>
    <s v="C100300001"/>
    <s v="OCBC"/>
    <s v="Deposit"/>
    <m/>
    <m/>
  </r>
  <r>
    <x v="2"/>
    <d v="2021-08-31T00:00:00"/>
    <s v="OCB30-C1023"/>
    <s v="10203160"/>
    <s v="0010991023"/>
    <s v="USD"/>
    <n v="1029695.74"/>
    <s v="Pool Cost for Myanma"/>
    <s v="USD"/>
    <n v="1029695.74"/>
    <n v="100"/>
    <n v="1029695.74"/>
    <n v="1029695.74"/>
    <s v="Myanmar"/>
    <s v="Subsidiary"/>
    <s v="1003"/>
    <s v="C100300001"/>
    <s v="OCBC"/>
    <s v="Deposit"/>
    <m/>
    <m/>
  </r>
  <r>
    <x v="2"/>
    <d v="2021-08-31T00:00:00"/>
    <s v="OCB31-C1013"/>
    <s v="10203170"/>
    <s v="0010991013"/>
    <s v="MMK"/>
    <n v="3972368387"/>
    <s v="Pool Cost for Myanma"/>
    <s v="Other"/>
    <n v="2416371.9900000002"/>
    <n v="100"/>
    <n v="3972368387"/>
    <n v="2416371.9900000002"/>
    <s v="Myanmar"/>
    <s v="Subsidiary"/>
    <s v="1003"/>
    <s v="C100300001"/>
    <s v="OCBC"/>
    <s v="Deposit"/>
    <m/>
    <m/>
  </r>
  <r>
    <x v="2"/>
    <d v="2021-08-31T00:00:00"/>
    <s v="OCB32-C1027"/>
    <s v="10203990"/>
    <s v="0010991027"/>
    <s v="USD"/>
    <n v="0"/>
    <s v="PTTEPI YG"/>
    <s v="USD"/>
    <n v="0"/>
    <n v="100"/>
    <n v="0"/>
    <n v="0"/>
    <s v="Myanmar"/>
    <s v="Subsidiary"/>
    <s v="1003"/>
    <s v="C100300000"/>
    <s v="OCBC"/>
    <s v="Deposit"/>
    <m/>
    <m/>
  </r>
  <r>
    <x v="3"/>
    <d v="2021-08-31T00:00:00"/>
    <s v="BBL01-S4001"/>
    <s v="10301400"/>
    <s v="840101001808508400"/>
    <s v="USD"/>
    <n v="1860302.81"/>
    <s v="PTTEPO"/>
    <s v="USD"/>
    <n v="1860302.81"/>
    <n v="100"/>
    <n v="1860302.81"/>
    <n v="1860302.81"/>
    <s v="Cayman Islands"/>
    <s v="HO"/>
    <s v="1004"/>
    <s v="C100400000"/>
    <s v="BBL"/>
    <s v="Deposit"/>
    <m/>
    <m/>
  </r>
  <r>
    <x v="3"/>
    <d v="2021-08-31T00:00:00"/>
    <s v="BOA01-C8023"/>
    <s v="10201950"/>
    <s v="33348023"/>
    <s v="USD"/>
    <n v="503009.81"/>
    <s v="PTTEPO"/>
    <s v="USD"/>
    <n v="503009.81"/>
    <n v="100"/>
    <n v="503009.81"/>
    <n v="503009.81"/>
    <s v="Cayman Islands"/>
    <s v="HO"/>
    <s v="1004"/>
    <s v="C100400000"/>
    <s v="BAML"/>
    <s v="Deposit"/>
    <m/>
    <m/>
  </r>
  <r>
    <x v="4"/>
    <d v="2021-08-31T00:00:00"/>
    <s v="BOA01-03050"/>
    <s v="10293850"/>
    <s v="80003050"/>
    <s v="USD"/>
    <n v="0"/>
    <s v="PTTEP KV"/>
    <s v="USD"/>
    <n v="0"/>
    <n v="100"/>
    <n v="0"/>
    <n v="0"/>
    <s v="Cayman Islands"/>
    <s v="Subsidiary"/>
    <s v="1005"/>
    <s v="C100500000"/>
    <s v="BAML"/>
    <s v="Deposit"/>
    <m/>
    <m/>
  </r>
  <r>
    <x v="5"/>
    <d v="2021-08-31T00:00:00"/>
    <s v="BOA01-03068"/>
    <s v="10293860"/>
    <s v="80003068"/>
    <s v="USD"/>
    <n v="0"/>
    <s v="PTTEP SV"/>
    <s v="USD"/>
    <n v="0"/>
    <n v="100"/>
    <n v="0"/>
    <n v="0"/>
    <s v="Cayman Islands"/>
    <s v="Subsidiary"/>
    <s v="1006"/>
    <s v="C100600000"/>
    <s v="BAML"/>
    <s v="Deposit"/>
    <m/>
    <m/>
  </r>
  <r>
    <x v="6"/>
    <d v="2021-08-30T00:00:00"/>
    <s v="HSB01-C9375"/>
    <s v="10203640"/>
    <s v="002236099375"/>
    <s v="USD"/>
    <n v="35795586.039999999"/>
    <s v="PTTEP HV"/>
    <s v="USD"/>
    <n v="35795586.039999999"/>
    <n v="100"/>
    <n v="35795586.039999999"/>
    <n v="35795586.039999999"/>
    <s v="Cayman Islands"/>
    <s v="Subsidiary"/>
    <s v="1009"/>
    <s v="C100900000"/>
    <s v="HSBC"/>
    <s v="Deposit"/>
    <m/>
    <m/>
  </r>
  <r>
    <x v="6"/>
    <d v="2021-08-31T00:00:00"/>
    <s v="HSB02-C1001"/>
    <s v="10203650"/>
    <s v="001080571001"/>
    <s v="VND"/>
    <n v="56398704702"/>
    <s v="PTTEP HV"/>
    <s v="Other"/>
    <n v="2472894.27"/>
    <n v="100"/>
    <n v="56398704702"/>
    <n v="2472894.27"/>
    <s v="Cayman Islands"/>
    <s v="Subsidiary"/>
    <s v="1009"/>
    <s v="C100900000"/>
    <s v="HSBC"/>
    <s v="Deposit"/>
    <m/>
    <m/>
  </r>
  <r>
    <x v="6"/>
    <d v="2021-08-31T00:00:00"/>
    <s v="HSB03-D1109"/>
    <s v="10204050"/>
    <s v="001080571109"/>
    <s v="USD"/>
    <n v="0"/>
    <s v="PTTEP HV"/>
    <s v="USD"/>
    <n v="0"/>
    <n v="100"/>
    <n v="0"/>
    <n v="0"/>
    <s v="Cayman Islands"/>
    <s v="Subsidiary"/>
    <s v="1009"/>
    <s v="C100900000"/>
    <s v="HSBC"/>
    <s v="Deposit"/>
    <m/>
    <m/>
  </r>
  <r>
    <x v="6"/>
    <d v="2021-08-30T00:00:00"/>
    <s v="HSB04-D1009"/>
    <s v="10204060"/>
    <s v="001080571009"/>
    <s v="VND"/>
    <n v="0"/>
    <s v="PTTEP HV"/>
    <s v="Other"/>
    <n v="0"/>
    <n v="100"/>
    <n v="0"/>
    <n v="0"/>
    <s v="Cayman Islands"/>
    <s v="Subsidiary"/>
    <s v="1009"/>
    <s v="C100900000"/>
    <s v="HSBC"/>
    <s v="Deposit"/>
    <m/>
    <m/>
  </r>
  <r>
    <x v="7"/>
    <d v="2021-08-30T00:00:00"/>
    <s v="HSB01-C0375"/>
    <s v="10203620"/>
    <s v="002235000375"/>
    <s v="USD"/>
    <n v="40921742.399999999"/>
    <s v="PTTEP HL"/>
    <s v="USD"/>
    <n v="40921742.399999999"/>
    <n v="100"/>
    <n v="40921742.399999999"/>
    <n v="40921742.399999999"/>
    <s v="Cayman Islands"/>
    <s v="Subsidiary"/>
    <s v="1010"/>
    <s v="C101000000"/>
    <s v="HSBC"/>
    <s v="Deposit"/>
    <m/>
    <m/>
  </r>
  <r>
    <x v="7"/>
    <d v="2021-08-31T00:00:00"/>
    <s v="HSB02-C4001"/>
    <s v="10203630"/>
    <s v="001079284001"/>
    <s v="VND"/>
    <n v="49373736775"/>
    <s v="PTTEP HL"/>
    <s v="Other"/>
    <n v="2164872.96"/>
    <n v="100"/>
    <n v="49373736775"/>
    <n v="2164872.96"/>
    <s v="Cayman Islands"/>
    <s v="Subsidiary"/>
    <s v="1010"/>
    <s v="C101000000"/>
    <s v="HSBC"/>
    <s v="Deposit"/>
    <m/>
    <m/>
  </r>
  <r>
    <x v="7"/>
    <d v="2021-08-30T00:00:00"/>
    <s v="HSB03-D4109"/>
    <s v="10204030"/>
    <s v="001079284109"/>
    <s v="USD"/>
    <n v="0"/>
    <s v="PTTEP HL"/>
    <s v="USD"/>
    <n v="0"/>
    <n v="100"/>
    <n v="0"/>
    <n v="0"/>
    <s v="Cayman Islands"/>
    <s v="Subsidiary"/>
    <s v="1010"/>
    <s v="C101000000"/>
    <s v="HSBC"/>
    <s v="Deposit"/>
    <m/>
    <m/>
  </r>
  <r>
    <x v="7"/>
    <d v="2021-08-30T00:00:00"/>
    <s v="HSB04-D4009"/>
    <s v="10204040"/>
    <s v="001079284009"/>
    <s v="VND"/>
    <n v="0"/>
    <s v="PTTEP HL"/>
    <s v="Other"/>
    <n v="0"/>
    <n v="100"/>
    <n v="0"/>
    <n v="0"/>
    <s v="Cayman Islands"/>
    <s v="Subsidiary"/>
    <s v="1010"/>
    <s v="C101000000"/>
    <s v="HSBC"/>
    <s v="Deposit"/>
    <m/>
    <m/>
  </r>
  <r>
    <x v="8"/>
    <d v="2021-08-31T00:00:00"/>
    <s v="BOA01-C2123"/>
    <s v="10202000"/>
    <s v="33352123"/>
    <s v="USD"/>
    <n v="518641.82"/>
    <s v="PTTEP AG"/>
    <s v="USD"/>
    <n v="518641.82"/>
    <n v="100"/>
    <n v="518641.82"/>
    <n v="518641.82"/>
    <s v="Cayman Islands"/>
    <s v="Subsidiary"/>
    <s v="1012"/>
    <s v="C101200000"/>
    <s v="BAML"/>
    <s v="Deposit"/>
    <m/>
    <m/>
  </r>
  <r>
    <x v="8"/>
    <d v="2015-03-30T00:00:00"/>
    <s v="HSB01-C8185"/>
    <s v="10201500"/>
    <s v="002871108185"/>
    <s v="DZD"/>
    <n v="6610227.3200000003"/>
    <s v="PTTEP AG"/>
    <s v="Other"/>
    <n v="48557.79"/>
    <n v="100"/>
    <n v="6610227.3200000003"/>
    <n v="48557.79"/>
    <s v="Cayman Islands"/>
    <s v="Subsidiary"/>
    <s v="1012"/>
    <s v="C101200000"/>
    <s v="HSBC"/>
    <s v="Deposit"/>
    <m/>
    <m/>
  </r>
  <r>
    <x v="9"/>
    <d v="2021-08-31T00:00:00"/>
    <s v="BOA01-C7141"/>
    <s v="10202010"/>
    <s v="33337141"/>
    <s v="THB"/>
    <n v="0"/>
    <s v="PTTEP Services"/>
    <s v="THB"/>
    <n v="0"/>
    <n v="100"/>
    <n v="0"/>
    <n v="0"/>
    <s v="Thailand"/>
    <s v="HO"/>
    <s v="1013"/>
    <s v="C101300000"/>
    <s v="BAML"/>
    <s v="Deposit"/>
    <m/>
    <m/>
  </r>
  <r>
    <x v="9"/>
    <d v="2021-08-31T00:00:00"/>
    <s v="KTB01-C9496"/>
    <s v="10200870"/>
    <s v="0196059496"/>
    <s v="THB"/>
    <n v="2176758.06"/>
    <s v="PTTEP Services"/>
    <s v="THB"/>
    <n v="67213.759999999995"/>
    <n v="100"/>
    <n v="2176758.06"/>
    <n v="67213.759999999995"/>
    <s v="Thailand"/>
    <s v="HO"/>
    <s v="1013"/>
    <s v="C101300000"/>
    <s v="KTB"/>
    <s v="Deposit"/>
    <m/>
    <m/>
  </r>
  <r>
    <x v="10"/>
    <d v="2021-08-31T00:00:00"/>
    <s v="BOA04-C5301"/>
    <s v="10202050"/>
    <s v="33335301"/>
    <s v="THB"/>
    <n v="1408750038.8199999"/>
    <s v="PTTEPS"/>
    <s v="THB"/>
    <n v="43499272.479999997"/>
    <n v="100"/>
    <n v="1408750038.8199999"/>
    <n v="43499272.479999997"/>
    <s v="Thailand"/>
    <s v="Subsidiary"/>
    <s v="1015"/>
    <s v="C101500000"/>
    <s v="BAML"/>
    <s v="Deposit"/>
    <m/>
    <m/>
  </r>
  <r>
    <x v="10"/>
    <d v="2021-08-31T00:00:00"/>
    <s v="BOA05-C5351"/>
    <s v="10202060"/>
    <s v="33335351"/>
    <s v="THB"/>
    <n v="0"/>
    <s v="S1:100% (O)"/>
    <s v="THB"/>
    <n v="0"/>
    <n v="100"/>
    <n v="0"/>
    <n v="0"/>
    <s v="Thailand"/>
    <s v="JV"/>
    <s v="500A"/>
    <s v="O500A00000"/>
    <s v="BAML"/>
    <s v="Deposit"/>
    <m/>
    <m/>
  </r>
  <r>
    <x v="10"/>
    <d v="2021-08-31T00:00:00"/>
    <s v="BOA08-C5591"/>
    <s v="10203460"/>
    <s v="33335591"/>
    <s v="THB"/>
    <n v="0"/>
    <s v="B6/27:100%Sole(O)"/>
    <s v="THB"/>
    <n v="0"/>
    <n v="100"/>
    <n v="0"/>
    <n v="0"/>
    <s v="Thailand"/>
    <s v="JV"/>
    <s v="503C"/>
    <s v="O503C00000"/>
    <s v="BAML"/>
    <s v="Deposit"/>
    <m/>
    <m/>
  </r>
  <r>
    <x v="10"/>
    <d v="2021-08-31T00:00:00"/>
    <s v="BOA09-C5608"/>
    <s v="10203940"/>
    <s v="33335608"/>
    <s v="USD"/>
    <n v="147880428.27000001"/>
    <s v="PTTEPS"/>
    <s v="USD"/>
    <n v="147880428.27000001"/>
    <n v="100"/>
    <n v="147880428.27000001"/>
    <n v="147880428.27000001"/>
    <s v="Thailand"/>
    <s v="Subsidiary"/>
    <s v="1015"/>
    <s v="C101500000"/>
    <s v="BAML"/>
    <s v="Deposit"/>
    <m/>
    <m/>
  </r>
  <r>
    <x v="10"/>
    <d v="2020-02-13T00:00:00"/>
    <s v="KB01-S0886"/>
    <s v="10300900"/>
    <s v="7992640886"/>
    <s v="THB"/>
    <n v="0"/>
    <s v="PTTEPS"/>
    <s v="THB"/>
    <n v="0"/>
    <n v="100"/>
    <n v="0"/>
    <n v="0"/>
    <s v="Thailand"/>
    <s v="Subsidiary"/>
    <s v="1015"/>
    <s v="C101500000"/>
    <s v="KBANK"/>
    <s v="Deposit"/>
    <m/>
    <m/>
  </r>
  <r>
    <x v="10"/>
    <d v="2021-08-31T00:00:00"/>
    <s v="KTB01-C9198"/>
    <s v="10201000"/>
    <s v="0006059198"/>
    <s v="THB"/>
    <n v="5976461.0099999998"/>
    <s v="PTTEPS"/>
    <s v="THB"/>
    <n v="184540.69"/>
    <n v="100"/>
    <n v="5976461.0099999998"/>
    <n v="184540.69"/>
    <s v="Thailand"/>
    <s v="Subsidiary"/>
    <s v="1015"/>
    <s v="C101500000"/>
    <s v="KTB"/>
    <s v="Deposit"/>
    <m/>
    <m/>
  </r>
  <r>
    <x v="10"/>
    <d v="2021-08-31T00:00:00"/>
    <s v="KTB04-C0664"/>
    <s v="10201050"/>
    <s v="0196060664"/>
    <s v="THB"/>
    <n v="3736154.33"/>
    <s v="S1:100% (O)"/>
    <s v="THB"/>
    <n v="115364.68"/>
    <n v="100"/>
    <n v="3736154.33"/>
    <n v="115364.68"/>
    <s v="Thailand"/>
    <s v="JV"/>
    <s v="500A"/>
    <s v="O500A00000"/>
    <s v="KTB"/>
    <s v="Deposit"/>
    <m/>
    <m/>
  </r>
  <r>
    <x v="10"/>
    <d v="2021-08-31T00:00:00"/>
    <s v="KTB09-C8404"/>
    <s v="10201040"/>
    <s v="6346008404"/>
    <s v="THB"/>
    <n v="8803937.0800000001"/>
    <s v="S1:100% (O)"/>
    <s v="THB"/>
    <n v="271847.27"/>
    <n v="100"/>
    <n v="8803937.0800000001"/>
    <n v="271847.27"/>
    <s v="Thailand"/>
    <s v="JV"/>
    <s v="500A"/>
    <s v="O500A00000"/>
    <s v="KTB"/>
    <s v="Deposit"/>
    <m/>
    <m/>
  </r>
  <r>
    <x v="11"/>
    <d v="2021-08-31T00:00:00"/>
    <s v="BOA01-C8131"/>
    <s v="10202090"/>
    <s v="33338131"/>
    <s v="THB"/>
    <n v="1157752512.9300001"/>
    <s v="Orange"/>
    <s v="THB"/>
    <n v="35748990.689999998"/>
    <n v="53.949599999999997"/>
    <n v="624602849.72000003"/>
    <n v="19286437.48"/>
    <s v="Thailand"/>
    <s v="JV"/>
    <s v="1017"/>
    <s v="C101700000"/>
    <s v="BAML"/>
    <s v="Deposit"/>
    <m/>
    <m/>
  </r>
  <r>
    <x v="11"/>
    <d v="2021-08-31T00:00:00"/>
    <s v="BOA04-C8123"/>
    <s v="10202120"/>
    <s v="33338123"/>
    <s v="USD"/>
    <n v="32238320.629999999"/>
    <s v="Orange"/>
    <s v="USD"/>
    <n v="32238320.629999999"/>
    <n v="53.949599999999997"/>
    <n v="17392445.030000001"/>
    <n v="17392445.030000001"/>
    <s v="Thailand"/>
    <s v="JV"/>
    <s v="1017"/>
    <s v="C101700000"/>
    <s v="BAML"/>
    <s v="Deposit"/>
    <m/>
    <m/>
  </r>
  <r>
    <x v="12"/>
    <d v="2021-08-31T00:00:00"/>
    <s v="BOA01-03076"/>
    <s v="10293870"/>
    <s v="80003076"/>
    <s v="USD"/>
    <n v="0"/>
    <s v="PTTEPH"/>
    <s v="USD"/>
    <n v="0"/>
    <n v="100"/>
    <n v="0"/>
    <n v="0"/>
    <s v="Cayman Islands"/>
    <s v="Subsidiary"/>
    <s v="1022"/>
    <s v="C102200000"/>
    <s v="BAML"/>
    <s v="Deposit"/>
    <m/>
    <m/>
  </r>
  <r>
    <x v="13"/>
    <d v="2021-08-31T00:00:00"/>
    <s v="BOA01-03084"/>
    <s v="10293880"/>
    <s v="80003084"/>
    <s v="USD"/>
    <n v="0"/>
    <s v="PTTEP ID"/>
    <s v="USD"/>
    <n v="0"/>
    <n v="100"/>
    <n v="0"/>
    <n v="0"/>
    <s v="Cayman Islands"/>
    <s v="Subsidiary"/>
    <s v="1023"/>
    <s v="C102300000"/>
    <s v="BAML"/>
    <s v="Deposit"/>
    <m/>
    <m/>
  </r>
  <r>
    <x v="14"/>
    <d v="2021-08-31T00:00:00"/>
    <s v="BOA03-03208"/>
    <s v="10293990"/>
    <s v="80003208"/>
    <s v="USD"/>
    <n v="0"/>
    <s v="PTTEP AI"/>
    <s v="USD"/>
    <n v="0"/>
    <n v="100"/>
    <n v="0"/>
    <n v="0"/>
    <s v="Cayman Islands"/>
    <s v="Subsidiary"/>
    <s v="1029"/>
    <s v="C102900000"/>
    <s v="BAML"/>
    <s v="Deposit"/>
    <m/>
    <m/>
  </r>
  <r>
    <x v="15"/>
    <d v="2021-08-31T00:00:00"/>
    <s v="KTB01-C6867"/>
    <s v="10203420"/>
    <s v="0196066867"/>
    <s v="THB"/>
    <n v="35447101.899999999"/>
    <s v="PTTEP SA"/>
    <s v="THB"/>
    <n v="1094532.81"/>
    <n v="100"/>
    <n v="35447101.899999999"/>
    <n v="1094532.81"/>
    <s v="Cayman Islands"/>
    <s v="Subsidiary"/>
    <s v="1033"/>
    <s v="C103300000"/>
    <s v="KTB"/>
    <s v="Deposit"/>
    <m/>
    <m/>
  </r>
  <r>
    <x v="15"/>
    <d v="2021-05-12T00:00:00"/>
    <s v="MIC03-C0007"/>
    <s v="10202400"/>
    <s v="DKP420007"/>
    <s v="MMK"/>
    <n v="0"/>
    <s v="Myanmar MD7 (O)"/>
    <s v="Other"/>
    <n v="0"/>
    <n v="50"/>
    <n v="0"/>
    <n v="0"/>
    <s v="Cayman Islands"/>
    <s v="JV"/>
    <s v="554A"/>
    <s v="O554A00000"/>
    <s v="MICB"/>
    <s v="Deposit"/>
    <m/>
    <m/>
  </r>
  <r>
    <x v="15"/>
    <d v="2021-06-29T00:00:00"/>
    <s v="MIC04-C0021"/>
    <s v="10202500"/>
    <s v="FDP130021"/>
    <s v="USD"/>
    <n v="0"/>
    <s v="Myanmar MD7 (O)"/>
    <s v="USD"/>
    <n v="0"/>
    <n v="50"/>
    <n v="0"/>
    <n v="0"/>
    <s v="Cayman Islands"/>
    <s v="JV"/>
    <s v="554A"/>
    <s v="O554A00000"/>
    <s v="MICB"/>
    <s v="Deposit"/>
    <m/>
    <m/>
  </r>
  <r>
    <x v="15"/>
    <d v="2021-06-29T00:00:00"/>
    <s v="MIC05-C0024"/>
    <s v="10202530"/>
    <s v="FDP130024"/>
    <s v="USD"/>
    <n v="0"/>
    <s v="Myanmar MOGE-3 (O)"/>
    <s v="USD"/>
    <n v="0"/>
    <n v="79.473684000000006"/>
    <n v="0"/>
    <n v="0"/>
    <s v="Cayman Islands"/>
    <s v="JV"/>
    <s v="558A"/>
    <s v="O558A00000"/>
    <s v="MICB"/>
    <s v="Deposit"/>
    <m/>
    <m/>
  </r>
  <r>
    <x v="15"/>
    <d v="2020-08-14T00:00:00"/>
    <s v="MIC06-C0008"/>
    <s v="10202540"/>
    <s v="DKP420008"/>
    <s v="MMK"/>
    <n v="14700"/>
    <s v="Myanmar MOGE-3 (O)"/>
    <s v="Other"/>
    <n v="8.94"/>
    <n v="79.473684000000006"/>
    <n v="11683"/>
    <n v="7.1"/>
    <s v="Cayman Islands"/>
    <s v="JV"/>
    <s v="558A"/>
    <s v="O558A00000"/>
    <s v="MICB"/>
    <s v="Deposit"/>
    <m/>
    <m/>
  </r>
  <r>
    <x v="15"/>
    <d v="2021-08-31T00:00:00"/>
    <s v="OCB18-C3301"/>
    <s v="10203010"/>
    <s v="503276073301"/>
    <s v="USD"/>
    <n v="57051.360000000001"/>
    <s v="Myanmar MD7 (O)"/>
    <s v="USD"/>
    <n v="57051.360000000001"/>
    <n v="50"/>
    <n v="28525.68"/>
    <n v="28525.68"/>
    <s v="Cayman Islands"/>
    <s v="JV"/>
    <s v="554A"/>
    <s v="O554A00000"/>
    <s v="OCBC"/>
    <s v="Deposit"/>
    <m/>
    <m/>
  </r>
  <r>
    <x v="15"/>
    <d v="2021-08-31T00:00:00"/>
    <s v="OCB19-C1022"/>
    <s v="10203020"/>
    <s v="0012221022"/>
    <s v="USD"/>
    <n v="2696.4"/>
    <s v="Myanmar MD7 (O)"/>
    <s v="USD"/>
    <n v="2696.4"/>
    <n v="50"/>
    <n v="1348.2"/>
    <n v="1348.2"/>
    <s v="Cayman Islands"/>
    <s v="JV"/>
    <s v="554A"/>
    <s v="O554A00000"/>
    <s v="OCBC"/>
    <s v="Deposit"/>
    <m/>
    <m/>
  </r>
  <r>
    <x v="15"/>
    <d v="2021-08-31T00:00:00"/>
    <s v="OCB20-C1012"/>
    <s v="10203030"/>
    <s v="0012221012"/>
    <s v="MMK"/>
    <n v="424589836"/>
    <s v="Myanmar MD7 (O)"/>
    <s v="Other"/>
    <n v="258275.89"/>
    <n v="50"/>
    <n v="212294918"/>
    <n v="129137.95"/>
    <s v="Cayman Islands"/>
    <s v="JV"/>
    <s v="554A"/>
    <s v="O554A00000"/>
    <s v="OCBC"/>
    <s v="Deposit"/>
    <m/>
    <m/>
  </r>
  <r>
    <x v="15"/>
    <d v="2021-08-31T00:00:00"/>
    <s v="OCB21-C1301"/>
    <s v="10203040"/>
    <s v="503276081301"/>
    <s v="USD"/>
    <n v="85546.22"/>
    <s v="Myanmar MOGE-3 (O)"/>
    <s v="USD"/>
    <n v="85546.22"/>
    <n v="79.473684000000006"/>
    <n v="67986.73"/>
    <n v="67986.73"/>
    <s v="Cayman Islands"/>
    <s v="JV"/>
    <s v="558A"/>
    <s v="O558A00000"/>
    <s v="OCBC"/>
    <s v="Deposit"/>
    <m/>
    <m/>
  </r>
  <r>
    <x v="15"/>
    <d v="2021-08-31T00:00:00"/>
    <s v="OCB22-C1023"/>
    <s v="10203050"/>
    <s v="0012221023"/>
    <s v="USD"/>
    <n v="14333.63"/>
    <s v="Myanmar MOGE-3 (O)"/>
    <s v="USD"/>
    <n v="14333.63"/>
    <n v="79.473684000000006"/>
    <n v="11391.46"/>
    <n v="11391.46"/>
    <s v="Cayman Islands"/>
    <s v="JV"/>
    <s v="558A"/>
    <s v="O558A00000"/>
    <s v="OCBC"/>
    <s v="Deposit"/>
    <m/>
    <m/>
  </r>
  <r>
    <x v="15"/>
    <d v="2021-08-31T00:00:00"/>
    <s v="OCB23-C1013"/>
    <s v="10203060"/>
    <s v="0012221013"/>
    <s v="MMK"/>
    <n v="904588155"/>
    <s v="Myanmar MOGE-3 (O)"/>
    <s v="Other"/>
    <n v="550256.49"/>
    <n v="79.473684000000006"/>
    <n v="718909532"/>
    <n v="437309.1"/>
    <s v="Cayman Islands"/>
    <s v="JV"/>
    <s v="558A"/>
    <s v="O558A00000"/>
    <s v="OCBC"/>
    <s v="Deposit"/>
    <m/>
    <m/>
  </r>
  <r>
    <x v="15"/>
    <d v="2021-08-31T00:00:00"/>
    <s v="OCB24-C1024"/>
    <s v="10203510"/>
    <s v="0012221024"/>
    <s v="USD"/>
    <n v="151458.4"/>
    <s v="PTTEP SA"/>
    <s v="USD"/>
    <n v="151458.4"/>
    <n v="100"/>
    <n v="151458.4"/>
    <n v="151458.4"/>
    <s v="Cayman Islands"/>
    <s v="Subsidiary"/>
    <s v="1033"/>
    <s v="C103300000"/>
    <s v="OCBC"/>
    <s v="Deposit"/>
    <m/>
    <m/>
  </r>
  <r>
    <x v="15"/>
    <d v="2021-08-31T00:00:00"/>
    <s v="OCB32-S3060"/>
    <s v="10301550"/>
    <s v="0012393060"/>
    <s v="USD"/>
    <n v="7026020.4000000004"/>
    <s v="PTTEP SA"/>
    <s v="USD"/>
    <n v="7026020.4000000004"/>
    <n v="100"/>
    <n v="7026020.4000000004"/>
    <n v="7026020.4000000004"/>
    <s v="Cayman Islands"/>
    <s v="Subsidiary"/>
    <s v="1033"/>
    <s v="C103300000"/>
    <s v="OCBC"/>
    <s v="Deposit"/>
    <m/>
    <m/>
  </r>
  <r>
    <x v="16"/>
    <d v="2021-06-29T00:00:00"/>
    <s v="MIC01-C0063"/>
    <s v="10200540"/>
    <s v="FDA150063"/>
    <s v="USD"/>
    <n v="0"/>
    <s v="ATL:Asset"/>
    <s v="USD"/>
    <n v="0"/>
    <n v="80"/>
    <n v="0"/>
    <n v="0"/>
    <s v="Cayman Islands"/>
    <s v="JV"/>
    <s v="1038"/>
    <s v="C103800000"/>
    <s v="MICB"/>
    <s v="Deposit"/>
    <m/>
    <m/>
  </r>
  <r>
    <x v="16"/>
    <d v="2021-06-01T00:00:00"/>
    <s v="MIC02-C0003"/>
    <s v="10201530"/>
    <s v="DKA420003"/>
    <s v="MMK"/>
    <n v="0"/>
    <s v="ATL:Asset"/>
    <s v="Other"/>
    <n v="0"/>
    <n v="80"/>
    <n v="0"/>
    <n v="0"/>
    <s v="Cayman Islands"/>
    <s v="JV"/>
    <s v="1038"/>
    <s v="C103800000"/>
    <s v="MICB"/>
    <s v="Deposit"/>
    <m/>
    <m/>
  </r>
  <r>
    <x v="16"/>
    <d v="2021-08-31T00:00:00"/>
    <s v="OCB24-C9301"/>
    <s v="10203070"/>
    <s v="503276099301"/>
    <s v="USD"/>
    <n v="34821173.149999999"/>
    <s v="ATL:Asset"/>
    <s v="USD"/>
    <n v="34821173.149999999"/>
    <n v="80"/>
    <n v="27856938.52"/>
    <n v="27856938.52"/>
    <s v="Cayman Islands"/>
    <s v="JV"/>
    <s v="1038"/>
    <s v="C103800000"/>
    <s v="OCBC"/>
    <s v="Deposit"/>
    <m/>
    <m/>
  </r>
  <r>
    <x v="16"/>
    <d v="2021-08-31T00:00:00"/>
    <s v="OCB25-S3010"/>
    <s v="10301440"/>
    <s v="0012403010"/>
    <s v="THB"/>
    <n v="2412650.73"/>
    <s v="ATL:Asset"/>
    <s v="THB"/>
    <n v="74497.64"/>
    <n v="80"/>
    <n v="1930120.58"/>
    <n v="59598.11"/>
    <s v="Cayman Islands"/>
    <s v="JV"/>
    <s v="1038"/>
    <s v="C103800000"/>
    <s v="OCBC"/>
    <s v="Deposit"/>
    <m/>
    <m/>
  </r>
  <r>
    <x v="16"/>
    <d v="2021-08-31T00:00:00"/>
    <s v="OCB26-C1020"/>
    <s v="10203080"/>
    <s v="0013881020"/>
    <s v="USD"/>
    <n v="458850.73"/>
    <s v="ATL:Asset"/>
    <s v="USD"/>
    <n v="458850.73"/>
    <n v="80"/>
    <n v="367080.58"/>
    <n v="367080.58"/>
    <s v="Cayman Islands"/>
    <s v="JV"/>
    <s v="1038"/>
    <s v="C103800000"/>
    <s v="OCBC"/>
    <s v="Deposit"/>
    <m/>
    <m/>
  </r>
  <r>
    <x v="16"/>
    <d v="2021-08-31T00:00:00"/>
    <s v="OCB27-C1010"/>
    <s v="10203090"/>
    <s v="0013881010"/>
    <s v="MMK"/>
    <n v="151625141"/>
    <s v="ATL:Asset"/>
    <s v="Other"/>
    <n v="92232.82"/>
    <n v="80"/>
    <n v="121300113"/>
    <n v="73786.259999999995"/>
    <s v="Cayman Islands"/>
    <s v="JV"/>
    <s v="1038"/>
    <s v="C103800000"/>
    <s v="OCBC"/>
    <s v="Deposit"/>
    <m/>
    <m/>
  </r>
  <r>
    <x v="17"/>
    <d v="2021-08-31T00:00:00"/>
    <s v="BOA01-03109"/>
    <s v="10293900"/>
    <s v="80003109"/>
    <s v="USD"/>
    <n v="0"/>
    <s v="PTTEP IH"/>
    <s v="USD"/>
    <n v="0"/>
    <n v="100"/>
    <n v="0"/>
    <n v="0"/>
    <s v="Cayman Islands"/>
    <s v="Subsidiary"/>
    <s v="1040"/>
    <s v="C104000000"/>
    <s v="BAML"/>
    <s v="Deposit"/>
    <m/>
    <m/>
  </r>
  <r>
    <x v="18"/>
    <d v="2021-08-31T00:00:00"/>
    <s v="BOA01-03042"/>
    <s v="10293840"/>
    <s v="80003042"/>
    <s v="USD"/>
    <n v="0"/>
    <s v="PTTEP SVPC"/>
    <s v="USD"/>
    <n v="0"/>
    <n v="100"/>
    <n v="0"/>
    <n v="0"/>
    <s v="Cayman Islands"/>
    <s v="Subsidiary"/>
    <s v="1041"/>
    <s v="C104100000"/>
    <s v="BAML"/>
    <s v="Deposit"/>
    <m/>
    <m/>
  </r>
  <r>
    <x v="18"/>
    <d v="2021-08-30T00:00:00"/>
    <s v="HSB01-D0109"/>
    <s v="10203660"/>
    <s v="001111830109"/>
    <s v="USD"/>
    <n v="0"/>
    <s v="PTTEP SVPC"/>
    <s v="USD"/>
    <n v="0"/>
    <n v="100"/>
    <n v="0"/>
    <n v="0"/>
    <s v="Cayman Islands"/>
    <s v="Subsidiary"/>
    <s v="1041"/>
    <s v="C104100000"/>
    <s v="HSBC"/>
    <s v="Deposit"/>
    <m/>
    <m/>
  </r>
  <r>
    <x v="18"/>
    <d v="2021-08-30T00:00:00"/>
    <s v="HSB02-C0001"/>
    <s v="10203670"/>
    <s v="001111830001"/>
    <s v="VND"/>
    <n v="6255687568"/>
    <s v="PTTEP SVPC"/>
    <s v="Other"/>
    <n v="274290.94"/>
    <n v="100"/>
    <n v="6255687568"/>
    <n v="274290.94"/>
    <s v="Cayman Islands"/>
    <s v="Subsidiary"/>
    <s v="1041"/>
    <s v="C104100000"/>
    <s v="HSBC"/>
    <s v="Deposit"/>
    <m/>
    <m/>
  </r>
  <r>
    <x v="18"/>
    <d v="2021-08-30T00:00:00"/>
    <s v="HSB03-C8001"/>
    <s v="10204100"/>
    <s v="001323898001"/>
    <s v="VND"/>
    <n v="2989739200"/>
    <s v="PTTEP SVPC"/>
    <s v="Other"/>
    <n v="131090.04999999999"/>
    <n v="100"/>
    <n v="2989739200"/>
    <n v="131090.04999999999"/>
    <s v="Cayman Islands"/>
    <s v="Subsidiary"/>
    <s v="1041"/>
    <s v="C104100000"/>
    <s v="HSBC"/>
    <s v="Deposit"/>
    <m/>
    <m/>
  </r>
  <r>
    <x v="19"/>
    <d v="2021-08-31T00:00:00"/>
    <s v="BOA01-03167"/>
    <s v="10293970"/>
    <s v="80003167"/>
    <s v="USD"/>
    <n v="0"/>
    <s v="PTTEP FH"/>
    <s v="USD"/>
    <n v="0"/>
    <n v="100"/>
    <n v="0"/>
    <n v="0"/>
    <s v="Hong Kong"/>
    <s v="Subsidiary"/>
    <s v="1042"/>
    <s v="C104200000"/>
    <s v="BAML"/>
    <s v="Deposit"/>
    <m/>
    <m/>
  </r>
  <r>
    <x v="20"/>
    <d v="2021-08-31T00:00:00"/>
    <s v="BOA01-03117"/>
    <s v="10293910"/>
    <s v="80003117"/>
    <s v="USD"/>
    <n v="0"/>
    <s v="PTTEP SS"/>
    <s v="USD"/>
    <n v="0"/>
    <n v="100"/>
    <n v="0"/>
    <n v="0"/>
    <s v="Cayman Islands"/>
    <s v="Subsidiary"/>
    <s v="1043"/>
    <s v="C104300000"/>
    <s v="BAML"/>
    <s v="Deposit"/>
    <m/>
    <m/>
  </r>
  <r>
    <x v="20"/>
    <d v="2021-08-30T00:00:00"/>
    <s v="HSB01-C0068"/>
    <s v="10203590"/>
    <s v="050276690068"/>
    <s v="IDR"/>
    <n v="269098715"/>
    <s v="PTTEP SS"/>
    <s v="Other"/>
    <n v="18819.11"/>
    <n v="100"/>
    <n v="269098715"/>
    <n v="18819.11"/>
    <s v="Cayman Islands"/>
    <s v="Subsidiary"/>
    <s v="1043"/>
    <s v="C104300000"/>
    <s v="HSBC"/>
    <s v="Deposit"/>
    <m/>
    <m/>
  </r>
  <r>
    <x v="21"/>
    <d v="2021-08-31T00:00:00"/>
    <s v="BOA02-03133"/>
    <s v="10293930"/>
    <s v="80003133"/>
    <s v="USD"/>
    <n v="0"/>
    <s v="PTTEP NL"/>
    <s v="USD"/>
    <n v="0"/>
    <n v="100"/>
    <n v="0"/>
    <n v="0"/>
    <s v="Cayman Islands"/>
    <s v="Subsidiary"/>
    <s v="1046"/>
    <s v="C104600000"/>
    <s v="BAML"/>
    <s v="Deposit"/>
    <m/>
    <m/>
  </r>
  <r>
    <x v="22"/>
    <d v="2021-08-31T00:00:00"/>
    <s v="BOA02-03018"/>
    <s v="10293770"/>
    <s v="80003018"/>
    <s v="USD"/>
    <n v="0"/>
    <s v="JV Marine"/>
    <s v="USD"/>
    <n v="0"/>
    <n v="100"/>
    <n v="0"/>
    <n v="0"/>
    <s v="Cayman Islands"/>
    <s v="Subsidiary"/>
    <s v="1047"/>
    <s v="C104700000"/>
    <s v="BAML"/>
    <s v="Deposit"/>
    <m/>
    <m/>
  </r>
  <r>
    <x v="23"/>
    <d v="2021-08-31T00:00:00"/>
    <s v="CIT01-C8704"/>
    <s v="10203300"/>
    <s v="0266008704"/>
    <s v="EUR"/>
    <n v="22425.3"/>
    <s v="PTTEP NC"/>
    <s v="Other"/>
    <n v="26482.97"/>
    <n v="100"/>
    <n v="22425.3"/>
    <n v="26482.97"/>
    <s v="Cayman Islands"/>
    <s v="Subsidiary"/>
    <s v="1049"/>
    <s v="C104900000"/>
    <s v="CITI"/>
    <s v="Deposit"/>
    <m/>
    <m/>
  </r>
  <r>
    <x v="23"/>
    <d v="2021-08-30T00:00:00"/>
    <s v="HSB01-C5375"/>
    <s v="10202750"/>
    <s v="002219475375"/>
    <s v="USD"/>
    <n v="134258.16"/>
    <s v="PTTEP NC"/>
    <s v="USD"/>
    <n v="134258.16"/>
    <n v="100"/>
    <n v="134258.16"/>
    <n v="134258.16"/>
    <s v="Cayman Islands"/>
    <s v="Subsidiary"/>
    <s v="1049"/>
    <s v="C104900000"/>
    <s v="HSBC"/>
    <s v="Deposit"/>
    <m/>
    <m/>
  </r>
  <r>
    <x v="24"/>
    <d v="2021-08-30T00:00:00"/>
    <s v="HSB01-C2001"/>
    <s v="10200720"/>
    <s v="029021332001"/>
    <s v="CAD"/>
    <n v="1263873.2"/>
    <s v="PTTEP CA"/>
    <s v="Other"/>
    <n v="1002675.63"/>
    <n v="100"/>
    <n v="1263873.2"/>
    <n v="1002675.63"/>
    <s v="Canada"/>
    <s v="Subsidiary"/>
    <s v="1050"/>
    <s v="C105000000"/>
    <s v="HSBC"/>
    <s v="Deposit"/>
    <m/>
    <m/>
  </r>
  <r>
    <x v="24"/>
    <d v="2021-08-30T00:00:00"/>
    <s v="HSB03-C2070"/>
    <s v="10201440"/>
    <s v="029021332070"/>
    <s v="USD"/>
    <n v="4941873.2"/>
    <s v="PTTEP CA"/>
    <s v="USD"/>
    <n v="4941873.2"/>
    <n v="100"/>
    <n v="4941873.2"/>
    <n v="4941873.2"/>
    <s v="Canada"/>
    <s v="Subsidiary"/>
    <s v="1050"/>
    <s v="C105000000"/>
    <s v="HSBC"/>
    <s v="Deposit"/>
    <m/>
    <m/>
  </r>
  <r>
    <x v="25"/>
    <d v="2021-08-31T00:00:00"/>
    <s v="BOA01-03141"/>
    <s v="10293940"/>
    <s v="80003141"/>
    <s v="USD"/>
    <n v="0"/>
    <s v="PTTEP ML"/>
    <s v="USD"/>
    <n v="0"/>
    <n v="100"/>
    <n v="0"/>
    <n v="0"/>
    <s v="Cayman Islands"/>
    <s v="Subsidiary"/>
    <s v="1051"/>
    <s v="C105100000"/>
    <s v="BAML"/>
    <s v="Deposit"/>
    <m/>
    <m/>
  </r>
  <r>
    <x v="25"/>
    <d v="2021-08-30T00:00:00"/>
    <s v="HSB01-C0068"/>
    <s v="10200780"/>
    <s v="050196880068"/>
    <s v="IDR"/>
    <n v="1408997884"/>
    <s v="PTTEP ML-MRO"/>
    <s v="Other"/>
    <n v="98536.66"/>
    <n v="100"/>
    <n v="1408997884"/>
    <n v="98536.66"/>
    <s v="Cayman Islands"/>
    <s v="Subsidiary"/>
    <s v="1051"/>
    <s v="C105100001"/>
    <s v="HSBC"/>
    <s v="Deposit"/>
    <m/>
    <m/>
  </r>
  <r>
    <x v="25"/>
    <d v="2021-08-30T00:00:00"/>
    <s v="HSB02-S0115"/>
    <s v="10300800"/>
    <s v="050196880115"/>
    <s v="USD"/>
    <n v="808578.84"/>
    <s v="PTTEP ML-MRO"/>
    <s v="USD"/>
    <n v="808578.84"/>
    <n v="100"/>
    <n v="808578.84"/>
    <n v="808578.84"/>
    <s v="Cayman Islands"/>
    <s v="Subsidiary"/>
    <s v="1051"/>
    <s v="C105100001"/>
    <s v="HSBC"/>
    <s v="Deposit"/>
    <m/>
    <m/>
  </r>
  <r>
    <x v="26"/>
    <d v="2021-08-31T00:00:00"/>
    <s v="BOA01-03159"/>
    <s v="10293950"/>
    <s v="80003159"/>
    <s v="USD"/>
    <n v="0"/>
    <s v="PTTEP SMD"/>
    <s v="USD"/>
    <n v="0"/>
    <n v="100"/>
    <n v="0"/>
    <n v="0"/>
    <s v="Cayman Islands"/>
    <s v="Subsidiary"/>
    <s v="1052"/>
    <s v="C105200000"/>
    <s v="BAML"/>
    <s v="Deposit"/>
    <m/>
    <m/>
  </r>
  <r>
    <x v="26"/>
    <d v="2021-08-30T00:00:00"/>
    <s v="HSB01-C2068"/>
    <s v="10200840"/>
    <s v="050196872068"/>
    <s v="IDR"/>
    <n v="0"/>
    <s v="South Mandar (O)"/>
    <s v="Other"/>
    <n v="0"/>
    <n v="50.746299999999998"/>
    <n v="0"/>
    <n v="0"/>
    <s v="Cayman Islands"/>
    <s v="JV"/>
    <s v="536B"/>
    <s v="O536B00000"/>
    <s v="HSBC"/>
    <s v="Deposit"/>
    <m/>
    <m/>
  </r>
  <r>
    <x v="26"/>
    <d v="2021-08-30T00:00:00"/>
    <s v="HSB02-S2115"/>
    <s v="10300810"/>
    <s v="050196872115"/>
    <s v="USD"/>
    <n v="0"/>
    <s v="South Mandar (O)"/>
    <s v="USD"/>
    <n v="0"/>
    <n v="50.746299999999998"/>
    <n v="0"/>
    <n v="0"/>
    <s v="Cayman Islands"/>
    <s v="JV"/>
    <s v="536B"/>
    <s v="O536B00000"/>
    <s v="HSBC"/>
    <s v="Deposit"/>
    <m/>
    <m/>
  </r>
  <r>
    <x v="27"/>
    <d v="2021-08-30T00:00:00"/>
    <s v="HSB01-C8001"/>
    <s v="10201320"/>
    <s v="029054028001"/>
    <s v="CAD"/>
    <n v="27507.19"/>
    <s v="CIF"/>
    <s v="Other"/>
    <n v="21822.43"/>
    <n v="100"/>
    <n v="27507.19"/>
    <n v="21822.43"/>
    <s v="Canada"/>
    <s v="Subsidiary"/>
    <s v="1053"/>
    <s v="C105300000"/>
    <s v="HSBC"/>
    <s v="Deposit"/>
    <m/>
    <m/>
  </r>
  <r>
    <x v="27"/>
    <d v="2021-08-30T00:00:00"/>
    <s v="HSB02-C5375"/>
    <s v="10202520"/>
    <s v="002211365375"/>
    <s v="USD"/>
    <n v="2492826.73"/>
    <s v="CIF"/>
    <s v="USD"/>
    <n v="2492826.73"/>
    <n v="100"/>
    <n v="2492826.73"/>
    <n v="2492826.73"/>
    <s v="Canada"/>
    <s v="Subsidiary"/>
    <s v="1053"/>
    <s v="C105300000"/>
    <s v="HSBC"/>
    <s v="Deposit"/>
    <m/>
    <m/>
  </r>
  <r>
    <x v="28"/>
    <d v="2013-12-30T00:00:00"/>
    <s v="HSB04-C2178"/>
    <s v="10200670"/>
    <s v="260763222178"/>
    <s v="USD"/>
    <n v="1178999.8899999999"/>
    <s v="HBR:CARRIED(O)"/>
    <s v="USD"/>
    <n v="1178999.8899999999"/>
    <n v="50"/>
    <n v="589499.94999999995"/>
    <n v="589499.94999999995"/>
    <s v="Algeria"/>
    <s v="JV"/>
    <s v="534B"/>
    <s v="O534B00000"/>
    <s v="HSBC"/>
    <s v="Deposit"/>
    <m/>
    <m/>
  </r>
  <r>
    <x v="29"/>
    <d v="2021-06-29T00:00:00"/>
    <s v="MIC01-C0004"/>
    <s v="10201020"/>
    <s v="FDP130004"/>
    <s v="USD"/>
    <n v="0"/>
    <s v="Myanmar M3 (O)"/>
    <s v="USD"/>
    <n v="0"/>
    <n v="80"/>
    <n v="0"/>
    <n v="0"/>
    <s v="Myanmar"/>
    <s v="JV"/>
    <s v="518A"/>
    <s v="O518A00000"/>
    <s v="MICB"/>
    <s v="Deposit"/>
    <m/>
    <m/>
  </r>
  <r>
    <x v="29"/>
    <d v="2021-05-31T00:00:00"/>
    <s v="MIC02-C0013"/>
    <s v="10201480"/>
    <s v="FDP130013"/>
    <s v="USD"/>
    <n v="125"/>
    <s v="Myanmar M9 (O)"/>
    <s v="USD"/>
    <n v="125"/>
    <n v="80"/>
    <n v="100"/>
    <n v="100"/>
    <s v="Myanmar"/>
    <s v="JV"/>
    <s v="117A"/>
    <s v="O117A00000"/>
    <s v="MICB"/>
    <s v="Deposit"/>
    <m/>
    <m/>
  </r>
  <r>
    <x v="29"/>
    <d v="2021-05-12T00:00:00"/>
    <s v="MIC03-C0001"/>
    <s v="10201540"/>
    <s v="DKP420001"/>
    <s v="MMK"/>
    <n v="0"/>
    <s v="Myanmar M3 (O)"/>
    <s v="Other"/>
    <n v="0"/>
    <n v="80"/>
    <n v="0"/>
    <n v="0"/>
    <s v="Myanmar"/>
    <s v="JV"/>
    <s v="518A"/>
    <s v="O518A00000"/>
    <s v="MICB"/>
    <s v="Deposit"/>
    <m/>
    <m/>
  </r>
  <r>
    <x v="29"/>
    <d v="2021-06-01T00:00:00"/>
    <s v="MIC04-C0003"/>
    <s v="10201550"/>
    <s v="DKP420003"/>
    <s v="MMK"/>
    <n v="0"/>
    <s v="Myanmar M9 (O)"/>
    <s v="Other"/>
    <n v="0"/>
    <n v="80"/>
    <n v="0"/>
    <n v="0"/>
    <s v="Myanmar"/>
    <s v="JV"/>
    <s v="117A"/>
    <s v="O117A00000"/>
    <s v="MICB"/>
    <s v="Deposit"/>
    <m/>
    <m/>
  </r>
  <r>
    <x v="29"/>
    <d v="2021-06-29T00:00:00"/>
    <s v="MIC05-C0019"/>
    <s v="10201560"/>
    <s v="FDP130019"/>
    <s v="USD"/>
    <n v="0"/>
    <s v="Myanmar M11 (O)"/>
    <s v="USD"/>
    <n v="0"/>
    <n v="100"/>
    <n v="0"/>
    <n v="0"/>
    <s v="Myanmar"/>
    <s v="JV"/>
    <s v="521A"/>
    <s v="O521A00000"/>
    <s v="MICB"/>
    <s v="Deposit"/>
    <m/>
    <m/>
  </r>
  <r>
    <x v="29"/>
    <d v="2021-05-12T00:00:00"/>
    <s v="MIC06-C0004"/>
    <s v="10201570"/>
    <s v="DKP420004"/>
    <s v="MMK"/>
    <n v="0"/>
    <s v="Myanmar M11 (O)"/>
    <s v="Other"/>
    <n v="0"/>
    <n v="100"/>
    <n v="0"/>
    <n v="0"/>
    <s v="Myanmar"/>
    <s v="JV"/>
    <s v="521A"/>
    <s v="O521A00000"/>
    <s v="MICB"/>
    <s v="Deposit"/>
    <m/>
    <m/>
  </r>
  <r>
    <x v="29"/>
    <d v="2021-08-31T00:00:00"/>
    <s v="OCB01-C6301"/>
    <s v="10202860"/>
    <s v="503276016301"/>
    <s v="USD"/>
    <n v="5032779.34"/>
    <s v="Myanmar M9 (O)"/>
    <s v="USD"/>
    <n v="5032779.34"/>
    <n v="80"/>
    <n v="4026223.47"/>
    <n v="4026223.47"/>
    <s v="Myanmar"/>
    <s v="JV"/>
    <s v="117A"/>
    <s v="O117A00000"/>
    <s v="OCBC"/>
    <s v="Deposit"/>
    <m/>
    <m/>
  </r>
  <r>
    <x v="29"/>
    <d v="2021-08-31T00:00:00"/>
    <s v="OCB02-S3010"/>
    <s v="10301420"/>
    <s v="0000363010"/>
    <s v="THB"/>
    <n v="1640457.91"/>
    <s v="Myanmar M9 (O)"/>
    <s v="THB"/>
    <n v="50653.93"/>
    <n v="80"/>
    <n v="1312366.33"/>
    <n v="40523.14"/>
    <s v="Myanmar"/>
    <s v="JV"/>
    <s v="117A"/>
    <s v="O117A00000"/>
    <s v="OCBC"/>
    <s v="Deposit"/>
    <m/>
    <m/>
  </r>
  <r>
    <x v="29"/>
    <d v="2021-08-31T00:00:00"/>
    <s v="OCB03-C1020"/>
    <s v="10202870"/>
    <s v="0010991020"/>
    <s v="USD"/>
    <n v="1741682.58"/>
    <s v="Myanmar M9 (O)"/>
    <s v="USD"/>
    <n v="1741682.58"/>
    <n v="80"/>
    <n v="1393346.06"/>
    <n v="1393346.06"/>
    <s v="Myanmar"/>
    <s v="JV"/>
    <s v="117A"/>
    <s v="O117A00000"/>
    <s v="OCBC"/>
    <s v="Deposit"/>
    <m/>
    <m/>
  </r>
  <r>
    <x v="29"/>
    <d v="2021-08-31T00:00:00"/>
    <s v="OCB04-C1010"/>
    <s v="10202880"/>
    <s v="0010991010"/>
    <s v="MMK"/>
    <n v="1788911795"/>
    <s v="Myanmar M9 (O)"/>
    <s v="Other"/>
    <n v="1088186.17"/>
    <n v="80"/>
    <n v="1431129436"/>
    <n v="870548.94"/>
    <s v="Myanmar"/>
    <s v="JV"/>
    <s v="117A"/>
    <s v="O117A00000"/>
    <s v="OCBC"/>
    <s v="Deposit"/>
    <m/>
    <m/>
  </r>
  <r>
    <x v="29"/>
    <d v="2021-08-31T00:00:00"/>
    <s v="OCB05-C7301"/>
    <s v="10202890"/>
    <s v="503276057301"/>
    <s v="USD"/>
    <n v="109025.64"/>
    <s v="Myanmar M3 (O)"/>
    <s v="USD"/>
    <n v="109025.64"/>
    <n v="80"/>
    <n v="87220.51"/>
    <n v="87220.51"/>
    <s v="Myanmar"/>
    <s v="JV"/>
    <s v="518A"/>
    <s v="O518A00000"/>
    <s v="OCBC"/>
    <s v="Deposit"/>
    <m/>
    <m/>
  </r>
  <r>
    <x v="29"/>
    <d v="2021-08-31T00:00:00"/>
    <s v="OCB06-C1021"/>
    <s v="10202900"/>
    <s v="0010991021"/>
    <s v="USD"/>
    <n v="187816.18"/>
    <s v="Myanmar M3 (O)"/>
    <s v="USD"/>
    <n v="187816.18"/>
    <n v="80"/>
    <n v="150252.94"/>
    <n v="150252.94"/>
    <s v="Myanmar"/>
    <s v="JV"/>
    <s v="518A"/>
    <s v="O518A00000"/>
    <s v="OCBC"/>
    <s v="Deposit"/>
    <m/>
    <m/>
  </r>
  <r>
    <x v="29"/>
    <d v="2021-08-31T00:00:00"/>
    <s v="OCB07-C1011"/>
    <s v="10202910"/>
    <s v="0010991011"/>
    <s v="MMK"/>
    <n v="9142685"/>
    <s v="Myanmar M3 (O)"/>
    <s v="Other"/>
    <n v="5561.45"/>
    <n v="80"/>
    <n v="7314148"/>
    <n v="4449.16"/>
    <s v="Myanmar"/>
    <s v="JV"/>
    <s v="518A"/>
    <s v="O518A00000"/>
    <s v="OCBC"/>
    <s v="Deposit"/>
    <m/>
    <m/>
  </r>
  <r>
    <x v="29"/>
    <d v="2021-08-31T00:00:00"/>
    <s v="OCB08-C0301"/>
    <s v="10202920"/>
    <s v="503149650301"/>
    <s v="USD"/>
    <n v="601731.38"/>
    <s v="Myanmar M11 (O)"/>
    <s v="USD"/>
    <n v="601731.38"/>
    <n v="100"/>
    <n v="601731.38"/>
    <n v="601731.38"/>
    <s v="Myanmar"/>
    <s v="JV"/>
    <s v="521A"/>
    <s v="O521A00000"/>
    <s v="OCBC"/>
    <s v="Deposit"/>
    <m/>
    <m/>
  </r>
  <r>
    <x v="29"/>
    <d v="2021-08-31T00:00:00"/>
    <s v="OCB09-C1022"/>
    <s v="10202930"/>
    <s v="0010991022"/>
    <s v="USD"/>
    <n v="149318.54"/>
    <s v="Myanmar M11 (O)"/>
    <s v="USD"/>
    <n v="149318.54"/>
    <n v="100"/>
    <n v="149318.54"/>
    <n v="149318.54"/>
    <s v="Myanmar"/>
    <s v="JV"/>
    <s v="521A"/>
    <s v="O521A00000"/>
    <s v="OCBC"/>
    <s v="Deposit"/>
    <m/>
    <m/>
  </r>
  <r>
    <x v="29"/>
    <d v="2021-08-31T00:00:00"/>
    <s v="OCB10-C1012"/>
    <s v="10202940"/>
    <s v="0010991012"/>
    <s v="MMK"/>
    <n v="343951389"/>
    <s v="Myanmar M11 (O)"/>
    <s v="Other"/>
    <n v="209223.92"/>
    <n v="100"/>
    <n v="343951389"/>
    <n v="209223.92"/>
    <s v="Myanmar"/>
    <s v="JV"/>
    <s v="521A"/>
    <s v="O521A00000"/>
    <s v="OCBC"/>
    <s v="Deposit"/>
    <m/>
    <m/>
  </r>
  <r>
    <x v="30"/>
    <d v="2021-08-31T00:00:00"/>
    <s v="BOA02-C1133"/>
    <s v="10202200"/>
    <s v="33351133"/>
    <s v="USD"/>
    <n v="689840.87"/>
    <s v="Cove Energy"/>
    <s v="USD"/>
    <n v="689840.87"/>
    <n v="100"/>
    <n v="689840.87"/>
    <n v="689840.87"/>
    <s v="United Kingdom"/>
    <s v="Subsidiary"/>
    <s v="1071"/>
    <s v="C107100000"/>
    <s v="BAML"/>
    <s v="Deposit"/>
    <m/>
    <m/>
  </r>
  <r>
    <x v="30"/>
    <d v="2021-08-31T00:00:00"/>
    <s v="BOA04-03216"/>
    <s v="10294000"/>
    <s v="80003216"/>
    <s v="USD"/>
    <n v="0"/>
    <s v="Cove Energy"/>
    <s v="USD"/>
    <n v="0"/>
    <n v="100"/>
    <n v="0"/>
    <n v="0"/>
    <s v="United Kingdom"/>
    <s v="Subsidiary"/>
    <s v="1071"/>
    <s v="C107100000"/>
    <s v="BAML"/>
    <s v="Deposit"/>
    <m/>
    <m/>
  </r>
  <r>
    <x v="31"/>
    <d v="2021-08-31T00:00:00"/>
    <s v="BOA01-C5016"/>
    <s v="10202560"/>
    <s v="33135016"/>
    <s v="USD"/>
    <n v="2748748.56"/>
    <s v="CEEAL"/>
    <s v="USD"/>
    <n v="2748748.56"/>
    <n v="100"/>
    <n v="2748748.56"/>
    <n v="2748748.56"/>
    <s v="Cyprus"/>
    <s v="Subsidiary"/>
    <s v="1072"/>
    <s v="C107200000"/>
    <s v="BAML"/>
    <s v="Deposit"/>
    <m/>
    <m/>
  </r>
  <r>
    <x v="32"/>
    <d v="2021-08-31T00:00:00"/>
    <s v="BOA01-C7012"/>
    <s v="10202580"/>
    <s v="33137012"/>
    <s v="USD"/>
    <n v="23776.31"/>
    <s v="PTTEP MZA1"/>
    <s v="USD"/>
    <n v="23776.31"/>
    <n v="100"/>
    <n v="23776.31"/>
    <n v="23776.31"/>
    <s v="Cyprus"/>
    <s v="Subsidiary"/>
    <s v="1074"/>
    <s v="C107400000"/>
    <s v="BAML"/>
    <s v="Deposit"/>
    <m/>
    <m/>
  </r>
  <r>
    <x v="32"/>
    <d v="2021-08-30T00:00:00"/>
    <s v="CIT01-C0363"/>
    <s v="10203310"/>
    <s v="0018500363"/>
    <s v="EUR"/>
    <n v="3257.78"/>
    <s v="PTTEP MZA1"/>
    <s v="Other"/>
    <n v="3847.25"/>
    <n v="100"/>
    <n v="3257.78"/>
    <n v="3847.25"/>
    <s v="Cyprus"/>
    <s v="Subsidiary"/>
    <s v="1074"/>
    <s v="C107400000"/>
    <s v="CITI"/>
    <s v="Deposit"/>
    <m/>
    <m/>
  </r>
  <r>
    <x v="33"/>
    <d v="2021-08-31T00:00:00"/>
    <s v="BOA02-C0016"/>
    <s v="10203610"/>
    <s v="72590016"/>
    <s v="USD"/>
    <n v="10054131.140000001"/>
    <s v="PTTEP HK"/>
    <s v="USD"/>
    <n v="10054131.140000001"/>
    <n v="100"/>
    <n v="10054131.140000001"/>
    <n v="10054131.140000001"/>
    <s v="Hong Kong"/>
    <s v="HO"/>
    <s v="1076"/>
    <s v="C107600000"/>
    <s v="BAML"/>
    <s v="Deposit"/>
    <m/>
    <m/>
  </r>
  <r>
    <x v="33"/>
    <d v="2021-08-31T00:00:00"/>
    <s v="BOA03-02060"/>
    <s v="10293980"/>
    <s v="80002060"/>
    <s v="USD"/>
    <n v="0"/>
    <s v="PTTEP HK"/>
    <s v="USD"/>
    <n v="0"/>
    <n v="100"/>
    <n v="0"/>
    <n v="0"/>
    <s v="Hong Kong"/>
    <s v="HO"/>
    <s v="1076"/>
    <s v="C107600000"/>
    <s v="BAML"/>
    <s v="Deposit"/>
    <m/>
    <m/>
  </r>
  <r>
    <x v="34"/>
    <d v="2021-08-31T00:00:00"/>
    <s v="BOA03-C2083"/>
    <s v="10202840"/>
    <s v="33342083"/>
    <s v="USD"/>
    <n v="37875.199999999997"/>
    <s v="PTTEP NH"/>
    <s v="USD"/>
    <n v="37875.199999999997"/>
    <n v="100"/>
    <n v="37875.199999999997"/>
    <n v="37875.199999999997"/>
    <s v="Netherlands"/>
    <s v="Subsidiary"/>
    <s v="1077"/>
    <s v="C107700000"/>
    <s v="BAML"/>
    <s v="Deposit"/>
    <m/>
    <m/>
  </r>
  <r>
    <x v="34"/>
    <d v="2021-08-30T00:00:00"/>
    <s v="CIT02-C0297"/>
    <s v="10202440"/>
    <s v="0266030297"/>
    <s v="EUR"/>
    <n v="1528.41"/>
    <s v="PTTEP NH"/>
    <s v="Other"/>
    <n v="1804.96"/>
    <n v="100"/>
    <n v="1528.41"/>
    <n v="1804.96"/>
    <s v="Netherlands"/>
    <s v="Subsidiary"/>
    <s v="1077"/>
    <s v="C107700000"/>
    <s v="CITI"/>
    <s v="Deposit"/>
    <m/>
    <m/>
  </r>
  <r>
    <x v="35"/>
    <d v="2021-08-31T00:00:00"/>
    <s v="BOA03-C3073"/>
    <s v="10202850"/>
    <s v="33343073"/>
    <s v="USD"/>
    <n v="62275.96"/>
    <s v="PTTEP BI"/>
    <s v="USD"/>
    <n v="62275.96"/>
    <n v="100"/>
    <n v="62275.96"/>
    <n v="62275.96"/>
    <s v="Netherlands"/>
    <s v="Subsidiary"/>
    <s v="1078"/>
    <s v="C107800000"/>
    <s v="BAML"/>
    <s v="Deposit"/>
    <m/>
    <m/>
  </r>
  <r>
    <x v="35"/>
    <d v="2021-08-30T00:00:00"/>
    <s v="CIT02-C0351"/>
    <s v="10202450"/>
    <s v="0266030351"/>
    <s v="EUR"/>
    <n v="23.48"/>
    <s v="PTTEP BI"/>
    <s v="Other"/>
    <n v="27.73"/>
    <n v="100"/>
    <n v="23.48"/>
    <n v="27.73"/>
    <s v="Netherlands"/>
    <s v="Subsidiary"/>
    <s v="1078"/>
    <s v="C107800000"/>
    <s v="CITI"/>
    <s v="Deposit"/>
    <m/>
    <m/>
  </r>
  <r>
    <x v="36"/>
    <d v="2021-08-27T00:00:00"/>
    <s v="CIT01-C5126"/>
    <s v="10201580"/>
    <s v="27535126"/>
    <s v="BRL"/>
    <n v="9848453.2100000009"/>
    <s v="Limitada"/>
    <s v="Other"/>
    <n v="1908378.05"/>
    <n v="100"/>
    <n v="9848453.2100000009"/>
    <n v="1908378.05"/>
    <s v="Brazil"/>
    <s v="Subsidiary"/>
    <s v="1079"/>
    <s v="C107900000"/>
    <s v="CITI"/>
    <s v="Deposit"/>
    <m/>
    <m/>
  </r>
  <r>
    <x v="37"/>
    <d v="2021-08-30T00:00:00"/>
    <s v="FNB03-S5001"/>
    <s v="10301360"/>
    <s v="2091844515001"/>
    <s v="USD"/>
    <n v="1941606.06"/>
    <s v="PTTEP MZA1 (Branch)"/>
    <s v="USD"/>
    <n v="1941606.06"/>
    <n v="100"/>
    <n v="1941606.06"/>
    <n v="1941606.06"/>
    <s v="Mozambique"/>
    <s v="Subsidiary"/>
    <s v="1081"/>
    <s v="C108100000"/>
    <s v="FNB"/>
    <s v="Deposit"/>
    <m/>
    <m/>
  </r>
  <r>
    <x v="37"/>
    <d v="2021-08-30T00:00:00"/>
    <s v="FNB06-C0002"/>
    <s v="10202770"/>
    <s v="2091844510002"/>
    <s v="MZM"/>
    <n v="15918308"/>
    <s v="PTTEP MZA1 (Branch)"/>
    <s v="Other"/>
    <n v="268165.8"/>
    <n v="100"/>
    <n v="15918308"/>
    <n v="268165.8"/>
    <s v="Mozambique"/>
    <s v="Subsidiary"/>
    <s v="1081"/>
    <s v="C108100000"/>
    <s v="FNB"/>
    <s v="Deposit"/>
    <m/>
    <m/>
  </r>
  <r>
    <x v="38"/>
    <d v="2021-08-31T00:00:00"/>
    <s v="BOA02-03026"/>
    <s v="10293820"/>
    <s v="80003026"/>
    <s v="USD"/>
    <n v="0"/>
    <s v="Sinphuhorm Holdings"/>
    <s v="USD"/>
    <n v="0"/>
    <n v="100"/>
    <n v="0"/>
    <n v="0"/>
    <s v="Cayman Islands"/>
    <s v="Subsidiary"/>
    <s v="1083"/>
    <s v="C108300000"/>
    <s v="BAML"/>
    <s v="Deposit"/>
    <m/>
    <m/>
  </r>
  <r>
    <x v="39"/>
    <d v="2021-08-31T00:00:00"/>
    <s v="BOA01-C0103"/>
    <s v="10203100"/>
    <s v="33330103"/>
    <s v="USD"/>
    <n v="31618463.129999999"/>
    <s v="PTTEP SP Limited-UK"/>
    <s v="USD"/>
    <n v="31618463.129999999"/>
    <n v="100"/>
    <n v="31618463.129999999"/>
    <n v="31618463.129999999"/>
    <s v="United Kingdom"/>
    <s v="Subsidiary"/>
    <s v="1084"/>
    <s v="C108400001"/>
    <s v="BAML"/>
    <s v="Deposit"/>
    <m/>
    <m/>
  </r>
  <r>
    <x v="39"/>
    <d v="2021-08-31T00:00:00"/>
    <s v="BOA02-C5027"/>
    <s v="10203890"/>
    <s v="34015027"/>
    <s v="THB"/>
    <n v="627196963.51999998"/>
    <s v="PTTEP SP Limited"/>
    <s v="THB"/>
    <n v="19366538.32"/>
    <n v="100"/>
    <n v="627196963.51999998"/>
    <n v="19366538.32"/>
    <s v="United Kingdom"/>
    <s v="Subsidiary"/>
    <s v="1084"/>
    <s v="C108400000"/>
    <s v="BAML"/>
    <s v="Deposit"/>
    <m/>
    <m/>
  </r>
  <r>
    <x v="39"/>
    <d v="2021-08-31T00:00:00"/>
    <s v="BOA03-C5035"/>
    <s v="10203900"/>
    <s v="34015035"/>
    <s v="USD"/>
    <n v="22151576.809999999"/>
    <s v="PTTEP SP Limited"/>
    <s v="USD"/>
    <n v="22151576.809999999"/>
    <n v="100"/>
    <n v="22151576.809999999"/>
    <n v="22151576.809999999"/>
    <s v="United Kingdom"/>
    <s v="Subsidiary"/>
    <s v="1084"/>
    <s v="C108400000"/>
    <s v="BAML"/>
    <s v="Deposit"/>
    <m/>
    <m/>
  </r>
  <r>
    <x v="39"/>
    <d v="2021-08-31T00:00:00"/>
    <s v="BOA04-C5019"/>
    <s v="10203910"/>
    <s v="34015019"/>
    <s v="THB"/>
    <n v="129343601.09999999"/>
    <s v="GPP Asset 100% (O)"/>
    <s v="THB"/>
    <n v="3993861.5"/>
    <n v="45"/>
    <n v="58204620.5"/>
    <n v="1797237.68"/>
    <s v="United Kingdom"/>
    <s v="JV"/>
    <s v="900A"/>
    <s v="O900A00000"/>
    <s v="BAML"/>
    <s v="Deposit"/>
    <m/>
    <m/>
  </r>
  <r>
    <x v="39"/>
    <d v="2021-08-31T00:00:00"/>
    <s v="HSB06-C3742"/>
    <s v="10203490"/>
    <s v="83953742"/>
    <s v="USD"/>
    <n v="147155.03"/>
    <s v="PTTEP SP Limited-UK"/>
    <s v="USD"/>
    <n v="147155.03"/>
    <n v="100"/>
    <n v="147155.03"/>
    <n v="147155.03"/>
    <s v="United Kingdom"/>
    <s v="Subsidiary"/>
    <s v="1084"/>
    <s v="C108400001"/>
    <s v="HSBC"/>
    <s v="Deposit"/>
    <m/>
    <m/>
  </r>
  <r>
    <x v="40"/>
    <d v="2021-08-30T00:00:00"/>
    <s v="HSB01-C0330"/>
    <s v="10202380"/>
    <s v="002208940330"/>
    <s v="THB"/>
    <n v="228264149.69999999"/>
    <s v="PTTEP G7 Limited"/>
    <s v="THB"/>
    <n v="7048322.3899999997"/>
    <n v="100"/>
    <n v="228264149.69999999"/>
    <n v="7048322.3899999997"/>
    <s v="Thailand"/>
    <s v="Subsidiary"/>
    <s v="1085"/>
    <s v="C108500000"/>
    <s v="HSBC"/>
    <s v="Deposit"/>
    <m/>
    <m/>
  </r>
  <r>
    <x v="41"/>
    <d v="2021-08-31T00:00:00"/>
    <s v="BOA03-C2183"/>
    <s v="10202670"/>
    <s v="33332183"/>
    <s v="USD"/>
    <n v="0"/>
    <s v="PTTEP TC"/>
    <s v="USD"/>
    <n v="0"/>
    <n v="100"/>
    <n v="0"/>
    <n v="0"/>
    <s v="Thailand"/>
    <s v="HO"/>
    <s v="1086"/>
    <s v="C108600000"/>
    <s v="BAML"/>
    <s v="Deposit"/>
    <m/>
    <m/>
  </r>
  <r>
    <x v="41"/>
    <d v="2021-08-31T00:00:00"/>
    <s v="BOA05-C2373"/>
    <s v="10202690"/>
    <s v="33332373"/>
    <s v="USD"/>
    <n v="69018548.230000004"/>
    <s v="PTTEP TC"/>
    <s v="USD"/>
    <n v="69018548.230000004"/>
    <n v="100"/>
    <n v="69018548.230000004"/>
    <n v="69018548.230000004"/>
    <s v="Thailand"/>
    <s v="HO"/>
    <s v="1086"/>
    <s v="C108600000"/>
    <s v="BAML"/>
    <s v="Deposit"/>
    <m/>
    <m/>
  </r>
  <r>
    <x v="41"/>
    <d v="2021-08-31T00:00:00"/>
    <s v="BOA06-C2191"/>
    <s v="10202700"/>
    <s v="33332191"/>
    <s v="THB"/>
    <n v="2235480441.48"/>
    <s v="PTTEP TC"/>
    <s v="THB"/>
    <n v="69026988.579999998"/>
    <n v="100"/>
    <n v="2235480441.48"/>
    <n v="69026988.579999998"/>
    <s v="Thailand"/>
    <s v="HO"/>
    <s v="1086"/>
    <s v="C108600000"/>
    <s v="BAML"/>
    <s v="Deposit"/>
    <m/>
    <m/>
  </r>
  <r>
    <x v="41"/>
    <d v="2021-08-31T00:00:00"/>
    <s v="BOA08-C2513"/>
    <s v="10202720"/>
    <s v="33332513"/>
    <s v="USD"/>
    <n v="2807278.32"/>
    <s v="PTTEP TC"/>
    <s v="USD"/>
    <n v="2807278.32"/>
    <n v="100"/>
    <n v="2807278.32"/>
    <n v="2807278.32"/>
    <s v="Thailand"/>
    <s v="HO"/>
    <s v="1086"/>
    <s v="C108600000"/>
    <s v="BAML"/>
    <s v="Deposit"/>
    <m/>
    <m/>
  </r>
  <r>
    <x v="41"/>
    <d v="2021-08-30T00:00:00"/>
    <s v="JPM01-C0888"/>
    <s v="10203570"/>
    <s v="8830000888"/>
    <s v="USD"/>
    <n v="194924"/>
    <s v="PTTEP TC"/>
    <s v="USD"/>
    <n v="194924"/>
    <n v="100"/>
    <n v="194924"/>
    <n v="194924"/>
    <s v="Thailand"/>
    <s v="HO"/>
    <s v="1086"/>
    <s v="C108600000"/>
    <s v="JPM"/>
    <s v="Special saving"/>
    <m/>
    <m/>
  </r>
  <r>
    <x v="41"/>
    <d v="2021-08-31T00:00:00"/>
    <s v="KTB01-C6433"/>
    <s v="10203190"/>
    <s v="0196066433"/>
    <s v="THB"/>
    <n v="18345.16"/>
    <s v="PTTEP TC"/>
    <s v="THB"/>
    <n v="566.46"/>
    <n v="100"/>
    <n v="18345.16"/>
    <n v="566.46"/>
    <s v="Thailand"/>
    <s v="HO"/>
    <s v="1086"/>
    <s v="C108600000"/>
    <s v="KTB"/>
    <s v="Deposit"/>
    <m/>
    <m/>
  </r>
  <r>
    <x v="41"/>
    <d v="2021-08-31T00:00:00"/>
    <s v="SCB01-C7410"/>
    <s v="10203740"/>
    <s v="0013537410"/>
    <s v="THB"/>
    <n v="97.52"/>
    <s v="PTTEP TC"/>
    <s v="THB"/>
    <n v="3.01"/>
    <n v="100"/>
    <n v="97.52"/>
    <n v="3.01"/>
    <s v="Thailand"/>
    <s v="HO"/>
    <s v="1086"/>
    <s v="C108600000"/>
    <s v="SCB"/>
    <s v="Deposit"/>
    <m/>
    <m/>
  </r>
  <r>
    <x v="41"/>
    <d v="2021-08-31T00:00:00"/>
    <s v="SCB02-S0840"/>
    <s v="10301670"/>
    <s v="1112011180840"/>
    <s v="USD"/>
    <n v="90.17"/>
    <s v="PTTEP TC"/>
    <s v="USD"/>
    <n v="90.17"/>
    <n v="100"/>
    <n v="90.17"/>
    <n v="90.17"/>
    <s v="Thailand"/>
    <s v="HO"/>
    <s v="1086"/>
    <s v="C108600000"/>
    <s v="SCB"/>
    <s v="Deposit"/>
    <m/>
    <m/>
  </r>
  <r>
    <x v="41"/>
    <d v="2021-08-31T00:00:00"/>
    <s v="UOB01-S2400"/>
    <s v="10301510"/>
    <s v="6019002400"/>
    <s v="USD"/>
    <n v="100173402.17"/>
    <s v="PTTEP TC"/>
    <s v="USD"/>
    <n v="100173402.17"/>
    <n v="100"/>
    <n v="100173402.17"/>
    <n v="100173402.17"/>
    <s v="Thailand"/>
    <s v="HO"/>
    <s v="1086"/>
    <s v="C108600000"/>
    <s v="UOB"/>
    <s v="Special saving"/>
    <m/>
    <m/>
  </r>
  <r>
    <x v="41"/>
    <d v="2021-08-31T00:00:00"/>
    <s v="UOB02-S1718"/>
    <s v="10301690"/>
    <s v="6011171718"/>
    <s v="THB"/>
    <n v="1000000000"/>
    <s v="PTTEP TC"/>
    <s v="THB"/>
    <n v="30877921.050000001"/>
    <n v="100"/>
    <n v="1000000000"/>
    <n v="30877921.050000001"/>
    <s v="Thailand"/>
    <s v="HO"/>
    <s v="1086"/>
    <s v="C108600000"/>
    <s v="UOB"/>
    <s v="Special saving"/>
    <m/>
    <m/>
  </r>
  <r>
    <x v="42"/>
    <d v="2021-08-31T00:00:00"/>
    <s v="JPM01-S7485"/>
    <s v="10301660"/>
    <s v="6581117485"/>
    <s v="USD"/>
    <n v="13867516.869999999"/>
    <s v="PTTEP HKO"/>
    <s v="USD"/>
    <n v="13867516.869999999"/>
    <n v="100"/>
    <n v="13867516.869999999"/>
    <n v="13867516.869999999"/>
    <s v="Hong Kong"/>
    <s v="Subsidiary"/>
    <s v="1087"/>
    <s v="C108700000"/>
    <s v="JPM"/>
    <s v="Deposit"/>
    <m/>
    <m/>
  </r>
  <r>
    <x v="43"/>
    <d v="2021-08-31T00:00:00"/>
    <s v="JPM01-C3873"/>
    <s v="10203750"/>
    <s v="0076953873"/>
    <s v="USD"/>
    <n v="20907283.109999999"/>
    <s v="PTTEP HKO-MY Branch"/>
    <s v="USD"/>
    <n v="20907283.109999999"/>
    <n v="100"/>
    <n v="20907283.109999999"/>
    <n v="20907283.109999999"/>
    <s v="Malaysia"/>
    <s v="Subsidiary"/>
    <s v="1088"/>
    <s v="C108800000"/>
    <s v="JPM"/>
    <s v="Deposit"/>
    <m/>
    <m/>
  </r>
  <r>
    <x v="43"/>
    <d v="2021-08-30T00:00:00"/>
    <s v="JPM02-C3874"/>
    <s v="10203760"/>
    <s v="0076953874"/>
    <s v="MYR"/>
    <n v="620879.25"/>
    <s v="PTTEP HKO-MY Branch"/>
    <s v="Other"/>
    <n v="149422.35999999999"/>
    <n v="100"/>
    <n v="620879.25"/>
    <n v="149422.35999999999"/>
    <s v="Malaysia"/>
    <s v="Subsidiary"/>
    <s v="1088"/>
    <s v="C108800000"/>
    <s v="JPM"/>
    <s v="Deposit"/>
    <m/>
    <m/>
  </r>
  <r>
    <x v="43"/>
    <d v="2021-08-30T00:00:00"/>
    <s v="JPM03-C3875"/>
    <s v="10203770"/>
    <s v="0076953875"/>
    <s v="USD"/>
    <n v="186003.79"/>
    <s v="Pool Cost for Malays"/>
    <s v="USD"/>
    <n v="186003.79"/>
    <n v="100"/>
    <n v="186003.79"/>
    <n v="186003.79"/>
    <s v="Malaysia"/>
    <s v="Subsidiary"/>
    <s v="1088"/>
    <s v="C108800001"/>
    <s v="JPM"/>
    <s v="Deposit"/>
    <m/>
    <m/>
  </r>
  <r>
    <x v="43"/>
    <d v="2021-08-30T00:00:00"/>
    <s v="JPM04-C3876"/>
    <s v="10203780"/>
    <s v="0076953876"/>
    <s v="MYR"/>
    <n v="224626.32"/>
    <s v="Pool Cost for Malays"/>
    <s v="Other"/>
    <n v="54059.14"/>
    <n v="100"/>
    <n v="224626.32"/>
    <n v="54059.14"/>
    <s v="Malaysia"/>
    <s v="Subsidiary"/>
    <s v="1088"/>
    <s v="C108800001"/>
    <s v="JPM"/>
    <s v="Deposit"/>
    <m/>
    <m/>
  </r>
  <r>
    <x v="43"/>
    <d v="2021-08-30T00:00:00"/>
    <s v="JPM05-C3877"/>
    <s v="10203790"/>
    <s v="0076953877"/>
    <s v="USD"/>
    <n v="298571.83"/>
    <s v="Sarawak SK410B Asset"/>
    <s v="USD"/>
    <n v="298571.83"/>
    <n v="42.5"/>
    <n v="126893.03"/>
    <n v="126893.03"/>
    <s v="Malaysia"/>
    <s v="JV"/>
    <s v="569A"/>
    <s v="O569A00000"/>
    <s v="JPM"/>
    <s v="Deposit"/>
    <m/>
    <m/>
  </r>
  <r>
    <x v="43"/>
    <d v="2021-08-30T00:00:00"/>
    <s v="JPM06-C3878"/>
    <s v="10203800"/>
    <s v="0076953878"/>
    <s v="MYR"/>
    <n v="313762.78999999998"/>
    <s v="Sarawak SK410B Asset"/>
    <s v="Other"/>
    <n v="75510.94"/>
    <n v="42.5"/>
    <n v="133349.19"/>
    <n v="32092.15"/>
    <s v="Malaysia"/>
    <s v="JV"/>
    <s v="569A"/>
    <s v="O569A00000"/>
    <s v="JPM"/>
    <s v="Deposit"/>
    <m/>
    <m/>
  </r>
  <r>
    <x v="43"/>
    <d v="2021-08-30T00:00:00"/>
    <s v="JPM07-C3879"/>
    <s v="10203810"/>
    <s v="0076953879"/>
    <s v="USD"/>
    <n v="331541.90999999997"/>
    <s v="SK417 Asset-Carried"/>
    <s v="USD"/>
    <n v="331541.90999999997"/>
    <n v="100"/>
    <n v="331541.90999999997"/>
    <n v="331541.90999999997"/>
    <s v="Malaysia"/>
    <s v="JV"/>
    <s v="570B"/>
    <s v="O570B00000"/>
    <s v="JPM"/>
    <s v="Deposit"/>
    <m/>
    <m/>
  </r>
  <r>
    <x v="43"/>
    <d v="2021-08-30T00:00:00"/>
    <s v="JPM08-C3880"/>
    <s v="10203820"/>
    <s v="0076953880"/>
    <s v="MYR"/>
    <n v="624144.9"/>
    <s v="SK417 Asset-Carried"/>
    <s v="Other"/>
    <n v="150208.28"/>
    <n v="100"/>
    <n v="624144.9"/>
    <n v="150208.28"/>
    <s v="Malaysia"/>
    <s v="JV"/>
    <s v="570B"/>
    <s v="O570B00000"/>
    <s v="JPM"/>
    <s v="Deposit"/>
    <m/>
    <m/>
  </r>
  <r>
    <x v="43"/>
    <d v="2021-08-31T00:00:00"/>
    <s v="JPM09-C3881"/>
    <s v="10203830"/>
    <s v="0076953881"/>
    <s v="USD"/>
    <n v="129565.12"/>
    <s v="SK438 Asset-Carried"/>
    <s v="USD"/>
    <n v="129565.12"/>
    <n v="100"/>
    <n v="129565.12"/>
    <n v="129565.12"/>
    <s v="Malaysia"/>
    <s v="JV"/>
    <s v="571B"/>
    <s v="O571B00000"/>
    <s v="JPM"/>
    <s v="Deposit"/>
    <m/>
    <m/>
  </r>
  <r>
    <x v="43"/>
    <d v="2021-08-31T00:00:00"/>
    <s v="JPM10-C3882"/>
    <s v="10203840"/>
    <s v="0076953882"/>
    <s v="MYR"/>
    <n v="774126.54"/>
    <s v="SK438 Asset-Carried"/>
    <s v="Other"/>
    <n v="186303.24"/>
    <n v="100"/>
    <n v="774126.54"/>
    <n v="186303.24"/>
    <s v="Malaysia"/>
    <s v="JV"/>
    <s v="571B"/>
    <s v="O571B00000"/>
    <s v="JPM"/>
    <s v="Deposit"/>
    <m/>
    <m/>
  </r>
  <r>
    <x v="43"/>
    <d v="2021-08-30T00:00:00"/>
    <s v="JPM11-C3883"/>
    <s v="10203850"/>
    <s v="0076953883"/>
    <s v="USD"/>
    <n v="77323.66"/>
    <s v="Penin PM407 Carried"/>
    <s v="USD"/>
    <n v="77323.66"/>
    <n v="70"/>
    <n v="54126.559999999998"/>
    <n v="54126.559999999998"/>
    <s v="Malaysia"/>
    <s v="JV"/>
    <s v="576B"/>
    <s v="O576B00000"/>
    <s v="JPM"/>
    <s v="Deposit"/>
    <m/>
    <m/>
  </r>
  <r>
    <x v="43"/>
    <d v="2021-08-30T00:00:00"/>
    <s v="JPM12-C3884"/>
    <s v="10203860"/>
    <s v="0076953884"/>
    <s v="MYR"/>
    <n v="69333.47"/>
    <s v="Penin PM407 Carried"/>
    <s v="Other"/>
    <n v="16685.97"/>
    <n v="70"/>
    <n v="48533.43"/>
    <n v="11680.18"/>
    <s v="Malaysia"/>
    <s v="JV"/>
    <s v="576B"/>
    <s v="O576B00000"/>
    <s v="JPM"/>
    <s v="Deposit"/>
    <m/>
    <m/>
  </r>
  <r>
    <x v="43"/>
    <d v="2021-08-30T00:00:00"/>
    <s v="JPM13-C3885"/>
    <s v="10203870"/>
    <s v="0076953885"/>
    <s v="USD"/>
    <n v="3047276.37"/>
    <s v="Penin PM415 Carried"/>
    <s v="USD"/>
    <n v="3047276.37"/>
    <n v="100"/>
    <n v="3047276.37"/>
    <n v="3047276.37"/>
    <s v="Malaysia"/>
    <s v="JV"/>
    <s v="577B"/>
    <s v="O577B00000"/>
    <s v="JPM"/>
    <s v="Deposit"/>
    <m/>
    <m/>
  </r>
  <r>
    <x v="43"/>
    <d v="2021-08-30T00:00:00"/>
    <s v="JPM14-C3886"/>
    <s v="10203880"/>
    <s v="0076953886"/>
    <s v="MYR"/>
    <n v="1789878.3"/>
    <s v="Penin PM415 Carried"/>
    <s v="Other"/>
    <n v="430756.62"/>
    <n v="100"/>
    <n v="1789878.3"/>
    <n v="430756.62"/>
    <s v="Malaysia"/>
    <s v="JV"/>
    <s v="577B"/>
    <s v="O577B00000"/>
    <s v="JPM"/>
    <s v="Deposit"/>
    <m/>
    <m/>
  </r>
  <r>
    <x v="44"/>
    <d v="2021-08-31T00:00:00"/>
    <s v="BOA01-C9011"/>
    <s v="10203110"/>
    <s v="33289011"/>
    <s v="THB"/>
    <n v="0"/>
    <s v="PTTEP BC"/>
    <s v="THB"/>
    <n v="0"/>
    <n v="100"/>
    <n v="0"/>
    <n v="0"/>
    <s v="Thailand"/>
    <s v="Subsidiary"/>
    <s v="1089"/>
    <s v="C108900000"/>
    <s v="BAML"/>
    <s v="Deposit"/>
    <m/>
    <m/>
  </r>
  <r>
    <x v="44"/>
    <d v="2021-08-31T00:00:00"/>
    <s v="BOA03-C9037"/>
    <s v="10203700"/>
    <s v="33289037"/>
    <s v="USD"/>
    <n v="0"/>
    <s v="PTTEP BC"/>
    <s v="USD"/>
    <n v="0"/>
    <n v="100"/>
    <n v="0"/>
    <n v="0"/>
    <s v="Thailand"/>
    <s v="Subsidiary"/>
    <s v="1089"/>
    <s v="C108900000"/>
    <s v="BAML"/>
    <s v="Deposit"/>
    <m/>
    <m/>
  </r>
  <r>
    <x v="45"/>
    <d v="2021-08-31T00:00:00"/>
    <s v="CIT01-C8007"/>
    <s v="10203120"/>
    <s v="0128068007"/>
    <s v="THB"/>
    <n v="11095256.550000001"/>
    <s v="PTT GL"/>
    <s v="THB"/>
    <n v="342598.46"/>
    <n v="50"/>
    <n v="5547628.2800000003"/>
    <n v="171299.23"/>
    <s v="Thailand"/>
    <s v="JV"/>
    <s v="1090"/>
    <s v="C109000000"/>
    <s v="CITI"/>
    <s v="Deposit"/>
    <m/>
    <m/>
  </r>
  <r>
    <x v="45"/>
    <d v="2021-08-31T00:00:00"/>
    <s v="CIT03-C8112"/>
    <s v="10203580"/>
    <s v="0128068112"/>
    <s v="USD"/>
    <n v="5465071.3700000001"/>
    <s v="PTT GL"/>
    <s v="USD"/>
    <n v="5465071.3700000001"/>
    <n v="50"/>
    <n v="2732535.69"/>
    <n v="2732535.69"/>
    <s v="Thailand"/>
    <s v="JV"/>
    <s v="1090"/>
    <s v="C109000000"/>
    <s v="CITI"/>
    <s v="Deposit"/>
    <m/>
    <m/>
  </r>
  <r>
    <x v="46"/>
    <d v="2021-08-31T00:00:00"/>
    <s v="CIT01-C9119"/>
    <s v="10203140"/>
    <s v="0128069119"/>
    <s v="USD"/>
    <n v="21721136.719999999"/>
    <s v="PTT GL Investment"/>
    <s v="USD"/>
    <n v="21721136.719999999"/>
    <n v="50"/>
    <n v="10860568.359999999"/>
    <n v="10860568.359999999"/>
    <s v="Hong Kong"/>
    <s v="JV"/>
    <s v="1091"/>
    <s v="C109100000"/>
    <s v="CITI"/>
    <s v="Deposit"/>
    <m/>
    <m/>
  </r>
  <r>
    <x v="47"/>
    <d v="2021-08-30T00:00:00"/>
    <s v="CIT01-C7505"/>
    <s v="10203280"/>
    <s v="00236397505"/>
    <s v="USD"/>
    <n v="23144428.239999998"/>
    <s v="PTTEP MEP"/>
    <s v="USD"/>
    <n v="23144428.239999998"/>
    <n v="100"/>
    <n v="23144428.239999998"/>
    <n v="23144428.239999998"/>
    <s v="Mexico"/>
    <s v="Subsidiary"/>
    <s v="1094"/>
    <s v="C109400000"/>
    <s v="CITI"/>
    <s v="Deposit"/>
    <m/>
    <m/>
  </r>
  <r>
    <x v="47"/>
    <d v="2021-08-30T00:00:00"/>
    <s v="CIT02-C8005"/>
    <s v="10203290"/>
    <s v="00236398005"/>
    <s v="MXN"/>
    <n v="396701"/>
    <s v="PTTEP MEP"/>
    <s v="Other"/>
    <n v="19696.88"/>
    <n v="100"/>
    <n v="396701"/>
    <n v="19696.88"/>
    <s v="Mexico"/>
    <s v="Subsidiary"/>
    <s v="1094"/>
    <s v="C109400000"/>
    <s v="CITI"/>
    <s v="Deposit"/>
    <m/>
    <m/>
  </r>
  <r>
    <x v="48"/>
    <d v="2021-08-31T00:00:00"/>
    <s v="BOA01-C2017"/>
    <s v="10203390"/>
    <s v="33422017"/>
    <s v="THB"/>
    <n v="0"/>
    <s v="PTTEP EH"/>
    <s v="THB"/>
    <n v="0"/>
    <n v="100"/>
    <n v="0"/>
    <n v="0"/>
    <s v="Thailand"/>
    <s v="Subsidiary"/>
    <s v="1095"/>
    <s v="C109500000"/>
    <s v="BAML"/>
    <s v="Deposit"/>
    <m/>
    <m/>
  </r>
  <r>
    <x v="48"/>
    <d v="2021-08-31T00:00:00"/>
    <s v="BOA02-C2025"/>
    <s v="10203710"/>
    <s v="33422025"/>
    <s v="USD"/>
    <n v="0"/>
    <s v="PTTEP EH"/>
    <s v="USD"/>
    <n v="0"/>
    <n v="100"/>
    <n v="0"/>
    <n v="0"/>
    <s v="Thailand"/>
    <s v="Subsidiary"/>
    <s v="1095"/>
    <s v="C109500000"/>
    <s v="BAML"/>
    <s v="Deposit"/>
    <m/>
    <m/>
  </r>
  <r>
    <x v="49"/>
    <d v="2021-08-31T00:00:00"/>
    <s v="BOA01-C1019"/>
    <s v="10203400"/>
    <s v="33421019"/>
    <s v="THB"/>
    <n v="51230441.810000002"/>
    <s v="PTTEP ED (PITA)"/>
    <s v="THB"/>
    <n v="1581889.54"/>
    <n v="100"/>
    <n v="51230441.810000002"/>
    <n v="1581889.54"/>
    <s v="Thailand"/>
    <s v="Subsidiary"/>
    <s v="1096"/>
    <s v="C109600001"/>
    <s v="BAML"/>
    <s v="Deposit"/>
    <m/>
    <m/>
  </r>
  <r>
    <x v="49"/>
    <d v="2021-08-31T00:00:00"/>
    <s v="BOA02-C1027"/>
    <s v="10203470"/>
    <s v="33421027"/>
    <s v="THB"/>
    <n v="58169076.359999999"/>
    <s v="G1/61 (O)"/>
    <s v="THB"/>
    <n v="1796140.15"/>
    <n v="60"/>
    <n v="34901445.82"/>
    <n v="1077684.0900000001"/>
    <s v="Thailand"/>
    <s v="JV"/>
    <s v="574A"/>
    <s v="O574A00000"/>
    <s v="BAML"/>
    <s v="Deposit"/>
    <m/>
    <m/>
  </r>
  <r>
    <x v="49"/>
    <d v="2021-08-31T00:00:00"/>
    <s v="BOA03-C1035"/>
    <s v="10203480"/>
    <s v="33421035"/>
    <s v="THB"/>
    <n v="280121177.38"/>
    <s v="G2/61 (O)"/>
    <s v="THB"/>
    <n v="8649559.5999999996"/>
    <n v="100"/>
    <n v="280121177.38"/>
    <n v="8649559.5999999996"/>
    <s v="Thailand"/>
    <s v="JV"/>
    <s v="575A"/>
    <s v="O575A00000"/>
    <s v="BAML"/>
    <s v="Deposit"/>
    <m/>
    <m/>
  </r>
  <r>
    <x v="49"/>
    <d v="2021-08-31T00:00:00"/>
    <s v="BOA04-C1043"/>
    <s v="10203920"/>
    <s v="33421043"/>
    <s v="USD"/>
    <n v="0"/>
    <s v="G1/61 (O)"/>
    <s v="USD"/>
    <n v="0"/>
    <n v="60"/>
    <n v="0"/>
    <n v="0"/>
    <s v="Thailand"/>
    <s v="JV"/>
    <s v="574A"/>
    <s v="O574A00000"/>
    <s v="BAML"/>
    <s v="Deposit"/>
    <m/>
    <m/>
  </r>
  <r>
    <x v="49"/>
    <d v="2021-08-31T00:00:00"/>
    <s v="BOA05-C1051"/>
    <s v="10203930"/>
    <s v="33421051"/>
    <s v="USD"/>
    <n v="0"/>
    <s v="G2/61 (O)"/>
    <s v="USD"/>
    <n v="0"/>
    <n v="100"/>
    <n v="0"/>
    <n v="0"/>
    <s v="Thailand"/>
    <s v="JV"/>
    <s v="575A"/>
    <s v="O575A00000"/>
    <s v="BAML"/>
    <s v="Deposit"/>
    <m/>
    <m/>
  </r>
  <r>
    <x v="49"/>
    <d v="2021-08-31T00:00:00"/>
    <s v="BOA06-C1803"/>
    <s v="10204080"/>
    <s v="33421803"/>
    <s v="USD"/>
    <n v="95249322.189999998"/>
    <s v="PTTEP ED (PITA)"/>
    <s v="USD"/>
    <n v="95249322.189999998"/>
    <n v="100"/>
    <n v="95249322.189999998"/>
    <n v="95249322.189999998"/>
    <s v="Thailand"/>
    <s v="Subsidiary"/>
    <s v="1096"/>
    <s v="C109600001"/>
    <s v="BAML"/>
    <s v="Deposit"/>
    <m/>
    <m/>
  </r>
  <r>
    <x v="49"/>
    <d v="2021-08-31T00:00:00"/>
    <s v="KTB01-C7472"/>
    <s v="10203970"/>
    <s v="0196067472"/>
    <s v="THB"/>
    <n v="5331.51"/>
    <s v="PTTEP ED (PITA)"/>
    <s v="THB"/>
    <n v="164.63"/>
    <n v="100"/>
    <n v="5331.51"/>
    <n v="164.63"/>
    <s v="Thailand"/>
    <s v="Subsidiary"/>
    <s v="1096"/>
    <s v="C109600001"/>
    <s v="KTB"/>
    <s v="Deposit"/>
    <m/>
    <m/>
  </r>
  <r>
    <x v="50"/>
    <d v="2021-08-31T00:00:00"/>
    <s v="BOA01-C5011"/>
    <s v="10203410"/>
    <s v="33425011"/>
    <s v="THB"/>
    <n v="0"/>
    <s v="EP-Tech"/>
    <s v="THB"/>
    <n v="0"/>
    <n v="100"/>
    <n v="0"/>
    <n v="0"/>
    <s v="Thailand"/>
    <s v="Subsidiary"/>
    <s v="1097"/>
    <s v="C109700000"/>
    <s v="BAML"/>
    <s v="Deposit"/>
    <m/>
    <m/>
  </r>
  <r>
    <x v="51"/>
    <d v="2021-08-31T00:00:00"/>
    <s v="BOA01-02052"/>
    <s v="10293960"/>
    <s v="80002052"/>
    <s v="USD"/>
    <n v="0"/>
    <s v="PTTEP MENA Limited"/>
    <s v="USD"/>
    <n v="0"/>
    <n v="100"/>
    <n v="0"/>
    <n v="0"/>
    <s v="Hong Kong"/>
    <s v="Subsidiary"/>
    <s v="1099"/>
    <s v="C109900000"/>
    <s v="BAML"/>
    <s v="Deposit"/>
    <m/>
    <m/>
  </r>
  <r>
    <x v="52"/>
    <d v="2021-08-31T00:00:00"/>
    <s v="BOA01-C9012"/>
    <s v="10203450"/>
    <s v="33439012"/>
    <s v="THB"/>
    <n v="0"/>
    <s v="ARV"/>
    <s v="THB"/>
    <n v="0"/>
    <n v="100"/>
    <n v="0"/>
    <n v="0"/>
    <s v="Thailand"/>
    <s v="Subsidiary"/>
    <s v="1100"/>
    <s v="C110000000"/>
    <s v="BAML"/>
    <s v="Deposit"/>
    <m/>
    <m/>
  </r>
  <r>
    <x v="52"/>
    <d v="2021-08-31T00:00:00"/>
    <s v="KTB02-C7839"/>
    <s v="10204090"/>
    <s v="0196067839"/>
    <s v="THB"/>
    <n v="544874.22"/>
    <s v="ARV"/>
    <s v="THB"/>
    <n v="16824.580000000002"/>
    <n v="100"/>
    <n v="544874.22"/>
    <n v="16824.580000000002"/>
    <s v="Thailand"/>
    <s v="Subsidiary"/>
    <s v="1100"/>
    <s v="C110000000"/>
    <s v="KTB"/>
    <s v="Deposit"/>
    <m/>
    <m/>
  </r>
  <r>
    <x v="52"/>
    <d v="2021-08-31T00:00:00"/>
    <s v="KTB03-S4875"/>
    <s v="10301700"/>
    <s v="0190274875"/>
    <s v="THB"/>
    <n v="408000"/>
    <s v="ARV"/>
    <s v="THB"/>
    <n v="12598.19"/>
    <n v="100"/>
    <n v="408000"/>
    <n v="12598.19"/>
    <s v="Thailand"/>
    <s v="Subsidiary"/>
    <s v="1100"/>
    <s v="C110000000"/>
    <s v="KTB"/>
    <s v="Deposit"/>
    <m/>
    <m/>
  </r>
  <r>
    <x v="53"/>
    <d v="2021-08-30T00:00:00"/>
    <s v="HSB01-C3001"/>
    <s v="10203680"/>
    <s v="012135513001"/>
    <s v="AED"/>
    <n v="777769.37"/>
    <s v="PTTEP MENA (UAE)"/>
    <s v="Other"/>
    <n v="211742.2"/>
    <n v="100"/>
    <n v="777769.37"/>
    <n v="211742.2"/>
    <s v="Utd.Arab Emir."/>
    <s v="Subsidiary"/>
    <s v="1101"/>
    <s v="C110100000"/>
    <s v="HSBC"/>
    <s v="Deposit"/>
    <m/>
    <m/>
  </r>
  <r>
    <x v="53"/>
    <d v="2021-08-30T00:00:00"/>
    <s v="HSB02-C3100"/>
    <s v="10203690"/>
    <s v="012135513100"/>
    <s v="USD"/>
    <n v="7828505.3700000001"/>
    <s v="PTTEP MENA (UAE)"/>
    <s v="USD"/>
    <n v="7828505.3700000001"/>
    <n v="100"/>
    <n v="7828505.3700000001"/>
    <n v="7828505.3700000001"/>
    <s v="Utd.Arab Emir."/>
    <s v="Subsidiary"/>
    <s v="1101"/>
    <s v="C110100000"/>
    <s v="HSBC"/>
    <s v="Deposit"/>
    <m/>
    <m/>
  </r>
  <r>
    <x v="53"/>
    <d v="2021-08-31T00:00:00"/>
    <s v="KTB01-C7332"/>
    <s v="10203730"/>
    <s v="0196067332"/>
    <s v="THB"/>
    <n v="2376380.5699999998"/>
    <s v="PTTEP MENA (UAE)"/>
    <s v="THB"/>
    <n v="73377.69"/>
    <n v="100"/>
    <n v="2376380.5699999998"/>
    <n v="73377.69"/>
    <s v="Utd.Arab Emir."/>
    <s v="Subsidiary"/>
    <s v="1101"/>
    <s v="C110100000"/>
    <s v="KTB"/>
    <s v="Deposit"/>
    <m/>
    <m/>
  </r>
  <r>
    <x v="54"/>
    <d v="2021-08-30T00:00:00"/>
    <s v="HSB01-C8001"/>
    <s v="10203960"/>
    <s v="002431278001"/>
    <s v="OMR"/>
    <n v="107165.77"/>
    <s v="PTTEP MENA-OMAN"/>
    <s v="Other"/>
    <n v="278352.68"/>
    <n v="100"/>
    <n v="107165.77"/>
    <n v="278352.68"/>
    <s v="Oman"/>
    <s v="Subsidiary"/>
    <s v="1105"/>
    <s v="C110500000"/>
    <s v="HSBC"/>
    <s v="Deposit"/>
    <m/>
    <m/>
  </r>
  <r>
    <x v="54"/>
    <d v="2021-08-31T00:00:00"/>
    <s v="HSB02-C8085"/>
    <s v="10203950"/>
    <s v="002431278085"/>
    <s v="USD"/>
    <n v="7559591.7199999997"/>
    <s v="PTTEP MENA-OMAN"/>
    <s v="USD"/>
    <n v="7559591.7199999997"/>
    <n v="100"/>
    <n v="7559591.7199999997"/>
    <n v="7559591.7199999997"/>
    <s v="Oman"/>
    <s v="Subsidiary"/>
    <s v="1105"/>
    <s v="C110500000"/>
    <s v="HSBC"/>
    <s v="Deposit"/>
    <m/>
    <m/>
  </r>
  <r>
    <x v="54"/>
    <d v="2021-08-31T00:00:00"/>
    <s v="KTB01-C7464"/>
    <s v="10203980"/>
    <s v="0196067464"/>
    <s v="THB"/>
    <n v="557177.18000000005"/>
    <s v="PTTEP MENA-OMAN"/>
    <s v="THB"/>
    <n v="17204.47"/>
    <n v="100"/>
    <n v="557177.18000000005"/>
    <n v="17204.47"/>
    <s v="Oman"/>
    <s v="Subsidiary"/>
    <s v="1105"/>
    <s v="C110500000"/>
    <s v="KTB"/>
    <s v="Deposit"/>
    <m/>
    <m/>
  </r>
  <r>
    <x v="0"/>
    <d v="2021-08-31T00:00:00"/>
    <s v="NAT01-C9000"/>
    <s v="10203720"/>
    <s v="2010069000"/>
    <s v="USD"/>
    <n v="201104897.78"/>
    <s v="PTTEP"/>
    <s v="USD"/>
    <n v="201104897.78"/>
    <n v="100"/>
    <n v="201104897.78"/>
    <n v="201104897.78"/>
    <s v="Thailand"/>
    <s v="HO"/>
    <s v="1001"/>
    <s v="C100100000"/>
    <s v="NAT"/>
    <s v="Special saving"/>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r>
    <x v="55"/>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s v="TMBTHANAPLUS"/>
    <x v="0"/>
    <x v="0"/>
    <x v="0"/>
    <x v="0"/>
    <x v="0"/>
    <n v="0"/>
  </r>
  <r>
    <s v="TMBTM"/>
    <x v="1"/>
    <x v="0"/>
    <x v="0"/>
    <x v="0"/>
    <x v="0"/>
    <n v="0"/>
  </r>
  <r>
    <s v="KFSPLUS"/>
    <x v="2"/>
    <x v="0"/>
    <x v="0"/>
    <x v="0"/>
    <x v="0"/>
    <n v="0"/>
  </r>
  <r>
    <s v="KCASH"/>
    <x v="3"/>
    <x v="0"/>
    <x v="0"/>
    <x v="0"/>
    <x v="0"/>
    <n v="0"/>
  </r>
  <r>
    <s v="TH Treasury"/>
    <x v="4"/>
    <x v="1"/>
    <x v="0"/>
    <x v="0"/>
    <x v="1"/>
    <n v="0"/>
  </r>
  <r>
    <s v="JPM"/>
    <x v="5"/>
    <x v="2"/>
    <x v="1"/>
    <x v="1"/>
    <x v="0"/>
    <n v="241.12394392000002"/>
  </r>
  <r>
    <s v="SCBTH"/>
    <x v="6"/>
    <x v="2"/>
    <x v="0"/>
    <x v="1"/>
    <x v="0"/>
    <n v="5.3630199999999996E-3"/>
  </r>
  <r>
    <s v="SC"/>
    <x v="7"/>
    <x v="2"/>
    <x v="1"/>
    <x v="1"/>
    <x v="0"/>
    <n v="5.9681000000000006"/>
  </r>
  <r>
    <s v="Credit Suisse"/>
    <x v="8"/>
    <x v="2"/>
    <x v="1"/>
    <x v="1"/>
    <x v="0"/>
    <n v="0"/>
  </r>
  <r>
    <s v="HSBC"/>
    <x v="9"/>
    <x v="2"/>
    <x v="1"/>
    <x v="1"/>
    <x v="0"/>
    <n v="77.625672109999996"/>
  </r>
  <r>
    <s v="HSBC"/>
    <x v="9"/>
    <x v="2"/>
    <x v="0"/>
    <x v="0"/>
    <x v="0"/>
    <n v="6.9716953400000001"/>
  </r>
  <r>
    <s v="OCBC - Reserve fund"/>
    <x v="10"/>
    <x v="2"/>
    <x v="1"/>
    <x v="1"/>
    <x v="2"/>
    <n v="87"/>
  </r>
  <r>
    <s v="OCBCTH"/>
    <x v="11"/>
    <x v="2"/>
    <x v="1"/>
    <x v="1"/>
    <x v="0"/>
    <n v="146.97400543000001"/>
  </r>
  <r>
    <s v="BBLTH"/>
    <x v="12"/>
    <x v="2"/>
    <x v="0"/>
    <x v="1"/>
    <x v="0"/>
    <n v="2.04193991"/>
  </r>
  <r>
    <s v="CITIBR"/>
    <x v="13"/>
    <x v="2"/>
    <x v="1"/>
    <x v="1"/>
    <x v="0"/>
    <n v="22.191841549999999"/>
  </r>
  <r>
    <s v="TMBTH"/>
    <x v="14"/>
    <x v="2"/>
    <x v="0"/>
    <x v="0"/>
    <x v="0"/>
    <n v="2.9841769900000004"/>
  </r>
  <r>
    <s v="BOATH"/>
    <x v="15"/>
    <x v="2"/>
    <x v="0"/>
    <x v="0"/>
    <x v="0"/>
    <n v="208.61777589999994"/>
  </r>
  <r>
    <s v="BOATH"/>
    <x v="15"/>
    <x v="2"/>
    <x v="0"/>
    <x v="1"/>
    <x v="0"/>
    <n v="407.10461817999999"/>
  </r>
  <r>
    <s v="BAY"/>
    <x v="16"/>
    <x v="2"/>
    <x v="0"/>
    <x v="0"/>
    <x v="0"/>
    <n v="1.3725657380062244"/>
  </r>
  <r>
    <s v="FNB"/>
    <x v="17"/>
    <x v="2"/>
    <x v="1"/>
    <x v="1"/>
    <x v="0"/>
    <n v="2.0884085400000001"/>
  </r>
  <r>
    <s v="HSBCLF_01C"/>
    <x v="18"/>
    <x v="0"/>
    <x v="1"/>
    <x v="1"/>
    <x v="0"/>
    <n v="9.3639330000000007E-2"/>
  </r>
  <r>
    <s v="GS_LRF"/>
    <x v="19"/>
    <x v="0"/>
    <x v="1"/>
    <x v="1"/>
    <x v="0"/>
    <n v="8.5649009999999998E-2"/>
  </r>
  <r>
    <s v="NATIXIS"/>
    <x v="20"/>
    <x v="3"/>
    <x v="1"/>
    <x v="1"/>
    <x v="0"/>
    <n v="201.42679409000002"/>
  </r>
  <r>
    <s v="UOBTH"/>
    <x v="21"/>
    <x v="3"/>
    <x v="0"/>
    <x v="1"/>
    <x v="0"/>
    <n v="115.28947122000001"/>
  </r>
  <r>
    <s v="UOBTH"/>
    <x v="21"/>
    <x v="3"/>
    <x v="0"/>
    <x v="0"/>
    <x v="0"/>
    <n v="0.1"/>
  </r>
  <r>
    <s v="CSSICAV"/>
    <x v="22"/>
    <x v="0"/>
    <x v="1"/>
    <x v="1"/>
    <x v="3"/>
    <n v="0"/>
  </r>
  <r>
    <s v="CCBHK"/>
    <x v="23"/>
    <x v="4"/>
    <x v="1"/>
    <x v="1"/>
    <x v="4"/>
    <n v="0"/>
  </r>
  <r>
    <s v="MIZUHOTH"/>
    <x v="24"/>
    <x v="4"/>
    <x v="0"/>
    <x v="1"/>
    <x v="4"/>
    <n v="0"/>
  </r>
  <r>
    <s v="KBANKTH"/>
    <x v="25"/>
    <x v="4"/>
    <x v="0"/>
    <x v="1"/>
    <x v="4"/>
    <n v="135.61497045000002"/>
  </r>
  <r>
    <s v="CITI"/>
    <x v="13"/>
    <x v="4"/>
    <x v="1"/>
    <x v="1"/>
    <x v="4"/>
    <n v="4.2493037000000005"/>
  </r>
  <r>
    <s v="ICBC"/>
    <x v="26"/>
    <x v="4"/>
    <x v="0"/>
    <x v="1"/>
    <x v="4"/>
    <n v="35"/>
  </r>
  <r>
    <s v="KTB Salary"/>
    <x v="27"/>
    <x v="2"/>
    <x v="0"/>
    <x v="0"/>
    <x v="0"/>
    <n v="6.6549756794108887"/>
  </r>
  <r>
    <s v="KTB"/>
    <x v="27"/>
    <x v="2"/>
    <x v="0"/>
    <x v="1"/>
    <x v="0"/>
    <n v="1.808587150000001"/>
  </r>
  <r>
    <s v="KTBTH15"/>
    <x v="27"/>
    <x v="4"/>
    <x v="0"/>
    <x v="1"/>
    <x v="4"/>
    <n v="209.41889075999998"/>
  </r>
  <r>
    <s v="SMBCTH"/>
    <x v="28"/>
    <x v="4"/>
    <x v="0"/>
    <x v="1"/>
    <x v="4"/>
    <n v="0"/>
  </r>
  <r>
    <s v="DBSG"/>
    <x v="29"/>
    <x v="4"/>
    <x v="1"/>
    <x v="1"/>
    <x v="4"/>
    <n v="170"/>
  </r>
  <r>
    <s v="AMBANKMY"/>
    <x v="30"/>
    <x v="4"/>
    <x v="1"/>
    <x v="1"/>
    <x v="4"/>
    <n v="240.11453324999999"/>
  </r>
  <r>
    <s v="CBQ"/>
    <x v="31"/>
    <x v="5"/>
    <x v="1"/>
    <x v="1"/>
    <x v="5"/>
    <n v="0"/>
  </r>
  <r>
    <s v="QNB"/>
    <x v="32"/>
    <x v="5"/>
    <x v="1"/>
    <x v="1"/>
    <x v="5"/>
    <n v="0"/>
  </r>
  <r>
    <s v="ANZ THAILAND"/>
    <x v="33"/>
    <x v="3"/>
    <x v="1"/>
    <x v="1"/>
    <x v="0"/>
    <n v="174.34993327000001"/>
  </r>
  <r>
    <s v="ANZ THAILAND"/>
    <x v="33"/>
    <x v="4"/>
    <x v="1"/>
    <x v="1"/>
    <x v="4"/>
    <n v="100"/>
  </r>
  <r>
    <s v="US Treasury"/>
    <x v="34"/>
    <x v="1"/>
    <x v="1"/>
    <x v="1"/>
    <x v="4"/>
    <n v="0"/>
  </r>
  <r>
    <s v="Operator accounts_x000a_(Non-operating projects)"/>
    <x v="35"/>
    <x v="2"/>
    <x v="0"/>
    <x v="0"/>
    <x v="0"/>
    <n v="54.860819880000001"/>
  </r>
  <r>
    <s v="Operator accounts"/>
    <x v="35"/>
    <x v="2"/>
    <x v="1"/>
    <x v="1"/>
    <x v="0"/>
    <n v="92.28839851000000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n v="1001"/>
    <x v="0"/>
    <d v="2022-02-18T00:00:00"/>
    <n v="201.42679409000002"/>
    <n v="201.42679409000002"/>
    <n v="0"/>
    <n v="0"/>
    <s v="T+0"/>
    <x v="0"/>
  </r>
  <r>
    <n v="1086"/>
    <x v="1"/>
    <d v="2022-02-18T00:00:00"/>
    <n v="174.34993327000001"/>
    <n v="174.34993327000001"/>
    <n v="0"/>
    <n v="0"/>
    <s v="T+0"/>
    <x v="0"/>
  </r>
  <r>
    <n v="1086"/>
    <x v="2"/>
    <d v="2022-02-18T00:00:00"/>
    <n v="115.38947122"/>
    <n v="115.38947122"/>
    <n v="0"/>
    <n v="0"/>
    <s v="T+0"/>
    <x v="0"/>
  </r>
  <r>
    <n v="1001"/>
    <x v="3"/>
    <d v="2022-02-18T00:00:00"/>
    <n v="8.5649009999999998E-2"/>
    <n v="8.5649009999999998E-2"/>
    <n v="0"/>
    <n v="0"/>
    <s v="T+0"/>
    <x v="0"/>
  </r>
  <r>
    <n v="1001"/>
    <x v="4"/>
    <d v="2022-02-18T00:00:00"/>
    <n v="9.3639330000000007E-2"/>
    <n v="9.3639330000000007E-2"/>
    <n v="0"/>
    <n v="0"/>
    <s v="T+0"/>
    <x v="0"/>
  </r>
  <r>
    <n v="1086"/>
    <x v="5"/>
    <d v="2022-02-18T00:00:00"/>
    <n v="0"/>
    <n v="0"/>
    <n v="0"/>
    <n v="0"/>
    <s v="T+0"/>
    <x v="0"/>
  </r>
  <r>
    <s v="1001"/>
    <x v="6"/>
    <d v="2022-03-02T00:00:00"/>
    <n v="140"/>
    <n v="140"/>
    <n v="12"/>
    <n v="1"/>
    <s v="T+1"/>
    <x v="1"/>
  </r>
  <r>
    <s v="1001"/>
    <x v="7"/>
    <d v="2022-03-31T00:00:00"/>
    <n v="100"/>
    <n v="100"/>
    <n v="41"/>
    <n v="2"/>
    <s v="T+2"/>
    <x v="1"/>
  </r>
  <r>
    <s v="1001"/>
    <x v="6"/>
    <d v="2022-04-05T00:00:00"/>
    <n v="100.11453324999999"/>
    <n v="100.11453324999999"/>
    <n v="46"/>
    <n v="2"/>
    <s v="T+2"/>
    <x v="2"/>
  </r>
  <r>
    <s v="1001"/>
    <x v="7"/>
    <d v="2022-03-17T00:00:00"/>
    <n v="70"/>
    <n v="70"/>
    <n v="27"/>
    <n v="1"/>
    <s v="T+1"/>
    <x v="1"/>
  </r>
  <r>
    <s v="1086"/>
    <x v="8"/>
    <d v="2022-03-16T00:00:00"/>
    <n v="30.002970000000001"/>
    <n v="30.002970000000001"/>
    <n v="26"/>
    <n v="1"/>
    <s v="T+1"/>
    <x v="1"/>
  </r>
  <r>
    <s v="1086"/>
    <x v="9"/>
    <d v="2022-03-31T00:00:00"/>
    <n v="10"/>
    <n v="10"/>
    <n v="41"/>
    <n v="2"/>
    <s v="T+2"/>
    <x v="1"/>
  </r>
  <r>
    <s v="1086"/>
    <x v="8"/>
    <d v="2022-03-03T00:00:00"/>
    <n v="100"/>
    <n v="100"/>
    <n v="13"/>
    <n v="1"/>
    <s v="T+1"/>
    <x v="1"/>
  </r>
  <r>
    <s v="1086"/>
    <x v="1"/>
    <d v="2022-04-04T00:00:00"/>
    <n v="100"/>
    <n v="100"/>
    <n v="45"/>
    <n v="2"/>
    <s v="T+2"/>
    <x v="2"/>
  </r>
  <r>
    <s v="1086"/>
    <x v="9"/>
    <d v="2022-03-17T00:00:00"/>
    <n v="25"/>
    <n v="25"/>
    <n v="27"/>
    <n v="1"/>
    <s v="T+1"/>
    <x v="1"/>
  </r>
  <r>
    <s v="1086"/>
    <x v="8"/>
    <d v="2022-03-21T00:00:00"/>
    <n v="40.039644330000002"/>
    <n v="40.039644330000002"/>
    <n v="31"/>
    <n v="2"/>
    <s v="T+2"/>
    <x v="1"/>
  </r>
  <r>
    <m/>
    <x v="10"/>
    <m/>
    <m/>
    <m/>
    <m/>
    <m/>
    <m/>
    <x v="3"/>
  </r>
  <r>
    <m/>
    <x v="10"/>
    <m/>
    <m/>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0E066E-BBB3-4031-8B43-BC05FC2732C8}" name="PivotTable8"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G60" firstHeaderRow="1" firstDataRow="3" firstDataCol="1"/>
  <pivotFields count="7">
    <pivotField showAll="0"/>
    <pivotField axis="axisRow" showAll="0">
      <items count="38">
        <item x="30"/>
        <item x="33"/>
        <item x="12"/>
        <item x="15"/>
        <item x="31"/>
        <item x="23"/>
        <item x="13"/>
        <item x="8"/>
        <item x="22"/>
        <item x="29"/>
        <item x="17"/>
        <item x="19"/>
        <item x="9"/>
        <item x="18"/>
        <item x="5"/>
        <item x="25"/>
        <item x="3"/>
        <item x="2"/>
        <item x="27"/>
        <item x="24"/>
        <item x="20"/>
        <item x="11"/>
        <item x="10"/>
        <item x="35"/>
        <item x="32"/>
        <item x="7"/>
        <item x="6"/>
        <item x="28"/>
        <item x="4"/>
        <item x="14"/>
        <item x="0"/>
        <item x="1"/>
        <item x="21"/>
        <item x="34"/>
        <item m="1" x="36"/>
        <item x="26"/>
        <item x="16"/>
        <item t="default"/>
      </items>
    </pivotField>
    <pivotField axis="axisRow" showAll="0">
      <items count="7">
        <item x="2"/>
        <item x="5"/>
        <item x="4"/>
        <item x="0"/>
        <item x="3"/>
        <item x="1"/>
        <item t="default"/>
      </items>
    </pivotField>
    <pivotField axis="axisCol" showAll="0">
      <items count="3">
        <item x="0"/>
        <item x="1"/>
        <item t="default"/>
      </items>
    </pivotField>
    <pivotField axis="axisCol" showAll="0">
      <items count="4">
        <item x="0"/>
        <item x="1"/>
        <item m="1" x="2"/>
        <item t="default"/>
      </items>
    </pivotField>
    <pivotField axis="axisRow" showAll="0">
      <items count="7">
        <item x="4"/>
        <item x="1"/>
        <item x="2"/>
        <item x="5"/>
        <item x="0"/>
        <item x="3"/>
        <item t="default"/>
      </items>
    </pivotField>
    <pivotField dataField="1" showAll="0"/>
  </pivotFields>
  <rowFields count="3">
    <field x="2"/>
    <field x="5"/>
    <field x="1"/>
  </rowFields>
  <rowItems count="55">
    <i>
      <x/>
    </i>
    <i r="1">
      <x v="2"/>
    </i>
    <i r="2">
      <x v="22"/>
    </i>
    <i r="1">
      <x v="4"/>
    </i>
    <i r="2">
      <x v="2"/>
    </i>
    <i r="2">
      <x v="3"/>
    </i>
    <i r="2">
      <x v="6"/>
    </i>
    <i r="2">
      <x v="7"/>
    </i>
    <i r="2">
      <x v="10"/>
    </i>
    <i r="2">
      <x v="12"/>
    </i>
    <i r="2">
      <x v="14"/>
    </i>
    <i r="2">
      <x v="18"/>
    </i>
    <i r="2">
      <x v="21"/>
    </i>
    <i r="2">
      <x v="23"/>
    </i>
    <i r="2">
      <x v="25"/>
    </i>
    <i r="2">
      <x v="26"/>
    </i>
    <i r="2">
      <x v="29"/>
    </i>
    <i r="2">
      <x v="36"/>
    </i>
    <i>
      <x v="1"/>
    </i>
    <i r="1">
      <x v="3"/>
    </i>
    <i r="2">
      <x v="4"/>
    </i>
    <i r="2">
      <x v="24"/>
    </i>
    <i>
      <x v="2"/>
    </i>
    <i r="1">
      <x/>
    </i>
    <i r="2">
      <x/>
    </i>
    <i r="2">
      <x v="1"/>
    </i>
    <i r="2">
      <x v="5"/>
    </i>
    <i r="2">
      <x v="6"/>
    </i>
    <i r="2">
      <x v="9"/>
    </i>
    <i r="2">
      <x v="15"/>
    </i>
    <i r="2">
      <x v="18"/>
    </i>
    <i r="2">
      <x v="19"/>
    </i>
    <i r="2">
      <x v="27"/>
    </i>
    <i r="2">
      <x v="35"/>
    </i>
    <i>
      <x v="3"/>
    </i>
    <i r="1">
      <x v="4"/>
    </i>
    <i r="2">
      <x v="11"/>
    </i>
    <i r="2">
      <x v="13"/>
    </i>
    <i r="2">
      <x v="16"/>
    </i>
    <i r="2">
      <x v="17"/>
    </i>
    <i r="2">
      <x v="30"/>
    </i>
    <i r="2">
      <x v="31"/>
    </i>
    <i r="1">
      <x v="5"/>
    </i>
    <i r="2">
      <x v="8"/>
    </i>
    <i>
      <x v="4"/>
    </i>
    <i r="1">
      <x v="4"/>
    </i>
    <i r="2">
      <x v="1"/>
    </i>
    <i r="2">
      <x v="20"/>
    </i>
    <i r="2">
      <x v="32"/>
    </i>
    <i>
      <x v="5"/>
    </i>
    <i r="1">
      <x/>
    </i>
    <i r="2">
      <x v="33"/>
    </i>
    <i r="1">
      <x v="1"/>
    </i>
    <i r="2">
      <x v="28"/>
    </i>
    <i t="grand">
      <x/>
    </i>
  </rowItems>
  <colFields count="2">
    <field x="3"/>
    <field x="4"/>
  </colFields>
  <colItems count="6">
    <i>
      <x/>
      <x/>
    </i>
    <i r="1">
      <x v="1"/>
    </i>
    <i t="default">
      <x/>
    </i>
    <i>
      <x v="1"/>
      <x v="1"/>
    </i>
    <i t="default">
      <x v="1"/>
    </i>
    <i t="grand">
      <x/>
    </i>
  </colItems>
  <dataFields count="1">
    <dataField name="Sum of Amount in MMUSD" fld="6" baseField="0" baseItem="0" numFmtId="2"/>
  </dataFields>
  <formats count="2">
    <format dxfId="36">
      <pivotArea outline="0" collapsedLevelsAreSubtotals="1" fieldPosition="0"/>
    </format>
    <format dxfId="35">
      <pivotArea collapsedLevelsAreSubtotals="1" fieldPosition="0">
        <references count="5">
          <reference field="1" count="1">
            <x v="6"/>
          </reference>
          <reference field="2" count="1" selected="0">
            <x v="2"/>
          </reference>
          <reference field="3" count="1" selected="0">
            <x v="1"/>
          </reference>
          <reference field="4" count="1" selected="0">
            <x v="2"/>
          </reference>
          <reference field="5"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AF1706-4E71-40FC-87B6-D3A6A74339B3}" name="PivotTable1" cacheId="3"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3:B61" firstHeaderRow="2" firstDataRow="2" firstDataCol="1"/>
  <pivotFields count="21">
    <pivotField axis="axisRow" compact="0" outline="0" showAll="0">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Items count="1">
    <i/>
  </colItems>
  <dataFields count="1">
    <dataField name="Sum of Bank Balance (PTTEP Ownership)-USD Equiv"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D458E1-09CD-4248-8BF0-E0B9994BB7E8}" name="PivotTable5"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M10" firstHeaderRow="1" firstDataRow="2" firstDataCol="1"/>
  <pivotFields count="9">
    <pivotField showAll="0"/>
    <pivotField axis="axisCol" showAll="0">
      <items count="18">
        <item x="3"/>
        <item x="4"/>
        <item x="5"/>
        <item x="0"/>
        <item x="2"/>
        <item x="10"/>
        <item m="1" x="16"/>
        <item m="1" x="13"/>
        <item x="7"/>
        <item m="1" x="15"/>
        <item x="1"/>
        <item m="1" x="12"/>
        <item x="9"/>
        <item x="6"/>
        <item x="8"/>
        <item m="1" x="14"/>
        <item m="1" x="11"/>
        <item t="default"/>
      </items>
    </pivotField>
    <pivotField showAll="0"/>
    <pivotField showAll="0"/>
    <pivotField dataField="1" showAll="0"/>
    <pivotField showAll="0"/>
    <pivotField showAll="0"/>
    <pivotField showAll="0"/>
    <pivotField axis="axisRow" showAll="0">
      <items count="13">
        <item m="1" x="11"/>
        <item m="1" x="7"/>
        <item x="0"/>
        <item m="1" x="5"/>
        <item m="1" x="9"/>
        <item m="1" x="6"/>
        <item m="1" x="8"/>
        <item m="1" x="4"/>
        <item x="3"/>
        <item x="1"/>
        <item m="1" x="10"/>
        <item x="2"/>
        <item t="default"/>
      </items>
    </pivotField>
  </pivotFields>
  <rowFields count="1">
    <field x="8"/>
  </rowFields>
  <rowItems count="5">
    <i>
      <x v="2"/>
    </i>
    <i>
      <x v="8"/>
    </i>
    <i>
      <x v="9"/>
    </i>
    <i>
      <x v="11"/>
    </i>
    <i t="grand">
      <x/>
    </i>
  </rowItems>
  <colFields count="1">
    <field x="1"/>
  </colFields>
  <colItems count="12">
    <i>
      <x/>
    </i>
    <i>
      <x v="1"/>
    </i>
    <i>
      <x v="2"/>
    </i>
    <i>
      <x v="3"/>
    </i>
    <i>
      <x v="4"/>
    </i>
    <i>
      <x v="5"/>
    </i>
    <i>
      <x v="8"/>
    </i>
    <i>
      <x v="10"/>
    </i>
    <i>
      <x v="12"/>
    </i>
    <i>
      <x v="13"/>
    </i>
    <i>
      <x v="14"/>
    </i>
    <i t="grand">
      <x/>
    </i>
  </colItems>
  <dataFields count="1">
    <dataField name="Sum of Availibility (mm$)"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panose="020F0502020204030204"/>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29E2B-49EC-4D2E-98A9-010BEE3FBB48}">
  <sheetPr>
    <tabColor rgb="FFFF0000"/>
    <pageSetUpPr fitToPage="1"/>
  </sheetPr>
  <dimension ref="A1:Y36"/>
  <sheetViews>
    <sheetView showGridLines="0" tabSelected="1" view="pageBreakPreview" zoomScale="182" zoomScaleNormal="147" zoomScaleSheetLayoutView="118" workbookViewId="0">
      <selection activeCell="B6" sqref="B6"/>
    </sheetView>
  </sheetViews>
  <sheetFormatPr baseColWidth="10" defaultColWidth="8.83203125" defaultRowHeight="15"/>
  <cols>
    <col min="1" max="1" width="2.1640625" customWidth="1"/>
    <col min="2" max="2" width="11.1640625" customWidth="1"/>
    <col min="3" max="3" width="10.33203125" customWidth="1"/>
    <col min="4" max="4" width="11" customWidth="1"/>
    <col min="6" max="6" width="1" customWidth="1"/>
    <col min="7" max="7" width="1.6640625" customWidth="1"/>
    <col min="8" max="8" width="13.1640625" customWidth="1"/>
    <col min="9" max="9" width="8.83203125" customWidth="1"/>
    <col min="10" max="10" width="4.33203125" customWidth="1"/>
    <col min="11" max="11" width="7.6640625" customWidth="1"/>
    <col min="12" max="12" width="4.1640625" customWidth="1"/>
    <col min="13" max="13" width="1" customWidth="1"/>
    <col min="17" max="17" width="9.83203125" bestFit="1" customWidth="1"/>
  </cols>
  <sheetData>
    <row r="1" spans="1:25" ht="21">
      <c r="A1" s="94" t="s">
        <v>109</v>
      </c>
      <c r="B1" s="98"/>
      <c r="C1" s="94"/>
      <c r="D1" s="94"/>
      <c r="E1" s="94"/>
      <c r="F1" s="94"/>
      <c r="G1" s="94"/>
      <c r="H1" s="94"/>
      <c r="I1" s="94"/>
      <c r="J1" s="94"/>
      <c r="K1" s="94"/>
      <c r="L1" s="94"/>
      <c r="M1" s="94"/>
      <c r="N1" s="94"/>
      <c r="O1" s="94"/>
      <c r="P1" s="94"/>
      <c r="Q1" s="94"/>
      <c r="R1" s="94"/>
      <c r="S1" s="94"/>
    </row>
    <row r="2" spans="1:25">
      <c r="B2" s="12" t="s">
        <v>654</v>
      </c>
      <c r="C2" s="99" t="str">
        <f>'Cash Balance SAP'!B2</f>
        <v>28/02/2022</v>
      </c>
      <c r="L2" s="11"/>
      <c r="M2" s="11"/>
      <c r="N2" s="11" t="s">
        <v>112</v>
      </c>
      <c r="O2" s="281" t="str">
        <f>'Cash Balance SAP'!B5</f>
        <v>32.72635</v>
      </c>
    </row>
    <row r="3" spans="1:25">
      <c r="A3" s="587" t="s">
        <v>641</v>
      </c>
      <c r="B3" s="587"/>
      <c r="C3" s="587"/>
      <c r="D3" s="587"/>
      <c r="E3" s="587"/>
      <c r="F3" s="587"/>
      <c r="G3" s="587"/>
      <c r="H3" s="587"/>
      <c r="I3" s="587"/>
      <c r="J3" s="587"/>
      <c r="K3" s="587"/>
      <c r="L3" s="587"/>
      <c r="M3" s="86"/>
      <c r="N3" s="587" t="s">
        <v>642</v>
      </c>
      <c r="O3" s="587"/>
      <c r="P3" s="587"/>
      <c r="Q3" s="587"/>
      <c r="R3" s="587"/>
      <c r="S3" s="587"/>
    </row>
    <row r="4" spans="1:25">
      <c r="A4" s="79"/>
      <c r="B4" s="78" t="s">
        <v>110</v>
      </c>
      <c r="C4" s="79"/>
      <c r="D4" s="243">
        <f>'Cash Balance Report'!D7</f>
        <v>2753.4260794874172</v>
      </c>
      <c r="E4" s="78" t="s">
        <v>111</v>
      </c>
      <c r="F4" s="78"/>
      <c r="G4" s="79"/>
      <c r="H4" s="79"/>
      <c r="I4" s="79"/>
      <c r="J4" s="79"/>
      <c r="K4" s="79"/>
      <c r="L4" s="79"/>
      <c r="M4" s="85"/>
      <c r="N4" s="160" t="s">
        <v>769</v>
      </c>
      <c r="O4" s="44"/>
      <c r="P4" s="44"/>
      <c r="Q4" s="44"/>
      <c r="R4" s="44"/>
      <c r="S4" s="44"/>
    </row>
    <row r="5" spans="1:25">
      <c r="A5" s="79"/>
      <c r="B5" s="79"/>
      <c r="C5" s="79"/>
      <c r="D5" s="79"/>
      <c r="E5" s="79"/>
      <c r="F5" s="79"/>
      <c r="G5" s="79"/>
      <c r="H5" s="79"/>
      <c r="I5" s="79"/>
      <c r="J5" s="79"/>
      <c r="K5" s="79"/>
      <c r="L5" s="79"/>
      <c r="M5" s="85"/>
      <c r="N5" s="242"/>
      <c r="O5" s="241" t="s">
        <v>827</v>
      </c>
      <c r="P5" s="240">
        <f>D4</f>
        <v>2753.4260794874172</v>
      </c>
      <c r="Q5" s="160" t="s">
        <v>111</v>
      </c>
      <c r="R5" s="44"/>
      <c r="S5" s="44"/>
    </row>
    <row r="6" spans="1:25">
      <c r="A6" s="79"/>
      <c r="B6" s="79"/>
      <c r="C6" s="79"/>
      <c r="D6" s="79"/>
      <c r="E6" s="79"/>
      <c r="F6" s="79"/>
      <c r="G6" s="79"/>
      <c r="H6" s="79"/>
      <c r="I6" s="79"/>
      <c r="J6" s="79"/>
      <c r="K6" s="79"/>
      <c r="L6" s="79"/>
      <c r="M6" s="85"/>
      <c r="N6" s="44"/>
      <c r="O6" s="44"/>
      <c r="P6" s="44"/>
      <c r="Q6" s="84"/>
      <c r="R6" s="84"/>
      <c r="S6" s="44"/>
    </row>
    <row r="7" spans="1:25">
      <c r="A7" s="79"/>
      <c r="B7" s="79"/>
      <c r="C7" s="79"/>
      <c r="D7" s="79"/>
      <c r="E7" s="79"/>
      <c r="F7" s="79"/>
      <c r="G7" s="79"/>
      <c r="H7" s="79"/>
      <c r="I7" s="79"/>
      <c r="J7" s="79"/>
      <c r="K7" s="79"/>
      <c r="L7" s="79"/>
      <c r="M7" s="85"/>
      <c r="N7" s="44"/>
      <c r="O7" s="44"/>
      <c r="P7" s="44"/>
      <c r="Q7" s="44"/>
      <c r="R7" s="44"/>
      <c r="S7" s="44"/>
    </row>
    <row r="8" spans="1:25">
      <c r="A8" s="79"/>
      <c r="B8" s="79"/>
      <c r="C8" s="79"/>
      <c r="D8" s="79"/>
      <c r="E8" s="79"/>
      <c r="F8" s="79"/>
      <c r="G8" s="79"/>
      <c r="H8" s="79"/>
      <c r="I8" s="79"/>
      <c r="J8" s="79"/>
      <c r="K8" s="79"/>
      <c r="L8" s="79"/>
      <c r="M8" s="85"/>
      <c r="N8" s="44"/>
      <c r="O8" s="44"/>
      <c r="P8" s="44"/>
      <c r="Q8" s="44"/>
      <c r="R8" s="44"/>
      <c r="S8" s="44"/>
      <c r="Y8" s="355"/>
    </row>
    <row r="9" spans="1:25">
      <c r="A9" s="79"/>
      <c r="B9" s="79"/>
      <c r="C9" s="79"/>
      <c r="D9" s="79"/>
      <c r="E9" s="79"/>
      <c r="F9" s="79"/>
      <c r="G9" s="79"/>
      <c r="H9" s="79"/>
      <c r="I9" s="79"/>
      <c r="J9" s="79"/>
      <c r="K9" s="79"/>
      <c r="L9" s="79"/>
      <c r="M9" s="85"/>
      <c r="N9" s="44"/>
      <c r="O9" s="44"/>
      <c r="P9" s="44"/>
      <c r="Q9" s="44"/>
      <c r="R9" s="44"/>
      <c r="S9" s="44"/>
    </row>
    <row r="10" spans="1:25">
      <c r="A10" s="79"/>
      <c r="B10" s="79"/>
      <c r="C10" s="79"/>
      <c r="D10" s="79"/>
      <c r="E10" s="79"/>
      <c r="F10" s="79"/>
      <c r="G10" s="79"/>
      <c r="H10" s="79"/>
      <c r="I10" s="79"/>
      <c r="J10" s="79"/>
      <c r="K10" s="79"/>
      <c r="L10" s="79"/>
      <c r="M10" s="85"/>
      <c r="N10" s="44"/>
      <c r="O10" s="44"/>
      <c r="P10" s="44"/>
      <c r="Q10" s="44"/>
      <c r="R10" s="44"/>
      <c r="S10" s="44"/>
    </row>
    <row r="11" spans="1:25">
      <c r="A11" s="79"/>
      <c r="B11" s="79"/>
      <c r="C11" s="79"/>
      <c r="D11" s="79"/>
      <c r="E11" s="79"/>
      <c r="F11" s="79"/>
      <c r="G11" s="79"/>
      <c r="H11" s="79"/>
      <c r="I11" s="79"/>
      <c r="J11" s="79"/>
      <c r="K11" s="79"/>
      <c r="L11" s="79"/>
      <c r="M11" s="85"/>
      <c r="N11" s="44"/>
      <c r="O11" s="44"/>
      <c r="P11" s="44"/>
      <c r="Q11" s="44"/>
      <c r="R11" s="44"/>
      <c r="S11" s="44"/>
    </row>
    <row r="12" spans="1:25">
      <c r="A12" s="79"/>
      <c r="B12" s="79"/>
      <c r="C12" s="79"/>
      <c r="D12" s="79"/>
      <c r="E12" s="79"/>
      <c r="F12" s="79"/>
      <c r="G12" s="79"/>
      <c r="H12" s="79"/>
      <c r="I12" s="79"/>
      <c r="J12" s="79"/>
      <c r="K12" s="79"/>
      <c r="L12" s="79"/>
      <c r="M12" s="85"/>
      <c r="N12" s="44"/>
      <c r="O12" s="44"/>
      <c r="P12" s="44"/>
      <c r="Q12" s="44"/>
      <c r="R12" s="44"/>
      <c r="S12" s="44"/>
    </row>
    <row r="13" spans="1:25">
      <c r="A13" s="79"/>
      <c r="B13" s="79"/>
      <c r="C13" s="79"/>
      <c r="D13" s="79"/>
      <c r="E13" s="79"/>
      <c r="F13" s="79"/>
      <c r="G13" s="79"/>
      <c r="H13" s="79"/>
      <c r="I13" s="79"/>
      <c r="J13" s="79"/>
      <c r="K13" s="79"/>
      <c r="L13" s="79"/>
      <c r="M13" s="85"/>
      <c r="N13" s="44"/>
      <c r="O13" s="44"/>
      <c r="P13" s="44"/>
      <c r="Q13" s="44"/>
      <c r="R13" s="44"/>
      <c r="S13" s="44"/>
    </row>
    <row r="14" spans="1:25">
      <c r="A14" s="79"/>
      <c r="B14" s="79"/>
      <c r="C14" s="79"/>
      <c r="D14" s="79"/>
      <c r="E14" s="79"/>
      <c r="F14" s="79"/>
      <c r="G14" s="79"/>
      <c r="H14" s="79"/>
      <c r="I14" s="79"/>
      <c r="J14" s="79"/>
      <c r="K14" s="79"/>
      <c r="L14" s="79"/>
      <c r="M14" s="85"/>
      <c r="N14" s="44"/>
      <c r="O14" s="44"/>
      <c r="P14" s="44"/>
      <c r="Q14" s="44"/>
      <c r="R14" s="44"/>
      <c r="S14" s="44"/>
    </row>
    <row r="15" spans="1:25">
      <c r="A15" s="79"/>
      <c r="B15" s="79"/>
      <c r="C15" s="79"/>
      <c r="D15" s="79"/>
      <c r="E15" s="79"/>
      <c r="F15" s="79"/>
      <c r="G15" s="79"/>
      <c r="H15" s="79"/>
      <c r="I15" s="79"/>
      <c r="J15" s="79"/>
      <c r="K15" s="79"/>
      <c r="L15" s="79"/>
      <c r="M15" s="85"/>
      <c r="N15" s="44"/>
      <c r="O15" s="44"/>
      <c r="P15" s="44"/>
      <c r="Q15" s="44"/>
      <c r="R15" s="44"/>
      <c r="S15" s="44"/>
    </row>
    <row r="16" spans="1:25">
      <c r="A16" s="79"/>
      <c r="B16" s="79"/>
      <c r="C16" s="79"/>
      <c r="D16" s="79"/>
      <c r="E16" s="79"/>
      <c r="F16" s="79"/>
      <c r="G16" s="79"/>
      <c r="H16" s="79"/>
      <c r="I16" s="79"/>
      <c r="J16" s="79"/>
      <c r="K16" s="79"/>
      <c r="L16" s="79"/>
      <c r="M16" s="85"/>
      <c r="N16" s="44"/>
      <c r="O16" s="44"/>
      <c r="P16" s="44"/>
      <c r="Q16" s="44"/>
      <c r="R16" s="44"/>
      <c r="S16" s="44"/>
    </row>
    <row r="17" spans="1:19" ht="22.25" customHeight="1">
      <c r="A17" s="79"/>
      <c r="B17" s="82" t="s">
        <v>638</v>
      </c>
      <c r="C17" s="588" t="s">
        <v>639</v>
      </c>
      <c r="D17" s="588"/>
      <c r="E17" s="588"/>
      <c r="F17" s="588"/>
      <c r="G17" s="588"/>
      <c r="H17" s="588"/>
      <c r="I17" s="588"/>
      <c r="J17" s="588"/>
      <c r="K17" s="588"/>
      <c r="L17" s="588"/>
      <c r="M17" s="87"/>
      <c r="N17" s="45"/>
      <c r="O17" s="45"/>
      <c r="P17" s="45"/>
      <c r="Q17" s="45"/>
      <c r="R17" s="45"/>
      <c r="S17" s="45"/>
    </row>
    <row r="18" spans="1:19" ht="33.5" customHeight="1">
      <c r="A18" s="79"/>
      <c r="B18" s="83" t="s">
        <v>640</v>
      </c>
      <c r="C18" s="589" t="str">
        <f ca="1">'Cash Balance Report'!A26</f>
        <v>Subsidiary 667M$ (Siam 82M$, PTTEP SP 119M$, SBO&amp;SKO 205M$, HKO 41M$, Partex 92M$, Vietnam 54M$, PTTEP ED 53M$, others 17M$) JV 549M$ (OEL 186M$, B8/32 54M$, ATL 124M$,  MGTC 55M$, others 130M$), Myanmar's reserved fund 87M$</v>
      </c>
      <c r="D18" s="589"/>
      <c r="E18" s="589"/>
      <c r="F18" s="589"/>
      <c r="G18" s="589"/>
      <c r="H18" s="589"/>
      <c r="I18" s="589"/>
      <c r="J18" s="589"/>
      <c r="K18" s="589"/>
      <c r="L18" s="589"/>
      <c r="M18" s="88"/>
      <c r="N18" s="590"/>
      <c r="O18" s="590"/>
      <c r="P18" s="590"/>
      <c r="Q18" s="590"/>
      <c r="R18" s="590"/>
      <c r="S18" s="590"/>
    </row>
    <row r="19" spans="1:19" ht="5" customHeight="1">
      <c r="B19" s="72"/>
      <c r="C19" s="73"/>
      <c r="D19" s="73"/>
      <c r="E19" s="73"/>
      <c r="F19" s="73"/>
      <c r="G19" s="73"/>
      <c r="H19" s="43"/>
      <c r="I19" s="43"/>
      <c r="J19" s="43"/>
      <c r="K19" s="43"/>
      <c r="L19" s="43"/>
      <c r="M19" s="43"/>
      <c r="N19" s="43"/>
      <c r="O19" s="43"/>
      <c r="P19" s="43"/>
      <c r="Q19" s="43"/>
      <c r="R19" s="43"/>
      <c r="S19" s="43"/>
    </row>
    <row r="20" spans="1:19" ht="13.25" customHeight="1">
      <c r="A20" s="585" t="s">
        <v>957</v>
      </c>
      <c r="B20" s="585"/>
      <c r="C20" s="585"/>
      <c r="D20" s="585"/>
      <c r="E20" s="585"/>
      <c r="F20" s="89"/>
      <c r="G20" s="585" t="s">
        <v>958</v>
      </c>
      <c r="H20" s="585"/>
      <c r="I20" s="585"/>
      <c r="J20" s="585"/>
      <c r="K20" s="585"/>
      <c r="L20" s="585"/>
      <c r="M20" s="90"/>
      <c r="N20" s="584" t="s">
        <v>650</v>
      </c>
      <c r="O20" s="584"/>
      <c r="P20" s="584"/>
      <c r="Q20" s="584"/>
      <c r="R20" s="584"/>
      <c r="S20" s="584"/>
    </row>
    <row r="21" spans="1:19" ht="11" customHeight="1">
      <c r="A21" s="586" t="s">
        <v>645</v>
      </c>
      <c r="B21" s="586"/>
      <c r="C21" s="586"/>
      <c r="D21" s="586"/>
      <c r="E21" s="586"/>
      <c r="G21" s="586" t="s">
        <v>644</v>
      </c>
      <c r="H21" s="586"/>
      <c r="I21" s="586"/>
      <c r="J21" s="586"/>
      <c r="K21" s="586"/>
      <c r="L21" s="586"/>
      <c r="N21" s="79"/>
      <c r="O21" s="79"/>
      <c r="P21" s="79"/>
      <c r="Q21" s="79"/>
      <c r="R21" s="79"/>
      <c r="S21" s="79"/>
    </row>
    <row r="22" spans="1:19">
      <c r="A22" s="84"/>
      <c r="B22" s="91" t="s">
        <v>599</v>
      </c>
      <c r="C22" s="84"/>
      <c r="D22" s="92">
        <f>Investment!H3</f>
        <v>894.07760838999991</v>
      </c>
      <c r="E22" s="91" t="s">
        <v>829</v>
      </c>
      <c r="F22" s="85"/>
      <c r="G22" s="84"/>
      <c r="H22" s="96" t="s">
        <v>73</v>
      </c>
      <c r="I22" s="92">
        <f>'Working Cap'!E3+'Working Cap'!E4</f>
        <v>491.48124524000002</v>
      </c>
      <c r="J22" s="91" t="s">
        <v>600</v>
      </c>
      <c r="K22" s="238">
        <f>'Working Cap'!G5</f>
        <v>2.8323527199033511E-3</v>
      </c>
      <c r="L22" s="91" t="s">
        <v>601</v>
      </c>
      <c r="N22" s="79"/>
      <c r="O22" s="79"/>
      <c r="P22" s="79"/>
      <c r="Q22" s="79"/>
      <c r="R22" s="79"/>
      <c r="S22" s="79"/>
    </row>
    <row r="23" spans="1:19">
      <c r="A23" s="84"/>
      <c r="B23" s="91" t="s">
        <v>643</v>
      </c>
      <c r="C23" s="84"/>
      <c r="D23" s="93">
        <f>Investment!I3</f>
        <v>4.3848293172652373E-3</v>
      </c>
      <c r="E23" s="91" t="s">
        <v>828</v>
      </c>
      <c r="F23" s="85"/>
      <c r="G23" s="84"/>
      <c r="H23" s="96" t="s">
        <v>647</v>
      </c>
      <c r="I23" s="488">
        <f>'Working Cap'!E9</f>
        <v>0.1</v>
      </c>
      <c r="J23" s="91" t="s">
        <v>600</v>
      </c>
      <c r="K23" s="238">
        <f>'Working Cap'!G9</f>
        <v>4.0000000000000001E-3</v>
      </c>
      <c r="L23" s="91" t="s">
        <v>601</v>
      </c>
      <c r="N23" s="79"/>
      <c r="O23" s="79"/>
      <c r="P23" s="79"/>
      <c r="Q23" s="79"/>
      <c r="R23" s="79"/>
      <c r="S23" s="79"/>
    </row>
    <row r="24" spans="1:19" ht="16" thickBot="1">
      <c r="A24" s="84"/>
      <c r="B24" s="84"/>
      <c r="C24" s="84"/>
      <c r="D24" s="84"/>
      <c r="E24" s="84"/>
      <c r="F24" s="85"/>
      <c r="G24" s="84"/>
      <c r="H24" s="96" t="s">
        <v>646</v>
      </c>
      <c r="I24" s="239">
        <f>I22+I23</f>
        <v>491.58124524000004</v>
      </c>
      <c r="J24" s="91" t="s">
        <v>600</v>
      </c>
      <c r="K24" s="91"/>
      <c r="L24" s="84"/>
      <c r="N24" s="79"/>
      <c r="O24" s="79"/>
      <c r="P24" s="79"/>
      <c r="Q24" s="79"/>
      <c r="R24" s="79"/>
      <c r="S24" s="79"/>
    </row>
    <row r="25" spans="1:19" ht="11" customHeight="1">
      <c r="A25" s="84"/>
      <c r="B25" s="84"/>
      <c r="C25" s="84"/>
      <c r="D25" s="84"/>
      <c r="E25" s="84"/>
      <c r="F25" s="85"/>
      <c r="G25" s="84"/>
      <c r="H25" s="84"/>
      <c r="I25" s="84"/>
      <c r="J25" s="84"/>
      <c r="K25" s="84"/>
      <c r="L25" s="84"/>
      <c r="N25" s="79"/>
      <c r="O25" s="79"/>
      <c r="P25" s="79"/>
      <c r="Q25" s="79"/>
      <c r="R25" s="79"/>
      <c r="S25" s="79"/>
    </row>
    <row r="26" spans="1:19">
      <c r="A26" s="84"/>
      <c r="B26" s="84"/>
      <c r="C26" s="84"/>
      <c r="D26" s="84"/>
      <c r="E26" s="84"/>
      <c r="F26" s="85"/>
      <c r="G26" s="84"/>
      <c r="H26" s="95" t="s">
        <v>648</v>
      </c>
      <c r="I26" s="84"/>
      <c r="J26" s="84"/>
      <c r="K26" s="84"/>
      <c r="L26" s="84"/>
      <c r="N26" s="79"/>
      <c r="O26" s="79"/>
      <c r="P26" s="79"/>
      <c r="Q26" s="79"/>
      <c r="R26" s="79"/>
      <c r="S26" s="79"/>
    </row>
    <row r="27" spans="1:19">
      <c r="A27" s="84"/>
      <c r="B27" s="84"/>
      <c r="C27" s="84"/>
      <c r="D27" s="84"/>
      <c r="E27" s="84"/>
      <c r="F27" s="85"/>
      <c r="G27" s="84"/>
      <c r="H27" s="84"/>
      <c r="I27" s="84"/>
      <c r="J27" s="84"/>
      <c r="K27" s="84"/>
      <c r="L27" s="84"/>
      <c r="N27" s="79"/>
      <c r="O27" s="79"/>
      <c r="P27" s="79"/>
      <c r="Q27" s="79"/>
      <c r="R27" s="79"/>
      <c r="S27" s="79"/>
    </row>
    <row r="28" spans="1:19" ht="5.25" customHeight="1">
      <c r="A28" s="84"/>
      <c r="B28" s="84"/>
      <c r="C28" s="84"/>
      <c r="D28" s="84"/>
      <c r="E28" s="84"/>
      <c r="F28" s="85"/>
      <c r="G28" s="84"/>
      <c r="H28" s="84"/>
      <c r="I28" s="84"/>
      <c r="J28" s="84"/>
      <c r="K28" s="84"/>
      <c r="L28" s="84"/>
      <c r="N28" s="79"/>
      <c r="O28" s="79"/>
      <c r="P28" s="79"/>
      <c r="Q28" s="79"/>
      <c r="R28" s="79"/>
      <c r="S28" s="79"/>
    </row>
    <row r="29" spans="1:19" ht="5.25" customHeight="1">
      <c r="A29" s="84"/>
      <c r="B29" s="84"/>
      <c r="C29" s="84"/>
      <c r="D29" s="84"/>
      <c r="E29" s="84"/>
      <c r="F29" s="85"/>
      <c r="G29" s="84"/>
      <c r="H29" s="84"/>
      <c r="I29" s="84"/>
      <c r="J29" s="84"/>
      <c r="K29" s="84"/>
      <c r="L29" s="84"/>
      <c r="N29" s="85"/>
      <c r="O29" s="85"/>
      <c r="P29" s="85"/>
      <c r="Q29" s="85"/>
      <c r="R29" s="85"/>
      <c r="S29" s="85"/>
    </row>
    <row r="30" spans="1:19">
      <c r="A30" s="84"/>
      <c r="B30" s="84"/>
      <c r="C30" s="84"/>
      <c r="D30" s="84"/>
      <c r="E30" s="84"/>
      <c r="F30" s="85"/>
      <c r="G30" s="84"/>
      <c r="H30" s="84"/>
      <c r="I30" s="84"/>
      <c r="J30" s="84"/>
      <c r="K30" s="84"/>
      <c r="L30" s="84"/>
      <c r="N30" s="584" t="s">
        <v>651</v>
      </c>
      <c r="O30" s="584"/>
      <c r="P30" s="584"/>
      <c r="Q30" s="584"/>
      <c r="R30" s="584"/>
      <c r="S30" s="584"/>
    </row>
    <row r="31" spans="1:19">
      <c r="A31" s="84"/>
      <c r="B31" s="84"/>
      <c r="C31" s="84"/>
      <c r="D31" s="84"/>
      <c r="E31" s="84"/>
      <c r="F31" s="85"/>
      <c r="G31" s="84"/>
      <c r="H31" s="84"/>
      <c r="I31" s="84"/>
      <c r="J31" s="84"/>
      <c r="K31" s="84"/>
      <c r="L31" s="84"/>
      <c r="N31" s="438" t="s">
        <v>1374</v>
      </c>
      <c r="O31" s="79"/>
      <c r="P31" s="79"/>
      <c r="Q31" s="79"/>
      <c r="R31" s="79"/>
      <c r="S31" s="79"/>
    </row>
    <row r="32" spans="1:19">
      <c r="A32" s="84"/>
      <c r="B32" s="84"/>
      <c r="C32" s="84"/>
      <c r="D32" s="84"/>
      <c r="E32" s="84"/>
      <c r="F32" s="85"/>
      <c r="G32" s="84"/>
      <c r="H32" s="95" t="s">
        <v>826</v>
      </c>
      <c r="I32" s="84"/>
      <c r="J32" s="84"/>
      <c r="K32" s="84"/>
      <c r="L32" s="84"/>
      <c r="N32" s="79"/>
      <c r="O32" s="79"/>
      <c r="P32" s="79"/>
      <c r="Q32" s="79"/>
      <c r="R32" s="79"/>
      <c r="S32" s="79"/>
    </row>
    <row r="33" spans="1:19">
      <c r="A33" s="84"/>
      <c r="B33" s="84"/>
      <c r="C33" s="84"/>
      <c r="D33" s="84"/>
      <c r="E33" s="84"/>
      <c r="F33" s="85"/>
      <c r="G33" s="84"/>
      <c r="H33" s="84"/>
      <c r="I33" s="84"/>
      <c r="J33" s="84"/>
      <c r="K33" s="84"/>
      <c r="L33" s="84"/>
      <c r="N33" s="79"/>
      <c r="O33" s="79"/>
      <c r="P33" s="79"/>
      <c r="Q33" s="79"/>
      <c r="R33" s="79"/>
      <c r="S33" s="79"/>
    </row>
    <row r="34" spans="1:19">
      <c r="A34" s="84"/>
      <c r="B34" s="84"/>
      <c r="C34" s="84"/>
      <c r="D34" s="84"/>
      <c r="E34" s="84"/>
      <c r="F34" s="85"/>
      <c r="G34" s="84"/>
      <c r="H34" s="84"/>
      <c r="I34" s="84"/>
      <c r="J34" s="84"/>
      <c r="K34" s="84"/>
      <c r="L34" s="84"/>
      <c r="N34" s="79"/>
      <c r="O34" s="79"/>
      <c r="P34" s="79"/>
      <c r="Q34" s="79"/>
      <c r="R34" s="79"/>
      <c r="S34" s="79"/>
    </row>
    <row r="35" spans="1:19">
      <c r="A35" s="84"/>
      <c r="B35" s="84"/>
      <c r="C35" s="84"/>
      <c r="D35" s="84"/>
      <c r="E35" s="84"/>
      <c r="F35" s="85"/>
      <c r="G35" s="84"/>
      <c r="H35" s="84"/>
      <c r="I35" s="84"/>
      <c r="J35" s="84"/>
      <c r="K35" s="84"/>
      <c r="L35" s="84"/>
      <c r="N35" s="159" t="s">
        <v>981</v>
      </c>
      <c r="O35" s="79"/>
      <c r="P35" s="79"/>
      <c r="Q35" s="79"/>
      <c r="R35" s="79"/>
      <c r="S35" s="79"/>
    </row>
    <row r="36" spans="1:19">
      <c r="A36" s="84"/>
      <c r="B36" s="84"/>
      <c r="C36" s="84"/>
      <c r="D36" s="84"/>
      <c r="E36" s="84"/>
      <c r="F36" s="85"/>
      <c r="G36" s="84"/>
      <c r="H36" s="84"/>
      <c r="I36" s="84"/>
      <c r="J36" s="84"/>
      <c r="K36" s="84"/>
      <c r="L36" s="84"/>
      <c r="N36" s="79"/>
      <c r="O36" s="79"/>
      <c r="P36" s="79"/>
      <c r="Q36" s="79"/>
      <c r="R36" s="79"/>
      <c r="S36" s="79"/>
    </row>
  </sheetData>
  <mergeCells count="11">
    <mergeCell ref="N30:S30"/>
    <mergeCell ref="A20:E20"/>
    <mergeCell ref="A21:E21"/>
    <mergeCell ref="A3:L3"/>
    <mergeCell ref="G20:L20"/>
    <mergeCell ref="G21:L21"/>
    <mergeCell ref="N3:S3"/>
    <mergeCell ref="N20:S20"/>
    <mergeCell ref="C17:L17"/>
    <mergeCell ref="C18:L18"/>
    <mergeCell ref="N18:S18"/>
  </mergeCells>
  <pageMargins left="1" right="1" top="1" bottom="1" header="0.5" footer="0.5"/>
  <pageSetup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C0CF5-0634-463A-9040-27B8C17C62BC}">
  <sheetPr>
    <tabColor rgb="FFFF0000"/>
    <pageSetUpPr fitToPage="1"/>
  </sheetPr>
  <dimension ref="A1:AC82"/>
  <sheetViews>
    <sheetView zoomScale="60" zoomScaleNormal="60" workbookViewId="0">
      <selection activeCell="I3" sqref="I3:Q60"/>
    </sheetView>
  </sheetViews>
  <sheetFormatPr baseColWidth="10" defaultColWidth="8.83203125" defaultRowHeight="15"/>
  <cols>
    <col min="1" max="1" width="42.6640625" bestFit="1" customWidth="1"/>
    <col min="2" max="2" width="17" bestFit="1" customWidth="1"/>
    <col min="3" max="3" width="6.5" bestFit="1" customWidth="1"/>
    <col min="4" max="4" width="13.5" bestFit="1" customWidth="1"/>
    <col min="5" max="5" width="10" bestFit="1" customWidth="1"/>
    <col min="6" max="6" width="13.33203125" bestFit="1" customWidth="1"/>
    <col min="7" max="8" width="10.6640625" bestFit="1" customWidth="1"/>
    <col min="9" max="9" width="20.33203125" customWidth="1"/>
    <col min="10" max="11" width="11.6640625" customWidth="1"/>
    <col min="12" max="12" width="15.5" customWidth="1"/>
    <col min="13" max="15" width="11.6640625" customWidth="1"/>
    <col min="16" max="16" width="9.33203125" bestFit="1" customWidth="1"/>
    <col min="17" max="17" width="10.6640625" bestFit="1" customWidth="1"/>
    <col min="18" max="18" width="11.6640625" customWidth="1"/>
  </cols>
  <sheetData>
    <row r="1" spans="1:17">
      <c r="A1" s="200" t="s">
        <v>813</v>
      </c>
    </row>
    <row r="2" spans="1:17">
      <c r="A2" s="200" t="s">
        <v>951</v>
      </c>
    </row>
    <row r="3" spans="1:17">
      <c r="A3" s="197" t="s">
        <v>812</v>
      </c>
      <c r="B3" s="197" t="s">
        <v>809</v>
      </c>
      <c r="I3" s="201" t="str">
        <f>Change!A1</f>
        <v>As at 28 February 2022</v>
      </c>
      <c r="J3" s="202"/>
      <c r="K3" s="202"/>
      <c r="L3" s="202"/>
      <c r="M3" s="202"/>
      <c r="N3" s="202"/>
      <c r="O3" s="202"/>
      <c r="P3" s="202"/>
      <c r="Q3" s="203"/>
    </row>
    <row r="4" spans="1:17">
      <c r="B4" t="s">
        <v>790</v>
      </c>
      <c r="D4" t="s">
        <v>810</v>
      </c>
      <c r="E4" t="s">
        <v>795</v>
      </c>
      <c r="F4" t="s">
        <v>811</v>
      </c>
      <c r="G4" t="s">
        <v>808</v>
      </c>
      <c r="I4" s="204"/>
      <c r="J4" s="591" t="s">
        <v>790</v>
      </c>
      <c r="K4" s="591"/>
      <c r="L4" s="591"/>
      <c r="M4" s="591" t="s">
        <v>795</v>
      </c>
      <c r="N4" s="591"/>
      <c r="O4" s="205"/>
      <c r="P4" s="205"/>
      <c r="Q4" s="206"/>
    </row>
    <row r="5" spans="1:17" ht="32">
      <c r="A5" s="197" t="s">
        <v>807</v>
      </c>
      <c r="B5" t="s">
        <v>70</v>
      </c>
      <c r="C5" t="s">
        <v>73</v>
      </c>
      <c r="E5" t="s">
        <v>73</v>
      </c>
      <c r="I5" s="464" t="s">
        <v>1395</v>
      </c>
      <c r="J5" s="465" t="s">
        <v>1394</v>
      </c>
      <c r="K5" s="466" t="s">
        <v>73</v>
      </c>
      <c r="L5" s="467" t="s">
        <v>71</v>
      </c>
      <c r="M5" s="468" t="s">
        <v>73</v>
      </c>
      <c r="N5" s="467" t="s">
        <v>71</v>
      </c>
      <c r="O5" s="469" t="s">
        <v>814</v>
      </c>
      <c r="P5" s="470" t="s">
        <v>815</v>
      </c>
      <c r="Q5" s="471" t="s">
        <v>808</v>
      </c>
    </row>
    <row r="6" spans="1:17">
      <c r="A6" s="198" t="s">
        <v>794</v>
      </c>
      <c r="B6" s="279">
        <v>281.46200952741702</v>
      </c>
      <c r="C6" s="279">
        <v>410.96050825999998</v>
      </c>
      <c r="D6" s="279">
        <v>692.42251778741706</v>
      </c>
      <c r="E6" s="279">
        <v>675.26037006000001</v>
      </c>
      <c r="F6" s="279">
        <v>675.26037006000001</v>
      </c>
      <c r="G6" s="279">
        <v>1367.6828878474171</v>
      </c>
      <c r="I6" s="207" t="s">
        <v>794</v>
      </c>
      <c r="J6" s="289">
        <v>281.46200952741702</v>
      </c>
      <c r="K6" s="289">
        <v>410.96050825999998</v>
      </c>
      <c r="L6" s="290">
        <v>692.42251778741706</v>
      </c>
      <c r="M6" s="289">
        <v>675.26037006000001</v>
      </c>
      <c r="N6" s="290">
        <v>675.26037006000001</v>
      </c>
      <c r="O6" s="209">
        <f>J6</f>
        <v>281.46200952741702</v>
      </c>
      <c r="P6" s="209">
        <f t="shared" ref="P6:P22" si="0">K6+M6</f>
        <v>1086.2208783199999</v>
      </c>
      <c r="Q6" s="208">
        <f>O6+P6</f>
        <v>1367.6828878474169</v>
      </c>
    </row>
    <row r="7" spans="1:17">
      <c r="A7" s="277" t="s">
        <v>797</v>
      </c>
      <c r="B7" s="279"/>
      <c r="C7" s="279"/>
      <c r="D7" s="279"/>
      <c r="E7" s="279">
        <v>87</v>
      </c>
      <c r="F7" s="279">
        <v>87</v>
      </c>
      <c r="G7" s="279">
        <v>87</v>
      </c>
      <c r="I7" s="210" t="s">
        <v>797</v>
      </c>
      <c r="J7" s="291"/>
      <c r="K7" s="291"/>
      <c r="L7" s="292"/>
      <c r="M7" s="291">
        <v>87</v>
      </c>
      <c r="N7" s="292">
        <v>87</v>
      </c>
      <c r="O7" s="212">
        <f t="shared" ref="O7:O13" si="1">J7</f>
        <v>0</v>
      </c>
      <c r="P7" s="212">
        <f t="shared" si="0"/>
        <v>87</v>
      </c>
      <c r="Q7" s="211">
        <f t="shared" ref="Q7:Q22" si="2">O7+P7</f>
        <v>87</v>
      </c>
    </row>
    <row r="8" spans="1:17">
      <c r="A8" s="278" t="s">
        <v>796</v>
      </c>
      <c r="B8" s="279"/>
      <c r="C8" s="279"/>
      <c r="D8" s="279"/>
      <c r="E8" s="279">
        <v>87</v>
      </c>
      <c r="F8" s="279">
        <v>87</v>
      </c>
      <c r="G8" s="279">
        <v>87</v>
      </c>
      <c r="I8" s="213" t="s">
        <v>796</v>
      </c>
      <c r="J8" s="326"/>
      <c r="K8" s="326"/>
      <c r="L8" s="327"/>
      <c r="M8" s="326">
        <v>87</v>
      </c>
      <c r="N8" s="327">
        <v>87</v>
      </c>
      <c r="O8" s="215">
        <f t="shared" si="1"/>
        <v>0</v>
      </c>
      <c r="P8" s="215">
        <f t="shared" si="0"/>
        <v>87</v>
      </c>
      <c r="Q8" s="214">
        <f t="shared" si="2"/>
        <v>87</v>
      </c>
    </row>
    <row r="9" spans="1:17">
      <c r="A9" s="277" t="s">
        <v>791</v>
      </c>
      <c r="B9" s="279">
        <v>281.46200952741702</v>
      </c>
      <c r="C9" s="279">
        <v>410.96050825999998</v>
      </c>
      <c r="D9" s="279">
        <v>692.42251778741706</v>
      </c>
      <c r="E9" s="279">
        <v>588.26037006000001</v>
      </c>
      <c r="F9" s="279">
        <v>588.26037006000001</v>
      </c>
      <c r="G9" s="279">
        <v>1280.6828878474171</v>
      </c>
      <c r="I9" s="210" t="s">
        <v>791</v>
      </c>
      <c r="J9" s="291">
        <v>281.46200952741702</v>
      </c>
      <c r="K9" s="291">
        <v>410.96050825999998</v>
      </c>
      <c r="L9" s="292">
        <v>692.42251778741706</v>
      </c>
      <c r="M9" s="291">
        <v>588.26037006000001</v>
      </c>
      <c r="N9" s="292">
        <v>588.26037006000001</v>
      </c>
      <c r="O9" s="212">
        <f t="shared" si="1"/>
        <v>281.46200952741702</v>
      </c>
      <c r="P9" s="212">
        <f t="shared" si="0"/>
        <v>999.22087832</v>
      </c>
      <c r="Q9" s="211">
        <f t="shared" si="2"/>
        <v>1280.6828878474171</v>
      </c>
    </row>
    <row r="10" spans="1:17">
      <c r="A10" s="278" t="s">
        <v>143</v>
      </c>
      <c r="B10" s="279"/>
      <c r="C10" s="279">
        <v>2.04193991</v>
      </c>
      <c r="D10" s="279">
        <v>2.04193991</v>
      </c>
      <c r="E10" s="279"/>
      <c r="F10" s="279"/>
      <c r="G10" s="279">
        <v>2.04193991</v>
      </c>
      <c r="I10" s="213" t="s">
        <v>143</v>
      </c>
      <c r="J10" s="326"/>
      <c r="K10" s="326">
        <v>2.04193991</v>
      </c>
      <c r="L10" s="327">
        <v>2.04193991</v>
      </c>
      <c r="M10" s="326"/>
      <c r="N10" s="327"/>
      <c r="O10" s="216">
        <f t="shared" si="1"/>
        <v>0</v>
      </c>
      <c r="P10" s="216">
        <f t="shared" si="0"/>
        <v>2.04193991</v>
      </c>
      <c r="Q10" s="214">
        <f t="shared" si="2"/>
        <v>2.04193991</v>
      </c>
    </row>
    <row r="11" spans="1:17">
      <c r="A11" s="278" t="s">
        <v>752</v>
      </c>
      <c r="B11" s="279">
        <v>208.61777589999994</v>
      </c>
      <c r="C11" s="279">
        <v>407.10461817999999</v>
      </c>
      <c r="D11" s="279">
        <v>615.72239407999996</v>
      </c>
      <c r="E11" s="279"/>
      <c r="F11" s="279"/>
      <c r="G11" s="279">
        <v>615.72239407999996</v>
      </c>
      <c r="I11" s="213" t="s">
        <v>752</v>
      </c>
      <c r="J11" s="326">
        <v>208.61777589999994</v>
      </c>
      <c r="K11" s="326">
        <v>407.10461817999999</v>
      </c>
      <c r="L11" s="327">
        <v>615.72239407999996</v>
      </c>
      <c r="M11" s="326"/>
      <c r="N11" s="327"/>
      <c r="O11" s="216">
        <f t="shared" si="1"/>
        <v>208.61777589999994</v>
      </c>
      <c r="P11" s="216">
        <f t="shared" si="0"/>
        <v>407.10461817999999</v>
      </c>
      <c r="Q11" s="214">
        <f t="shared" si="2"/>
        <v>615.72239407999996</v>
      </c>
    </row>
    <row r="12" spans="1:17">
      <c r="A12" s="278" t="s">
        <v>341</v>
      </c>
      <c r="B12" s="279"/>
      <c r="C12" s="279"/>
      <c r="D12" s="279"/>
      <c r="E12" s="279">
        <v>22.191841549999999</v>
      </c>
      <c r="F12" s="279">
        <v>22.191841549999999</v>
      </c>
      <c r="G12" s="279">
        <v>22.191841549999999</v>
      </c>
      <c r="I12" s="213" t="s">
        <v>341</v>
      </c>
      <c r="J12" s="326"/>
      <c r="K12" s="326"/>
      <c r="L12" s="327"/>
      <c r="M12" s="326">
        <v>22.191841549999999</v>
      </c>
      <c r="N12" s="327">
        <v>22.191841549999999</v>
      </c>
      <c r="O12" s="216">
        <f t="shared" si="1"/>
        <v>0</v>
      </c>
      <c r="P12" s="216">
        <f t="shared" si="0"/>
        <v>22.191841549999999</v>
      </c>
      <c r="Q12" s="214">
        <f t="shared" si="2"/>
        <v>22.191841549999999</v>
      </c>
    </row>
    <row r="13" spans="1:17">
      <c r="A13" s="278" t="s">
        <v>722</v>
      </c>
      <c r="B13" s="279"/>
      <c r="C13" s="279"/>
      <c r="D13" s="279"/>
      <c r="E13" s="279">
        <v>0</v>
      </c>
      <c r="F13" s="279">
        <v>0</v>
      </c>
      <c r="G13" s="279">
        <v>0</v>
      </c>
      <c r="I13" s="213" t="s">
        <v>722</v>
      </c>
      <c r="J13" s="326"/>
      <c r="K13" s="326"/>
      <c r="L13" s="327"/>
      <c r="M13" s="326">
        <v>0</v>
      </c>
      <c r="N13" s="327">
        <v>0</v>
      </c>
      <c r="O13" s="216">
        <f t="shared" si="1"/>
        <v>0</v>
      </c>
      <c r="P13" s="216">
        <f t="shared" si="0"/>
        <v>0</v>
      </c>
      <c r="Q13" s="214">
        <f t="shared" si="2"/>
        <v>0</v>
      </c>
    </row>
    <row r="14" spans="1:17">
      <c r="A14" s="278" t="s">
        <v>424</v>
      </c>
      <c r="B14" s="279"/>
      <c r="C14" s="279"/>
      <c r="D14" s="279"/>
      <c r="E14" s="279">
        <v>2.0884085400000001</v>
      </c>
      <c r="F14" s="279">
        <v>2.0884085400000001</v>
      </c>
      <c r="G14" s="279">
        <v>2.0884085400000001</v>
      </c>
      <c r="I14" s="213" t="s">
        <v>424</v>
      </c>
      <c r="J14" s="326"/>
      <c r="K14" s="326"/>
      <c r="L14" s="327"/>
      <c r="M14" s="326">
        <v>2.0884085400000001</v>
      </c>
      <c r="N14" s="327">
        <v>2.0884085400000001</v>
      </c>
      <c r="O14" s="216"/>
      <c r="P14" s="216">
        <f t="shared" si="0"/>
        <v>2.0884085400000001</v>
      </c>
      <c r="Q14" s="214">
        <f t="shared" si="2"/>
        <v>2.0884085400000001</v>
      </c>
    </row>
    <row r="15" spans="1:17">
      <c r="A15" s="278" t="s">
        <v>167</v>
      </c>
      <c r="B15" s="279">
        <v>6.9716953400000001</v>
      </c>
      <c r="C15" s="279"/>
      <c r="D15" s="279">
        <v>6.9716953400000001</v>
      </c>
      <c r="E15" s="279">
        <v>77.625672109999996</v>
      </c>
      <c r="F15" s="279">
        <v>77.625672109999996</v>
      </c>
      <c r="G15" s="279">
        <v>84.597367449999993</v>
      </c>
      <c r="I15" s="213" t="s">
        <v>167</v>
      </c>
      <c r="J15" s="326">
        <v>6.9716953400000001</v>
      </c>
      <c r="K15" s="326"/>
      <c r="L15" s="327">
        <v>6.9716953400000001</v>
      </c>
      <c r="M15" s="326">
        <v>77.625672109999996</v>
      </c>
      <c r="N15" s="327">
        <v>77.625672109999996</v>
      </c>
      <c r="O15" s="216">
        <f t="shared" ref="O15:O21" si="3">J15</f>
        <v>6.9716953400000001</v>
      </c>
      <c r="P15" s="216">
        <f t="shared" si="0"/>
        <v>77.625672109999996</v>
      </c>
      <c r="Q15" s="214">
        <f t="shared" si="2"/>
        <v>84.597367449999993</v>
      </c>
    </row>
    <row r="16" spans="1:17">
      <c r="A16" s="278" t="s">
        <v>453</v>
      </c>
      <c r="B16" s="279"/>
      <c r="C16" s="279"/>
      <c r="D16" s="279"/>
      <c r="E16" s="279">
        <v>241.12394392000002</v>
      </c>
      <c r="F16" s="279">
        <v>241.12394392000002</v>
      </c>
      <c r="G16" s="279">
        <v>241.12394392000002</v>
      </c>
      <c r="I16" s="213" t="s">
        <v>453</v>
      </c>
      <c r="J16" s="326"/>
      <c r="K16" s="326"/>
      <c r="L16" s="327"/>
      <c r="M16" s="326">
        <v>241.12394392000002</v>
      </c>
      <c r="N16" s="327">
        <v>241.12394392000002</v>
      </c>
      <c r="O16" s="216">
        <f t="shared" si="3"/>
        <v>0</v>
      </c>
      <c r="P16" s="216">
        <f t="shared" si="0"/>
        <v>241.12394392000002</v>
      </c>
      <c r="Q16" s="214">
        <f t="shared" si="2"/>
        <v>241.12394392000002</v>
      </c>
    </row>
    <row r="17" spans="1:17">
      <c r="A17" s="278" t="s">
        <v>173</v>
      </c>
      <c r="B17" s="279">
        <v>6.6549756794108887</v>
      </c>
      <c r="C17" s="279">
        <v>1.808587150000001</v>
      </c>
      <c r="D17" s="279">
        <v>8.4635628294108898</v>
      </c>
      <c r="E17" s="279"/>
      <c r="F17" s="279"/>
      <c r="G17" s="279">
        <v>8.4635628294108898</v>
      </c>
      <c r="I17" s="213" t="s">
        <v>173</v>
      </c>
      <c r="J17" s="326">
        <v>6.6549756794108887</v>
      </c>
      <c r="K17" s="326">
        <v>1.808587150000001</v>
      </c>
      <c r="L17" s="327">
        <v>8.4635628294108898</v>
      </c>
      <c r="M17" s="326"/>
      <c r="N17" s="327"/>
      <c r="O17" s="216">
        <f t="shared" si="3"/>
        <v>6.6549756794108887</v>
      </c>
      <c r="P17" s="216">
        <f t="shared" si="0"/>
        <v>1.808587150000001</v>
      </c>
      <c r="Q17" s="214">
        <f t="shared" si="2"/>
        <v>8.4635628294108898</v>
      </c>
    </row>
    <row r="18" spans="1:17">
      <c r="A18" s="278" t="s">
        <v>213</v>
      </c>
      <c r="B18" s="279"/>
      <c r="C18" s="279"/>
      <c r="D18" s="279"/>
      <c r="E18" s="279">
        <v>146.97400543000001</v>
      </c>
      <c r="F18" s="279">
        <v>146.97400543000001</v>
      </c>
      <c r="G18" s="279">
        <v>146.97400543000001</v>
      </c>
      <c r="I18" s="213" t="s">
        <v>213</v>
      </c>
      <c r="J18" s="326"/>
      <c r="K18" s="326"/>
      <c r="L18" s="327"/>
      <c r="M18" s="326">
        <v>146.97400543000001</v>
      </c>
      <c r="N18" s="327">
        <v>146.97400543000001</v>
      </c>
      <c r="O18" s="216">
        <f t="shared" si="3"/>
        <v>0</v>
      </c>
      <c r="P18" s="216">
        <f t="shared" si="0"/>
        <v>146.97400543000001</v>
      </c>
      <c r="Q18" s="214">
        <f t="shared" si="2"/>
        <v>146.97400543000001</v>
      </c>
    </row>
    <row r="19" spans="1:17">
      <c r="A19" s="278" t="s">
        <v>805</v>
      </c>
      <c r="B19" s="279">
        <v>54.860819880000001</v>
      </c>
      <c r="C19" s="279"/>
      <c r="D19" s="279">
        <v>54.860819880000001</v>
      </c>
      <c r="E19" s="279">
        <v>92.288398510000007</v>
      </c>
      <c r="F19" s="279">
        <v>92.288398510000007</v>
      </c>
      <c r="G19" s="279">
        <v>147.14921839000002</v>
      </c>
      <c r="I19" s="213" t="s">
        <v>805</v>
      </c>
      <c r="J19" s="326">
        <v>54.860819880000001</v>
      </c>
      <c r="K19" s="326"/>
      <c r="L19" s="327">
        <v>54.860819880000001</v>
      </c>
      <c r="M19" s="326">
        <v>92.288398510000007</v>
      </c>
      <c r="N19" s="327">
        <v>92.288398510000007</v>
      </c>
      <c r="O19" s="216">
        <f t="shared" si="3"/>
        <v>54.860819880000001</v>
      </c>
      <c r="P19" s="216">
        <f t="shared" si="0"/>
        <v>92.288398510000007</v>
      </c>
      <c r="Q19" s="214">
        <f t="shared" si="2"/>
        <v>147.14921839000002</v>
      </c>
    </row>
    <row r="20" spans="1:17">
      <c r="A20" s="278" t="s">
        <v>741</v>
      </c>
      <c r="B20" s="279"/>
      <c r="C20" s="279"/>
      <c r="D20" s="279"/>
      <c r="E20" s="279">
        <v>5.9681000000000006</v>
      </c>
      <c r="F20" s="279">
        <v>5.9681000000000006</v>
      </c>
      <c r="G20" s="279">
        <v>5.9681000000000006</v>
      </c>
      <c r="I20" s="213" t="s">
        <v>741</v>
      </c>
      <c r="J20" s="326"/>
      <c r="K20" s="326"/>
      <c r="L20" s="327"/>
      <c r="M20" s="326">
        <v>5.9681000000000006</v>
      </c>
      <c r="N20" s="327">
        <v>5.9681000000000006</v>
      </c>
      <c r="O20" s="216">
        <f t="shared" si="3"/>
        <v>0</v>
      </c>
      <c r="P20" s="216">
        <f t="shared" si="0"/>
        <v>5.9681000000000006</v>
      </c>
      <c r="Q20" s="214">
        <f t="shared" si="2"/>
        <v>5.9681000000000006</v>
      </c>
    </row>
    <row r="21" spans="1:17" hidden="1">
      <c r="A21" s="278" t="s">
        <v>720</v>
      </c>
      <c r="B21" s="279"/>
      <c r="C21" s="279">
        <v>5.3630199999999996E-3</v>
      </c>
      <c r="D21" s="279">
        <v>5.3630199999999996E-3</v>
      </c>
      <c r="E21" s="279"/>
      <c r="F21" s="279"/>
      <c r="G21" s="279">
        <v>5.3630199999999996E-3</v>
      </c>
      <c r="I21" s="213" t="s">
        <v>720</v>
      </c>
      <c r="J21" s="326"/>
      <c r="K21" s="326">
        <v>5.3630199999999996E-3</v>
      </c>
      <c r="L21" s="327">
        <v>5.3630199999999996E-3</v>
      </c>
      <c r="M21" s="326"/>
      <c r="N21" s="327"/>
      <c r="O21" s="216">
        <f t="shared" si="3"/>
        <v>0</v>
      </c>
      <c r="P21" s="216">
        <f t="shared" si="0"/>
        <v>5.3630199999999996E-3</v>
      </c>
      <c r="Q21" s="214">
        <f t="shared" si="2"/>
        <v>5.3630199999999996E-3</v>
      </c>
    </row>
    <row r="22" spans="1:17">
      <c r="A22" s="278" t="s">
        <v>184</v>
      </c>
      <c r="B22" s="279">
        <v>2.9841769900000004</v>
      </c>
      <c r="C22" s="279"/>
      <c r="D22" s="279">
        <v>2.9841769900000004</v>
      </c>
      <c r="E22" s="279"/>
      <c r="F22" s="279"/>
      <c r="G22" s="279">
        <v>2.9841769900000004</v>
      </c>
      <c r="I22" s="213" t="s">
        <v>184</v>
      </c>
      <c r="J22" s="326">
        <v>2.9841769900000004</v>
      </c>
      <c r="K22" s="326"/>
      <c r="L22" s="327">
        <v>2.9841769900000004</v>
      </c>
      <c r="M22" s="326"/>
      <c r="N22" s="327"/>
      <c r="O22" s="216">
        <f>J22</f>
        <v>2.9841769900000004</v>
      </c>
      <c r="P22" s="216">
        <f t="shared" si="0"/>
        <v>0</v>
      </c>
      <c r="Q22" s="214">
        <f t="shared" si="2"/>
        <v>2.9841769900000004</v>
      </c>
    </row>
    <row r="23" spans="1:17">
      <c r="A23" s="278" t="s">
        <v>774</v>
      </c>
      <c r="B23" s="279">
        <v>1.3725657380062244</v>
      </c>
      <c r="C23" s="279"/>
      <c r="D23" s="279">
        <v>1.3725657380062244</v>
      </c>
      <c r="E23" s="279"/>
      <c r="F23" s="279"/>
      <c r="G23" s="279">
        <v>1.3725657380062244</v>
      </c>
      <c r="I23" s="535" t="s">
        <v>774</v>
      </c>
      <c r="J23" s="326">
        <v>1.3725657380062244</v>
      </c>
      <c r="K23" s="326"/>
      <c r="L23" s="327">
        <v>1.3725657380062244</v>
      </c>
      <c r="M23" s="326"/>
      <c r="N23" s="327"/>
      <c r="O23" s="216">
        <f>J23</f>
        <v>1.3725657380062244</v>
      </c>
      <c r="P23" s="216">
        <f t="shared" ref="P23" si="4">K23+M23</f>
        <v>0</v>
      </c>
      <c r="Q23" s="214">
        <f t="shared" ref="Q23" si="5">O23+P23</f>
        <v>1.3725657380062244</v>
      </c>
    </row>
    <row r="24" spans="1:17" hidden="1">
      <c r="A24" s="198" t="s">
        <v>803</v>
      </c>
      <c r="B24" s="279"/>
      <c r="C24" s="279"/>
      <c r="D24" s="279"/>
      <c r="E24" s="279">
        <v>0</v>
      </c>
      <c r="F24" s="279">
        <v>0</v>
      </c>
      <c r="G24" s="279">
        <v>0</v>
      </c>
      <c r="I24" s="207" t="s">
        <v>803</v>
      </c>
      <c r="J24" s="289"/>
      <c r="K24" s="289"/>
      <c r="L24" s="290"/>
      <c r="M24" s="289">
        <v>0</v>
      </c>
      <c r="N24" s="290">
        <v>0</v>
      </c>
      <c r="O24" s="209">
        <f t="shared" ref="O24:O27" si="6">J24</f>
        <v>0</v>
      </c>
      <c r="P24" s="209">
        <f t="shared" ref="P24:P27" si="7">K24+M24</f>
        <v>0</v>
      </c>
      <c r="Q24" s="208">
        <f t="shared" ref="Q24:Q30" si="8">O24+P24</f>
        <v>0</v>
      </c>
    </row>
    <row r="25" spans="1:17" hidden="1">
      <c r="A25" s="277" t="s">
        <v>804</v>
      </c>
      <c r="B25" s="279"/>
      <c r="C25" s="279"/>
      <c r="D25" s="279"/>
      <c r="E25" s="279">
        <v>0</v>
      </c>
      <c r="F25" s="279">
        <v>0</v>
      </c>
      <c r="G25" s="279">
        <v>0</v>
      </c>
      <c r="I25" s="210" t="s">
        <v>804</v>
      </c>
      <c r="J25" s="291"/>
      <c r="K25" s="291"/>
      <c r="L25" s="292"/>
      <c r="M25" s="291">
        <v>0</v>
      </c>
      <c r="N25" s="292">
        <v>0</v>
      </c>
      <c r="O25" s="212">
        <f t="shared" si="6"/>
        <v>0</v>
      </c>
      <c r="P25" s="212">
        <f t="shared" si="7"/>
        <v>0</v>
      </c>
      <c r="Q25" s="211">
        <f t="shared" si="8"/>
        <v>0</v>
      </c>
    </row>
    <row r="26" spans="1:17" hidden="1">
      <c r="A26" s="278" t="s">
        <v>728</v>
      </c>
      <c r="B26" s="279"/>
      <c r="C26" s="279"/>
      <c r="D26" s="279"/>
      <c r="E26" s="279">
        <v>0</v>
      </c>
      <c r="F26" s="279">
        <v>0</v>
      </c>
      <c r="G26" s="279">
        <v>0</v>
      </c>
      <c r="I26" s="213" t="s">
        <v>728</v>
      </c>
      <c r="J26" s="326"/>
      <c r="K26" s="326"/>
      <c r="L26" s="327"/>
      <c r="M26" s="326">
        <v>0</v>
      </c>
      <c r="N26" s="327">
        <v>0</v>
      </c>
      <c r="O26" s="215">
        <f t="shared" si="6"/>
        <v>0</v>
      </c>
      <c r="P26" s="215">
        <f t="shared" si="7"/>
        <v>0</v>
      </c>
      <c r="Q26" s="214">
        <f t="shared" si="8"/>
        <v>0</v>
      </c>
    </row>
    <row r="27" spans="1:17" hidden="1">
      <c r="A27" s="278" t="s">
        <v>753</v>
      </c>
      <c r="B27" s="279"/>
      <c r="C27" s="279"/>
      <c r="D27" s="279"/>
      <c r="E27" s="279">
        <v>0</v>
      </c>
      <c r="F27" s="279">
        <v>0</v>
      </c>
      <c r="G27" s="279">
        <v>0</v>
      </c>
      <c r="I27" s="213" t="s">
        <v>753</v>
      </c>
      <c r="J27" s="326"/>
      <c r="K27" s="326"/>
      <c r="L27" s="327"/>
      <c r="M27" s="326">
        <v>0</v>
      </c>
      <c r="N27" s="327">
        <v>0</v>
      </c>
      <c r="O27" s="215">
        <f t="shared" si="6"/>
        <v>0</v>
      </c>
      <c r="P27" s="215">
        <f t="shared" si="7"/>
        <v>0</v>
      </c>
      <c r="Q27" s="214">
        <f t="shared" si="8"/>
        <v>0</v>
      </c>
    </row>
    <row r="28" spans="1:17">
      <c r="A28" s="198" t="s">
        <v>801</v>
      </c>
      <c r="B28" s="279"/>
      <c r="C28" s="279">
        <v>380.03386121</v>
      </c>
      <c r="D28" s="279">
        <v>380.03386121</v>
      </c>
      <c r="E28" s="279">
        <v>514.36383694999995</v>
      </c>
      <c r="F28" s="279">
        <v>514.36383694999995</v>
      </c>
      <c r="G28" s="279">
        <v>894.39769815999989</v>
      </c>
      <c r="I28" s="207" t="s">
        <v>801</v>
      </c>
      <c r="J28" s="289"/>
      <c r="K28" s="289">
        <v>380.03386121</v>
      </c>
      <c r="L28" s="290">
        <v>380.03386121</v>
      </c>
      <c r="M28" s="289">
        <v>514.36383694999995</v>
      </c>
      <c r="N28" s="290">
        <v>514.36383694999995</v>
      </c>
      <c r="O28" s="209">
        <f t="shared" ref="O28:O30" si="9">J28</f>
        <v>0</v>
      </c>
      <c r="P28" s="209">
        <f t="shared" ref="P28:P30" si="10">K28+M28</f>
        <v>894.39769815999989</v>
      </c>
      <c r="Q28" s="208">
        <f t="shared" si="8"/>
        <v>894.39769815999989</v>
      </c>
    </row>
    <row r="29" spans="1:17">
      <c r="A29" s="277" t="s">
        <v>578</v>
      </c>
      <c r="B29" s="279"/>
      <c r="C29" s="279">
        <v>380.03386121</v>
      </c>
      <c r="D29" s="279">
        <v>380.03386121</v>
      </c>
      <c r="E29" s="279">
        <v>514.36383694999995</v>
      </c>
      <c r="F29" s="279">
        <v>514.36383694999995</v>
      </c>
      <c r="G29" s="279">
        <v>894.39769815999989</v>
      </c>
      <c r="I29" s="210" t="s">
        <v>578</v>
      </c>
      <c r="J29" s="291"/>
      <c r="K29" s="291">
        <v>380.03386121</v>
      </c>
      <c r="L29" s="292">
        <v>380.03386121</v>
      </c>
      <c r="M29" s="291">
        <v>514.36383694999995</v>
      </c>
      <c r="N29" s="292">
        <v>514.36383694999995</v>
      </c>
      <c r="O29" s="212">
        <f t="shared" si="9"/>
        <v>0</v>
      </c>
      <c r="P29" s="212">
        <f t="shared" si="10"/>
        <v>894.39769815999989</v>
      </c>
      <c r="Q29" s="211">
        <f t="shared" si="8"/>
        <v>894.39769815999989</v>
      </c>
    </row>
    <row r="30" spans="1:17">
      <c r="A30" s="278" t="s">
        <v>731</v>
      </c>
      <c r="B30" s="279"/>
      <c r="C30" s="279"/>
      <c r="D30" s="279"/>
      <c r="E30" s="279">
        <v>240.11453324999999</v>
      </c>
      <c r="F30" s="279">
        <v>240.11453324999999</v>
      </c>
      <c r="G30" s="279">
        <v>240.11453324999999</v>
      </c>
      <c r="I30" s="213" t="s">
        <v>731</v>
      </c>
      <c r="J30" s="326"/>
      <c r="K30" s="326"/>
      <c r="L30" s="327"/>
      <c r="M30" s="326">
        <v>240.11453324999999</v>
      </c>
      <c r="N30" s="327">
        <v>240.11453324999999</v>
      </c>
      <c r="O30" s="215">
        <f t="shared" si="9"/>
        <v>0</v>
      </c>
      <c r="P30" s="215">
        <f t="shared" si="10"/>
        <v>240.11453324999999</v>
      </c>
      <c r="Q30" s="214">
        <f t="shared" si="8"/>
        <v>240.11453324999999</v>
      </c>
    </row>
    <row r="31" spans="1:17">
      <c r="A31" s="278" t="s">
        <v>761</v>
      </c>
      <c r="B31" s="279"/>
      <c r="C31" s="279"/>
      <c r="D31" s="279"/>
      <c r="E31" s="279">
        <v>100</v>
      </c>
      <c r="F31" s="279">
        <v>100</v>
      </c>
      <c r="G31" s="279">
        <v>100</v>
      </c>
      <c r="I31" s="545" t="s">
        <v>761</v>
      </c>
      <c r="J31" s="546"/>
      <c r="K31" s="546"/>
      <c r="L31" s="547"/>
      <c r="M31" s="546">
        <v>100</v>
      </c>
      <c r="N31" s="547">
        <v>100</v>
      </c>
      <c r="O31" s="548">
        <f t="shared" ref="O31:O50" si="11">J31</f>
        <v>0</v>
      </c>
      <c r="P31" s="548">
        <f t="shared" ref="P31:P50" si="12">K31+M31</f>
        <v>100</v>
      </c>
      <c r="Q31" s="549">
        <f t="shared" ref="Q31:Q50" si="13">O31+P31</f>
        <v>100</v>
      </c>
    </row>
    <row r="32" spans="1:17" hidden="1">
      <c r="A32" s="278" t="s">
        <v>712</v>
      </c>
      <c r="B32" s="279"/>
      <c r="C32" s="279"/>
      <c r="D32" s="279"/>
      <c r="E32" s="279">
        <v>0</v>
      </c>
      <c r="F32" s="279">
        <v>0</v>
      </c>
      <c r="G32" s="279">
        <v>0</v>
      </c>
      <c r="I32" s="213" t="s">
        <v>712</v>
      </c>
      <c r="J32" s="326"/>
      <c r="K32" s="326"/>
      <c r="L32" s="327"/>
      <c r="M32" s="326">
        <v>0</v>
      </c>
      <c r="N32" s="327">
        <v>0</v>
      </c>
      <c r="O32" s="215">
        <f t="shared" si="11"/>
        <v>0</v>
      </c>
      <c r="P32" s="215">
        <f t="shared" si="12"/>
        <v>0</v>
      </c>
      <c r="Q32" s="214">
        <f t="shared" si="13"/>
        <v>0</v>
      </c>
    </row>
    <row r="33" spans="1:29">
      <c r="A33" s="278" t="s">
        <v>341</v>
      </c>
      <c r="B33" s="279"/>
      <c r="C33" s="279"/>
      <c r="D33" s="279"/>
      <c r="E33" s="279">
        <v>4.2493037000000005</v>
      </c>
      <c r="F33" s="279">
        <v>4.2493037000000005</v>
      </c>
      <c r="G33" s="279">
        <v>4.2493037000000005</v>
      </c>
      <c r="I33" s="213" t="s">
        <v>341</v>
      </c>
      <c r="J33" s="326"/>
      <c r="K33" s="326"/>
      <c r="L33" s="327"/>
      <c r="M33" s="326">
        <v>4.2493037000000005</v>
      </c>
      <c r="N33" s="327">
        <v>4.2493037000000005</v>
      </c>
      <c r="O33" s="215">
        <f t="shared" si="11"/>
        <v>0</v>
      </c>
      <c r="P33" s="215">
        <f t="shared" si="12"/>
        <v>4.2493037000000005</v>
      </c>
      <c r="Q33" s="214">
        <f t="shared" si="13"/>
        <v>4.2493037000000005</v>
      </c>
    </row>
    <row r="34" spans="1:29">
      <c r="A34" s="278" t="s">
        <v>723</v>
      </c>
      <c r="B34" s="279"/>
      <c r="C34" s="279"/>
      <c r="D34" s="279"/>
      <c r="E34" s="279">
        <v>170</v>
      </c>
      <c r="F34" s="279">
        <v>170</v>
      </c>
      <c r="G34" s="279">
        <v>170</v>
      </c>
      <c r="I34" s="213" t="s">
        <v>723</v>
      </c>
      <c r="J34" s="326"/>
      <c r="K34" s="326"/>
      <c r="L34" s="327"/>
      <c r="M34" s="326">
        <v>170</v>
      </c>
      <c r="N34" s="327">
        <v>170</v>
      </c>
      <c r="O34" s="215">
        <f t="shared" si="11"/>
        <v>0</v>
      </c>
      <c r="P34" s="215">
        <f t="shared" si="12"/>
        <v>170</v>
      </c>
      <c r="Q34" s="214">
        <f t="shared" si="13"/>
        <v>170</v>
      </c>
    </row>
    <row r="35" spans="1:29">
      <c r="A35" s="278" t="s">
        <v>169</v>
      </c>
      <c r="B35" s="279"/>
      <c r="C35" s="279">
        <v>135.61497045000002</v>
      </c>
      <c r="D35" s="279">
        <v>135.61497045000002</v>
      </c>
      <c r="E35" s="279"/>
      <c r="F35" s="279"/>
      <c r="G35" s="279">
        <v>135.61497045000002</v>
      </c>
      <c r="I35" s="213" t="s">
        <v>169</v>
      </c>
      <c r="J35" s="326"/>
      <c r="K35" s="326">
        <v>135.61497045000002</v>
      </c>
      <c r="L35" s="327">
        <v>135.61497045000002</v>
      </c>
      <c r="M35" s="326"/>
      <c r="N35" s="327"/>
      <c r="O35" s="215">
        <f t="shared" si="11"/>
        <v>0</v>
      </c>
      <c r="P35" s="215">
        <f t="shared" si="12"/>
        <v>135.61497045000002</v>
      </c>
      <c r="Q35" s="214">
        <f t="shared" si="13"/>
        <v>135.61497045000002</v>
      </c>
    </row>
    <row r="36" spans="1:29">
      <c r="A36" s="278" t="s">
        <v>173</v>
      </c>
      <c r="B36" s="279"/>
      <c r="C36" s="279">
        <v>209.41889075999998</v>
      </c>
      <c r="D36" s="279">
        <v>209.41889075999998</v>
      </c>
      <c r="E36" s="279"/>
      <c r="F36" s="279"/>
      <c r="G36" s="279">
        <v>209.41889075999998</v>
      </c>
      <c r="I36" s="213" t="s">
        <v>173</v>
      </c>
      <c r="J36" s="326"/>
      <c r="K36" s="326">
        <v>209.41889075999998</v>
      </c>
      <c r="L36" s="327">
        <v>209.41889075999998</v>
      </c>
      <c r="M36" s="326"/>
      <c r="N36" s="327"/>
      <c r="O36" s="215">
        <f t="shared" si="11"/>
        <v>0</v>
      </c>
      <c r="P36" s="215">
        <f t="shared" si="12"/>
        <v>209.41889075999998</v>
      </c>
      <c r="Q36" s="214">
        <f t="shared" si="13"/>
        <v>209.41889075999998</v>
      </c>
    </row>
    <row r="37" spans="1:29" hidden="1">
      <c r="A37" s="278" t="s">
        <v>775</v>
      </c>
      <c r="B37" s="279"/>
      <c r="C37" s="279">
        <v>0</v>
      </c>
      <c r="D37" s="279">
        <v>0</v>
      </c>
      <c r="E37" s="279"/>
      <c r="F37" s="279"/>
      <c r="G37" s="279">
        <v>0</v>
      </c>
      <c r="I37" s="213" t="s">
        <v>775</v>
      </c>
      <c r="J37" s="326"/>
      <c r="K37" s="326">
        <v>0</v>
      </c>
      <c r="L37" s="327">
        <v>0</v>
      </c>
      <c r="M37" s="326"/>
      <c r="N37" s="327"/>
      <c r="O37" s="215">
        <f t="shared" si="11"/>
        <v>0</v>
      </c>
      <c r="P37" s="215">
        <f t="shared" si="12"/>
        <v>0</v>
      </c>
      <c r="Q37" s="214">
        <f t="shared" si="13"/>
        <v>0</v>
      </c>
    </row>
    <row r="38" spans="1:29" hidden="1">
      <c r="A38" s="278" t="s">
        <v>742</v>
      </c>
      <c r="B38" s="279"/>
      <c r="C38" s="279">
        <v>0</v>
      </c>
      <c r="D38" s="279">
        <v>0</v>
      </c>
      <c r="E38" s="279"/>
      <c r="F38" s="279"/>
      <c r="G38" s="279">
        <v>0</v>
      </c>
      <c r="I38" s="213" t="s">
        <v>742</v>
      </c>
      <c r="J38" s="326"/>
      <c r="K38" s="326">
        <v>0</v>
      </c>
      <c r="L38" s="327">
        <v>0</v>
      </c>
      <c r="M38" s="326"/>
      <c r="N38" s="327"/>
      <c r="O38" s="215">
        <f t="shared" si="11"/>
        <v>0</v>
      </c>
      <c r="P38" s="215">
        <f t="shared" si="12"/>
        <v>0</v>
      </c>
      <c r="Q38" s="214">
        <f t="shared" si="13"/>
        <v>0</v>
      </c>
    </row>
    <row r="39" spans="1:29">
      <c r="A39" s="278" t="s">
        <v>727</v>
      </c>
      <c r="B39" s="279"/>
      <c r="C39" s="279">
        <v>35</v>
      </c>
      <c r="D39" s="279">
        <v>35</v>
      </c>
      <c r="E39" s="279"/>
      <c r="F39" s="279"/>
      <c r="G39" s="279">
        <v>35</v>
      </c>
      <c r="I39" s="213" t="s">
        <v>727</v>
      </c>
      <c r="J39" s="326"/>
      <c r="K39" s="326">
        <v>35</v>
      </c>
      <c r="L39" s="327">
        <v>35</v>
      </c>
      <c r="M39" s="326"/>
      <c r="N39" s="327"/>
      <c r="O39" s="215">
        <f t="shared" si="11"/>
        <v>0</v>
      </c>
      <c r="P39" s="215">
        <f t="shared" si="12"/>
        <v>35</v>
      </c>
      <c r="Q39" s="214">
        <f t="shared" si="13"/>
        <v>35</v>
      </c>
      <c r="T39" s="213"/>
      <c r="U39" s="328"/>
      <c r="V39" s="329"/>
      <c r="W39" s="327"/>
      <c r="X39" s="328"/>
      <c r="Y39" s="328"/>
      <c r="Z39" s="327"/>
      <c r="AA39" s="215"/>
      <c r="AB39" s="215"/>
      <c r="AC39" s="175"/>
    </row>
    <row r="40" spans="1:29">
      <c r="A40" s="198" t="s">
        <v>789</v>
      </c>
      <c r="B40" s="279">
        <v>0</v>
      </c>
      <c r="C40" s="279"/>
      <c r="D40" s="279">
        <v>0</v>
      </c>
      <c r="E40" s="279">
        <v>0.17928833999999999</v>
      </c>
      <c r="F40" s="279">
        <v>0.17928833999999999</v>
      </c>
      <c r="G40" s="279">
        <v>0.17928833999999999</v>
      </c>
      <c r="I40" s="207" t="s">
        <v>789</v>
      </c>
      <c r="J40" s="289">
        <v>0</v>
      </c>
      <c r="K40" s="289"/>
      <c r="L40" s="290">
        <v>0</v>
      </c>
      <c r="M40" s="289">
        <v>0.17928833999999999</v>
      </c>
      <c r="N40" s="290">
        <v>0.17928833999999999</v>
      </c>
      <c r="O40" s="209">
        <f t="shared" si="11"/>
        <v>0</v>
      </c>
      <c r="P40" s="209">
        <f t="shared" si="12"/>
        <v>0.17928833999999999</v>
      </c>
      <c r="Q40" s="208">
        <f t="shared" si="13"/>
        <v>0.17928833999999999</v>
      </c>
    </row>
    <row r="41" spans="1:29">
      <c r="A41" s="277" t="s">
        <v>791</v>
      </c>
      <c r="B41" s="279">
        <v>0</v>
      </c>
      <c r="C41" s="279"/>
      <c r="D41" s="279">
        <v>0</v>
      </c>
      <c r="E41" s="279">
        <v>0.17928833999999999</v>
      </c>
      <c r="F41" s="279">
        <v>0.17928833999999999</v>
      </c>
      <c r="G41" s="279">
        <v>0.17928833999999999</v>
      </c>
      <c r="I41" s="210" t="s">
        <v>791</v>
      </c>
      <c r="J41" s="291">
        <v>0</v>
      </c>
      <c r="K41" s="291"/>
      <c r="L41" s="292">
        <v>0</v>
      </c>
      <c r="M41" s="291">
        <v>0.17928833999999999</v>
      </c>
      <c r="N41" s="292">
        <v>0.17928833999999999</v>
      </c>
      <c r="O41" s="212">
        <f t="shared" si="11"/>
        <v>0</v>
      </c>
      <c r="P41" s="212">
        <f t="shared" si="12"/>
        <v>0.17928833999999999</v>
      </c>
      <c r="Q41" s="211">
        <f t="shared" si="13"/>
        <v>0.17928833999999999</v>
      </c>
    </row>
    <row r="42" spans="1:29">
      <c r="A42" s="278" t="s">
        <v>734</v>
      </c>
      <c r="B42" s="279"/>
      <c r="C42" s="279"/>
      <c r="D42" s="279"/>
      <c r="E42" s="279">
        <v>8.5649009999999998E-2</v>
      </c>
      <c r="F42" s="279">
        <v>8.5649009999999998E-2</v>
      </c>
      <c r="G42" s="279">
        <v>8.5649009999999998E-2</v>
      </c>
      <c r="I42" s="213" t="s">
        <v>734</v>
      </c>
      <c r="J42" s="293"/>
      <c r="K42" s="293"/>
      <c r="L42" s="294"/>
      <c r="M42" s="293">
        <v>8.5649009999999998E-2</v>
      </c>
      <c r="N42" s="294">
        <v>8.5649009999999998E-2</v>
      </c>
      <c r="O42" s="218">
        <f t="shared" si="11"/>
        <v>0</v>
      </c>
      <c r="P42" s="218">
        <f t="shared" si="12"/>
        <v>8.5649009999999998E-2</v>
      </c>
      <c r="Q42" s="217">
        <f t="shared" si="13"/>
        <v>8.5649009999999998E-2</v>
      </c>
    </row>
    <row r="43" spans="1:29">
      <c r="A43" s="278" t="s">
        <v>733</v>
      </c>
      <c r="B43" s="279"/>
      <c r="C43" s="279"/>
      <c r="D43" s="279"/>
      <c r="E43" s="279">
        <v>9.3639330000000007E-2</v>
      </c>
      <c r="F43" s="279">
        <v>9.3639330000000007E-2</v>
      </c>
      <c r="G43" s="279">
        <v>9.3639330000000007E-2</v>
      </c>
      <c r="I43" s="213" t="s">
        <v>733</v>
      </c>
      <c r="J43" s="293"/>
      <c r="K43" s="293"/>
      <c r="L43" s="294"/>
      <c r="M43" s="293">
        <v>9.3639330000000007E-2</v>
      </c>
      <c r="N43" s="294">
        <v>9.3639330000000007E-2</v>
      </c>
      <c r="O43" s="218">
        <f t="shared" si="11"/>
        <v>0</v>
      </c>
      <c r="P43" s="218">
        <f t="shared" si="12"/>
        <v>9.3639330000000007E-2</v>
      </c>
      <c r="Q43" s="217">
        <f t="shared" si="13"/>
        <v>9.3639330000000007E-2</v>
      </c>
    </row>
    <row r="44" spans="1:29" hidden="1">
      <c r="A44" s="278" t="s">
        <v>711</v>
      </c>
      <c r="B44" s="279">
        <v>0</v>
      </c>
      <c r="C44" s="279"/>
      <c r="D44" s="279">
        <v>0</v>
      </c>
      <c r="E44" s="279"/>
      <c r="F44" s="279"/>
      <c r="G44" s="279">
        <v>0</v>
      </c>
      <c r="I44" s="213" t="s">
        <v>711</v>
      </c>
      <c r="J44" s="326">
        <v>0</v>
      </c>
      <c r="K44" s="326"/>
      <c r="L44" s="327">
        <v>0</v>
      </c>
      <c r="M44" s="326"/>
      <c r="N44" s="327"/>
      <c r="O44" s="215">
        <f t="shared" si="11"/>
        <v>0</v>
      </c>
      <c r="P44" s="215">
        <f t="shared" si="12"/>
        <v>0</v>
      </c>
      <c r="Q44" s="214">
        <f t="shared" si="13"/>
        <v>0</v>
      </c>
    </row>
    <row r="45" spans="1:29" hidden="1">
      <c r="A45" s="278" t="s">
        <v>709</v>
      </c>
      <c r="B45" s="279">
        <v>0</v>
      </c>
      <c r="C45" s="279"/>
      <c r="D45" s="279">
        <v>0</v>
      </c>
      <c r="E45" s="279"/>
      <c r="F45" s="279"/>
      <c r="G45" s="279">
        <v>0</v>
      </c>
      <c r="I45" s="213" t="s">
        <v>709</v>
      </c>
      <c r="J45" s="326">
        <v>0</v>
      </c>
      <c r="K45" s="326"/>
      <c r="L45" s="327">
        <v>0</v>
      </c>
      <c r="M45" s="326"/>
      <c r="N45" s="327"/>
      <c r="O45" s="215">
        <f t="shared" si="11"/>
        <v>0</v>
      </c>
      <c r="P45" s="215">
        <f t="shared" si="12"/>
        <v>0</v>
      </c>
      <c r="Q45" s="214">
        <f t="shared" si="13"/>
        <v>0</v>
      </c>
    </row>
    <row r="46" spans="1:29" hidden="1">
      <c r="A46" s="278" t="s">
        <v>706</v>
      </c>
      <c r="B46" s="279">
        <v>0</v>
      </c>
      <c r="C46" s="279"/>
      <c r="D46" s="279">
        <v>0</v>
      </c>
      <c r="E46" s="279"/>
      <c r="F46" s="279"/>
      <c r="G46" s="279">
        <v>0</v>
      </c>
      <c r="I46" s="213" t="s">
        <v>706</v>
      </c>
      <c r="J46" s="326">
        <v>0</v>
      </c>
      <c r="K46" s="326"/>
      <c r="L46" s="327">
        <v>0</v>
      </c>
      <c r="M46" s="326"/>
      <c r="N46" s="327"/>
      <c r="O46" s="215">
        <f t="shared" si="11"/>
        <v>0</v>
      </c>
      <c r="P46" s="215">
        <f t="shared" si="12"/>
        <v>0</v>
      </c>
      <c r="Q46" s="214">
        <f t="shared" si="13"/>
        <v>0</v>
      </c>
    </row>
    <row r="47" spans="1:29" hidden="1">
      <c r="A47" s="278" t="s">
        <v>707</v>
      </c>
      <c r="B47" s="279">
        <v>0</v>
      </c>
      <c r="C47" s="279"/>
      <c r="D47" s="279">
        <v>0</v>
      </c>
      <c r="E47" s="279"/>
      <c r="F47" s="279"/>
      <c r="G47" s="279">
        <v>0</v>
      </c>
      <c r="I47" s="213" t="s">
        <v>707</v>
      </c>
      <c r="J47" s="326">
        <v>0</v>
      </c>
      <c r="K47" s="326"/>
      <c r="L47" s="327">
        <v>0</v>
      </c>
      <c r="M47" s="326"/>
      <c r="N47" s="327"/>
      <c r="O47" s="215">
        <f t="shared" si="11"/>
        <v>0</v>
      </c>
      <c r="P47" s="215">
        <f t="shared" si="12"/>
        <v>0</v>
      </c>
      <c r="Q47" s="214">
        <f t="shared" si="13"/>
        <v>0</v>
      </c>
    </row>
    <row r="48" spans="1:29">
      <c r="A48" s="277" t="s">
        <v>800</v>
      </c>
      <c r="B48" s="279"/>
      <c r="C48" s="279"/>
      <c r="D48" s="279"/>
      <c r="E48" s="279">
        <v>0</v>
      </c>
      <c r="F48" s="279">
        <v>0</v>
      </c>
      <c r="G48" s="279">
        <v>0</v>
      </c>
      <c r="I48" s="207" t="s">
        <v>800</v>
      </c>
      <c r="J48" s="289"/>
      <c r="K48" s="289"/>
      <c r="L48" s="290"/>
      <c r="M48" s="289">
        <v>0</v>
      </c>
      <c r="N48" s="290">
        <v>0</v>
      </c>
      <c r="O48" s="209">
        <f t="shared" si="11"/>
        <v>0</v>
      </c>
      <c r="P48" s="209">
        <f t="shared" si="12"/>
        <v>0</v>
      </c>
      <c r="Q48" s="208">
        <f t="shared" si="13"/>
        <v>0</v>
      </c>
    </row>
    <row r="49" spans="1:17">
      <c r="A49" s="278" t="s">
        <v>799</v>
      </c>
      <c r="B49" s="279"/>
      <c r="C49" s="279"/>
      <c r="D49" s="279"/>
      <c r="E49" s="279">
        <v>0</v>
      </c>
      <c r="F49" s="279">
        <v>0</v>
      </c>
      <c r="G49" s="279">
        <v>0</v>
      </c>
      <c r="I49" s="213" t="s">
        <v>799</v>
      </c>
      <c r="J49" s="326"/>
      <c r="K49" s="326"/>
      <c r="L49" s="327"/>
      <c r="M49" s="326">
        <v>0</v>
      </c>
      <c r="N49" s="327">
        <v>0</v>
      </c>
      <c r="O49" s="215">
        <f t="shared" si="11"/>
        <v>0</v>
      </c>
      <c r="P49" s="215">
        <f t="shared" si="12"/>
        <v>0</v>
      </c>
      <c r="Q49" s="214">
        <f t="shared" si="13"/>
        <v>0</v>
      </c>
    </row>
    <row r="50" spans="1:17">
      <c r="A50" s="198" t="s">
        <v>798</v>
      </c>
      <c r="B50" s="279">
        <v>0.1</v>
      </c>
      <c r="C50" s="279">
        <v>115.28947122000001</v>
      </c>
      <c r="D50" s="279">
        <v>115.38947122</v>
      </c>
      <c r="E50" s="279">
        <v>375.77672736</v>
      </c>
      <c r="F50" s="279">
        <v>375.77672736</v>
      </c>
      <c r="G50" s="279">
        <v>491.16619858000001</v>
      </c>
      <c r="I50" s="207" t="s">
        <v>798</v>
      </c>
      <c r="J50" s="289">
        <v>0.1</v>
      </c>
      <c r="K50" s="289">
        <v>115.28947122000001</v>
      </c>
      <c r="L50" s="290">
        <v>115.38947122</v>
      </c>
      <c r="M50" s="289">
        <v>375.77672736</v>
      </c>
      <c r="N50" s="290">
        <v>375.77672736</v>
      </c>
      <c r="O50" s="209">
        <f t="shared" si="11"/>
        <v>0.1</v>
      </c>
      <c r="P50" s="209">
        <f t="shared" si="12"/>
        <v>491.06619857999999</v>
      </c>
      <c r="Q50" s="208">
        <f t="shared" si="13"/>
        <v>491.16619858000001</v>
      </c>
    </row>
    <row r="51" spans="1:17">
      <c r="A51" s="277" t="s">
        <v>791</v>
      </c>
      <c r="B51" s="279">
        <v>0.1</v>
      </c>
      <c r="C51" s="279">
        <v>115.28947122000001</v>
      </c>
      <c r="D51" s="279">
        <v>115.38947122</v>
      </c>
      <c r="E51" s="279">
        <v>375.77672736</v>
      </c>
      <c r="F51" s="279">
        <v>375.77672736</v>
      </c>
      <c r="G51" s="279">
        <v>491.16619858000001</v>
      </c>
      <c r="I51" s="210" t="s">
        <v>791</v>
      </c>
      <c r="J51" s="291">
        <v>0.1</v>
      </c>
      <c r="K51" s="291">
        <v>115.28947122000001</v>
      </c>
      <c r="L51" s="292">
        <v>115.38947122</v>
      </c>
      <c r="M51" s="291">
        <v>375.77672736</v>
      </c>
      <c r="N51" s="292">
        <v>375.77672736</v>
      </c>
      <c r="O51" s="212"/>
      <c r="P51" s="212"/>
      <c r="Q51" s="211"/>
    </row>
    <row r="52" spans="1:17">
      <c r="A52" s="278" t="s">
        <v>761</v>
      </c>
      <c r="B52" s="279"/>
      <c r="C52" s="279"/>
      <c r="D52" s="279"/>
      <c r="E52" s="279">
        <v>174.34993327000001</v>
      </c>
      <c r="F52" s="279">
        <v>174.34993327000001</v>
      </c>
      <c r="G52" s="279">
        <v>174.34993327000001</v>
      </c>
      <c r="I52" s="213" t="s">
        <v>761</v>
      </c>
      <c r="J52" s="326"/>
      <c r="K52" s="326"/>
      <c r="L52" s="327"/>
      <c r="M52" s="326">
        <v>174.34993327000001</v>
      </c>
      <c r="N52" s="327">
        <v>174.34993327000001</v>
      </c>
      <c r="O52" s="215"/>
      <c r="P52" s="215">
        <f t="shared" ref="P52:P60" si="14">K52+M52</f>
        <v>174.34993327000001</v>
      </c>
      <c r="Q52" s="214">
        <f t="shared" ref="Q52:Q60" si="15">O52+P52</f>
        <v>174.34993327000001</v>
      </c>
    </row>
    <row r="53" spans="1:17">
      <c r="A53" s="278" t="s">
        <v>735</v>
      </c>
      <c r="B53" s="279"/>
      <c r="C53" s="279"/>
      <c r="D53" s="279"/>
      <c r="E53" s="279">
        <v>201.42679409000002</v>
      </c>
      <c r="F53" s="279">
        <v>201.42679409000002</v>
      </c>
      <c r="G53" s="279">
        <v>201.42679409000002</v>
      </c>
      <c r="I53" s="213" t="s">
        <v>735</v>
      </c>
      <c r="J53" s="326"/>
      <c r="K53" s="326"/>
      <c r="L53" s="327"/>
      <c r="M53" s="326">
        <v>201.42679409000002</v>
      </c>
      <c r="N53" s="327">
        <v>201.42679409000002</v>
      </c>
      <c r="O53" s="215">
        <f t="shared" ref="O53:O60" si="16">J53</f>
        <v>0</v>
      </c>
      <c r="P53" s="215">
        <f t="shared" si="14"/>
        <v>201.42679409000002</v>
      </c>
      <c r="Q53" s="214">
        <f t="shared" si="15"/>
        <v>201.42679409000002</v>
      </c>
    </row>
    <row r="54" spans="1:17">
      <c r="A54" s="278" t="s">
        <v>458</v>
      </c>
      <c r="B54" s="279">
        <v>0.1</v>
      </c>
      <c r="C54" s="279">
        <v>115.28947122000001</v>
      </c>
      <c r="D54" s="279">
        <v>115.38947122</v>
      </c>
      <c r="E54" s="279"/>
      <c r="F54" s="279"/>
      <c r="G54" s="279">
        <v>115.38947122</v>
      </c>
      <c r="I54" s="213" t="s">
        <v>458</v>
      </c>
      <c r="J54" s="326">
        <v>0.1</v>
      </c>
      <c r="K54" s="326">
        <v>115.28947122000001</v>
      </c>
      <c r="L54" s="327">
        <v>115.38947122</v>
      </c>
      <c r="M54" s="326"/>
      <c r="N54" s="327"/>
      <c r="O54" s="215">
        <f t="shared" si="16"/>
        <v>0.1</v>
      </c>
      <c r="P54" s="215">
        <f t="shared" si="14"/>
        <v>115.28947122000001</v>
      </c>
      <c r="Q54" s="214">
        <f t="shared" si="15"/>
        <v>115.38947122</v>
      </c>
    </row>
    <row r="55" spans="1:17" hidden="1">
      <c r="A55" s="198" t="s">
        <v>792</v>
      </c>
      <c r="B55" s="279">
        <v>0</v>
      </c>
      <c r="C55" s="279"/>
      <c r="D55" s="279">
        <v>0</v>
      </c>
      <c r="E55" s="279">
        <v>0</v>
      </c>
      <c r="F55" s="279">
        <v>0</v>
      </c>
      <c r="G55" s="279">
        <v>0</v>
      </c>
      <c r="I55" s="207" t="s">
        <v>792</v>
      </c>
      <c r="J55" s="289">
        <v>0</v>
      </c>
      <c r="K55" s="289"/>
      <c r="L55" s="290">
        <v>0</v>
      </c>
      <c r="M55" s="289">
        <v>0</v>
      </c>
      <c r="N55" s="290">
        <v>0</v>
      </c>
      <c r="O55" s="209">
        <f t="shared" si="16"/>
        <v>0</v>
      </c>
      <c r="P55" s="209">
        <f t="shared" si="14"/>
        <v>0</v>
      </c>
      <c r="Q55" s="208">
        <f t="shared" si="15"/>
        <v>0</v>
      </c>
    </row>
    <row r="56" spans="1:17" hidden="1">
      <c r="A56" s="277" t="s">
        <v>578</v>
      </c>
      <c r="B56" s="279"/>
      <c r="C56" s="279"/>
      <c r="D56" s="279"/>
      <c r="E56" s="279">
        <v>0</v>
      </c>
      <c r="F56" s="279">
        <v>0</v>
      </c>
      <c r="G56" s="279">
        <v>0</v>
      </c>
      <c r="I56" s="210" t="s">
        <v>578</v>
      </c>
      <c r="J56" s="291"/>
      <c r="K56" s="291"/>
      <c r="L56" s="292"/>
      <c r="M56" s="291">
        <v>0</v>
      </c>
      <c r="N56" s="292">
        <v>0</v>
      </c>
      <c r="O56" s="212">
        <f t="shared" si="16"/>
        <v>0</v>
      </c>
      <c r="P56" s="212">
        <f t="shared" si="14"/>
        <v>0</v>
      </c>
      <c r="Q56" s="211">
        <f t="shared" si="15"/>
        <v>0</v>
      </c>
    </row>
    <row r="57" spans="1:17" hidden="1">
      <c r="A57" s="278" t="s">
        <v>740</v>
      </c>
      <c r="B57" s="279"/>
      <c r="C57" s="279"/>
      <c r="D57" s="279"/>
      <c r="E57" s="279">
        <v>0</v>
      </c>
      <c r="F57" s="279">
        <v>0</v>
      </c>
      <c r="G57" s="279">
        <v>0</v>
      </c>
      <c r="I57" s="213" t="s">
        <v>740</v>
      </c>
      <c r="J57" s="326"/>
      <c r="K57" s="326"/>
      <c r="L57" s="327"/>
      <c r="M57" s="326">
        <v>0</v>
      </c>
      <c r="N57" s="327">
        <v>0</v>
      </c>
      <c r="O57" s="215">
        <f t="shared" si="16"/>
        <v>0</v>
      </c>
      <c r="P57" s="215">
        <f t="shared" si="14"/>
        <v>0</v>
      </c>
      <c r="Q57" s="214">
        <f t="shared" si="15"/>
        <v>0</v>
      </c>
    </row>
    <row r="58" spans="1:17" hidden="1">
      <c r="A58" s="277" t="s">
        <v>793</v>
      </c>
      <c r="B58" s="279">
        <v>0</v>
      </c>
      <c r="C58" s="279"/>
      <c r="D58" s="279">
        <v>0</v>
      </c>
      <c r="E58" s="279"/>
      <c r="F58" s="279"/>
      <c r="G58" s="279">
        <v>0</v>
      </c>
      <c r="I58" s="210" t="s">
        <v>793</v>
      </c>
      <c r="J58" s="291">
        <v>0</v>
      </c>
      <c r="K58" s="291"/>
      <c r="L58" s="292">
        <v>0</v>
      </c>
      <c r="M58" s="291"/>
      <c r="N58" s="292"/>
      <c r="O58" s="212">
        <f t="shared" si="16"/>
        <v>0</v>
      </c>
      <c r="P58" s="212">
        <f t="shared" si="14"/>
        <v>0</v>
      </c>
      <c r="Q58" s="211">
        <f t="shared" si="15"/>
        <v>0</v>
      </c>
    </row>
    <row r="59" spans="1:17" hidden="1">
      <c r="A59" s="278" t="s">
        <v>758</v>
      </c>
      <c r="B59" s="279">
        <v>0</v>
      </c>
      <c r="C59" s="279"/>
      <c r="D59" s="279">
        <v>0</v>
      </c>
      <c r="E59" s="279"/>
      <c r="F59" s="279"/>
      <c r="G59" s="279">
        <v>0</v>
      </c>
      <c r="I59" s="213" t="s">
        <v>758</v>
      </c>
      <c r="J59" s="326">
        <v>0</v>
      </c>
      <c r="K59" s="326"/>
      <c r="L59" s="327">
        <v>0</v>
      </c>
      <c r="M59" s="326"/>
      <c r="N59" s="327"/>
      <c r="O59" s="215">
        <f t="shared" si="16"/>
        <v>0</v>
      </c>
      <c r="P59" s="215">
        <f t="shared" si="14"/>
        <v>0</v>
      </c>
      <c r="Q59" s="214">
        <f t="shared" si="15"/>
        <v>0</v>
      </c>
    </row>
    <row r="60" spans="1:17">
      <c r="A60" s="198" t="s">
        <v>808</v>
      </c>
      <c r="B60" s="279">
        <v>281.56200952741705</v>
      </c>
      <c r="C60" s="279">
        <v>906.28384068999992</v>
      </c>
      <c r="D60" s="279">
        <v>1187.8458502174169</v>
      </c>
      <c r="E60" s="279">
        <v>1565.5802227100003</v>
      </c>
      <c r="F60" s="279">
        <v>1565.5802227100003</v>
      </c>
      <c r="G60" s="279">
        <v>2753.4260729274165</v>
      </c>
      <c r="I60" s="495" t="s">
        <v>808</v>
      </c>
      <c r="J60" s="498">
        <v>281.56200952741705</v>
      </c>
      <c r="K60" s="498">
        <v>906.28384068999992</v>
      </c>
      <c r="L60" s="499">
        <v>1187.8458502174169</v>
      </c>
      <c r="M60" s="498">
        <v>1565.5802227100003</v>
      </c>
      <c r="N60" s="499">
        <v>1565.5802227100003</v>
      </c>
      <c r="O60" s="496">
        <f t="shared" si="16"/>
        <v>281.56200952741705</v>
      </c>
      <c r="P60" s="496">
        <f t="shared" si="14"/>
        <v>2471.8640634000003</v>
      </c>
      <c r="Q60" s="497">
        <f t="shared" si="15"/>
        <v>2753.4260729274174</v>
      </c>
    </row>
    <row r="61" spans="1:17">
      <c r="L61" s="16">
        <f>L50+L40+L28+L24+L6</f>
        <v>1187.8458502174171</v>
      </c>
      <c r="N61" s="16">
        <f>N50+N40+N28+N24+N6</f>
        <v>1565.58022271</v>
      </c>
      <c r="O61" s="16">
        <f>O50+O40+O28+O24+O6</f>
        <v>281.56200952741705</v>
      </c>
      <c r="P61" s="16">
        <f>P50+P40+P28+P24+P6</f>
        <v>2471.8640633999998</v>
      </c>
    </row>
    <row r="62" spans="1:17">
      <c r="I62" s="436" t="s">
        <v>1371</v>
      </c>
      <c r="J62" s="436"/>
      <c r="K62" s="436"/>
      <c r="L62" s="436"/>
      <c r="M62" s="436"/>
      <c r="N62" s="436"/>
      <c r="O62" s="436"/>
      <c r="P62" s="436"/>
      <c r="Q62" s="436"/>
    </row>
    <row r="63" spans="1:17">
      <c r="I63" s="6" t="s">
        <v>794</v>
      </c>
      <c r="J63" s="7">
        <f t="shared" ref="J63:Q63" si="17">SUM(J10:J23)+J8</f>
        <v>281.46200952741702</v>
      </c>
      <c r="K63" s="7">
        <f t="shared" si="17"/>
        <v>410.96050825999998</v>
      </c>
      <c r="L63" s="7">
        <f t="shared" si="17"/>
        <v>692.42251778741706</v>
      </c>
      <c r="M63" s="7">
        <f t="shared" si="17"/>
        <v>675.26037006000001</v>
      </c>
      <c r="N63" s="7">
        <f t="shared" si="17"/>
        <v>675.26037006000001</v>
      </c>
      <c r="O63" s="7">
        <f t="shared" si="17"/>
        <v>281.46200952741702</v>
      </c>
      <c r="P63" s="7">
        <f t="shared" si="17"/>
        <v>1086.2208783199999</v>
      </c>
      <c r="Q63" s="7">
        <f t="shared" si="17"/>
        <v>1367.6828878474171</v>
      </c>
    </row>
    <row r="64" spans="1:17">
      <c r="I64" s="435" t="s">
        <v>1372</v>
      </c>
      <c r="J64" s="434">
        <f t="shared" ref="J64:Q64" si="18">J63-J6</f>
        <v>0</v>
      </c>
      <c r="K64" s="434">
        <f t="shared" si="18"/>
        <v>0</v>
      </c>
      <c r="L64" s="434">
        <f t="shared" si="18"/>
        <v>0</v>
      </c>
      <c r="M64" s="434">
        <f t="shared" si="18"/>
        <v>0</v>
      </c>
      <c r="N64" s="434">
        <f t="shared" si="18"/>
        <v>0</v>
      </c>
      <c r="O64" s="434">
        <f t="shared" si="18"/>
        <v>0</v>
      </c>
      <c r="P64" s="434">
        <f t="shared" si="18"/>
        <v>0</v>
      </c>
      <c r="Q64" s="434">
        <f t="shared" si="18"/>
        <v>0</v>
      </c>
    </row>
    <row r="66" spans="9:17">
      <c r="I66" s="6" t="s">
        <v>801</v>
      </c>
      <c r="J66" s="7">
        <f>SUM(J30:J40)</f>
        <v>0</v>
      </c>
      <c r="K66" s="7">
        <f>SUM(K30:K40)</f>
        <v>380.03386121</v>
      </c>
      <c r="L66" s="7">
        <f>SUM(L30:L40)</f>
        <v>380.03386121</v>
      </c>
      <c r="M66" s="7">
        <f>SUM(M30:M39)</f>
        <v>514.36383694999995</v>
      </c>
      <c r="N66" s="7">
        <f>SUM(N30:N39)</f>
        <v>514.36383694999995</v>
      </c>
      <c r="O66" s="7">
        <f>SUM(O30:O39)</f>
        <v>0</v>
      </c>
      <c r="P66" s="7">
        <f>SUM(P30:P39)</f>
        <v>894.39769815999989</v>
      </c>
      <c r="Q66" s="7">
        <f>SUM(Q30:Q39)</f>
        <v>894.39769815999989</v>
      </c>
    </row>
    <row r="67" spans="9:17">
      <c r="I67" s="435" t="s">
        <v>1372</v>
      </c>
      <c r="J67" s="434">
        <f t="shared" ref="J67:Q67" si="19">J66-J28</f>
        <v>0</v>
      </c>
      <c r="K67" s="434">
        <f t="shared" si="19"/>
        <v>0</v>
      </c>
      <c r="L67" s="434">
        <f t="shared" si="19"/>
        <v>0</v>
      </c>
      <c r="M67" s="434">
        <f t="shared" si="19"/>
        <v>0</v>
      </c>
      <c r="N67" s="434">
        <f t="shared" si="19"/>
        <v>0</v>
      </c>
      <c r="O67" s="434">
        <f t="shared" si="19"/>
        <v>0</v>
      </c>
      <c r="P67" s="434">
        <f t="shared" si="19"/>
        <v>0</v>
      </c>
      <c r="Q67" s="434">
        <f t="shared" si="19"/>
        <v>0</v>
      </c>
    </row>
    <row r="68" spans="9:17">
      <c r="I68" s="435"/>
      <c r="J68" s="434"/>
      <c r="K68" s="434"/>
      <c r="L68" s="434"/>
      <c r="M68" s="434"/>
      <c r="N68" s="434"/>
      <c r="O68" s="434"/>
      <c r="P68" s="434"/>
      <c r="Q68" s="434"/>
    </row>
    <row r="69" spans="9:17">
      <c r="I69" s="6" t="s">
        <v>1373</v>
      </c>
      <c r="J69" s="7">
        <f t="shared" ref="J69:Q69" si="20">SUM(J42:J48)</f>
        <v>0</v>
      </c>
      <c r="K69" s="7">
        <f t="shared" si="20"/>
        <v>0</v>
      </c>
      <c r="L69" s="7">
        <f t="shared" si="20"/>
        <v>0</v>
      </c>
      <c r="M69" s="7">
        <f t="shared" si="20"/>
        <v>0.17928833999999999</v>
      </c>
      <c r="N69" s="7">
        <f t="shared" si="20"/>
        <v>0.17928833999999999</v>
      </c>
      <c r="O69" s="7">
        <f t="shared" si="20"/>
        <v>0</v>
      </c>
      <c r="P69" s="7">
        <f t="shared" si="20"/>
        <v>0.17928833999999999</v>
      </c>
      <c r="Q69" s="7">
        <f t="shared" si="20"/>
        <v>0.17928833999999999</v>
      </c>
    </row>
    <row r="70" spans="9:17">
      <c r="I70" s="435" t="s">
        <v>1372</v>
      </c>
      <c r="J70" s="434">
        <f t="shared" ref="J70:Q70" si="21">J69-J40</f>
        <v>0</v>
      </c>
      <c r="K70" s="434">
        <f t="shared" si="21"/>
        <v>0</v>
      </c>
      <c r="L70" s="434">
        <f t="shared" si="21"/>
        <v>0</v>
      </c>
      <c r="M70" s="434">
        <f t="shared" si="21"/>
        <v>0</v>
      </c>
      <c r="N70" s="434">
        <f t="shared" si="21"/>
        <v>0</v>
      </c>
      <c r="O70" s="434">
        <f t="shared" si="21"/>
        <v>0</v>
      </c>
      <c r="P70" s="434">
        <f t="shared" si="21"/>
        <v>0</v>
      </c>
      <c r="Q70" s="434">
        <f t="shared" si="21"/>
        <v>0</v>
      </c>
    </row>
    <row r="72" spans="9:17">
      <c r="I72" s="6" t="s">
        <v>800</v>
      </c>
      <c r="J72" s="7">
        <f t="shared" ref="J72:Q72" si="22">J49</f>
        <v>0</v>
      </c>
      <c r="K72" s="7">
        <f t="shared" si="22"/>
        <v>0</v>
      </c>
      <c r="L72" s="7">
        <f t="shared" si="22"/>
        <v>0</v>
      </c>
      <c r="M72" s="7">
        <f t="shared" si="22"/>
        <v>0</v>
      </c>
      <c r="N72" s="7">
        <f t="shared" si="22"/>
        <v>0</v>
      </c>
      <c r="O72" s="7">
        <f t="shared" si="22"/>
        <v>0</v>
      </c>
      <c r="P72" s="7">
        <f t="shared" si="22"/>
        <v>0</v>
      </c>
      <c r="Q72" s="7">
        <f t="shared" si="22"/>
        <v>0</v>
      </c>
    </row>
    <row r="73" spans="9:17">
      <c r="I73" s="435" t="s">
        <v>1372</v>
      </c>
      <c r="J73" s="434">
        <f t="shared" ref="J73:Q73" si="23">J72-J49</f>
        <v>0</v>
      </c>
      <c r="K73" s="434">
        <f t="shared" si="23"/>
        <v>0</v>
      </c>
      <c r="L73" s="434">
        <f t="shared" si="23"/>
        <v>0</v>
      </c>
      <c r="M73" s="434">
        <f t="shared" si="23"/>
        <v>0</v>
      </c>
      <c r="N73" s="434">
        <f t="shared" si="23"/>
        <v>0</v>
      </c>
      <c r="O73" s="434">
        <f t="shared" si="23"/>
        <v>0</v>
      </c>
      <c r="P73" s="434">
        <f t="shared" si="23"/>
        <v>0</v>
      </c>
      <c r="Q73" s="434">
        <f t="shared" si="23"/>
        <v>0</v>
      </c>
    </row>
    <row r="75" spans="9:17">
      <c r="I75" s="6" t="s">
        <v>798</v>
      </c>
      <c r="J75" s="7">
        <f t="shared" ref="J75:Q75" si="24">SUM(J52:J54)</f>
        <v>0.1</v>
      </c>
      <c r="K75" s="7">
        <f t="shared" si="24"/>
        <v>115.28947122000001</v>
      </c>
      <c r="L75" s="7">
        <f t="shared" si="24"/>
        <v>115.38947122</v>
      </c>
      <c r="M75" s="7">
        <f t="shared" si="24"/>
        <v>375.77672736</v>
      </c>
      <c r="N75" s="7">
        <f t="shared" si="24"/>
        <v>375.77672736</v>
      </c>
      <c r="O75" s="7">
        <f t="shared" si="24"/>
        <v>0.1</v>
      </c>
      <c r="P75" s="7">
        <f t="shared" si="24"/>
        <v>491.06619857999999</v>
      </c>
      <c r="Q75" s="7">
        <f t="shared" si="24"/>
        <v>491.16619858000001</v>
      </c>
    </row>
    <row r="76" spans="9:17">
      <c r="I76" s="435" t="s">
        <v>1372</v>
      </c>
      <c r="J76" s="434">
        <f t="shared" ref="J76:Q76" si="25">J75-J50</f>
        <v>0</v>
      </c>
      <c r="K76" s="434">
        <f t="shared" si="25"/>
        <v>0</v>
      </c>
      <c r="L76" s="434">
        <f t="shared" si="25"/>
        <v>0</v>
      </c>
      <c r="M76" s="434">
        <f t="shared" si="25"/>
        <v>0</v>
      </c>
      <c r="N76" s="434">
        <f t="shared" si="25"/>
        <v>0</v>
      </c>
      <c r="O76" s="434">
        <f t="shared" si="25"/>
        <v>0</v>
      </c>
      <c r="P76" s="434">
        <f t="shared" si="25"/>
        <v>0</v>
      </c>
      <c r="Q76" s="434">
        <f t="shared" si="25"/>
        <v>0</v>
      </c>
    </row>
    <row r="78" spans="9:17">
      <c r="I78" s="6" t="s">
        <v>792</v>
      </c>
      <c r="J78" s="7">
        <f t="shared" ref="J78:Q78" si="26">J57+J59</f>
        <v>0</v>
      </c>
      <c r="K78" s="7">
        <f t="shared" si="26"/>
        <v>0</v>
      </c>
      <c r="L78" s="7">
        <f t="shared" si="26"/>
        <v>0</v>
      </c>
      <c r="M78" s="7">
        <f t="shared" si="26"/>
        <v>0</v>
      </c>
      <c r="N78" s="7">
        <f t="shared" si="26"/>
        <v>0</v>
      </c>
      <c r="O78" s="7">
        <f t="shared" si="26"/>
        <v>0</v>
      </c>
      <c r="P78" s="7">
        <f t="shared" si="26"/>
        <v>0</v>
      </c>
      <c r="Q78" s="7">
        <f t="shared" si="26"/>
        <v>0</v>
      </c>
    </row>
    <row r="79" spans="9:17">
      <c r="I79" s="435" t="s">
        <v>1372</v>
      </c>
      <c r="J79" s="434">
        <f t="shared" ref="J79:Q79" si="27">J78-J55</f>
        <v>0</v>
      </c>
      <c r="K79" s="434">
        <f t="shared" si="27"/>
        <v>0</v>
      </c>
      <c r="L79" s="434">
        <f t="shared" si="27"/>
        <v>0</v>
      </c>
      <c r="M79" s="434">
        <f t="shared" si="27"/>
        <v>0</v>
      </c>
      <c r="N79" s="434">
        <f t="shared" si="27"/>
        <v>0</v>
      </c>
      <c r="O79" s="434">
        <f t="shared" si="27"/>
        <v>0</v>
      </c>
      <c r="P79" s="434">
        <f t="shared" si="27"/>
        <v>0</v>
      </c>
      <c r="Q79" s="434">
        <f t="shared" si="27"/>
        <v>0</v>
      </c>
    </row>
    <row r="81" spans="9:17">
      <c r="I81" s="6" t="s">
        <v>808</v>
      </c>
      <c r="J81" s="7">
        <f>J63+J66+J72+J75+J78+J69</f>
        <v>281.56200952741705</v>
      </c>
      <c r="K81" s="7">
        <f t="shared" ref="K81:L81" si="28">K63+K66+K72+K75+K78+K69</f>
        <v>906.28384069000003</v>
      </c>
      <c r="L81" s="7">
        <f t="shared" si="28"/>
        <v>1187.8458502174169</v>
      </c>
      <c r="M81" s="7">
        <f>M63+M66+M72+M75+M78+M69</f>
        <v>1565.58022271</v>
      </c>
      <c r="N81" s="7">
        <f t="shared" ref="N81:Q81" si="29">N63+N66+N72+N75+N78+N69</f>
        <v>1565.58022271</v>
      </c>
      <c r="O81" s="7">
        <f t="shared" si="29"/>
        <v>281.56200952741705</v>
      </c>
      <c r="P81" s="7">
        <f t="shared" si="29"/>
        <v>2471.8640633999998</v>
      </c>
      <c r="Q81" s="7">
        <f t="shared" si="29"/>
        <v>2753.426072927417</v>
      </c>
    </row>
    <row r="82" spans="9:17">
      <c r="I82" s="435" t="s">
        <v>1372</v>
      </c>
      <c r="J82" s="434">
        <f t="shared" ref="J82:Q82" si="30">J81-J60</f>
        <v>0</v>
      </c>
      <c r="K82" s="434">
        <f t="shared" si="30"/>
        <v>0</v>
      </c>
      <c r="L82" s="434">
        <f t="shared" si="30"/>
        <v>0</v>
      </c>
      <c r="M82" s="434">
        <f t="shared" si="30"/>
        <v>0</v>
      </c>
      <c r="N82" s="434">
        <f t="shared" si="30"/>
        <v>0</v>
      </c>
      <c r="O82" s="434">
        <f t="shared" si="30"/>
        <v>0</v>
      </c>
      <c r="P82" s="434">
        <f t="shared" si="30"/>
        <v>0</v>
      </c>
      <c r="Q82" s="434">
        <f t="shared" si="30"/>
        <v>0</v>
      </c>
    </row>
  </sheetData>
  <mergeCells count="2">
    <mergeCell ref="J4:L4"/>
    <mergeCell ref="M4:N4"/>
  </mergeCells>
  <pageMargins left="0.7" right="0.7" top="0.75" bottom="0.75" header="0.3" footer="0.3"/>
  <pageSetup paperSize="9" scale="24" fitToHeight="0"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998DE-7435-43EA-AC4A-A842756B8756}">
  <sheetPr>
    <tabColor rgb="FFFF99FF"/>
  </sheetPr>
  <dimension ref="A1:P65"/>
  <sheetViews>
    <sheetView zoomScale="50" zoomScaleNormal="50" workbookViewId="0">
      <selection activeCell="P15" sqref="P15"/>
    </sheetView>
  </sheetViews>
  <sheetFormatPr baseColWidth="10" defaultColWidth="9" defaultRowHeight="15"/>
  <cols>
    <col min="1" max="1" width="29.33203125" style="167" customWidth="1"/>
    <col min="2" max="2" width="28.6640625" style="167" customWidth="1"/>
    <col min="3" max="3" width="21" style="174" customWidth="1"/>
    <col min="4" max="4" width="14.1640625" style="174" customWidth="1"/>
    <col min="5" max="5" width="13.83203125" style="174" customWidth="1"/>
    <col min="6" max="6" width="9" style="174"/>
    <col min="7" max="7" width="16.6640625" style="167" bestFit="1" customWidth="1"/>
    <col min="8" max="8" width="14.1640625" style="186" customWidth="1"/>
    <col min="9" max="9" width="12.83203125" style="188" customWidth="1"/>
    <col min="10" max="10" width="44.1640625" style="167" customWidth="1"/>
    <col min="11" max="11" width="9" style="167"/>
    <col min="12" max="12" width="16.5" style="167" customWidth="1"/>
    <col min="13" max="15" width="9" style="167"/>
    <col min="16" max="16" width="14.6640625" style="167" customWidth="1"/>
    <col min="17" max="16384" width="9" style="167"/>
  </cols>
  <sheetData>
    <row r="1" spans="1:16" ht="16">
      <c r="A1" s="161" t="s">
        <v>1599</v>
      </c>
      <c r="B1" s="162" t="s">
        <v>781</v>
      </c>
      <c r="C1" s="163" t="s">
        <v>782</v>
      </c>
      <c r="D1" s="163" t="s">
        <v>783</v>
      </c>
      <c r="E1" s="163" t="s">
        <v>784</v>
      </c>
      <c r="F1" s="163" t="s">
        <v>596</v>
      </c>
      <c r="G1" s="164" t="s">
        <v>785</v>
      </c>
      <c r="H1" s="165" t="s">
        <v>786</v>
      </c>
      <c r="I1" s="191" t="s">
        <v>787</v>
      </c>
      <c r="J1" s="166" t="s">
        <v>788</v>
      </c>
      <c r="M1" s="344" t="s">
        <v>978</v>
      </c>
      <c r="N1" s="345"/>
      <c r="O1" s="345"/>
      <c r="P1" s="345"/>
    </row>
    <row r="2" spans="1:16">
      <c r="A2" s="168" t="s">
        <v>706</v>
      </c>
      <c r="B2" s="169" t="s">
        <v>706</v>
      </c>
      <c r="C2" s="170" t="s">
        <v>789</v>
      </c>
      <c r="D2" s="170" t="s">
        <v>790</v>
      </c>
      <c r="E2" s="170" t="s">
        <v>70</v>
      </c>
      <c r="F2" s="170" t="s">
        <v>791</v>
      </c>
      <c r="G2" s="171">
        <f>VLOOKUP(A2,'Counterparty Limit'!$B$6:$J$51,7,FALSE)</f>
        <v>0</v>
      </c>
      <c r="H2" s="171">
        <v>0</v>
      </c>
      <c r="I2" s="192">
        <f>G2-H2</f>
        <v>0</v>
      </c>
      <c r="M2" s="577" t="s">
        <v>1572</v>
      </c>
      <c r="P2" s="172">
        <f>146+82+34</f>
        <v>262</v>
      </c>
    </row>
    <row r="3" spans="1:16">
      <c r="A3" s="168" t="s">
        <v>707</v>
      </c>
      <c r="B3" s="173" t="s">
        <v>707</v>
      </c>
      <c r="C3" s="174" t="s">
        <v>789</v>
      </c>
      <c r="D3" s="174" t="s">
        <v>790</v>
      </c>
      <c r="E3" s="174" t="s">
        <v>70</v>
      </c>
      <c r="F3" s="174" t="s">
        <v>791</v>
      </c>
      <c r="G3" s="193">
        <f>VLOOKUP(A3,'Counterparty Limit'!$C$6:$J$51,7,FALSE)</f>
        <v>0</v>
      </c>
      <c r="H3" s="175">
        <v>0</v>
      </c>
      <c r="I3" s="192">
        <f t="shared" ref="I3:I45" si="0">G3-H3</f>
        <v>0</v>
      </c>
      <c r="M3" s="577" t="s">
        <v>1586</v>
      </c>
      <c r="P3" s="172">
        <v>-2.2999999999999998</v>
      </c>
    </row>
    <row r="4" spans="1:16">
      <c r="A4" s="168" t="s">
        <v>709</v>
      </c>
      <c r="B4" s="173" t="s">
        <v>709</v>
      </c>
      <c r="C4" s="174" t="s">
        <v>789</v>
      </c>
      <c r="D4" s="174" t="s">
        <v>790</v>
      </c>
      <c r="E4" s="174" t="s">
        <v>70</v>
      </c>
      <c r="F4" s="174" t="s">
        <v>791</v>
      </c>
      <c r="G4" s="193">
        <f>VLOOKUP(A4,'Counterparty Limit'!$C$6:$J$51,7,FALSE)</f>
        <v>0</v>
      </c>
      <c r="H4" s="175">
        <v>0</v>
      </c>
      <c r="I4" s="192">
        <f t="shared" si="0"/>
        <v>0</v>
      </c>
      <c r="J4" s="431"/>
      <c r="M4" s="577" t="s">
        <v>1593</v>
      </c>
      <c r="P4" s="172">
        <v>-1.79</v>
      </c>
    </row>
    <row r="5" spans="1:16">
      <c r="A5" s="168" t="s">
        <v>711</v>
      </c>
      <c r="B5" s="173" t="s">
        <v>711</v>
      </c>
      <c r="C5" s="174" t="s">
        <v>789</v>
      </c>
      <c r="D5" s="174" t="s">
        <v>790</v>
      </c>
      <c r="E5" s="174" t="s">
        <v>70</v>
      </c>
      <c r="F5" s="174" t="s">
        <v>791</v>
      </c>
      <c r="G5" s="193">
        <f>VLOOKUP(A5,'Counterparty Limit'!$C$6:$J$51,7,FALSE)</f>
        <v>0</v>
      </c>
      <c r="H5" s="175">
        <v>0</v>
      </c>
      <c r="I5" s="192">
        <f t="shared" si="0"/>
        <v>0</v>
      </c>
      <c r="J5" s="188"/>
      <c r="M5" s="577" t="s">
        <v>1594</v>
      </c>
      <c r="P5" s="172">
        <v>-22</v>
      </c>
    </row>
    <row r="6" spans="1:16">
      <c r="A6" s="168" t="s">
        <v>758</v>
      </c>
      <c r="B6" s="176" t="s">
        <v>758</v>
      </c>
      <c r="C6" s="177" t="s">
        <v>792</v>
      </c>
      <c r="D6" s="177" t="s">
        <v>790</v>
      </c>
      <c r="E6" s="177" t="s">
        <v>70</v>
      </c>
      <c r="F6" s="177" t="s">
        <v>793</v>
      </c>
      <c r="G6" s="194">
        <f>VLOOKUP(A6,'Counterparty Limit'!$C$6:$J$51,7,FALSE)</f>
        <v>0</v>
      </c>
      <c r="H6" s="178">
        <v>0</v>
      </c>
      <c r="I6" s="192">
        <f t="shared" si="0"/>
        <v>0</v>
      </c>
      <c r="J6" s="433"/>
      <c r="M6" s="577" t="s">
        <v>1595</v>
      </c>
      <c r="P6" s="172">
        <v>-1.3</v>
      </c>
    </row>
    <row r="7" spans="1:16">
      <c r="A7" s="168" t="s">
        <v>453</v>
      </c>
      <c r="B7" s="173" t="s">
        <v>453</v>
      </c>
      <c r="C7" s="174" t="s">
        <v>794</v>
      </c>
      <c r="D7" s="174" t="s">
        <v>795</v>
      </c>
      <c r="E7" s="174" t="s">
        <v>73</v>
      </c>
      <c r="F7" s="174" t="s">
        <v>791</v>
      </c>
      <c r="G7" s="193">
        <f>VLOOKUP(A7,'Counterparty Limit'!$C$6:$J$51,7,FALSE)</f>
        <v>241.12394392000002</v>
      </c>
      <c r="H7" s="175">
        <v>193.84172534000001</v>
      </c>
      <c r="I7" s="192">
        <f t="shared" si="0"/>
        <v>47.282218580000006</v>
      </c>
      <c r="J7" s="578" t="s">
        <v>1611</v>
      </c>
      <c r="M7" s="577" t="s">
        <v>1584</v>
      </c>
      <c r="P7" s="457">
        <v>-62</v>
      </c>
    </row>
    <row r="8" spans="1:16">
      <c r="A8" s="168" t="s">
        <v>720</v>
      </c>
      <c r="B8" s="173" t="s">
        <v>720</v>
      </c>
      <c r="C8" s="174" t="s">
        <v>794</v>
      </c>
      <c r="D8" s="174" t="s">
        <v>790</v>
      </c>
      <c r="E8" s="174" t="s">
        <v>73</v>
      </c>
      <c r="F8" s="174" t="s">
        <v>791</v>
      </c>
      <c r="G8" s="193">
        <f>VLOOKUP(A8,'Counterparty Limit'!$C$6:$J$51,7,FALSE)</f>
        <v>5.3630199999999996E-3</v>
      </c>
      <c r="H8" s="175">
        <v>5.3630600000000002E-3</v>
      </c>
      <c r="I8" s="192">
        <f t="shared" si="0"/>
        <v>-4.000000000062981E-8</v>
      </c>
      <c r="J8" s="473"/>
      <c r="M8" s="577" t="s">
        <v>1597</v>
      </c>
      <c r="P8" s="172">
        <v>-23</v>
      </c>
    </row>
    <row r="9" spans="1:16">
      <c r="A9" s="168" t="s">
        <v>741</v>
      </c>
      <c r="B9" s="173" t="s">
        <v>741</v>
      </c>
      <c r="C9" s="174" t="s">
        <v>794</v>
      </c>
      <c r="D9" s="174" t="s">
        <v>795</v>
      </c>
      <c r="E9" s="174" t="s">
        <v>73</v>
      </c>
      <c r="F9" s="174" t="s">
        <v>791</v>
      </c>
      <c r="G9" s="193">
        <f>VLOOKUP(A9,'Counterparty Limit'!$C$6:$J$51,7,FALSE)</f>
        <v>5.9681000000000006</v>
      </c>
      <c r="H9" s="175">
        <v>5.9672000000000001</v>
      </c>
      <c r="I9" s="192">
        <f t="shared" si="0"/>
        <v>9.0000000000056701E-4</v>
      </c>
      <c r="J9" s="188"/>
      <c r="M9" s="577" t="s">
        <v>1596</v>
      </c>
      <c r="P9" s="172">
        <v>-1</v>
      </c>
    </row>
    <row r="10" spans="1:16">
      <c r="A10" s="168" t="s">
        <v>722</v>
      </c>
      <c r="B10" s="173" t="s">
        <v>722</v>
      </c>
      <c r="C10" s="174" t="s">
        <v>794</v>
      </c>
      <c r="D10" s="174" t="s">
        <v>795</v>
      </c>
      <c r="E10" s="174" t="s">
        <v>73</v>
      </c>
      <c r="F10" s="174" t="s">
        <v>791</v>
      </c>
      <c r="G10" s="193">
        <f>VLOOKUP(A10,'Counterparty Limit'!$C$6:$J$51,7,FALSE)</f>
        <v>0</v>
      </c>
      <c r="H10" s="175">
        <v>0</v>
      </c>
      <c r="I10" s="192">
        <f t="shared" si="0"/>
        <v>0</v>
      </c>
      <c r="J10" s="188"/>
      <c r="M10" s="577" t="s">
        <v>1598</v>
      </c>
      <c r="P10" s="457">
        <v>-15</v>
      </c>
    </row>
    <row r="11" spans="1:16">
      <c r="A11" s="168" t="s">
        <v>167</v>
      </c>
      <c r="B11" s="173" t="s">
        <v>167</v>
      </c>
      <c r="C11" s="174" t="s">
        <v>794</v>
      </c>
      <c r="D11" s="174" t="s">
        <v>795</v>
      </c>
      <c r="E11" s="174" t="s">
        <v>73</v>
      </c>
      <c r="F11" s="174" t="s">
        <v>791</v>
      </c>
      <c r="G11" s="193">
        <f>VLOOKUP(A11,'Counterparty Limit'!$C$6:$J$51,7,FALSE)-$G$12</f>
        <v>77.625672109999996</v>
      </c>
      <c r="H11" s="175">
        <v>82.546889170000014</v>
      </c>
      <c r="I11" s="192">
        <f t="shared" si="0"/>
        <v>-4.9212170600000178</v>
      </c>
      <c r="J11" s="572"/>
      <c r="M11" s="577" t="s">
        <v>1601</v>
      </c>
      <c r="P11" s="457">
        <v>-6</v>
      </c>
    </row>
    <row r="12" spans="1:16">
      <c r="A12" s="168" t="s">
        <v>167</v>
      </c>
      <c r="B12" s="173" t="s">
        <v>167</v>
      </c>
      <c r="C12" s="174" t="s">
        <v>794</v>
      </c>
      <c r="D12" s="174" t="s">
        <v>790</v>
      </c>
      <c r="E12" s="174" t="s">
        <v>70</v>
      </c>
      <c r="F12" s="174" t="s">
        <v>791</v>
      </c>
      <c r="G12" s="193">
        <f>SUMIFS(Deposit!M:M,Deposit!I:I,"THB",Deposit!R:R,"HSBC")/10^6</f>
        <v>6.9716953400000001</v>
      </c>
      <c r="H12" s="175">
        <v>7.0988732699999995</v>
      </c>
      <c r="I12" s="192">
        <f t="shared" si="0"/>
        <v>-0.12717792999999933</v>
      </c>
      <c r="J12" s="188"/>
      <c r="M12" s="577" t="s">
        <v>1603</v>
      </c>
      <c r="P12" s="457">
        <v>-7</v>
      </c>
    </row>
    <row r="13" spans="1:16">
      <c r="A13" s="168" t="s">
        <v>796</v>
      </c>
      <c r="B13" s="173" t="s">
        <v>796</v>
      </c>
      <c r="C13" s="174" t="s">
        <v>794</v>
      </c>
      <c r="D13" s="174" t="s">
        <v>795</v>
      </c>
      <c r="E13" s="174" t="s">
        <v>73</v>
      </c>
      <c r="F13" s="174" t="s">
        <v>797</v>
      </c>
      <c r="G13" s="193">
        <f>'Cash Balance Report'!B48</f>
        <v>87</v>
      </c>
      <c r="H13" s="175">
        <v>84</v>
      </c>
      <c r="I13" s="192">
        <f t="shared" si="0"/>
        <v>3</v>
      </c>
      <c r="J13" s="538"/>
      <c r="M13" s="577" t="s">
        <v>1605</v>
      </c>
      <c r="P13" s="457">
        <v>-1</v>
      </c>
    </row>
    <row r="14" spans="1:16" ht="16">
      <c r="A14" s="168" t="s">
        <v>744</v>
      </c>
      <c r="B14" s="173" t="s">
        <v>213</v>
      </c>
      <c r="C14" s="174" t="s">
        <v>794</v>
      </c>
      <c r="D14" s="174" t="s">
        <v>795</v>
      </c>
      <c r="E14" s="174" t="s">
        <v>73</v>
      </c>
      <c r="F14" s="174" t="s">
        <v>791</v>
      </c>
      <c r="G14" s="193">
        <f>VLOOKUP(A14,'Counterparty Limit'!$C$6:$J$51,7,FALSE)-G13</f>
        <v>146.97400543000001</v>
      </c>
      <c r="H14" s="175">
        <v>125.11845435999996</v>
      </c>
      <c r="I14" s="192">
        <f t="shared" si="0"/>
        <v>21.855551070000047</v>
      </c>
      <c r="J14" s="576" t="s">
        <v>1606</v>
      </c>
      <c r="M14" s="577" t="s">
        <v>1607</v>
      </c>
      <c r="P14" s="457">
        <v>-4</v>
      </c>
    </row>
    <row r="15" spans="1:16">
      <c r="A15" s="168" t="s">
        <v>579</v>
      </c>
      <c r="B15" s="173" t="s">
        <v>143</v>
      </c>
      <c r="C15" s="174" t="s">
        <v>794</v>
      </c>
      <c r="D15" s="174" t="s">
        <v>790</v>
      </c>
      <c r="E15" s="174" t="s">
        <v>73</v>
      </c>
      <c r="F15" s="174" t="s">
        <v>791</v>
      </c>
      <c r="G15" s="193">
        <f>VLOOKUP(A15,'Counterparty Limit'!$C$6:$J$51,7,FALSE)</f>
        <v>2.04193991</v>
      </c>
      <c r="H15" s="175">
        <v>2.0419441699999998</v>
      </c>
      <c r="I15" s="192">
        <f t="shared" si="0"/>
        <v>-4.2599999998671478E-6</v>
      </c>
      <c r="J15" s="188"/>
      <c r="M15" s="577" t="s">
        <v>1610</v>
      </c>
      <c r="P15" s="167">
        <v>47</v>
      </c>
    </row>
    <row r="16" spans="1:16">
      <c r="A16" s="168" t="s">
        <v>584</v>
      </c>
      <c r="B16" s="173" t="s">
        <v>341</v>
      </c>
      <c r="C16" s="174" t="s">
        <v>794</v>
      </c>
      <c r="D16" s="174" t="s">
        <v>795</v>
      </c>
      <c r="E16" s="174" t="s">
        <v>73</v>
      </c>
      <c r="F16" s="174" t="s">
        <v>791</v>
      </c>
      <c r="G16" s="193">
        <f>VLOOKUP(A16,'Counterparty Limit'!$C$6:$J$51,7,FALSE)-'Counterparty Limit'!H48</f>
        <v>22.191841549999999</v>
      </c>
      <c r="H16" s="175">
        <v>22.285522610000001</v>
      </c>
      <c r="I16" s="192">
        <f t="shared" si="0"/>
        <v>-9.3681060000001537E-2</v>
      </c>
      <c r="J16" s="510"/>
      <c r="P16" s="343">
        <f>SUM(P2:P15)</f>
        <v>162.60999999999996</v>
      </c>
    </row>
    <row r="17" spans="1:16">
      <c r="A17" s="168" t="s">
        <v>754</v>
      </c>
      <c r="B17" s="173" t="s">
        <v>184</v>
      </c>
      <c r="C17" s="174" t="s">
        <v>794</v>
      </c>
      <c r="D17" s="174" t="s">
        <v>790</v>
      </c>
      <c r="E17" s="174" t="s">
        <v>70</v>
      </c>
      <c r="F17" s="174" t="s">
        <v>791</v>
      </c>
      <c r="G17" s="193">
        <f>VLOOKUP(A17,'Counterparty Limit'!$C$6:$J$51,7,FALSE)</f>
        <v>2.9841769900000004</v>
      </c>
      <c r="H17" s="175">
        <v>3.0394723799999999</v>
      </c>
      <c r="I17" s="192">
        <f t="shared" si="0"/>
        <v>-5.52953899999995E-2</v>
      </c>
      <c r="J17" s="188"/>
      <c r="P17" s="172"/>
    </row>
    <row r="18" spans="1:16" ht="32">
      <c r="A18" s="168" t="s">
        <v>752</v>
      </c>
      <c r="B18" s="173" t="s">
        <v>752</v>
      </c>
      <c r="C18" s="174" t="s">
        <v>794</v>
      </c>
      <c r="D18" s="174" t="s">
        <v>790</v>
      </c>
      <c r="E18" s="174" t="s">
        <v>70</v>
      </c>
      <c r="F18" s="174" t="s">
        <v>791</v>
      </c>
      <c r="G18" s="193">
        <f>SUMIFS(Deposit!M:M,Deposit!I:I,"THB",Deposit!R:R,"BAML")/10^6+(ARV!F4/10^6)</f>
        <v>208.61777589999994</v>
      </c>
      <c r="H18" s="175">
        <v>194.20985048000003</v>
      </c>
      <c r="I18" s="192">
        <f t="shared" si="0"/>
        <v>14.407925419999913</v>
      </c>
      <c r="J18" s="576" t="s">
        <v>1604</v>
      </c>
      <c r="K18" s="172"/>
      <c r="M18" s="161" t="s">
        <v>980</v>
      </c>
      <c r="N18" s="161"/>
      <c r="O18" s="161"/>
      <c r="P18" s="358"/>
    </row>
    <row r="19" spans="1:16" ht="71.75" customHeight="1">
      <c r="A19" s="168" t="s">
        <v>752</v>
      </c>
      <c r="B19" s="173" t="s">
        <v>752</v>
      </c>
      <c r="C19" s="174" t="s">
        <v>794</v>
      </c>
      <c r="D19" s="174" t="s">
        <v>790</v>
      </c>
      <c r="E19" s="174" t="s">
        <v>73</v>
      </c>
      <c r="F19" s="174" t="s">
        <v>791</v>
      </c>
      <c r="G19" s="193">
        <f>VLOOKUP(A19,'Counterparty Limit'!$C$6:$J$51,7,FALSE)-G$18</f>
        <v>407.10461817999999</v>
      </c>
      <c r="H19" s="175">
        <v>404.54599605999999</v>
      </c>
      <c r="I19" s="192">
        <f t="shared" si="0"/>
        <v>2.5586221199999954</v>
      </c>
      <c r="J19" s="576" t="s">
        <v>1602</v>
      </c>
    </row>
    <row r="20" spans="1:16">
      <c r="A20" s="168" t="s">
        <v>774</v>
      </c>
      <c r="B20" s="525" t="s">
        <v>774</v>
      </c>
      <c r="C20" s="526" t="s">
        <v>794</v>
      </c>
      <c r="D20" s="174" t="s">
        <v>790</v>
      </c>
      <c r="E20" s="526" t="s">
        <v>70</v>
      </c>
      <c r="F20" s="526" t="s">
        <v>791</v>
      </c>
      <c r="G20" s="193">
        <f>VLOOKUP(A20,'Counterparty Limit'!$C$6:$J$51,7,FALSE)</f>
        <v>1.3725657380062244</v>
      </c>
      <c r="H20" s="175">
        <v>2.7201175844541177</v>
      </c>
      <c r="I20" s="192">
        <f t="shared" si="0"/>
        <v>-1.3475518464478933</v>
      </c>
      <c r="J20" s="537"/>
    </row>
    <row r="21" spans="1:16" ht="14" customHeight="1">
      <c r="A21" s="168" t="s">
        <v>424</v>
      </c>
      <c r="B21" s="173" t="s">
        <v>424</v>
      </c>
      <c r="C21" s="174" t="s">
        <v>794</v>
      </c>
      <c r="D21" s="174" t="s">
        <v>795</v>
      </c>
      <c r="E21" s="174" t="s">
        <v>73</v>
      </c>
      <c r="F21" s="174" t="s">
        <v>791</v>
      </c>
      <c r="G21" s="193">
        <f>VLOOKUP(A21,'Counterparty Limit'!$C$6:$J$51,7,FALSE)</f>
        <v>2.0884085400000001</v>
      </c>
      <c r="H21" s="175">
        <v>2.0912120500000002</v>
      </c>
      <c r="I21" s="192">
        <f t="shared" si="0"/>
        <v>-2.8035100000001201E-3</v>
      </c>
      <c r="J21" s="189"/>
    </row>
    <row r="22" spans="1:16">
      <c r="A22" s="168" t="s">
        <v>615</v>
      </c>
      <c r="B22" s="173" t="s">
        <v>733</v>
      </c>
      <c r="C22" s="174" t="s">
        <v>789</v>
      </c>
      <c r="D22" s="174" t="s">
        <v>795</v>
      </c>
      <c r="E22" s="174" t="s">
        <v>73</v>
      </c>
      <c r="F22" s="174" t="s">
        <v>791</v>
      </c>
      <c r="G22" s="193">
        <f>VLOOKUP(A22,'Counterparty Limit'!$C$6:$J$51,7,FALSE)</f>
        <v>9.3639330000000007E-2</v>
      </c>
      <c r="H22" s="175">
        <v>9.3638369999999999E-2</v>
      </c>
      <c r="I22" s="192">
        <f t="shared" si="0"/>
        <v>9.6000000000817654E-7</v>
      </c>
      <c r="J22" s="484"/>
    </row>
    <row r="23" spans="1:16">
      <c r="A23" s="168" t="s">
        <v>614</v>
      </c>
      <c r="B23" s="173" t="s">
        <v>734</v>
      </c>
      <c r="C23" s="174" t="s">
        <v>789</v>
      </c>
      <c r="D23" s="174" t="s">
        <v>795</v>
      </c>
      <c r="E23" s="174" t="s">
        <v>73</v>
      </c>
      <c r="F23" s="174" t="s">
        <v>791</v>
      </c>
      <c r="G23" s="196">
        <f>VLOOKUP(A23,'Counterparty Limit'!$C$6:$J$51,7,FALSE)</f>
        <v>8.5649009999999998E-2</v>
      </c>
      <c r="H23" s="288">
        <v>8.5649009999999998E-2</v>
      </c>
      <c r="I23" s="192">
        <f t="shared" si="0"/>
        <v>0</v>
      </c>
      <c r="J23" s="188"/>
    </row>
    <row r="24" spans="1:16">
      <c r="A24" s="168" t="s">
        <v>735</v>
      </c>
      <c r="B24" s="173" t="s">
        <v>735</v>
      </c>
      <c r="C24" s="174" t="s">
        <v>798</v>
      </c>
      <c r="D24" s="174" t="s">
        <v>795</v>
      </c>
      <c r="E24" s="174" t="s">
        <v>73</v>
      </c>
      <c r="F24" s="174" t="s">
        <v>791</v>
      </c>
      <c r="G24" s="193">
        <f>VLOOKUP(A24,'Counterparty Limit'!$C$6:$J$51,7,FALSE)</f>
        <v>201.42679409000002</v>
      </c>
      <c r="H24" s="175">
        <v>201.42679409000002</v>
      </c>
      <c r="I24" s="192">
        <f t="shared" si="0"/>
        <v>0</v>
      </c>
      <c r="J24" s="437"/>
      <c r="M24" s="361" t="s">
        <v>70</v>
      </c>
    </row>
    <row r="25" spans="1:16">
      <c r="A25" s="168" t="s">
        <v>745</v>
      </c>
      <c r="B25" s="173" t="s">
        <v>458</v>
      </c>
      <c r="C25" s="174" t="s">
        <v>798</v>
      </c>
      <c r="D25" s="174" t="s">
        <v>790</v>
      </c>
      <c r="E25" s="174" t="s">
        <v>73</v>
      </c>
      <c r="F25" s="174" t="s">
        <v>791</v>
      </c>
      <c r="G25" s="193">
        <f>VLOOKUP(A25,'Counterparty Limit'!$C$6:$J$51,7,FALSE)-G26</f>
        <v>115.28947122000001</v>
      </c>
      <c r="H25" s="175">
        <v>115.29055071000001</v>
      </c>
      <c r="I25" s="192">
        <f t="shared" si="0"/>
        <v>-1.0794899999950758E-3</v>
      </c>
      <c r="J25" s="441"/>
      <c r="L25" s="361" t="s">
        <v>982</v>
      </c>
      <c r="M25" s="172">
        <f>'Working Cap'!C40</f>
        <v>0.1</v>
      </c>
    </row>
    <row r="26" spans="1:16">
      <c r="A26" s="168" t="s">
        <v>745</v>
      </c>
      <c r="B26" s="359" t="s">
        <v>458</v>
      </c>
      <c r="C26" s="174" t="s">
        <v>798</v>
      </c>
      <c r="D26" s="360" t="s">
        <v>790</v>
      </c>
      <c r="E26" s="360" t="s">
        <v>70</v>
      </c>
      <c r="F26" s="360" t="s">
        <v>791</v>
      </c>
      <c r="G26" s="193">
        <f>M25</f>
        <v>0.1</v>
      </c>
      <c r="H26" s="175">
        <v>0.1</v>
      </c>
      <c r="I26" s="192">
        <f t="shared" si="0"/>
        <v>0</v>
      </c>
      <c r="J26" s="486"/>
    </row>
    <row r="27" spans="1:16">
      <c r="A27" s="168" t="s">
        <v>756</v>
      </c>
      <c r="B27" s="173" t="s">
        <v>799</v>
      </c>
      <c r="C27" s="174" t="s">
        <v>789</v>
      </c>
      <c r="D27" s="174" t="s">
        <v>795</v>
      </c>
      <c r="E27" s="174" t="s">
        <v>73</v>
      </c>
      <c r="F27" s="174" t="s">
        <v>800</v>
      </c>
      <c r="G27" s="193">
        <f>VLOOKUP(A27,'Counterparty Limit'!$C$6:$J$51,7,FALSE)</f>
        <v>0</v>
      </c>
      <c r="H27" s="175">
        <v>0</v>
      </c>
      <c r="I27" s="192">
        <f t="shared" si="0"/>
        <v>0</v>
      </c>
      <c r="J27" s="188"/>
    </row>
    <row r="28" spans="1:16">
      <c r="A28" s="168" t="s">
        <v>713</v>
      </c>
      <c r="B28" s="173" t="s">
        <v>712</v>
      </c>
      <c r="C28" s="174" t="s">
        <v>801</v>
      </c>
      <c r="D28" s="174" t="s">
        <v>795</v>
      </c>
      <c r="E28" s="174" t="s">
        <v>73</v>
      </c>
      <c r="F28" s="174" t="s">
        <v>578</v>
      </c>
      <c r="G28" s="193">
        <f>VLOOKUP(A28,'Counterparty Limit'!$C$6:$J$51,7,FALSE)</f>
        <v>0</v>
      </c>
      <c r="H28" s="175">
        <v>0</v>
      </c>
      <c r="I28" s="192">
        <f t="shared" si="0"/>
        <v>0</v>
      </c>
      <c r="J28" s="188"/>
    </row>
    <row r="29" spans="1:16">
      <c r="A29" s="168" t="s">
        <v>715</v>
      </c>
      <c r="B29" s="173" t="s">
        <v>775</v>
      </c>
      <c r="C29" s="174" t="s">
        <v>801</v>
      </c>
      <c r="D29" s="174" t="s">
        <v>790</v>
      </c>
      <c r="E29" s="174" t="s">
        <v>73</v>
      </c>
      <c r="F29" s="174" t="s">
        <v>578</v>
      </c>
      <c r="G29" s="193">
        <f>VLOOKUP(A29,'Counterparty Limit'!$C$6:$J$51,7,FALSE)</f>
        <v>0</v>
      </c>
      <c r="H29" s="175">
        <v>0</v>
      </c>
      <c r="I29" s="192">
        <f t="shared" si="0"/>
        <v>0</v>
      </c>
      <c r="J29" s="188"/>
    </row>
    <row r="30" spans="1:16">
      <c r="A30" s="168" t="s">
        <v>582</v>
      </c>
      <c r="B30" s="173" t="s">
        <v>169</v>
      </c>
      <c r="C30" s="174" t="s">
        <v>801</v>
      </c>
      <c r="D30" s="174" t="s">
        <v>790</v>
      </c>
      <c r="E30" s="174" t="s">
        <v>73</v>
      </c>
      <c r="F30" s="174" t="s">
        <v>578</v>
      </c>
      <c r="G30" s="193">
        <f>VLOOKUP(A30,'Counterparty Limit'!$C$6:$J$51,7,FALSE)</f>
        <v>135.61497045000002</v>
      </c>
      <c r="H30" s="175">
        <v>135.63723793</v>
      </c>
      <c r="I30" s="192">
        <f t="shared" si="0"/>
        <v>-2.2267479999982243E-2</v>
      </c>
      <c r="J30" s="572"/>
    </row>
    <row r="31" spans="1:16">
      <c r="A31" s="168" t="s">
        <v>341</v>
      </c>
      <c r="B31" s="359" t="s">
        <v>341</v>
      </c>
      <c r="C31" s="360" t="s">
        <v>801</v>
      </c>
      <c r="D31" s="360" t="s">
        <v>795</v>
      </c>
      <c r="E31" s="360" t="s">
        <v>73</v>
      </c>
      <c r="F31" s="174" t="s">
        <v>578</v>
      </c>
      <c r="G31" s="193">
        <f>'Counterparty Limit'!H48</f>
        <v>4.2493037000000005</v>
      </c>
      <c r="H31" s="175">
        <v>4.2901986799999996</v>
      </c>
      <c r="I31" s="192">
        <f t="shared" si="0"/>
        <v>-4.0894979999999137E-2</v>
      </c>
      <c r="J31" s="188"/>
      <c r="M31" s="443"/>
      <c r="N31" s="444"/>
    </row>
    <row r="32" spans="1:16">
      <c r="A32" s="168" t="s">
        <v>727</v>
      </c>
      <c r="B32" s="487" t="s">
        <v>727</v>
      </c>
      <c r="C32" s="360" t="s">
        <v>801</v>
      </c>
      <c r="D32" s="360" t="s">
        <v>790</v>
      </c>
      <c r="E32" s="485" t="s">
        <v>73</v>
      </c>
      <c r="F32" s="174" t="s">
        <v>578</v>
      </c>
      <c r="G32" s="193">
        <f>VLOOKUP(A32,'Counterparty Limit'!$C$6:$J$51,7,FALSE)</f>
        <v>35</v>
      </c>
      <c r="H32" s="175">
        <v>35</v>
      </c>
      <c r="I32" s="192">
        <f t="shared" si="0"/>
        <v>0</v>
      </c>
      <c r="J32" s="572"/>
      <c r="M32" s="443"/>
      <c r="N32" s="444"/>
    </row>
    <row r="33" spans="1:14">
      <c r="A33" s="168" t="s">
        <v>802</v>
      </c>
      <c r="B33" s="374" t="s">
        <v>173</v>
      </c>
      <c r="C33" s="174" t="s">
        <v>794</v>
      </c>
      <c r="D33" s="174" t="s">
        <v>790</v>
      </c>
      <c r="E33" s="248" t="s">
        <v>70</v>
      </c>
      <c r="F33" s="174" t="s">
        <v>791</v>
      </c>
      <c r="G33" s="534">
        <f>SUMIFS(Deposit!M:M,Deposit!I:I,"THB",Deposit!R:R,"KTB")/10^6+(ARV!F6/10^6)</f>
        <v>6.6549756794108887</v>
      </c>
      <c r="H33" s="175">
        <v>7.2956343994108872</v>
      </c>
      <c r="I33" s="192">
        <f t="shared" si="0"/>
        <v>-0.64065871999999846</v>
      </c>
      <c r="J33" s="578" t="s">
        <v>1600</v>
      </c>
      <c r="M33" s="443"/>
      <c r="N33" s="444"/>
    </row>
    <row r="34" spans="1:14">
      <c r="A34" s="168" t="s">
        <v>173</v>
      </c>
      <c r="B34" s="247" t="s">
        <v>173</v>
      </c>
      <c r="C34" s="248" t="s">
        <v>794</v>
      </c>
      <c r="D34" s="174" t="s">
        <v>790</v>
      </c>
      <c r="E34" s="248" t="s">
        <v>73</v>
      </c>
      <c r="F34" s="174" t="s">
        <v>791</v>
      </c>
      <c r="G34" s="534">
        <f>'Counterparty Limit'!G21-G33</f>
        <v>1.808587150000001</v>
      </c>
      <c r="H34" s="175">
        <v>2.8585871499999991</v>
      </c>
      <c r="I34" s="192">
        <f t="shared" si="0"/>
        <v>-1.049999999999998</v>
      </c>
      <c r="J34" s="578"/>
      <c r="M34" s="443"/>
      <c r="N34" s="482"/>
    </row>
    <row r="35" spans="1:14">
      <c r="A35" s="168" t="s">
        <v>585</v>
      </c>
      <c r="B35" s="173" t="s">
        <v>173</v>
      </c>
      <c r="C35" s="174" t="s">
        <v>801</v>
      </c>
      <c r="D35" s="174" t="s">
        <v>790</v>
      </c>
      <c r="E35" s="174" t="s">
        <v>73</v>
      </c>
      <c r="F35" s="174" t="s">
        <v>578</v>
      </c>
      <c r="G35" s="534">
        <f>'Counterparty Limit'!H21</f>
        <v>209.41889075999998</v>
      </c>
      <c r="H35" s="175">
        <v>209.41889075999998</v>
      </c>
      <c r="I35" s="192">
        <f t="shared" si="0"/>
        <v>0</v>
      </c>
      <c r="J35" s="572"/>
      <c r="M35" s="443"/>
      <c r="N35" s="443"/>
    </row>
    <row r="36" spans="1:14">
      <c r="A36" s="168" t="s">
        <v>743</v>
      </c>
      <c r="B36" s="173" t="s">
        <v>742</v>
      </c>
      <c r="C36" s="174" t="s">
        <v>801</v>
      </c>
      <c r="D36" s="174" t="s">
        <v>790</v>
      </c>
      <c r="E36" s="174" t="s">
        <v>73</v>
      </c>
      <c r="F36" s="174" t="s">
        <v>578</v>
      </c>
      <c r="G36" s="193">
        <f>VLOOKUP(A36,'Counterparty Limit'!$C$6:$J$51,7,FALSE)</f>
        <v>0</v>
      </c>
      <c r="H36" s="175">
        <v>0</v>
      </c>
      <c r="I36" s="192">
        <f t="shared" si="0"/>
        <v>0</v>
      </c>
      <c r="J36" s="188"/>
      <c r="M36" s="443"/>
      <c r="N36" s="443"/>
    </row>
    <row r="37" spans="1:14">
      <c r="A37" s="168" t="s">
        <v>723</v>
      </c>
      <c r="B37" s="173" t="s">
        <v>723</v>
      </c>
      <c r="C37" s="174" t="s">
        <v>801</v>
      </c>
      <c r="D37" s="174" t="s">
        <v>795</v>
      </c>
      <c r="E37" s="174" t="s">
        <v>73</v>
      </c>
      <c r="F37" s="174" t="s">
        <v>578</v>
      </c>
      <c r="G37" s="175">
        <f>VLOOKUP(A37,'Counterparty Limit'!$C$6:$J$51,7,FALSE)</f>
        <v>170</v>
      </c>
      <c r="H37" s="175">
        <v>170</v>
      </c>
      <c r="I37" s="192">
        <f t="shared" si="0"/>
        <v>0</v>
      </c>
      <c r="J37" s="572"/>
      <c r="M37" s="443"/>
      <c r="N37" s="443"/>
    </row>
    <row r="38" spans="1:14">
      <c r="A38" s="168" t="s">
        <v>1230</v>
      </c>
      <c r="B38" s="173" t="s">
        <v>731</v>
      </c>
      <c r="C38" s="174" t="s">
        <v>801</v>
      </c>
      <c r="D38" s="174" t="s">
        <v>795</v>
      </c>
      <c r="E38" s="174" t="s">
        <v>73</v>
      </c>
      <c r="F38" s="174" t="s">
        <v>578</v>
      </c>
      <c r="G38" s="175">
        <f>VLOOKUP(A38,'Counterparty Limit'!$C$6:$J$51,7,FALSE)</f>
        <v>240.11453324999999</v>
      </c>
      <c r="H38" s="175">
        <v>240.11453324999999</v>
      </c>
      <c r="I38" s="192">
        <f t="shared" si="0"/>
        <v>0</v>
      </c>
      <c r="J38" s="538"/>
      <c r="M38" s="443"/>
      <c r="N38" s="443"/>
    </row>
    <row r="39" spans="1:14">
      <c r="A39" s="168" t="s">
        <v>728</v>
      </c>
      <c r="B39" s="173" t="s">
        <v>728</v>
      </c>
      <c r="C39" s="174" t="s">
        <v>803</v>
      </c>
      <c r="D39" s="174" t="s">
        <v>795</v>
      </c>
      <c r="E39" s="174" t="s">
        <v>73</v>
      </c>
      <c r="F39" s="174" t="s">
        <v>804</v>
      </c>
      <c r="G39" s="175">
        <f>VLOOKUP(A39,'Counterparty Limit'!$C$6:$J$51,7,FALSE)</f>
        <v>0</v>
      </c>
      <c r="H39" s="175">
        <v>0</v>
      </c>
      <c r="I39" s="192">
        <f t="shared" si="0"/>
        <v>0</v>
      </c>
      <c r="J39" s="188"/>
      <c r="M39" s="443"/>
      <c r="N39" s="443"/>
    </row>
    <row r="40" spans="1:14">
      <c r="A40" s="168" t="s">
        <v>753</v>
      </c>
      <c r="B40" s="173" t="s">
        <v>753</v>
      </c>
      <c r="C40" s="174" t="s">
        <v>803</v>
      </c>
      <c r="D40" s="174" t="s">
        <v>795</v>
      </c>
      <c r="E40" s="174" t="s">
        <v>73</v>
      </c>
      <c r="F40" s="174" t="s">
        <v>804</v>
      </c>
      <c r="G40" s="175">
        <f>VLOOKUP(A40,'Counterparty Limit'!$C$6:$J$51,7,FALSE)</f>
        <v>0</v>
      </c>
      <c r="H40" s="175">
        <v>0</v>
      </c>
      <c r="I40" s="192">
        <f t="shared" si="0"/>
        <v>0</v>
      </c>
      <c r="M40" s="443"/>
      <c r="N40" s="443"/>
    </row>
    <row r="41" spans="1:14">
      <c r="A41" s="173" t="s">
        <v>761</v>
      </c>
      <c r="B41" s="173" t="s">
        <v>761</v>
      </c>
      <c r="C41" s="494" t="s">
        <v>798</v>
      </c>
      <c r="D41" s="174" t="s">
        <v>795</v>
      </c>
      <c r="E41" s="174" t="s">
        <v>73</v>
      </c>
      <c r="F41" s="494" t="s">
        <v>791</v>
      </c>
      <c r="G41" s="175">
        <f>VLOOKUP(A41,'Counterparty Limit'!$C$6:$J$51,7,FALSE)-G42</f>
        <v>174.34993327000001</v>
      </c>
      <c r="H41" s="175">
        <v>104.33232609000001</v>
      </c>
      <c r="I41" s="192">
        <f t="shared" si="0"/>
        <v>70.017607179999999</v>
      </c>
      <c r="J41" s="577" t="s">
        <v>1585</v>
      </c>
      <c r="M41" s="443"/>
      <c r="N41" s="443"/>
    </row>
    <row r="42" spans="1:14">
      <c r="A42" s="543" t="s">
        <v>761</v>
      </c>
      <c r="B42" s="173" t="s">
        <v>761</v>
      </c>
      <c r="C42" s="494" t="s">
        <v>801</v>
      </c>
      <c r="D42" s="174" t="s">
        <v>795</v>
      </c>
      <c r="E42" s="174" t="s">
        <v>73</v>
      </c>
      <c r="F42" s="544" t="s">
        <v>578</v>
      </c>
      <c r="G42" s="175">
        <f>'Counterparty Limit'!H51</f>
        <v>100</v>
      </c>
      <c r="H42" s="175">
        <v>100</v>
      </c>
      <c r="I42" s="192">
        <f>G42-H42</f>
        <v>0</v>
      </c>
      <c r="J42" s="540"/>
      <c r="M42" s="443"/>
      <c r="N42" s="443"/>
    </row>
    <row r="43" spans="1:14">
      <c r="A43" s="168" t="s">
        <v>740</v>
      </c>
      <c r="B43" s="173" t="s">
        <v>740</v>
      </c>
      <c r="C43" s="174" t="s">
        <v>792</v>
      </c>
      <c r="D43" s="174" t="s">
        <v>795</v>
      </c>
      <c r="E43" s="174" t="s">
        <v>73</v>
      </c>
      <c r="F43" s="174" t="s">
        <v>578</v>
      </c>
      <c r="G43" s="175">
        <f>VLOOKUP(A43,'Counterparty Limit'!$C$6:$J$51,7,FALSE)</f>
        <v>0</v>
      </c>
      <c r="H43" s="175">
        <v>0</v>
      </c>
      <c r="I43" s="192">
        <f t="shared" si="0"/>
        <v>0</v>
      </c>
    </row>
    <row r="44" spans="1:14" ht="32">
      <c r="A44" s="190" t="s">
        <v>805</v>
      </c>
      <c r="B44" s="180" t="s">
        <v>805</v>
      </c>
      <c r="C44" s="174" t="s">
        <v>794</v>
      </c>
      <c r="D44" s="174" t="s">
        <v>790</v>
      </c>
      <c r="E44" s="174" t="s">
        <v>70</v>
      </c>
      <c r="F44" s="174" t="s">
        <v>791</v>
      </c>
      <c r="G44" s="175">
        <f>(SUM('JV &amp; SUB'!D8:D16)/10^6)</f>
        <v>54.860819880000001</v>
      </c>
      <c r="H44" s="175">
        <v>54.860819880000001</v>
      </c>
      <c r="I44" s="192">
        <f t="shared" si="0"/>
        <v>0</v>
      </c>
    </row>
    <row r="45" spans="1:14" ht="32">
      <c r="A45" s="168" t="s">
        <v>760</v>
      </c>
      <c r="B45" s="181" t="s">
        <v>805</v>
      </c>
      <c r="C45" s="177" t="s">
        <v>794</v>
      </c>
      <c r="D45" s="177" t="s">
        <v>795</v>
      </c>
      <c r="E45" s="177" t="s">
        <v>73</v>
      </c>
      <c r="F45" s="177" t="s">
        <v>791</v>
      </c>
      <c r="G45" s="175">
        <f>VLOOKUP(A45,'Counterparty Limit'!$C$6:$J$51,7,FALSE)-G44</f>
        <v>92.288398510000007</v>
      </c>
      <c r="H45" s="175">
        <v>92.247645540000008</v>
      </c>
      <c r="I45" s="192">
        <f t="shared" si="0"/>
        <v>4.0752969999999777E-2</v>
      </c>
      <c r="J45" s="179"/>
    </row>
    <row r="46" spans="1:14" ht="16" thickBot="1">
      <c r="B46" s="182" t="s">
        <v>71</v>
      </c>
      <c r="C46" s="183"/>
      <c r="D46" s="183"/>
      <c r="E46" s="183"/>
      <c r="F46" s="184"/>
      <c r="G46" s="185">
        <f>SUM(G2:G45)</f>
        <v>2753.426072927417</v>
      </c>
      <c r="H46" s="233">
        <f>SUM(H2:H45)</f>
        <v>2602.5651263938648</v>
      </c>
      <c r="I46" s="192">
        <f>G46-H46</f>
        <v>150.86094653355212</v>
      </c>
    </row>
    <row r="47" spans="1:14" ht="16" thickTop="1">
      <c r="E47" s="174" t="s">
        <v>806</v>
      </c>
      <c r="G47" s="172">
        <f>'Counterparty Limit'!I54</f>
        <v>2753.4260794874172</v>
      </c>
      <c r="I47" s="192"/>
    </row>
    <row r="48" spans="1:14">
      <c r="E48" s="187" t="s">
        <v>701</v>
      </c>
      <c r="F48" s="187"/>
      <c r="G48" s="246">
        <f>G46-G47</f>
        <v>-6.5600002017163206E-6</v>
      </c>
      <c r="I48" s="192"/>
    </row>
    <row r="49" spans="2:7">
      <c r="B49" s="251"/>
    </row>
    <row r="50" spans="2:7" hidden="1">
      <c r="C50" s="167"/>
      <c r="D50" s="167"/>
      <c r="G50" s="244">
        <f>SUMIFS(G2:G45,E2:E45,"USD")</f>
        <v>2471.8640634000003</v>
      </c>
    </row>
    <row r="51" spans="2:7" hidden="1">
      <c r="C51" s="167"/>
      <c r="D51" s="167"/>
      <c r="E51" s="245" t="s">
        <v>830</v>
      </c>
      <c r="F51" s="167"/>
      <c r="G51" s="244">
        <f>'Cash Balance Report'!D5</f>
        <v>2453.1773520699999</v>
      </c>
    </row>
    <row r="52" spans="2:7" hidden="1">
      <c r="C52" s="167"/>
      <c r="D52" s="167"/>
      <c r="E52" s="167"/>
      <c r="F52" s="167"/>
      <c r="G52" s="246">
        <f>G50-G51</f>
        <v>18.686711330000435</v>
      </c>
    </row>
    <row r="53" spans="2:7" hidden="1">
      <c r="C53" s="167"/>
      <c r="D53" s="167"/>
      <c r="E53" s="167"/>
      <c r="F53" s="167"/>
    </row>
    <row r="54" spans="2:7" hidden="1">
      <c r="C54" s="167"/>
      <c r="D54" s="167"/>
      <c r="E54" s="167"/>
      <c r="F54" s="167"/>
      <c r="G54" s="244">
        <f>SUMIFS(G2:G45,E2:E45,"THB")</f>
        <v>281.56200952741705</v>
      </c>
    </row>
    <row r="55" spans="2:7" hidden="1">
      <c r="C55" s="167"/>
      <c r="D55" s="167"/>
      <c r="E55" s="249" t="s">
        <v>831</v>
      </c>
      <c r="F55" s="167"/>
      <c r="G55" s="250">
        <f>'Cash Balance Report'!D4</f>
        <v>282.63458539741708</v>
      </c>
    </row>
    <row r="56" spans="2:7" hidden="1">
      <c r="C56" s="167"/>
      <c r="D56" s="167"/>
      <c r="E56" s="167"/>
      <c r="F56" s="167"/>
      <c r="G56" s="219">
        <f>G54-G55</f>
        <v>-1.072575870000037</v>
      </c>
    </row>
    <row r="57" spans="2:7">
      <c r="C57" s="167"/>
      <c r="D57" s="167"/>
      <c r="E57" s="167"/>
      <c r="F57" s="167"/>
    </row>
    <row r="58" spans="2:7">
      <c r="C58" s="167"/>
      <c r="D58" s="167"/>
      <c r="E58" s="167"/>
      <c r="F58" s="167"/>
    </row>
    <row r="59" spans="2:7">
      <c r="C59" s="167"/>
      <c r="D59" s="167"/>
      <c r="E59" s="167"/>
      <c r="F59" s="167"/>
    </row>
    <row r="60" spans="2:7">
      <c r="C60" s="167"/>
      <c r="D60" s="167"/>
      <c r="E60" s="167"/>
      <c r="F60" s="167"/>
    </row>
    <row r="61" spans="2:7">
      <c r="C61" s="167"/>
      <c r="D61" s="167"/>
      <c r="E61" s="167"/>
      <c r="F61" s="167"/>
    </row>
    <row r="62" spans="2:7">
      <c r="C62" s="167"/>
      <c r="D62" s="167"/>
      <c r="E62" s="167"/>
      <c r="F62" s="167"/>
    </row>
    <row r="63" spans="2:7">
      <c r="C63" s="167"/>
      <c r="D63" s="167"/>
      <c r="E63" s="167"/>
      <c r="F63" s="167"/>
    </row>
    <row r="64" spans="2:7">
      <c r="C64" s="167"/>
      <c r="D64" s="167"/>
      <c r="E64" s="167"/>
      <c r="F64" s="167"/>
      <c r="G64" s="219"/>
    </row>
    <row r="65" spans="3:6">
      <c r="C65" s="167"/>
      <c r="D65" s="167"/>
      <c r="E65" s="167"/>
      <c r="F65" s="167"/>
    </row>
  </sheetData>
  <pageMargins left="0.7" right="0.7" top="0.75" bottom="0.75" header="0.3" footer="0.3"/>
  <pageSetup paperSize="9" scale="32"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L55"/>
  <sheetViews>
    <sheetView zoomScale="80" zoomScaleNormal="80" zoomScaleSheetLayoutView="100" workbookViewId="0">
      <selection activeCell="H23" sqref="H23"/>
    </sheetView>
  </sheetViews>
  <sheetFormatPr baseColWidth="10" defaultColWidth="8.83203125" defaultRowHeight="15"/>
  <cols>
    <col min="1" max="1" width="27.33203125" customWidth="1"/>
    <col min="2" max="2" width="20" customWidth="1"/>
    <col min="3" max="3" width="20.6640625" customWidth="1"/>
    <col min="4" max="4" width="19.6640625" customWidth="1"/>
    <col min="5" max="5" width="7.1640625" customWidth="1"/>
    <col min="6" max="6" width="16" customWidth="1"/>
    <col min="7" max="7" width="17.83203125" customWidth="1"/>
    <col min="8" max="8" width="14.33203125" customWidth="1"/>
    <col min="11" max="11" width="15.83203125" style="333" bestFit="1" customWidth="1"/>
  </cols>
  <sheetData>
    <row r="1" spans="1:12">
      <c r="A1" s="9" t="s">
        <v>69</v>
      </c>
      <c r="B1" s="8"/>
      <c r="C1" s="8"/>
      <c r="D1" s="8"/>
      <c r="E1" s="8"/>
      <c r="F1" s="8"/>
      <c r="G1" s="8"/>
    </row>
    <row r="2" spans="1:12">
      <c r="E2" s="26"/>
    </row>
    <row r="3" spans="1:12">
      <c r="A3" s="25" t="s">
        <v>7</v>
      </c>
      <c r="B3" s="25" t="s">
        <v>106</v>
      </c>
      <c r="C3" s="25" t="s">
        <v>107</v>
      </c>
      <c r="D3" s="25" t="s">
        <v>108</v>
      </c>
      <c r="E3" s="27"/>
      <c r="F3" s="97" t="s">
        <v>652</v>
      </c>
      <c r="G3" s="27"/>
      <c r="H3" s="40" t="s">
        <v>121</v>
      </c>
      <c r="I3" s="41"/>
      <c r="K3" s="334" t="s">
        <v>620</v>
      </c>
    </row>
    <row r="4" spans="1:12">
      <c r="A4" s="29" t="s">
        <v>70</v>
      </c>
      <c r="B4" s="30">
        <f>_xlfn.XLOOKUP(A4,'Cash Balance SAP'!$G$8:$G$10,'Cash Balance SAP'!$H$8:$H$10)+_xlfn.XLOOKUP(A4,'JV &amp; SUB'!$A$3:$A$4,'JV &amp; SUB'!$C$3:$C$4)</f>
        <v>282.4382632874171</v>
      </c>
      <c r="C4" s="30">
        <f>'Cash Balance SAP'!I8</f>
        <v>0.19632210999999999</v>
      </c>
      <c r="D4" s="30">
        <f>SUM(B4:C4)</f>
        <v>282.63458539741708</v>
      </c>
      <c r="E4" s="28"/>
      <c r="F4" t="s">
        <v>653</v>
      </c>
      <c r="G4" s="34"/>
      <c r="H4" s="33" t="s">
        <v>114</v>
      </c>
      <c r="I4" s="39">
        <f>D10</f>
        <v>1449.3114352799998</v>
      </c>
    </row>
    <row r="5" spans="1:12">
      <c r="A5" s="29" t="s">
        <v>73</v>
      </c>
      <c r="B5" s="30">
        <f>_xlfn.XLOOKUP(A5,'Cash Balance SAP'!$G$8:$G$10,'Cash Balance SAP'!$H$8:$H$10)+_xlfn.XLOOKUP(A5,'JV &amp; SUB'!$A$3:$A$4,'JV &amp; SUB'!$C$3:$C$4)</f>
        <v>1563.1697590399999</v>
      </c>
      <c r="C5" s="30">
        <f>'Cash Balance SAP'!I9</f>
        <v>890.00759302999995</v>
      </c>
      <c r="D5" s="30">
        <f>SUM(B5:C5)</f>
        <v>2453.1773520699999</v>
      </c>
      <c r="E5" s="28"/>
      <c r="G5" s="34"/>
      <c r="H5" s="33" t="s">
        <v>115</v>
      </c>
      <c r="I5" s="39">
        <f ca="1">(D11+D12)</f>
        <v>1304.1146442074171</v>
      </c>
    </row>
    <row r="6" spans="1:12">
      <c r="A6" s="29" t="s">
        <v>18</v>
      </c>
      <c r="B6" s="30">
        <f>_xlfn.XLOOKUP(A6,'Cash Balance SAP'!$G$8:$G$10,'Cash Balance SAP'!$H$8:$H$10)</f>
        <v>13.36483832</v>
      </c>
      <c r="C6" s="30">
        <f>'Cash Balance SAP'!I10</f>
        <v>4.2493037000000005</v>
      </c>
      <c r="D6" s="30">
        <f>SUM(B6:C6)</f>
        <v>17.614142020000003</v>
      </c>
      <c r="E6" s="28"/>
      <c r="G6" s="34"/>
      <c r="K6" s="335" t="s">
        <v>969</v>
      </c>
    </row>
    <row r="7" spans="1:12">
      <c r="A7" s="31" t="s">
        <v>71</v>
      </c>
      <c r="B7" s="32">
        <f>SUM(B4:B6)</f>
        <v>1858.9728606474171</v>
      </c>
      <c r="C7" s="32">
        <f>SUM(C4:C6)</f>
        <v>894.45321883999998</v>
      </c>
      <c r="D7" s="32">
        <f>SUM(D4:D6)</f>
        <v>2753.4260794874172</v>
      </c>
      <c r="E7" s="28"/>
      <c r="I7" s="461">
        <f ca="1">I5+I4</f>
        <v>2753.4260794874172</v>
      </c>
      <c r="K7" s="336">
        <f>('Cash Balance SAP'!D11+'JV &amp; SUB'!F21)/10^6</f>
        <v>2753.4260794874172</v>
      </c>
      <c r="L7" s="16">
        <f>K7-D7</f>
        <v>0</v>
      </c>
    </row>
    <row r="8" spans="1:12">
      <c r="E8" s="26"/>
    </row>
    <row r="9" spans="1:12">
      <c r="A9" s="25" t="s">
        <v>11</v>
      </c>
      <c r="B9" s="25" t="s">
        <v>106</v>
      </c>
      <c r="C9" s="25" t="s">
        <v>107</v>
      </c>
      <c r="D9" s="25" t="s">
        <v>108</v>
      </c>
      <c r="E9" s="27"/>
    </row>
    <row r="10" spans="1:12">
      <c r="A10" s="29" t="s">
        <v>12</v>
      </c>
      <c r="B10" s="30">
        <f>'Cash Balance SAP'!H14</f>
        <v>733.78653012999996</v>
      </c>
      <c r="C10" s="30">
        <f>'Cash Balance SAP'!I14-('Working Cap'!I21/10^6)</f>
        <v>715.52490515</v>
      </c>
      <c r="D10" s="30">
        <f>SUM(B10:C10)</f>
        <v>1449.3114352799998</v>
      </c>
      <c r="E10" s="26"/>
    </row>
    <row r="11" spans="1:12">
      <c r="A11" s="29" t="s">
        <v>14</v>
      </c>
      <c r="B11" s="30">
        <f ca="1">'Cash Balance SAP'!H$15+_xlfn.XLOOKUP('Cash Balance Report'!A$11,'JV &amp; SUB'!$E$3:$E$4,'JV &amp; SUB'!$G$3:$G$4)</f>
        <v>390.28506470999997</v>
      </c>
      <c r="C11" s="30">
        <f>'Cash Balance SAP'!I15</f>
        <v>159.60610858000001</v>
      </c>
      <c r="D11" s="30">
        <f ca="1">SUM(B11:C11)</f>
        <v>549.89117328999998</v>
      </c>
      <c r="E11" s="26"/>
    </row>
    <row r="12" spans="1:12">
      <c r="A12" s="29" t="s">
        <v>68</v>
      </c>
      <c r="B12" s="301">
        <f ca="1">'Cash Balance SAP'!H$16+_xlfn.XLOOKUP('Cash Balance Report'!A$12,'JV &amp; SUB'!$E$3:$E$4,'JV &amp; SUB'!$G$3:$G$4)</f>
        <v>734.90126580741708</v>
      </c>
      <c r="C12" s="30">
        <f>'Cash Balance SAP'!I16</f>
        <v>19.322205109999999</v>
      </c>
      <c r="D12" s="30">
        <f ca="1">SUM(B12:C12)</f>
        <v>754.2234709174171</v>
      </c>
      <c r="E12" s="26"/>
    </row>
    <row r="13" spans="1:12">
      <c r="A13" s="31" t="s">
        <v>71</v>
      </c>
      <c r="B13" s="32">
        <f ca="1">SUM(B10:B12)</f>
        <v>1858.9728606474171</v>
      </c>
      <c r="C13" s="32">
        <f>SUM(C10:C12)</f>
        <v>894.45321883999998</v>
      </c>
      <c r="D13" s="32">
        <f ca="1">SUM(D10:D12)</f>
        <v>2753.4260794874172</v>
      </c>
      <c r="E13" s="26"/>
      <c r="K13" s="460">
        <f ca="1">D7-D13</f>
        <v>0</v>
      </c>
      <c r="L13" t="s">
        <v>1392</v>
      </c>
    </row>
    <row r="14" spans="1:12">
      <c r="K14" s="460">
        <f ca="1">D7-I7</f>
        <v>0</v>
      </c>
      <c r="L14" t="s">
        <v>1392</v>
      </c>
    </row>
    <row r="15" spans="1:12">
      <c r="A15" s="42" t="s">
        <v>116</v>
      </c>
      <c r="B15" s="42"/>
      <c r="C15" s="42"/>
    </row>
    <row r="17" spans="1:12">
      <c r="A17" s="25" t="s">
        <v>117</v>
      </c>
      <c r="B17" s="25" t="s">
        <v>120</v>
      </c>
      <c r="C17" s="25" t="s">
        <v>119</v>
      </c>
      <c r="D17" s="352" t="s">
        <v>979</v>
      </c>
    </row>
    <row r="18" spans="1:12">
      <c r="A18" s="36">
        <v>1</v>
      </c>
      <c r="B18" s="14">
        <f>_xlfn.XLOOKUP(A18,'Cash Balance SAP'!$K$38:$K$96,'Cash Balance SAP'!$J$38:$J$96)</f>
        <v>816.41878972999996</v>
      </c>
      <c r="C18" t="str">
        <f>_xlfn.XLOOKUP(A18,'Cash Balance SAP'!$K$38:$K$96,'Cash Balance SAP'!$G$38:$G$96)</f>
        <v>PTTEP TC</v>
      </c>
      <c r="D18" s="23">
        <f>B18/$B$24</f>
        <v>0.29651015359089866</v>
      </c>
    </row>
    <row r="19" spans="1:12">
      <c r="A19" s="36">
        <v>2</v>
      </c>
      <c r="B19" s="14">
        <f>_xlfn.XLOOKUP(A19,'Cash Balance SAP'!$K$38:$K$96,'Cash Balance SAP'!$J$38:$J$96)+'Cash Balance SAP'!J81</f>
        <v>636.72786006000001</v>
      </c>
      <c r="C19" t="str">
        <f>_xlfn.XLOOKUP(A19,'Cash Balance SAP'!$K$38:$K$96,'Cash Balance SAP'!$G$38:$G$96)</f>
        <v>PTTEP</v>
      </c>
      <c r="D19" s="23">
        <f t="shared" ref="D19:D23" si="0">B19/$B$24</f>
        <v>0.23124930238858435</v>
      </c>
    </row>
    <row r="20" spans="1:12">
      <c r="A20" s="36">
        <v>3</v>
      </c>
      <c r="B20" s="14">
        <f>_xlfn.XLOOKUP(A20,'Cash Balance SAP'!$K$38:$K$96,'Cash Balance SAP'!$J$38:$J$96)</f>
        <v>185.90704751000001</v>
      </c>
      <c r="C20" t="str">
        <f>_xlfn.XLOOKUP(A20,'Cash Balance SAP'!$K$38:$K$96,'Cash Balance SAP'!$G$38:$G$96)</f>
        <v>Orange</v>
      </c>
      <c r="D20" s="23">
        <f t="shared" si="0"/>
        <v>6.7518445072841327E-2</v>
      </c>
    </row>
    <row r="21" spans="1:12">
      <c r="A21" s="36">
        <v>4</v>
      </c>
      <c r="B21" s="14">
        <f>_xlfn.XLOOKUP(A21,'Cash Balance SAP'!$K$38:$K$96,'Cash Balance SAP'!$J$38:$J$96)</f>
        <v>123.71979492</v>
      </c>
      <c r="C21" t="str">
        <f>_xlfn.XLOOKUP(A21,'Cash Balance SAP'!$K$38:$K$96,'Cash Balance SAP'!$G$38:$G$96)</f>
        <v>ATL</v>
      </c>
      <c r="D21" s="23">
        <f t="shared" si="0"/>
        <v>4.4933036641765192E-2</v>
      </c>
    </row>
    <row r="22" spans="1:12">
      <c r="A22" s="36">
        <v>5</v>
      </c>
      <c r="B22" s="14">
        <f>_xlfn.XLOOKUP(A22,'Cash Balance SAP'!$K$38:$K$96,'Cash Balance SAP'!$J$38:$J$96)</f>
        <v>119.11496096</v>
      </c>
      <c r="C22" t="str">
        <f>_xlfn.XLOOKUP(A22,'Cash Balance SAP'!$K$38:$K$96,'Cash Balance SAP'!$G$38:$G$96)</f>
        <v>PTTEP SP Limited</v>
      </c>
      <c r="D22" s="23">
        <f t="shared" si="0"/>
        <v>4.3260635121962189E-2</v>
      </c>
    </row>
    <row r="23" spans="1:12">
      <c r="A23" s="36" t="s">
        <v>118</v>
      </c>
      <c r="B23" s="16">
        <f>D7-SUM(B18:B22)</f>
        <v>871.53762630741721</v>
      </c>
      <c r="C23" t="s">
        <v>118</v>
      </c>
      <c r="D23" s="23">
        <f t="shared" si="0"/>
        <v>0.3165284271839483</v>
      </c>
    </row>
    <row r="24" spans="1:12" ht="16" thickBot="1">
      <c r="A24" s="37"/>
      <c r="B24" s="38">
        <f>SUM(B18:B23)</f>
        <v>2753.4260794874172</v>
      </c>
      <c r="C24" s="37"/>
      <c r="D24" s="353">
        <f>SUM(D18:D23)</f>
        <v>1</v>
      </c>
      <c r="K24" s="460">
        <f>B24-D7</f>
        <v>0</v>
      </c>
      <c r="L24" t="s">
        <v>1392</v>
      </c>
    </row>
    <row r="26" spans="1:12" ht="24" customHeight="1">
      <c r="A26" s="592" t="str">
        <f ca="1">A29&amp;" "&amp;B29&amp;C29&amp;" "&amp;"("&amp;A30&amp;" "&amp;B30&amp;C30&amp;","&amp;" "&amp;A31&amp;" "&amp;B31&amp;C31&amp;","&amp;" "&amp;A32&amp;" "&amp;B32&amp;C32&amp;","&amp;" "&amp;A33&amp;" "&amp;B33&amp;C33&amp;","&amp;" "&amp;A34&amp;" "&amp;B34&amp;C34&amp;","&amp;" "&amp;A35&amp;" "&amp;B35&amp;C35&amp;","&amp;" "&amp;A37&amp;" "&amp;B37&amp;C37&amp;","&amp;" "&amp;A38&amp;" "&amp;B38&amp;C38&amp;")"&amp;" "&amp;A41&amp;" "&amp;B41&amp;C41&amp;" "&amp;"("&amp;A42&amp;" "&amp;B42&amp;C42&amp;","&amp;" "&amp;A43&amp;" "&amp;B43&amp;C43&amp;","&amp;" "&amp;A44&amp;" "&amp;B44&amp;C44&amp;", "&amp;" "&amp;A45&amp;" "&amp;B45&amp;C45&amp;", "&amp;A46&amp;" "&amp;B46&amp;C46&amp;")"&amp;","&amp;" "&amp;A48&amp;" "&amp;B48&amp;C48</f>
        <v>Subsidiary 667M$ (Siam 82M$, PTTEP SP 119M$, SBO&amp;SKO 205M$, HKO 41M$, Partex 92M$, Vietnam 54M$, PTTEP ED 53M$, others 17M$) JV 549M$ (OEL 186M$, B8/32 54M$, ATL 124M$,  MGTC 55M$, others 130M$), Myanmar's reserved fund 87M$</v>
      </c>
      <c r="B26" s="592"/>
      <c r="C26" s="592"/>
      <c r="D26" s="592"/>
      <c r="E26" s="592"/>
      <c r="F26" s="592"/>
      <c r="G26" s="592"/>
      <c r="H26" s="351"/>
    </row>
    <row r="28" spans="1:12">
      <c r="A28" s="78" t="s">
        <v>627</v>
      </c>
      <c r="B28" s="78"/>
      <c r="C28" s="78"/>
      <c r="D28" s="78" t="s">
        <v>965</v>
      </c>
      <c r="K28" s="335" t="s">
        <v>971</v>
      </c>
    </row>
    <row r="29" spans="1:12">
      <c r="A29" s="81" t="s">
        <v>68</v>
      </c>
      <c r="B29" s="120">
        <f ca="1">ROUND(D12,0)-B48</f>
        <v>667</v>
      </c>
      <c r="C29" t="s">
        <v>600</v>
      </c>
      <c r="K29" s="337">
        <f ca="1">B29+B41+B48</f>
        <v>1303</v>
      </c>
      <c r="L29" s="16">
        <f ca="1">K29-I5</f>
        <v>-1.1146442074170864</v>
      </c>
    </row>
    <row r="30" spans="1:12">
      <c r="A30" t="s">
        <v>628</v>
      </c>
      <c r="B30">
        <f>ROUND((_xlfn.XLOOKUP("PTTEPS",'Cash Balance SAP'!$G$37:$G$92,'Cash Balance SAP'!$J$37:$J$92)),0)</f>
        <v>82</v>
      </c>
      <c r="C30" t="s">
        <v>600</v>
      </c>
      <c r="K30" s="354"/>
    </row>
    <row r="31" spans="1:12">
      <c r="A31" t="s">
        <v>629</v>
      </c>
      <c r="B31">
        <f>ROUNDDOWN('Cash Balance SAP'!J77,0)</f>
        <v>119</v>
      </c>
      <c r="C31" t="s">
        <v>600</v>
      </c>
    </row>
    <row r="32" spans="1:12">
      <c r="A32" t="s">
        <v>630</v>
      </c>
      <c r="B32">
        <f>ROUNDDOWN(('JV &amp; SUB'!F17/10^6),0)</f>
        <v>205</v>
      </c>
      <c r="C32" t="s">
        <v>600</v>
      </c>
    </row>
    <row r="33" spans="1:4">
      <c r="A33" t="s">
        <v>631</v>
      </c>
      <c r="B33">
        <f>ROUNDDOWN(('Cash Balance SAP'!J80+'Cash Balance SAP'!J81),0)</f>
        <v>41</v>
      </c>
      <c r="C33" t="s">
        <v>600</v>
      </c>
    </row>
    <row r="34" spans="1:4">
      <c r="A34" t="s">
        <v>102</v>
      </c>
      <c r="B34">
        <f>ROUNDDOWN(('JV &amp; SUB'!F19/10^6),0)</f>
        <v>92</v>
      </c>
      <c r="C34" t="s">
        <v>600</v>
      </c>
    </row>
    <row r="35" spans="1:4">
      <c r="A35" t="s">
        <v>632</v>
      </c>
      <c r="B35">
        <f>ROUNDDOWN(('Cash Balance SAP'!J44+'Cash Balance SAP'!J45),0)</f>
        <v>54</v>
      </c>
      <c r="C35" t="s">
        <v>600</v>
      </c>
    </row>
    <row r="36" spans="1:4">
      <c r="A36" t="s">
        <v>42</v>
      </c>
      <c r="B36">
        <f>ROUNDDOWN('Cash Balance SAP'!J85,0)</f>
        <v>4</v>
      </c>
      <c r="C36" t="s">
        <v>600</v>
      </c>
    </row>
    <row r="37" spans="1:4">
      <c r="A37" t="s">
        <v>28</v>
      </c>
      <c r="B37">
        <f>ROUNDDOWN('Cash Balance SAP'!J87,0)</f>
        <v>53</v>
      </c>
      <c r="C37" t="s">
        <v>600</v>
      </c>
    </row>
    <row r="38" spans="1:4">
      <c r="A38" t="s">
        <v>633</v>
      </c>
      <c r="B38" s="80">
        <f ca="1">B29-SUM(B30:B37)</f>
        <v>17</v>
      </c>
      <c r="C38" t="s">
        <v>600</v>
      </c>
      <c r="D38" s="300" t="s">
        <v>1393</v>
      </c>
    </row>
    <row r="40" spans="1:4">
      <c r="A40" s="78" t="s">
        <v>634</v>
      </c>
      <c r="B40" s="78"/>
      <c r="C40" s="78"/>
      <c r="D40" s="78" t="s">
        <v>965</v>
      </c>
    </row>
    <row r="41" spans="1:4">
      <c r="A41" t="s">
        <v>14</v>
      </c>
      <c r="B41" s="120">
        <f ca="1">ROUNDDOWN(D11,0)</f>
        <v>549</v>
      </c>
      <c r="C41" t="s">
        <v>600</v>
      </c>
    </row>
    <row r="42" spans="1:4">
      <c r="A42" t="s">
        <v>635</v>
      </c>
      <c r="B42">
        <f>ROUNDUP('Cash Balance SAP'!J49,0)</f>
        <v>186</v>
      </c>
      <c r="C42" t="s">
        <v>600</v>
      </c>
      <c r="D42" t="s">
        <v>966</v>
      </c>
    </row>
    <row r="43" spans="1:4">
      <c r="A43" t="s">
        <v>636</v>
      </c>
      <c r="B43">
        <f>ROUNDDOWN(('JV &amp; SUB'!F12/10^6),0)</f>
        <v>54</v>
      </c>
      <c r="C43" t="s">
        <v>600</v>
      </c>
    </row>
    <row r="44" spans="1:4">
      <c r="A44" t="s">
        <v>2</v>
      </c>
      <c r="B44">
        <f>ROUNDUP('Cash Balance SAP'!J54,0)</f>
        <v>124</v>
      </c>
      <c r="C44" t="s">
        <v>600</v>
      </c>
    </row>
    <row r="45" spans="1:4">
      <c r="A45" t="s">
        <v>1579</v>
      </c>
      <c r="B45">
        <f>ROUNDUP(('JV &amp; SUB'!F10/10^6),0)</f>
        <v>55</v>
      </c>
      <c r="C45" t="s">
        <v>600</v>
      </c>
    </row>
    <row r="46" spans="1:4">
      <c r="A46" t="s">
        <v>633</v>
      </c>
      <c r="B46" s="280">
        <f ca="1">B41-SUM(B42:B45)</f>
        <v>130</v>
      </c>
      <c r="C46" t="s">
        <v>600</v>
      </c>
      <c r="D46" s="300" t="s">
        <v>1580</v>
      </c>
    </row>
    <row r="48" spans="1:4">
      <c r="A48" s="78" t="s">
        <v>637</v>
      </c>
      <c r="B48" s="121">
        <f>SUM(B49:B51)</f>
        <v>87</v>
      </c>
      <c r="C48" s="78" t="s">
        <v>600</v>
      </c>
      <c r="D48" s="78" t="s">
        <v>965</v>
      </c>
    </row>
    <row r="49" spans="1:4">
      <c r="A49" s="48" t="s">
        <v>212</v>
      </c>
      <c r="B49">
        <f>ROUNDDOWN((_xlfn.XLOOKUP(A49,Deposit!C:C,Deposit!M:M))/10^6,0)</f>
        <v>2</v>
      </c>
      <c r="C49" t="s">
        <v>600</v>
      </c>
      <c r="D49" t="s">
        <v>952</v>
      </c>
    </row>
    <row r="50" spans="1:4">
      <c r="A50" s="48" t="s">
        <v>214</v>
      </c>
      <c r="B50">
        <f>ROUNDDOWN((_xlfn.XLOOKUP(A50,Deposit!C:C,Deposit!M:M))/10^6,0)</f>
        <v>74</v>
      </c>
      <c r="C50" t="s">
        <v>600</v>
      </c>
      <c r="D50" t="s">
        <v>953</v>
      </c>
    </row>
    <row r="51" spans="1:4">
      <c r="A51" s="48" t="s">
        <v>215</v>
      </c>
      <c r="B51">
        <f>ROUNDDOWN((_xlfn.XLOOKUP(A51,Deposit!C:C,Deposit!M:M))/10^6,0)</f>
        <v>11</v>
      </c>
      <c r="C51" t="s">
        <v>600</v>
      </c>
      <c r="D51" t="s">
        <v>954</v>
      </c>
    </row>
    <row r="55" spans="1:4">
      <c r="B55" s="80"/>
    </row>
  </sheetData>
  <mergeCells count="1">
    <mergeCell ref="A26:G2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FB8DA-EC73-4827-83FC-AFABF5E89C80}">
  <sheetPr>
    <tabColor rgb="FF00B050"/>
  </sheetPr>
  <dimension ref="A1:M97"/>
  <sheetViews>
    <sheetView zoomScale="80" zoomScaleNormal="80" workbookViewId="0">
      <selection activeCell="F9" sqref="F9"/>
    </sheetView>
  </sheetViews>
  <sheetFormatPr baseColWidth="10" defaultColWidth="8.83203125" defaultRowHeight="15"/>
  <cols>
    <col min="1" max="1" width="22.33203125" bestFit="1" customWidth="1"/>
    <col min="2" max="2" width="20" customWidth="1"/>
    <col min="3" max="3" width="20.6640625" customWidth="1"/>
    <col min="4" max="4" width="19.6640625" customWidth="1"/>
    <col min="5" max="5" width="20.6640625" customWidth="1"/>
    <col min="6" max="6" width="9.83203125" bestFit="1" customWidth="1"/>
    <col min="7" max="7" width="22.33203125" bestFit="1" customWidth="1"/>
    <col min="8" max="8" width="20" customWidth="1"/>
    <col min="9" max="9" width="20.6640625" customWidth="1"/>
    <col min="10" max="10" width="19.6640625" customWidth="1"/>
    <col min="11" max="11" width="16.33203125" customWidth="1"/>
    <col min="12" max="12" width="10.6640625" bestFit="1" customWidth="1"/>
  </cols>
  <sheetData>
    <row r="1" spans="1:10">
      <c r="A1" s="18" t="s">
        <v>65</v>
      </c>
      <c r="B1" s="18" t="s">
        <v>69</v>
      </c>
      <c r="C1" s="10"/>
      <c r="D1" s="10"/>
      <c r="E1" s="10"/>
    </row>
    <row r="2" spans="1:10">
      <c r="A2" s="18" t="s">
        <v>66</v>
      </c>
      <c r="B2" s="18" t="s">
        <v>1587</v>
      </c>
      <c r="C2" s="10"/>
      <c r="D2" s="10"/>
      <c r="E2" s="10"/>
      <c r="G2" s="74" t="s">
        <v>621</v>
      </c>
    </row>
    <row r="3" spans="1:10">
      <c r="A3" s="18" t="s">
        <v>75</v>
      </c>
      <c r="B3" s="18" t="s">
        <v>1229</v>
      </c>
      <c r="C3" s="10"/>
      <c r="D3" s="10"/>
      <c r="E3" s="10"/>
    </row>
    <row r="4" spans="1:10">
      <c r="A4" s="18" t="s">
        <v>10</v>
      </c>
      <c r="B4" s="18" t="s">
        <v>1588</v>
      </c>
      <c r="C4" s="10"/>
      <c r="D4" s="10"/>
      <c r="E4" s="10"/>
    </row>
    <row r="5" spans="1:10">
      <c r="A5" s="18" t="s">
        <v>9</v>
      </c>
      <c r="B5" s="18" t="s">
        <v>1589</v>
      </c>
      <c r="C5" s="10"/>
      <c r="D5" s="10"/>
      <c r="E5" s="10"/>
    </row>
    <row r="6" spans="1:10">
      <c r="A6" s="10"/>
      <c r="B6" s="10"/>
      <c r="C6" s="10"/>
      <c r="D6" s="10"/>
      <c r="E6" s="10"/>
    </row>
    <row r="7" spans="1:10">
      <c r="A7" s="19" t="s">
        <v>7</v>
      </c>
      <c r="B7" s="19" t="s">
        <v>3</v>
      </c>
      <c r="C7" s="19" t="s">
        <v>13</v>
      </c>
      <c r="D7" s="19" t="s">
        <v>72</v>
      </c>
      <c r="E7" s="10"/>
      <c r="G7" s="1" t="s">
        <v>7</v>
      </c>
      <c r="H7" s="1" t="s">
        <v>106</v>
      </c>
      <c r="I7" s="1" t="s">
        <v>107</v>
      </c>
      <c r="J7" s="1" t="s">
        <v>108</v>
      </c>
    </row>
    <row r="8" spans="1:10">
      <c r="A8" s="20" t="s">
        <v>70</v>
      </c>
      <c r="B8" s="17">
        <v>226146569.5</v>
      </c>
      <c r="C8" s="17">
        <v>196322.11</v>
      </c>
      <c r="D8" s="17">
        <v>226342891.61000001</v>
      </c>
      <c r="E8" s="10"/>
      <c r="G8" s="2" t="s">
        <v>70</v>
      </c>
      <c r="H8" s="21">
        <f t="shared" ref="H8:I10" si="0">B8/10^6</f>
        <v>226.1465695</v>
      </c>
      <c r="I8" s="21">
        <f t="shared" si="0"/>
        <v>0.19632210999999999</v>
      </c>
      <c r="J8" s="21">
        <f>SUM(H8:I8)</f>
        <v>226.34289161000001</v>
      </c>
    </row>
    <row r="9" spans="1:10">
      <c r="A9" s="20" t="s">
        <v>73</v>
      </c>
      <c r="B9" s="17">
        <v>1164478086.9300001</v>
      </c>
      <c r="C9" s="17">
        <v>890007593.02999997</v>
      </c>
      <c r="D9" s="17">
        <v>2054485679.96</v>
      </c>
      <c r="E9" s="10"/>
      <c r="G9" s="2" t="s">
        <v>73</v>
      </c>
      <c r="H9" s="21">
        <f t="shared" si="0"/>
        <v>1164.47808693</v>
      </c>
      <c r="I9" s="21">
        <f>(C9/10^6)</f>
        <v>890.00759302999995</v>
      </c>
      <c r="J9" s="21">
        <f>SUM(H9:I9)</f>
        <v>2054.4856799600002</v>
      </c>
    </row>
    <row r="10" spans="1:10">
      <c r="A10" s="20" t="s">
        <v>18</v>
      </c>
      <c r="B10" s="17">
        <v>13364838.32</v>
      </c>
      <c r="C10" s="17">
        <v>4249303.7</v>
      </c>
      <c r="D10" s="17">
        <v>17614142.02</v>
      </c>
      <c r="E10" s="10"/>
      <c r="G10" s="2" t="s">
        <v>18</v>
      </c>
      <c r="H10" s="21">
        <f t="shared" si="0"/>
        <v>13.36483832</v>
      </c>
      <c r="I10" s="21">
        <f t="shared" si="0"/>
        <v>4.2493037000000005</v>
      </c>
      <c r="J10" s="21">
        <f>SUM(H10:I10)</f>
        <v>17.614142020000003</v>
      </c>
    </row>
    <row r="11" spans="1:10">
      <c r="A11" s="19" t="s">
        <v>71</v>
      </c>
      <c r="B11" s="17">
        <v>1403989494.75</v>
      </c>
      <c r="C11" s="17">
        <v>894453218.84000003</v>
      </c>
      <c r="D11" s="17">
        <v>2298442713.5900002</v>
      </c>
      <c r="E11" s="10"/>
      <c r="G11" s="3" t="s">
        <v>71</v>
      </c>
      <c r="H11" s="22">
        <f>SUM(H8:H10)</f>
        <v>1403.9894947499999</v>
      </c>
      <c r="I11" s="22">
        <f>SUM(I8:I10)</f>
        <v>894.45321883999998</v>
      </c>
      <c r="J11" s="22">
        <f>SUM(J8:J10)</f>
        <v>2298.4427135900005</v>
      </c>
    </row>
    <row r="12" spans="1:10">
      <c r="A12" s="10"/>
      <c r="B12" s="10"/>
      <c r="C12" s="10"/>
      <c r="D12" s="10"/>
      <c r="E12" s="10"/>
    </row>
    <row r="13" spans="1:10">
      <c r="A13" s="19" t="s">
        <v>11</v>
      </c>
      <c r="B13" s="19" t="s">
        <v>3</v>
      </c>
      <c r="C13" s="19" t="s">
        <v>13</v>
      </c>
      <c r="D13" s="19" t="s">
        <v>72</v>
      </c>
      <c r="E13" s="10"/>
      <c r="G13" s="1" t="s">
        <v>11</v>
      </c>
      <c r="H13" s="1" t="s">
        <v>106</v>
      </c>
      <c r="I13" s="1" t="s">
        <v>107</v>
      </c>
      <c r="J13" s="1" t="s">
        <v>108</v>
      </c>
    </row>
    <row r="14" spans="1:10">
      <c r="A14" s="20" t="s">
        <v>12</v>
      </c>
      <c r="B14" s="17">
        <v>733786530.13</v>
      </c>
      <c r="C14" s="17">
        <v>715524905.14999998</v>
      </c>
      <c r="D14" s="17">
        <v>1449311435.28</v>
      </c>
      <c r="E14" s="10"/>
      <c r="G14" s="2" t="s">
        <v>12</v>
      </c>
      <c r="H14" s="21">
        <f t="shared" ref="H14:I16" si="1">B14/10^6</f>
        <v>733.78653012999996</v>
      </c>
      <c r="I14" s="21">
        <f>C14/10^6</f>
        <v>715.52490515</v>
      </c>
      <c r="J14" s="21">
        <f>SUM(H14:I14)</f>
        <v>1449.3114352799998</v>
      </c>
    </row>
    <row r="15" spans="1:10">
      <c r="A15" s="20" t="s">
        <v>14</v>
      </c>
      <c r="B15" s="17">
        <v>235078835.72999999</v>
      </c>
      <c r="C15" s="17">
        <v>159606108.58000001</v>
      </c>
      <c r="D15" s="17">
        <v>394684944.31</v>
      </c>
      <c r="E15" s="10"/>
      <c r="G15" s="2" t="s">
        <v>14</v>
      </c>
      <c r="H15" s="21">
        <f t="shared" si="1"/>
        <v>235.07883572999998</v>
      </c>
      <c r="I15" s="21">
        <f t="shared" si="1"/>
        <v>159.60610858000001</v>
      </c>
      <c r="J15" s="21">
        <f>SUM(H15:I15)</f>
        <v>394.68494430999999</v>
      </c>
    </row>
    <row r="16" spans="1:10">
      <c r="A16" s="20" t="s">
        <v>68</v>
      </c>
      <c r="B16" s="17">
        <v>435124128.88999999</v>
      </c>
      <c r="C16" s="17">
        <v>19322205.109999999</v>
      </c>
      <c r="D16" s="17">
        <v>454446334</v>
      </c>
      <c r="E16" s="10"/>
      <c r="G16" s="2" t="s">
        <v>68</v>
      </c>
      <c r="H16" s="21">
        <f t="shared" si="1"/>
        <v>435.12412889000001</v>
      </c>
      <c r="I16" s="21">
        <f>C16/10^6</f>
        <v>19.322205109999999</v>
      </c>
      <c r="J16" s="21">
        <f>SUM(H16:I16)</f>
        <v>454.44633399999998</v>
      </c>
    </row>
    <row r="17" spans="1:11">
      <c r="A17" s="19" t="s">
        <v>71</v>
      </c>
      <c r="B17" s="17">
        <v>1403989494.75</v>
      </c>
      <c r="C17" s="17">
        <v>894453218.84000003</v>
      </c>
      <c r="D17" s="17">
        <v>2298442713.5900002</v>
      </c>
      <c r="E17" s="10"/>
      <c r="G17" s="3" t="s">
        <v>71</v>
      </c>
      <c r="H17" s="22">
        <f>SUM(H14:H16)</f>
        <v>1403.9894947499999</v>
      </c>
      <c r="I17" s="22">
        <f>SUM(I14:I16)</f>
        <v>894.45321883999998</v>
      </c>
      <c r="J17" s="22">
        <f>SUM(J14:J16)</f>
        <v>2298.4427135899996</v>
      </c>
    </row>
    <row r="18" spans="1:11">
      <c r="A18" s="10"/>
      <c r="B18" s="10"/>
      <c r="C18" s="10"/>
      <c r="D18" s="10"/>
      <c r="E18" s="10"/>
    </row>
    <row r="19" spans="1:11">
      <c r="A19" s="19" t="s">
        <v>11</v>
      </c>
      <c r="B19" s="19" t="s">
        <v>7</v>
      </c>
      <c r="C19" s="19" t="s">
        <v>3</v>
      </c>
      <c r="D19" s="19" t="s">
        <v>13</v>
      </c>
      <c r="E19" s="19" t="s">
        <v>72</v>
      </c>
      <c r="G19" s="1" t="s">
        <v>11</v>
      </c>
      <c r="H19" s="1" t="s">
        <v>7</v>
      </c>
      <c r="I19" s="1" t="s">
        <v>3</v>
      </c>
      <c r="J19" s="1" t="s">
        <v>13</v>
      </c>
      <c r="K19" s="1" t="s">
        <v>72</v>
      </c>
    </row>
    <row r="20" spans="1:11">
      <c r="A20" s="20" t="s">
        <v>12</v>
      </c>
      <c r="B20" s="20" t="s">
        <v>70</v>
      </c>
      <c r="C20" s="17">
        <v>45809958.659999996</v>
      </c>
      <c r="D20" s="17">
        <v>188469.23</v>
      </c>
      <c r="E20" s="17">
        <v>45998427.890000001</v>
      </c>
      <c r="G20" s="2" t="s">
        <v>12</v>
      </c>
      <c r="H20" s="2" t="s">
        <v>70</v>
      </c>
      <c r="I20" s="21">
        <f>C20/10^6</f>
        <v>45.809958659999999</v>
      </c>
      <c r="J20" s="21">
        <f>D20/10^6</f>
        <v>0.18846923000000002</v>
      </c>
      <c r="K20" s="21">
        <f>SUM(I20:J20)</f>
        <v>45.998427890000002</v>
      </c>
    </row>
    <row r="21" spans="1:11">
      <c r="A21" s="20"/>
      <c r="B21" s="20" t="s">
        <v>73</v>
      </c>
      <c r="C21" s="17">
        <v>687976571.47000003</v>
      </c>
      <c r="D21" s="17">
        <v>715336435.91999996</v>
      </c>
      <c r="E21" s="17">
        <v>1403313007.3900001</v>
      </c>
      <c r="G21" s="2"/>
      <c r="H21" s="2" t="s">
        <v>73</v>
      </c>
      <c r="I21" s="21">
        <f t="shared" ref="I21:I27" si="2">C21/10^6</f>
        <v>687.97657147000007</v>
      </c>
      <c r="J21" s="21">
        <f t="shared" ref="J21:J27" si="3">D21/10^6</f>
        <v>715.33643591999999</v>
      </c>
      <c r="K21" s="21">
        <f t="shared" ref="K21:K27" si="4">SUM(I21:J21)</f>
        <v>1403.3130073900002</v>
      </c>
    </row>
    <row r="22" spans="1:11">
      <c r="A22" s="20" t="s">
        <v>14</v>
      </c>
      <c r="B22" s="20" t="s">
        <v>70</v>
      </c>
      <c r="C22" s="17">
        <v>59925876.170000002</v>
      </c>
      <c r="D22" s="17">
        <v>0</v>
      </c>
      <c r="E22" s="17">
        <v>59925876.170000002</v>
      </c>
      <c r="G22" s="2" t="s">
        <v>14</v>
      </c>
      <c r="H22" s="2" t="s">
        <v>70</v>
      </c>
      <c r="I22" s="21">
        <f t="shared" si="2"/>
        <v>59.925876170000002</v>
      </c>
      <c r="J22" s="21">
        <f t="shared" si="3"/>
        <v>0</v>
      </c>
      <c r="K22" s="21">
        <f t="shared" si="4"/>
        <v>59.925876170000002</v>
      </c>
    </row>
    <row r="23" spans="1:11">
      <c r="A23" s="20"/>
      <c r="B23" s="20" t="s">
        <v>73</v>
      </c>
      <c r="C23" s="17">
        <v>172079296.74000001</v>
      </c>
      <c r="D23" s="17">
        <v>159606108.58000001</v>
      </c>
      <c r="E23" s="17">
        <v>331685405.31999999</v>
      </c>
      <c r="G23" s="2"/>
      <c r="H23" s="2" t="s">
        <v>73</v>
      </c>
      <c r="I23" s="21">
        <f t="shared" si="2"/>
        <v>172.07929674000002</v>
      </c>
      <c r="J23" s="21">
        <f t="shared" si="3"/>
        <v>159.60610858000001</v>
      </c>
      <c r="K23" s="21">
        <f t="shared" si="4"/>
        <v>331.68540532000003</v>
      </c>
    </row>
    <row r="24" spans="1:11">
      <c r="A24" s="20"/>
      <c r="B24" s="20" t="s">
        <v>18</v>
      </c>
      <c r="C24" s="17">
        <v>3073662.82</v>
      </c>
      <c r="D24" s="17">
        <v>0</v>
      </c>
      <c r="E24" s="17">
        <v>3073662.82</v>
      </c>
      <c r="G24" s="2"/>
      <c r="H24" s="2" t="s">
        <v>18</v>
      </c>
      <c r="I24" s="21">
        <f t="shared" si="2"/>
        <v>3.07366282</v>
      </c>
      <c r="J24" s="21">
        <f t="shared" si="3"/>
        <v>0</v>
      </c>
      <c r="K24" s="21">
        <f t="shared" si="4"/>
        <v>3.07366282</v>
      </c>
    </row>
    <row r="25" spans="1:11">
      <c r="A25" s="20" t="s">
        <v>68</v>
      </c>
      <c r="B25" s="20" t="s">
        <v>70</v>
      </c>
      <c r="C25" s="17">
        <v>120410734.67</v>
      </c>
      <c r="D25" s="17">
        <v>7852.88</v>
      </c>
      <c r="E25" s="17">
        <v>120418587.55</v>
      </c>
      <c r="G25" s="2" t="s">
        <v>68</v>
      </c>
      <c r="H25" s="2" t="s">
        <v>70</v>
      </c>
      <c r="I25" s="21">
        <f t="shared" si="2"/>
        <v>120.41073467</v>
      </c>
      <c r="J25" s="21">
        <f t="shared" si="3"/>
        <v>7.8528799999999996E-3</v>
      </c>
      <c r="K25" s="21">
        <f t="shared" si="4"/>
        <v>120.41858755</v>
      </c>
    </row>
    <row r="26" spans="1:11">
      <c r="A26" s="20"/>
      <c r="B26" s="20" t="s">
        <v>73</v>
      </c>
      <c r="C26" s="17">
        <v>304422218.72000003</v>
      </c>
      <c r="D26" s="17">
        <v>15065048.529999999</v>
      </c>
      <c r="E26" s="17">
        <v>319487267.25</v>
      </c>
      <c r="G26" s="2"/>
      <c r="H26" s="2" t="s">
        <v>73</v>
      </c>
      <c r="I26" s="21">
        <f t="shared" si="2"/>
        <v>304.42221872000005</v>
      </c>
      <c r="J26" s="21">
        <f t="shared" si="3"/>
        <v>15.065048529999999</v>
      </c>
      <c r="K26" s="21">
        <f t="shared" si="4"/>
        <v>319.48726725000006</v>
      </c>
    </row>
    <row r="27" spans="1:11">
      <c r="A27" s="20"/>
      <c r="B27" s="20" t="s">
        <v>18</v>
      </c>
      <c r="C27" s="17">
        <v>10291175.5</v>
      </c>
      <c r="D27" s="17">
        <v>4249303.7</v>
      </c>
      <c r="E27" s="17">
        <v>14540479.199999999</v>
      </c>
      <c r="G27" s="2"/>
      <c r="H27" s="2" t="s">
        <v>18</v>
      </c>
      <c r="I27" s="21">
        <f t="shared" si="2"/>
        <v>10.2911755</v>
      </c>
      <c r="J27" s="21">
        <f t="shared" si="3"/>
        <v>4.2493037000000005</v>
      </c>
      <c r="K27" s="21">
        <f t="shared" si="4"/>
        <v>14.5404792</v>
      </c>
    </row>
    <row r="28" spans="1:11">
      <c r="A28" s="19" t="s">
        <v>71</v>
      </c>
      <c r="B28" s="19"/>
      <c r="C28" s="17">
        <v>1403989494.75</v>
      </c>
      <c r="D28" s="17">
        <v>894453218.84000003</v>
      </c>
      <c r="E28" s="17">
        <v>2298442713.5900002</v>
      </c>
      <c r="G28" s="3" t="s">
        <v>71</v>
      </c>
      <c r="H28" s="3"/>
      <c r="I28" s="22">
        <f>SUM(I20:I27)</f>
        <v>1403.9894947500002</v>
      </c>
      <c r="J28" s="22">
        <f>SUM(J20:J27)</f>
        <v>894.45321883999998</v>
      </c>
      <c r="K28" s="22">
        <f>SUM(K20:K27)</f>
        <v>2298.44271359</v>
      </c>
    </row>
    <row r="29" spans="1:11">
      <c r="A29" s="10"/>
      <c r="B29" s="10"/>
      <c r="C29" s="10"/>
      <c r="D29" s="10"/>
      <c r="E29" s="10"/>
    </row>
    <row r="30" spans="1:11">
      <c r="A30" s="19" t="s">
        <v>11</v>
      </c>
      <c r="B30" s="19" t="s">
        <v>7</v>
      </c>
      <c r="C30" s="19" t="s">
        <v>3</v>
      </c>
      <c r="D30" s="19" t="s">
        <v>13</v>
      </c>
      <c r="E30" s="19" t="s">
        <v>72</v>
      </c>
      <c r="G30" s="1" t="s">
        <v>11</v>
      </c>
      <c r="H30" s="1" t="s">
        <v>7</v>
      </c>
      <c r="I30" s="1" t="s">
        <v>3</v>
      </c>
      <c r="J30" s="1" t="s">
        <v>13</v>
      </c>
      <c r="K30" s="1" t="s">
        <v>72</v>
      </c>
    </row>
    <row r="31" spans="1:11">
      <c r="A31" s="20" t="s">
        <v>12</v>
      </c>
      <c r="B31" s="20" t="s">
        <v>70</v>
      </c>
      <c r="C31" s="17">
        <v>45809958.659999996</v>
      </c>
      <c r="D31" s="17">
        <v>188469.23</v>
      </c>
      <c r="E31" s="17">
        <v>45998427.890000001</v>
      </c>
      <c r="G31" s="2" t="s">
        <v>12</v>
      </c>
      <c r="H31" s="2" t="s">
        <v>70</v>
      </c>
      <c r="I31" s="21">
        <f t="shared" ref="I31:J34" si="5">C31/10^6</f>
        <v>45.809958659999999</v>
      </c>
      <c r="J31" s="21">
        <f t="shared" si="5"/>
        <v>0.18846923000000002</v>
      </c>
      <c r="K31" s="21">
        <f>SUM(I31:J31)</f>
        <v>45.998427890000002</v>
      </c>
    </row>
    <row r="32" spans="1:11">
      <c r="A32" s="20"/>
      <c r="B32" s="20" t="s">
        <v>74</v>
      </c>
      <c r="C32" s="17">
        <v>687976571.47000003</v>
      </c>
      <c r="D32" s="17">
        <v>715336435.91999996</v>
      </c>
      <c r="E32" s="17">
        <v>1403313007.3900001</v>
      </c>
      <c r="G32" s="2"/>
      <c r="H32" s="2" t="s">
        <v>74</v>
      </c>
      <c r="I32" s="21">
        <f t="shared" si="5"/>
        <v>687.97657147000007</v>
      </c>
      <c r="J32" s="21">
        <f t="shared" si="5"/>
        <v>715.33643591999999</v>
      </c>
      <c r="K32" s="21">
        <f>SUM(I32:J32)</f>
        <v>1403.3130073900002</v>
      </c>
    </row>
    <row r="33" spans="1:13">
      <c r="A33" s="20" t="s">
        <v>16</v>
      </c>
      <c r="B33" s="20" t="s">
        <v>70</v>
      </c>
      <c r="C33" s="17">
        <v>180336610.84</v>
      </c>
      <c r="D33" s="17">
        <v>7852.88</v>
      </c>
      <c r="E33" s="17">
        <v>180344463.72</v>
      </c>
      <c r="G33" s="2" t="s">
        <v>16</v>
      </c>
      <c r="H33" s="2" t="s">
        <v>70</v>
      </c>
      <c r="I33" s="21">
        <f t="shared" si="5"/>
        <v>180.33661083999999</v>
      </c>
      <c r="J33" s="21">
        <f t="shared" si="5"/>
        <v>7.8528799999999996E-3</v>
      </c>
      <c r="K33" s="21">
        <f>SUM(I33:J33)</f>
        <v>180.34446371999999</v>
      </c>
      <c r="L33" s="80">
        <f>K33+'JV &amp; SUB'!C4</f>
        <v>236.63615750741712</v>
      </c>
    </row>
    <row r="34" spans="1:13">
      <c r="A34" s="20"/>
      <c r="B34" s="20" t="s">
        <v>74</v>
      </c>
      <c r="C34" s="17">
        <v>489866353.77999997</v>
      </c>
      <c r="D34" s="17">
        <v>178920460.81</v>
      </c>
      <c r="E34" s="17">
        <v>668786814.59000003</v>
      </c>
      <c r="G34" s="2"/>
      <c r="H34" s="2" t="s">
        <v>74</v>
      </c>
      <c r="I34" s="21">
        <f t="shared" si="5"/>
        <v>489.86635378</v>
      </c>
      <c r="J34" s="21">
        <f t="shared" si="5"/>
        <v>178.92046081000001</v>
      </c>
      <c r="K34" s="21">
        <f>SUM(I34:J34)</f>
        <v>668.78681458999995</v>
      </c>
      <c r="L34" s="80">
        <f>K34+'JV &amp; SUB'!C3</f>
        <v>1067.4784866999998</v>
      </c>
    </row>
    <row r="35" spans="1:13">
      <c r="A35" s="19" t="s">
        <v>71</v>
      </c>
      <c r="B35" s="19"/>
      <c r="C35" s="17">
        <v>1403989494.75</v>
      </c>
      <c r="D35" s="17">
        <v>894453218.84000003</v>
      </c>
      <c r="E35" s="17">
        <v>2298442713.5900002</v>
      </c>
      <c r="G35" s="3" t="s">
        <v>71</v>
      </c>
      <c r="H35" s="3"/>
      <c r="I35" s="22">
        <f>SUM(I31:I34)</f>
        <v>1403.9894947500002</v>
      </c>
      <c r="J35" s="22">
        <f>SUM(J31:J34)</f>
        <v>894.45321883999998</v>
      </c>
      <c r="K35" s="22">
        <f>SUM(K31:K34)</f>
        <v>2298.44271359</v>
      </c>
    </row>
    <row r="36" spans="1:13">
      <c r="A36" s="10"/>
      <c r="B36" s="10"/>
      <c r="C36" s="10"/>
      <c r="D36" s="10"/>
      <c r="E36" s="10"/>
    </row>
    <row r="37" spans="1:13">
      <c r="A37" s="19" t="s">
        <v>6</v>
      </c>
      <c r="B37" s="19" t="s">
        <v>3</v>
      </c>
      <c r="C37" s="19" t="s">
        <v>13</v>
      </c>
      <c r="D37" s="19" t="s">
        <v>72</v>
      </c>
      <c r="E37" s="10"/>
      <c r="G37" s="1" t="s">
        <v>6</v>
      </c>
      <c r="H37" s="1" t="s">
        <v>106</v>
      </c>
      <c r="I37" s="1" t="s">
        <v>107</v>
      </c>
      <c r="J37" s="1" t="s">
        <v>108</v>
      </c>
      <c r="K37" s="35" t="s">
        <v>117</v>
      </c>
    </row>
    <row r="38" spans="1:13">
      <c r="A38" s="20" t="s">
        <v>20</v>
      </c>
      <c r="B38" s="17">
        <v>226245569.24000001</v>
      </c>
      <c r="C38" s="17">
        <v>410482290.81999999</v>
      </c>
      <c r="D38" s="17">
        <v>636727860.05999994</v>
      </c>
      <c r="E38" s="10"/>
      <c r="G38" s="2" t="s">
        <v>20</v>
      </c>
      <c r="H38" s="21">
        <f>B38/10^6</f>
        <v>226.24556924000001</v>
      </c>
      <c r="I38" s="21">
        <f>C38/10^6</f>
        <v>410.48229082</v>
      </c>
      <c r="J38" s="346">
        <f>SUM(H38:I38)</f>
        <v>636.72786006000001</v>
      </c>
      <c r="K38" s="158">
        <f>RANK(J38,$J$38:$J$96)</f>
        <v>2</v>
      </c>
    </row>
    <row r="39" spans="1:13">
      <c r="A39" s="20" t="s">
        <v>59</v>
      </c>
      <c r="B39" s="17">
        <v>91239160.709999993</v>
      </c>
      <c r="C39" s="17">
        <v>3926.44</v>
      </c>
      <c r="D39" s="17">
        <v>91243087.150000006</v>
      </c>
      <c r="E39" s="10"/>
      <c r="F39" s="339"/>
      <c r="G39" s="338" t="s">
        <v>59</v>
      </c>
      <c r="H39" s="21">
        <f>(B$39+B$40+B$66)/10^6</f>
        <v>105.57797774999999</v>
      </c>
      <c r="I39" s="21">
        <f>(C$39+C$40+C$67)/10^6</f>
        <v>3.9264399999999998E-3</v>
      </c>
      <c r="J39" s="346">
        <f>SUM(H39:I39)</f>
        <v>105.58190418999999</v>
      </c>
      <c r="K39" s="158">
        <f>RANK(J39,$J$38:$J$96)</f>
        <v>6</v>
      </c>
    </row>
    <row r="40" spans="1:13">
      <c r="A40" s="20" t="s">
        <v>60</v>
      </c>
      <c r="B40" s="17">
        <v>3021904.96</v>
      </c>
      <c r="C40" s="17">
        <v>0</v>
      </c>
      <c r="D40" s="17">
        <v>3021904.96</v>
      </c>
      <c r="E40" s="10"/>
      <c r="F40" s="339"/>
      <c r="G40" s="349"/>
      <c r="H40" s="350"/>
      <c r="I40" s="350"/>
      <c r="J40" s="350"/>
      <c r="K40" s="158">
        <f t="shared" ref="K40:K41" si="6">RANK(J40,$J$38:$J$96)</f>
        <v>40</v>
      </c>
    </row>
    <row r="41" spans="1:13">
      <c r="A41" s="20" t="s">
        <v>62</v>
      </c>
      <c r="B41" s="17">
        <v>4093857.51</v>
      </c>
      <c r="C41" s="17">
        <v>0</v>
      </c>
      <c r="D41" s="17">
        <v>4093857.51</v>
      </c>
      <c r="E41" s="10"/>
      <c r="F41" s="340"/>
      <c r="G41" s="2" t="s">
        <v>62</v>
      </c>
      <c r="H41" s="21">
        <f>B41/10^6</f>
        <v>4.0938575099999994</v>
      </c>
      <c r="I41" s="21">
        <f>C41/10^6</f>
        <v>0</v>
      </c>
      <c r="J41" s="21">
        <f t="shared" ref="J41:J65" si="7">SUM(H41:I41)</f>
        <v>4.0938575099999994</v>
      </c>
      <c r="K41" s="158">
        <f t="shared" si="6"/>
        <v>20</v>
      </c>
    </row>
    <row r="42" spans="1:13">
      <c r="A42" s="20" t="s">
        <v>39</v>
      </c>
      <c r="B42" s="17">
        <v>0</v>
      </c>
      <c r="C42" s="17">
        <v>0</v>
      </c>
      <c r="D42" s="17">
        <v>0</v>
      </c>
      <c r="E42" s="10"/>
      <c r="F42" s="340"/>
      <c r="G42" s="2" t="s">
        <v>39</v>
      </c>
      <c r="H42" s="21">
        <f t="shared" ref="H42:H65" si="8">B42/10^6</f>
        <v>0</v>
      </c>
      <c r="I42" s="21">
        <f t="shared" ref="I42:I65" si="9">C42/10^6</f>
        <v>0</v>
      </c>
      <c r="J42" s="21">
        <f t="shared" si="7"/>
        <v>0</v>
      </c>
      <c r="K42">
        <f t="shared" ref="K42:K73" si="10">RANK(J42,$J$38:$J$96)</f>
        <v>40</v>
      </c>
    </row>
    <row r="43" spans="1:13">
      <c r="A43" s="20" t="s">
        <v>53</v>
      </c>
      <c r="B43" s="17">
        <v>0</v>
      </c>
      <c r="C43" s="17">
        <v>0</v>
      </c>
      <c r="D43" s="17">
        <v>0</v>
      </c>
      <c r="E43" s="10"/>
      <c r="G43" s="2" t="s">
        <v>53</v>
      </c>
      <c r="H43" s="21">
        <f t="shared" si="8"/>
        <v>0</v>
      </c>
      <c r="I43" s="21">
        <f t="shared" si="9"/>
        <v>0</v>
      </c>
      <c r="J43" s="21">
        <f t="shared" si="7"/>
        <v>0</v>
      </c>
      <c r="K43">
        <f t="shared" si="10"/>
        <v>40</v>
      </c>
    </row>
    <row r="44" spans="1:13">
      <c r="A44" s="20" t="s">
        <v>36</v>
      </c>
      <c r="B44" s="17">
        <v>23368035.07</v>
      </c>
      <c r="C44" s="17">
        <v>0</v>
      </c>
      <c r="D44" s="17">
        <v>23368035.07</v>
      </c>
      <c r="E44" s="10"/>
      <c r="G44" s="2" t="s">
        <v>36</v>
      </c>
      <c r="H44" s="21">
        <f t="shared" si="8"/>
        <v>23.368035070000001</v>
      </c>
      <c r="I44" s="21">
        <f t="shared" si="9"/>
        <v>0</v>
      </c>
      <c r="J44" s="21">
        <f t="shared" si="7"/>
        <v>23.368035070000001</v>
      </c>
      <c r="K44">
        <f t="shared" si="10"/>
        <v>11</v>
      </c>
      <c r="M44" t="str">
        <f>"Vietnam"&amp;" "&amp;ROUNDDOWN((J44+J45),0)&amp;"M$"</f>
        <v>Vietnam 54M$</v>
      </c>
    </row>
    <row r="45" spans="1:13">
      <c r="A45" s="20" t="s">
        <v>35</v>
      </c>
      <c r="B45" s="17">
        <v>31299991.440000001</v>
      </c>
      <c r="C45" s="17">
        <v>0</v>
      </c>
      <c r="D45" s="17">
        <v>31299991.440000001</v>
      </c>
      <c r="E45" s="10"/>
      <c r="G45" s="2" t="s">
        <v>35</v>
      </c>
      <c r="H45" s="21">
        <f t="shared" si="8"/>
        <v>31.299991440000003</v>
      </c>
      <c r="I45" s="21">
        <f t="shared" si="9"/>
        <v>0</v>
      </c>
      <c r="J45" s="21">
        <f t="shared" si="7"/>
        <v>31.299991440000003</v>
      </c>
      <c r="K45">
        <f t="shared" si="10"/>
        <v>10</v>
      </c>
    </row>
    <row r="46" spans="1:13">
      <c r="A46" s="20" t="s">
        <v>21</v>
      </c>
      <c r="B46" s="17">
        <v>612982.64</v>
      </c>
      <c r="C46" s="17">
        <v>0</v>
      </c>
      <c r="D46" s="17">
        <v>612982.64</v>
      </c>
      <c r="E46" s="10"/>
      <c r="G46" s="2" t="s">
        <v>21</v>
      </c>
      <c r="H46" s="21">
        <f t="shared" si="8"/>
        <v>0.61298264000000002</v>
      </c>
      <c r="I46" s="21">
        <f t="shared" si="9"/>
        <v>0</v>
      </c>
      <c r="J46" s="21">
        <f t="shared" si="7"/>
        <v>0.61298264000000002</v>
      </c>
      <c r="K46">
        <f t="shared" si="10"/>
        <v>28</v>
      </c>
    </row>
    <row r="47" spans="1:13">
      <c r="A47" s="20" t="s">
        <v>55</v>
      </c>
      <c r="B47" s="17">
        <v>141418.12</v>
      </c>
      <c r="C47" s="17">
        <v>0</v>
      </c>
      <c r="D47" s="17">
        <v>141418.12</v>
      </c>
      <c r="E47" s="10"/>
      <c r="G47" s="2" t="s">
        <v>55</v>
      </c>
      <c r="H47" s="21">
        <f t="shared" si="8"/>
        <v>0.14141812000000001</v>
      </c>
      <c r="I47" s="21">
        <f t="shared" si="9"/>
        <v>0</v>
      </c>
      <c r="J47" s="21">
        <f t="shared" si="7"/>
        <v>0.14141812000000001</v>
      </c>
      <c r="K47">
        <f t="shared" si="10"/>
        <v>31</v>
      </c>
    </row>
    <row r="48" spans="1:13">
      <c r="A48" s="20" t="s">
        <v>63</v>
      </c>
      <c r="B48" s="17">
        <v>82051775.040000007</v>
      </c>
      <c r="C48" s="17">
        <v>3926.44</v>
      </c>
      <c r="D48" s="17">
        <v>82055701.480000004</v>
      </c>
      <c r="E48" s="10"/>
      <c r="G48" s="2" t="s">
        <v>63</v>
      </c>
      <c r="H48" s="21">
        <f t="shared" si="8"/>
        <v>82.05177504000001</v>
      </c>
      <c r="I48" s="21">
        <f t="shared" si="9"/>
        <v>3.9264399999999998E-3</v>
      </c>
      <c r="J48" s="21">
        <f t="shared" si="7"/>
        <v>82.05570148000001</v>
      </c>
      <c r="K48">
        <f t="shared" si="10"/>
        <v>7</v>
      </c>
      <c r="M48" t="str">
        <f>"Siam"&amp;" "&amp;ROUNDDOWN(J48,0)&amp;"M$"</f>
        <v>Siam 82M$</v>
      </c>
    </row>
    <row r="49" spans="1:11">
      <c r="A49" s="20" t="s">
        <v>17</v>
      </c>
      <c r="B49" s="17">
        <v>26300938.93</v>
      </c>
      <c r="C49" s="17">
        <v>159606108.58000001</v>
      </c>
      <c r="D49" s="17">
        <v>185907047.50999999</v>
      </c>
      <c r="E49" s="10"/>
      <c r="G49" s="2" t="s">
        <v>17</v>
      </c>
      <c r="H49" s="21">
        <f t="shared" si="8"/>
        <v>26.300938930000001</v>
      </c>
      <c r="I49" s="21">
        <f t="shared" si="9"/>
        <v>159.60610858000001</v>
      </c>
      <c r="J49" s="21">
        <f t="shared" si="7"/>
        <v>185.90704751000001</v>
      </c>
      <c r="K49">
        <f t="shared" si="10"/>
        <v>3</v>
      </c>
    </row>
    <row r="50" spans="1:11">
      <c r="A50" s="20" t="s">
        <v>58</v>
      </c>
      <c r="B50" s="17">
        <v>0</v>
      </c>
      <c r="C50" s="17">
        <v>0</v>
      </c>
      <c r="D50" s="17">
        <v>0</v>
      </c>
      <c r="E50" s="10"/>
      <c r="G50" s="2" t="s">
        <v>58</v>
      </c>
      <c r="H50" s="21">
        <f t="shared" si="8"/>
        <v>0</v>
      </c>
      <c r="I50" s="21">
        <f t="shared" si="9"/>
        <v>0</v>
      </c>
      <c r="J50" s="21">
        <f t="shared" si="7"/>
        <v>0</v>
      </c>
      <c r="K50" s="158">
        <f t="shared" si="10"/>
        <v>40</v>
      </c>
    </row>
    <row r="51" spans="1:11">
      <c r="A51" s="20" t="s">
        <v>37</v>
      </c>
      <c r="B51" s="17">
        <v>0</v>
      </c>
      <c r="C51" s="17">
        <v>0</v>
      </c>
      <c r="D51" s="17">
        <v>0</v>
      </c>
      <c r="E51" s="10"/>
      <c r="G51" s="2" t="s">
        <v>37</v>
      </c>
      <c r="H51" s="21">
        <f t="shared" si="8"/>
        <v>0</v>
      </c>
      <c r="I51" s="21">
        <f t="shared" si="9"/>
        <v>0</v>
      </c>
      <c r="J51" s="21">
        <f t="shared" si="7"/>
        <v>0</v>
      </c>
      <c r="K51">
        <f t="shared" si="10"/>
        <v>40</v>
      </c>
    </row>
    <row r="52" spans="1:11">
      <c r="A52" s="20" t="s">
        <v>22</v>
      </c>
      <c r="B52" s="17">
        <v>0</v>
      </c>
      <c r="C52" s="17">
        <v>0</v>
      </c>
      <c r="D52" s="17">
        <v>0</v>
      </c>
      <c r="E52" s="10"/>
      <c r="G52" s="2" t="s">
        <v>22</v>
      </c>
      <c r="H52" s="21">
        <f t="shared" si="8"/>
        <v>0</v>
      </c>
      <c r="I52" s="21">
        <f t="shared" si="9"/>
        <v>0</v>
      </c>
      <c r="J52" s="21">
        <f t="shared" si="7"/>
        <v>0</v>
      </c>
      <c r="K52">
        <f t="shared" si="10"/>
        <v>40</v>
      </c>
    </row>
    <row r="53" spans="1:11">
      <c r="A53" s="20" t="s">
        <v>49</v>
      </c>
      <c r="B53" s="17">
        <v>8448865.1300000008</v>
      </c>
      <c r="C53" s="17">
        <v>0</v>
      </c>
      <c r="D53" s="17">
        <v>8448865.1300000008</v>
      </c>
      <c r="E53" s="10"/>
      <c r="G53" s="2" t="s">
        <v>49</v>
      </c>
      <c r="H53" s="21">
        <f t="shared" si="8"/>
        <v>8.4488651300000015</v>
      </c>
      <c r="I53" s="21">
        <f t="shared" si="9"/>
        <v>0</v>
      </c>
      <c r="J53" s="21">
        <f t="shared" si="7"/>
        <v>8.4488651300000015</v>
      </c>
      <c r="K53">
        <f t="shared" si="10"/>
        <v>14</v>
      </c>
    </row>
    <row r="54" spans="1:11">
      <c r="A54" s="20" t="s">
        <v>2</v>
      </c>
      <c r="B54" s="17">
        <v>123719794.92</v>
      </c>
      <c r="C54" s="17">
        <v>0</v>
      </c>
      <c r="D54" s="17">
        <v>123719794.92</v>
      </c>
      <c r="E54" s="10"/>
      <c r="G54" s="2" t="s">
        <v>2</v>
      </c>
      <c r="H54" s="21">
        <f t="shared" si="8"/>
        <v>123.71979492</v>
      </c>
      <c r="I54" s="21">
        <f t="shared" si="9"/>
        <v>0</v>
      </c>
      <c r="J54" s="21">
        <f t="shared" si="7"/>
        <v>123.71979492</v>
      </c>
      <c r="K54">
        <f t="shared" si="10"/>
        <v>4</v>
      </c>
    </row>
    <row r="55" spans="1:11">
      <c r="A55" s="20" t="s">
        <v>38</v>
      </c>
      <c r="B55" s="17">
        <v>0</v>
      </c>
      <c r="C55" s="17">
        <v>0</v>
      </c>
      <c r="D55" s="17">
        <v>0</v>
      </c>
      <c r="E55" s="10"/>
      <c r="G55" s="2" t="s">
        <v>38</v>
      </c>
      <c r="H55" s="21">
        <f t="shared" si="8"/>
        <v>0</v>
      </c>
      <c r="I55" s="21">
        <f t="shared" si="9"/>
        <v>0</v>
      </c>
      <c r="J55" s="21">
        <f t="shared" si="7"/>
        <v>0</v>
      </c>
      <c r="K55">
        <f t="shared" si="10"/>
        <v>40</v>
      </c>
    </row>
    <row r="56" spans="1:11">
      <c r="A56" s="20" t="s">
        <v>54</v>
      </c>
      <c r="B56" s="17">
        <v>395271.03</v>
      </c>
      <c r="C56" s="17">
        <v>0</v>
      </c>
      <c r="D56" s="17">
        <v>395271.03</v>
      </c>
      <c r="E56" s="10"/>
      <c r="G56" s="2" t="s">
        <v>54</v>
      </c>
      <c r="H56" s="21">
        <f t="shared" si="8"/>
        <v>0.39527103000000002</v>
      </c>
      <c r="I56" s="21">
        <f t="shared" si="9"/>
        <v>0</v>
      </c>
      <c r="J56" s="21">
        <f t="shared" si="7"/>
        <v>0.39527103000000002</v>
      </c>
      <c r="K56">
        <f t="shared" si="10"/>
        <v>30</v>
      </c>
    </row>
    <row r="57" spans="1:11">
      <c r="A57" s="20" t="s">
        <v>30</v>
      </c>
      <c r="B57" s="17">
        <v>0</v>
      </c>
      <c r="C57" s="17">
        <v>0</v>
      </c>
      <c r="D57" s="17">
        <v>0</v>
      </c>
      <c r="E57" s="10"/>
      <c r="G57" s="2" t="s">
        <v>30</v>
      </c>
      <c r="H57" s="21">
        <f t="shared" si="8"/>
        <v>0</v>
      </c>
      <c r="I57" s="21">
        <f t="shared" si="9"/>
        <v>0</v>
      </c>
      <c r="J57" s="21">
        <f t="shared" si="7"/>
        <v>0</v>
      </c>
      <c r="K57">
        <f t="shared" si="10"/>
        <v>40</v>
      </c>
    </row>
    <row r="58" spans="1:11">
      <c r="A58" s="20" t="s">
        <v>52</v>
      </c>
      <c r="B58" s="17">
        <v>0</v>
      </c>
      <c r="C58" s="17">
        <v>0</v>
      </c>
      <c r="D58" s="17">
        <v>0</v>
      </c>
      <c r="E58" s="10"/>
      <c r="G58" s="2" t="s">
        <v>52</v>
      </c>
      <c r="H58" s="21">
        <f t="shared" si="8"/>
        <v>0</v>
      </c>
      <c r="I58" s="21">
        <f t="shared" si="9"/>
        <v>0</v>
      </c>
      <c r="J58" s="21">
        <f t="shared" si="7"/>
        <v>0</v>
      </c>
      <c r="K58">
        <f t="shared" si="10"/>
        <v>40</v>
      </c>
    </row>
    <row r="59" spans="1:11">
      <c r="A59" s="20" t="s">
        <v>48</v>
      </c>
      <c r="B59" s="17">
        <v>0</v>
      </c>
      <c r="C59" s="17">
        <v>0</v>
      </c>
      <c r="D59" s="17">
        <v>0</v>
      </c>
      <c r="E59" s="10"/>
      <c r="G59" s="2" t="s">
        <v>48</v>
      </c>
      <c r="H59" s="21">
        <f t="shared" si="8"/>
        <v>0</v>
      </c>
      <c r="I59" s="21">
        <f t="shared" si="9"/>
        <v>0</v>
      </c>
      <c r="J59" s="21">
        <f t="shared" si="7"/>
        <v>0</v>
      </c>
      <c r="K59">
        <f t="shared" si="10"/>
        <v>40</v>
      </c>
    </row>
    <row r="60" spans="1:11">
      <c r="A60" s="20" t="s">
        <v>15</v>
      </c>
      <c r="B60" s="17">
        <v>0</v>
      </c>
      <c r="C60" s="17">
        <v>0</v>
      </c>
      <c r="D60" s="17">
        <v>0</v>
      </c>
      <c r="E60" s="10"/>
      <c r="G60" s="2" t="s">
        <v>15</v>
      </c>
      <c r="H60" s="21">
        <f t="shared" si="8"/>
        <v>0</v>
      </c>
      <c r="I60" s="21">
        <f t="shared" si="9"/>
        <v>0</v>
      </c>
      <c r="J60" s="21">
        <f t="shared" si="7"/>
        <v>0</v>
      </c>
      <c r="K60">
        <f t="shared" si="10"/>
        <v>40</v>
      </c>
    </row>
    <row r="61" spans="1:11">
      <c r="A61" s="20" t="s">
        <v>46</v>
      </c>
      <c r="B61" s="17">
        <v>80949.149999999994</v>
      </c>
      <c r="C61" s="17">
        <v>0</v>
      </c>
      <c r="D61" s="17">
        <v>80949.149999999994</v>
      </c>
      <c r="E61" s="10"/>
      <c r="G61" s="2" t="s">
        <v>46</v>
      </c>
      <c r="H61" s="21">
        <f t="shared" si="8"/>
        <v>8.0949149999999997E-2</v>
      </c>
      <c r="I61" s="21">
        <f t="shared" si="9"/>
        <v>0</v>
      </c>
      <c r="J61" s="21">
        <f t="shared" si="7"/>
        <v>8.0949149999999997E-2</v>
      </c>
      <c r="K61">
        <f t="shared" si="10"/>
        <v>32</v>
      </c>
    </row>
    <row r="62" spans="1:11">
      <c r="A62" s="20" t="s">
        <v>26</v>
      </c>
      <c r="B62" s="17">
        <v>716492.15</v>
      </c>
      <c r="C62" s="17">
        <v>0</v>
      </c>
      <c r="D62" s="17">
        <v>716492.15</v>
      </c>
      <c r="E62" s="10"/>
      <c r="G62" s="2" t="s">
        <v>26</v>
      </c>
      <c r="H62" s="21">
        <f t="shared" si="8"/>
        <v>0.71649214999999999</v>
      </c>
      <c r="I62" s="21">
        <f t="shared" si="9"/>
        <v>0</v>
      </c>
      <c r="J62" s="21">
        <f t="shared" si="7"/>
        <v>0.71649214999999999</v>
      </c>
      <c r="K62">
        <f t="shared" si="10"/>
        <v>27</v>
      </c>
    </row>
    <row r="63" spans="1:11">
      <c r="A63" s="20" t="s">
        <v>43</v>
      </c>
      <c r="B63" s="17">
        <v>883290.34</v>
      </c>
      <c r="C63" s="17">
        <v>0</v>
      </c>
      <c r="D63" s="17">
        <v>883290.34</v>
      </c>
      <c r="E63" s="10"/>
      <c r="G63" s="2" t="s">
        <v>43</v>
      </c>
      <c r="H63" s="21">
        <f t="shared" si="8"/>
        <v>0.88329033999999995</v>
      </c>
      <c r="I63" s="21">
        <f t="shared" si="9"/>
        <v>0</v>
      </c>
      <c r="J63" s="21">
        <f t="shared" si="7"/>
        <v>0.88329033999999995</v>
      </c>
      <c r="K63">
        <f t="shared" si="10"/>
        <v>26</v>
      </c>
    </row>
    <row r="64" spans="1:11">
      <c r="A64" s="20" t="s">
        <v>50</v>
      </c>
      <c r="B64" s="17">
        <v>0</v>
      </c>
      <c r="C64" s="17">
        <v>0</v>
      </c>
      <c r="D64" s="17">
        <v>0</v>
      </c>
      <c r="E64" s="10"/>
      <c r="G64" s="2" t="s">
        <v>50</v>
      </c>
      <c r="H64" s="21">
        <f t="shared" si="8"/>
        <v>0</v>
      </c>
      <c r="I64" s="21">
        <f t="shared" si="9"/>
        <v>0</v>
      </c>
      <c r="J64" s="21">
        <f t="shared" si="7"/>
        <v>0</v>
      </c>
      <c r="K64">
        <f t="shared" si="10"/>
        <v>40</v>
      </c>
    </row>
    <row r="65" spans="1:13">
      <c r="A65" s="20" t="s">
        <v>27</v>
      </c>
      <c r="B65" s="17">
        <v>2891896.28</v>
      </c>
      <c r="C65" s="17">
        <v>0</v>
      </c>
      <c r="D65" s="17">
        <v>2891896.28</v>
      </c>
      <c r="E65" s="10"/>
      <c r="G65" s="2" t="s">
        <v>27</v>
      </c>
      <c r="H65" s="21">
        <f t="shared" si="8"/>
        <v>2.8918962799999997</v>
      </c>
      <c r="I65" s="21">
        <f t="shared" si="9"/>
        <v>0</v>
      </c>
      <c r="J65" s="21">
        <f t="shared" si="7"/>
        <v>2.8918962799999997</v>
      </c>
      <c r="K65">
        <f t="shared" si="10"/>
        <v>21</v>
      </c>
    </row>
    <row r="66" spans="1:13">
      <c r="A66" s="338" t="s">
        <v>61</v>
      </c>
      <c r="B66" s="517">
        <v>11316912.08</v>
      </c>
      <c r="C66" s="517">
        <v>0</v>
      </c>
      <c r="D66" s="517">
        <v>11316912.08</v>
      </c>
      <c r="E66" s="10"/>
      <c r="G66" t="s">
        <v>57</v>
      </c>
      <c r="H66" s="21"/>
      <c r="I66" s="21"/>
      <c r="J66" s="21"/>
      <c r="K66">
        <f t="shared" si="10"/>
        <v>40</v>
      </c>
    </row>
    <row r="67" spans="1:13">
      <c r="A67" s="20" t="s">
        <v>5</v>
      </c>
      <c r="B67" s="17">
        <v>412335.41</v>
      </c>
      <c r="C67" s="17">
        <v>0</v>
      </c>
      <c r="D67" s="17">
        <v>412335.41</v>
      </c>
      <c r="E67" s="10"/>
      <c r="G67" s="349"/>
      <c r="H67" s="350"/>
      <c r="I67" s="350"/>
      <c r="J67" s="350"/>
      <c r="K67">
        <f t="shared" si="10"/>
        <v>40</v>
      </c>
    </row>
    <row r="68" spans="1:13">
      <c r="A68" s="20" t="s">
        <v>4</v>
      </c>
      <c r="B68" s="17">
        <v>2766739.4</v>
      </c>
      <c r="C68" s="17">
        <v>0</v>
      </c>
      <c r="D68" s="17">
        <v>2766739.4</v>
      </c>
      <c r="E68" s="10"/>
      <c r="G68" s="2" t="s">
        <v>5</v>
      </c>
      <c r="H68" s="21">
        <f>B67/10^6</f>
        <v>0.41233540999999996</v>
      </c>
      <c r="I68" s="21">
        <f>C67/10^6</f>
        <v>0</v>
      </c>
      <c r="J68" s="21">
        <f>SUM(H68:I68)</f>
        <v>0.41233540999999996</v>
      </c>
      <c r="K68">
        <f t="shared" si="10"/>
        <v>29</v>
      </c>
    </row>
    <row r="69" spans="1:13">
      <c r="A69" s="20" t="s">
        <v>44</v>
      </c>
      <c r="B69" s="17">
        <v>18538.560000000001</v>
      </c>
      <c r="C69" s="17">
        <v>0</v>
      </c>
      <c r="D69" s="17">
        <v>18538.560000000001</v>
      </c>
      <c r="E69" s="10"/>
      <c r="G69" s="2" t="s">
        <v>4</v>
      </c>
      <c r="H69" s="21">
        <f t="shared" ref="H69:H78" si="11">B68/10^6</f>
        <v>2.7667394000000001</v>
      </c>
      <c r="I69" s="21">
        <f t="shared" ref="I69:I80" si="12">C68/10^6</f>
        <v>0</v>
      </c>
      <c r="J69" s="21">
        <f t="shared" ref="J69:J79" si="13">SUM(H69:I69)</f>
        <v>2.7667394000000001</v>
      </c>
      <c r="K69">
        <f t="shared" si="10"/>
        <v>22</v>
      </c>
    </row>
    <row r="70" spans="1:13">
      <c r="A70" s="20" t="s">
        <v>32</v>
      </c>
      <c r="B70" s="17">
        <v>10203546.91</v>
      </c>
      <c r="C70" s="17">
        <v>0</v>
      </c>
      <c r="D70" s="17">
        <v>10203546.91</v>
      </c>
      <c r="E70" s="10"/>
      <c r="G70" s="2" t="s">
        <v>44</v>
      </c>
      <c r="H70" s="21">
        <f t="shared" si="11"/>
        <v>1.8538560000000003E-2</v>
      </c>
      <c r="I70" s="21">
        <f t="shared" si="12"/>
        <v>0</v>
      </c>
      <c r="J70" s="21">
        <f t="shared" si="13"/>
        <v>1.8538560000000003E-2</v>
      </c>
      <c r="K70">
        <f t="shared" si="10"/>
        <v>38</v>
      </c>
    </row>
    <row r="71" spans="1:13">
      <c r="A71" s="20" t="s">
        <v>47</v>
      </c>
      <c r="B71" s="17">
        <v>11638.92</v>
      </c>
      <c r="C71" s="17">
        <v>0</v>
      </c>
      <c r="D71" s="17">
        <v>11638.92</v>
      </c>
      <c r="E71" s="10"/>
      <c r="G71" s="2" t="s">
        <v>32</v>
      </c>
      <c r="H71" s="21">
        <f t="shared" si="11"/>
        <v>10.20354691</v>
      </c>
      <c r="I71" s="21">
        <f t="shared" si="12"/>
        <v>0</v>
      </c>
      <c r="J71" s="21">
        <f t="shared" si="13"/>
        <v>10.20354691</v>
      </c>
      <c r="K71">
        <f t="shared" si="10"/>
        <v>13</v>
      </c>
    </row>
    <row r="72" spans="1:13">
      <c r="A72" s="20" t="s">
        <v>24</v>
      </c>
      <c r="B72" s="17">
        <v>20330.04</v>
      </c>
      <c r="C72" s="17">
        <v>0</v>
      </c>
      <c r="D72" s="17">
        <v>20330.04</v>
      </c>
      <c r="E72" s="10"/>
      <c r="G72" s="2" t="s">
        <v>47</v>
      </c>
      <c r="H72" s="21">
        <f t="shared" si="11"/>
        <v>1.1638920000000001E-2</v>
      </c>
      <c r="I72" s="21">
        <f t="shared" si="12"/>
        <v>0</v>
      </c>
      <c r="J72" s="21">
        <f t="shared" si="13"/>
        <v>1.1638920000000001E-2</v>
      </c>
      <c r="K72">
        <f t="shared" si="10"/>
        <v>39</v>
      </c>
    </row>
    <row r="73" spans="1:13">
      <c r="A73" s="20" t="s">
        <v>25</v>
      </c>
      <c r="B73" s="17">
        <v>1636239.24</v>
      </c>
      <c r="C73" s="17">
        <v>4249303.7</v>
      </c>
      <c r="D73" s="17">
        <v>5885542.9400000004</v>
      </c>
      <c r="E73" s="10"/>
      <c r="G73" s="2" t="s">
        <v>24</v>
      </c>
      <c r="H73" s="21">
        <f t="shared" si="11"/>
        <v>2.0330040000000001E-2</v>
      </c>
      <c r="I73" s="21">
        <f t="shared" si="12"/>
        <v>0</v>
      </c>
      <c r="J73" s="21">
        <f t="shared" si="13"/>
        <v>2.0330040000000001E-2</v>
      </c>
      <c r="K73">
        <f t="shared" si="10"/>
        <v>37</v>
      </c>
    </row>
    <row r="74" spans="1:13">
      <c r="A74" s="20" t="s">
        <v>45</v>
      </c>
      <c r="B74" s="17">
        <v>2088408.54</v>
      </c>
      <c r="C74" s="17">
        <v>0</v>
      </c>
      <c r="D74" s="17">
        <v>2088408.54</v>
      </c>
      <c r="E74" s="10"/>
      <c r="G74" s="2" t="s">
        <v>25</v>
      </c>
      <c r="H74" s="21">
        <f t="shared" si="11"/>
        <v>1.6362392400000001</v>
      </c>
      <c r="I74" s="21">
        <f t="shared" si="12"/>
        <v>4.2493037000000005</v>
      </c>
      <c r="J74" s="21">
        <f t="shared" si="13"/>
        <v>5.8855429400000006</v>
      </c>
      <c r="K74">
        <f t="shared" ref="K74:K92" si="14">RANK(J74,$J$38:$J$96)</f>
        <v>16</v>
      </c>
    </row>
    <row r="75" spans="1:13">
      <c r="A75" s="20" t="s">
        <v>67</v>
      </c>
      <c r="B75" s="17">
        <v>0</v>
      </c>
      <c r="C75" s="17">
        <v>0</v>
      </c>
      <c r="D75" s="17">
        <v>0</v>
      </c>
      <c r="E75" s="10"/>
      <c r="G75" s="2" t="s">
        <v>45</v>
      </c>
      <c r="H75" s="21">
        <f t="shared" si="11"/>
        <v>2.0884085400000001</v>
      </c>
      <c r="I75" s="21">
        <f t="shared" si="12"/>
        <v>0</v>
      </c>
      <c r="J75" s="21">
        <f t="shared" si="13"/>
        <v>2.0884085400000001</v>
      </c>
      <c r="K75">
        <f t="shared" si="14"/>
        <v>23</v>
      </c>
    </row>
    <row r="76" spans="1:13">
      <c r="A76" s="20" t="s">
        <v>51</v>
      </c>
      <c r="B76" s="17">
        <v>104049912.43000001</v>
      </c>
      <c r="C76" s="17">
        <v>15065048.529999999</v>
      </c>
      <c r="D76" s="17">
        <v>119114960.95999999</v>
      </c>
      <c r="E76" s="10"/>
      <c r="G76" s="2" t="s">
        <v>67</v>
      </c>
      <c r="H76" s="21">
        <f t="shared" si="11"/>
        <v>0</v>
      </c>
      <c r="I76" s="21">
        <f t="shared" si="12"/>
        <v>0</v>
      </c>
      <c r="J76" s="21">
        <f t="shared" si="13"/>
        <v>0</v>
      </c>
      <c r="K76">
        <f t="shared" si="14"/>
        <v>40</v>
      </c>
    </row>
    <row r="77" spans="1:13">
      <c r="A77" s="20" t="s">
        <v>31</v>
      </c>
      <c r="B77" s="17">
        <v>6970281.3300000001</v>
      </c>
      <c r="C77" s="17">
        <v>0</v>
      </c>
      <c r="D77" s="17">
        <v>6970281.3300000001</v>
      </c>
      <c r="E77" s="10"/>
      <c r="G77" s="2" t="s">
        <v>51</v>
      </c>
      <c r="H77" s="21">
        <f>B76/10^6</f>
        <v>104.04991243000001</v>
      </c>
      <c r="I77" s="21">
        <f t="shared" si="12"/>
        <v>15.065048529999999</v>
      </c>
      <c r="J77" s="21">
        <f t="shared" si="13"/>
        <v>119.11496096</v>
      </c>
      <c r="K77">
        <f t="shared" si="14"/>
        <v>5</v>
      </c>
    </row>
    <row r="78" spans="1:13">
      <c r="A78" s="20" t="s">
        <v>56</v>
      </c>
      <c r="B78" s="17">
        <v>511376175.39999998</v>
      </c>
      <c r="C78" s="17">
        <v>305042614.32999998</v>
      </c>
      <c r="D78" s="17">
        <v>816418789.73000002</v>
      </c>
      <c r="E78" s="10"/>
      <c r="G78" s="2" t="s">
        <v>31</v>
      </c>
      <c r="H78" s="21">
        <f t="shared" si="11"/>
        <v>6.9702813299999997</v>
      </c>
      <c r="I78" s="21">
        <f t="shared" si="12"/>
        <v>0</v>
      </c>
      <c r="J78" s="21">
        <f t="shared" si="13"/>
        <v>6.9702813299999997</v>
      </c>
      <c r="K78">
        <f t="shared" si="14"/>
        <v>15</v>
      </c>
      <c r="M78" t="str">
        <f>"PTTEPSP"&amp;" "&amp;ROUNDDOWN(J77,0)&amp;"M$"</f>
        <v>PTTEPSP 119M$</v>
      </c>
    </row>
    <row r="79" spans="1:13">
      <c r="A79" s="20" t="s">
        <v>33</v>
      </c>
      <c r="B79" s="17">
        <v>19721562.280000001</v>
      </c>
      <c r="C79" s="17">
        <v>0</v>
      </c>
      <c r="D79" s="17">
        <v>19721562.280000001</v>
      </c>
      <c r="E79" s="10"/>
      <c r="G79" s="2" t="s">
        <v>56</v>
      </c>
      <c r="H79" s="21">
        <f>B78/10^6</f>
        <v>511.37617539999997</v>
      </c>
      <c r="I79" s="21">
        <f t="shared" si="12"/>
        <v>305.04261432999999</v>
      </c>
      <c r="J79" s="21">
        <f t="shared" si="13"/>
        <v>816.41878972999996</v>
      </c>
      <c r="K79">
        <f t="shared" si="14"/>
        <v>1</v>
      </c>
    </row>
    <row r="80" spans="1:13">
      <c r="A80" s="20" t="s">
        <v>34</v>
      </c>
      <c r="B80" s="17">
        <v>21645658.68</v>
      </c>
      <c r="C80" s="17">
        <v>0</v>
      </c>
      <c r="D80" s="17">
        <v>21645658.68</v>
      </c>
      <c r="E80" s="10"/>
      <c r="G80" s="2" t="s">
        <v>33</v>
      </c>
      <c r="H80" s="21">
        <f>B$79/10^6+(B$80/10^6)</f>
        <v>41.367220959999997</v>
      </c>
      <c r="I80" s="21">
        <f t="shared" si="12"/>
        <v>0</v>
      </c>
      <c r="J80" s="21">
        <f>SUM(H80:I80)</f>
        <v>41.367220959999997</v>
      </c>
      <c r="K80" s="158">
        <f t="shared" si="14"/>
        <v>9</v>
      </c>
    </row>
    <row r="81" spans="1:13">
      <c r="A81" s="20" t="s">
        <v>23</v>
      </c>
      <c r="B81" s="17">
        <v>0</v>
      </c>
      <c r="C81" s="17">
        <v>0</v>
      </c>
      <c r="D81" s="17">
        <v>0</v>
      </c>
      <c r="E81" s="10"/>
      <c r="G81" s="462"/>
      <c r="H81" s="463"/>
      <c r="I81" s="463"/>
      <c r="J81" s="463"/>
      <c r="K81">
        <f t="shared" si="14"/>
        <v>40</v>
      </c>
      <c r="M81" t="str">
        <f>G80&amp;" "&amp;ROUNDDOWN((J80+J81),0)&amp;"M$"</f>
        <v>PTTEP HKO 41M$</v>
      </c>
    </row>
    <row r="82" spans="1:13">
      <c r="A82" s="20" t="s">
        <v>19</v>
      </c>
      <c r="B82" s="17">
        <v>1913208.11</v>
      </c>
      <c r="C82" s="17">
        <v>0</v>
      </c>
      <c r="D82" s="17">
        <v>1913208.11</v>
      </c>
      <c r="E82" s="10"/>
      <c r="G82" s="2" t="s">
        <v>23</v>
      </c>
      <c r="H82" s="21">
        <f>B81/10^6</f>
        <v>0</v>
      </c>
      <c r="I82" s="21">
        <f>C81/10^6</f>
        <v>0</v>
      </c>
      <c r="J82" s="21">
        <f>SUM(H82:I82)</f>
        <v>0</v>
      </c>
      <c r="K82">
        <f t="shared" si="14"/>
        <v>40</v>
      </c>
    </row>
    <row r="83" spans="1:13">
      <c r="A83" s="20" t="s">
        <v>64</v>
      </c>
      <c r="B83" s="17">
        <v>14160956.869999999</v>
      </c>
      <c r="C83" s="17">
        <v>0</v>
      </c>
      <c r="D83" s="17">
        <v>14160956.869999999</v>
      </c>
      <c r="E83" s="10"/>
      <c r="G83" s="2" t="s">
        <v>19</v>
      </c>
      <c r="H83" s="21">
        <f t="shared" ref="H83:H96" si="15">B82/10^6</f>
        <v>1.91320811</v>
      </c>
      <c r="I83" s="21">
        <f t="shared" ref="I83:I96" si="16">C82/10^6</f>
        <v>0</v>
      </c>
      <c r="J83" s="21">
        <f t="shared" ref="J83:J96" si="17">SUM(H83:I83)</f>
        <v>1.91320811</v>
      </c>
      <c r="K83">
        <f t="shared" si="14"/>
        <v>25</v>
      </c>
    </row>
    <row r="84" spans="1:13">
      <c r="A84" s="20" t="s">
        <v>42</v>
      </c>
      <c r="B84" s="17">
        <v>4477881.8099999996</v>
      </c>
      <c r="C84" s="17">
        <v>0</v>
      </c>
      <c r="D84" s="17">
        <v>4477881.8099999996</v>
      </c>
      <c r="E84" s="10"/>
      <c r="G84" s="2" t="s">
        <v>64</v>
      </c>
      <c r="H84" s="21">
        <f t="shared" si="15"/>
        <v>14.16095687</v>
      </c>
      <c r="I84" s="21">
        <f t="shared" si="16"/>
        <v>0</v>
      </c>
      <c r="J84" s="21">
        <f t="shared" si="17"/>
        <v>14.16095687</v>
      </c>
      <c r="K84">
        <f t="shared" si="14"/>
        <v>12</v>
      </c>
    </row>
    <row r="85" spans="1:13">
      <c r="A85" s="20" t="s">
        <v>29</v>
      </c>
      <c r="B85" s="17">
        <v>0</v>
      </c>
      <c r="C85" s="17">
        <v>0</v>
      </c>
      <c r="D85" s="17">
        <v>0</v>
      </c>
      <c r="E85" s="10"/>
      <c r="G85" s="2" t="s">
        <v>42</v>
      </c>
      <c r="H85" s="21">
        <f t="shared" si="15"/>
        <v>4.4778818099999995</v>
      </c>
      <c r="I85" s="21">
        <f t="shared" si="16"/>
        <v>0</v>
      </c>
      <c r="J85" s="21">
        <f t="shared" si="17"/>
        <v>4.4778818099999995</v>
      </c>
      <c r="K85">
        <f t="shared" si="14"/>
        <v>18</v>
      </c>
    </row>
    <row r="86" spans="1:13">
      <c r="A86" s="20" t="s">
        <v>28</v>
      </c>
      <c r="B86" s="17">
        <v>53874203.07</v>
      </c>
      <c r="C86" s="17">
        <v>0</v>
      </c>
      <c r="D86" s="17">
        <v>53874203.07</v>
      </c>
      <c r="E86" s="10"/>
      <c r="G86" s="2" t="s">
        <v>29</v>
      </c>
      <c r="H86" s="21">
        <f t="shared" si="15"/>
        <v>0</v>
      </c>
      <c r="I86" s="21">
        <f t="shared" si="16"/>
        <v>0</v>
      </c>
      <c r="J86" s="21">
        <f t="shared" si="17"/>
        <v>0</v>
      </c>
      <c r="K86">
        <f t="shared" si="14"/>
        <v>40</v>
      </c>
      <c r="M86" t="str">
        <f>G85&amp;" "&amp;ROUNDDOWN(J85,0)&amp;"M$"</f>
        <v>PTTEP MEP 4M$</v>
      </c>
    </row>
    <row r="87" spans="1:13">
      <c r="A87" s="20" t="s">
        <v>8</v>
      </c>
      <c r="B87" s="17">
        <v>0</v>
      </c>
      <c r="C87" s="17">
        <v>0</v>
      </c>
      <c r="D87" s="17">
        <v>0</v>
      </c>
      <c r="E87" s="10"/>
      <c r="G87" s="2" t="s">
        <v>28</v>
      </c>
      <c r="H87" s="21">
        <f t="shared" si="15"/>
        <v>53.87420307</v>
      </c>
      <c r="I87" s="21">
        <f t="shared" si="16"/>
        <v>0</v>
      </c>
      <c r="J87" s="21">
        <f t="shared" si="17"/>
        <v>53.87420307</v>
      </c>
      <c r="K87">
        <f t="shared" si="14"/>
        <v>8</v>
      </c>
    </row>
    <row r="88" spans="1:13">
      <c r="A88" s="20" t="s">
        <v>40</v>
      </c>
      <c r="B88" s="17">
        <v>0</v>
      </c>
      <c r="C88" s="17">
        <v>0</v>
      </c>
      <c r="D88" s="17">
        <v>0</v>
      </c>
      <c r="E88" s="10"/>
      <c r="G88" s="2" t="s">
        <v>8</v>
      </c>
      <c r="H88" s="21">
        <f t="shared" si="15"/>
        <v>0</v>
      </c>
      <c r="I88" s="21">
        <f t="shared" si="16"/>
        <v>0</v>
      </c>
      <c r="J88" s="21">
        <f t="shared" si="17"/>
        <v>0</v>
      </c>
      <c r="K88">
        <f t="shared" si="14"/>
        <v>40</v>
      </c>
      <c r="M88" t="str">
        <f>G87&amp;" "&amp;ROUNDDOWN(J87,0)&amp;"M$"</f>
        <v>PTTEP ED 53M$</v>
      </c>
    </row>
    <row r="89" spans="1:13">
      <c r="A89" s="20" t="s">
        <v>1</v>
      </c>
      <c r="B89" s="17">
        <v>58311.23</v>
      </c>
      <c r="C89" s="17">
        <v>0</v>
      </c>
      <c r="D89" s="17">
        <v>58311.23</v>
      </c>
      <c r="E89" s="10"/>
      <c r="G89" s="2" t="s">
        <v>40</v>
      </c>
      <c r="H89" s="21">
        <f t="shared" si="15"/>
        <v>0</v>
      </c>
      <c r="I89" s="21">
        <f t="shared" si="16"/>
        <v>0</v>
      </c>
      <c r="J89" s="21">
        <f t="shared" si="17"/>
        <v>0</v>
      </c>
      <c r="K89">
        <f t="shared" si="14"/>
        <v>40</v>
      </c>
    </row>
    <row r="90" spans="1:13">
      <c r="A90" s="20" t="s">
        <v>976</v>
      </c>
      <c r="B90" s="17">
        <v>5152245.3499999996</v>
      </c>
      <c r="C90" s="17">
        <v>0</v>
      </c>
      <c r="D90" s="17">
        <v>5152245.3499999996</v>
      </c>
      <c r="E90" s="10"/>
      <c r="G90" s="2" t="s">
        <v>1</v>
      </c>
      <c r="H90" s="21">
        <f t="shared" si="15"/>
        <v>5.8311230000000006E-2</v>
      </c>
      <c r="I90" s="21">
        <f t="shared" si="16"/>
        <v>0</v>
      </c>
      <c r="J90" s="21">
        <f t="shared" si="17"/>
        <v>5.8311230000000006E-2</v>
      </c>
      <c r="K90">
        <f t="shared" si="14"/>
        <v>34</v>
      </c>
    </row>
    <row r="91" spans="1:13">
      <c r="A91" s="20" t="s">
        <v>41</v>
      </c>
      <c r="B91" s="17">
        <v>4463535.9400000004</v>
      </c>
      <c r="C91" s="17">
        <v>0</v>
      </c>
      <c r="D91" s="17">
        <v>4463535.9400000004</v>
      </c>
      <c r="E91" s="10"/>
      <c r="G91" s="2" t="s">
        <v>976</v>
      </c>
      <c r="H91" s="21">
        <f t="shared" si="15"/>
        <v>5.1522453499999994</v>
      </c>
      <c r="I91" s="21">
        <f t="shared" si="16"/>
        <v>0</v>
      </c>
      <c r="J91" s="21">
        <f t="shared" si="17"/>
        <v>5.1522453499999994</v>
      </c>
      <c r="K91">
        <f t="shared" si="14"/>
        <v>17</v>
      </c>
    </row>
    <row r="92" spans="1:13">
      <c r="A92" s="20" t="s">
        <v>1400</v>
      </c>
      <c r="B92" s="17">
        <v>50002.33</v>
      </c>
      <c r="C92" s="17">
        <v>0</v>
      </c>
      <c r="D92" s="17">
        <v>50002.33</v>
      </c>
      <c r="E92" s="10"/>
      <c r="G92" s="2" t="s">
        <v>41</v>
      </c>
      <c r="H92" s="21">
        <f t="shared" si="15"/>
        <v>4.4635359400000008</v>
      </c>
      <c r="I92" s="21">
        <f t="shared" si="16"/>
        <v>0</v>
      </c>
      <c r="J92" s="21">
        <f t="shared" si="17"/>
        <v>4.4635359400000008</v>
      </c>
      <c r="K92">
        <f t="shared" si="14"/>
        <v>19</v>
      </c>
    </row>
    <row r="93" spans="1:13">
      <c r="A93" s="20" t="s">
        <v>1401</v>
      </c>
      <c r="B93" s="17">
        <v>49962.33</v>
      </c>
      <c r="C93" s="17">
        <v>0</v>
      </c>
      <c r="D93" s="17">
        <v>49962.33</v>
      </c>
      <c r="E93" s="10"/>
      <c r="G93" s="2" t="s">
        <v>1400</v>
      </c>
      <c r="H93" s="21">
        <f t="shared" si="15"/>
        <v>5.0002330000000005E-2</v>
      </c>
      <c r="I93" s="21">
        <f t="shared" si="16"/>
        <v>0</v>
      </c>
      <c r="J93" s="21">
        <f t="shared" si="17"/>
        <v>5.0002330000000005E-2</v>
      </c>
      <c r="K93">
        <f t="shared" ref="K93:K96" si="18">RANK(J93,$J$38:$J$96)</f>
        <v>35</v>
      </c>
    </row>
    <row r="94" spans="1:13">
      <c r="A94" s="20" t="s">
        <v>1375</v>
      </c>
      <c r="B94" s="17">
        <v>58342.15</v>
      </c>
      <c r="C94" s="17">
        <v>0</v>
      </c>
      <c r="D94" s="17">
        <v>58342.15</v>
      </c>
      <c r="E94" s="10"/>
      <c r="G94" s="2" t="s">
        <v>1401</v>
      </c>
      <c r="H94" s="21">
        <f t="shared" si="15"/>
        <v>4.9962329999999999E-2</v>
      </c>
      <c r="I94" s="21">
        <f t="shared" si="16"/>
        <v>0</v>
      </c>
      <c r="J94" s="21">
        <f t="shared" si="17"/>
        <v>4.9962329999999999E-2</v>
      </c>
      <c r="K94">
        <f t="shared" si="18"/>
        <v>36</v>
      </c>
    </row>
    <row r="95" spans="1:13">
      <c r="A95" s="20" t="s">
        <v>1376</v>
      </c>
      <c r="B95" s="17">
        <v>1980373.68</v>
      </c>
      <c r="C95" s="17">
        <v>0</v>
      </c>
      <c r="D95" s="17">
        <v>1980373.68</v>
      </c>
      <c r="E95" s="10"/>
      <c r="G95" s="2" t="s">
        <v>1375</v>
      </c>
      <c r="H95" s="21">
        <f t="shared" si="15"/>
        <v>5.8342150000000002E-2</v>
      </c>
      <c r="I95" s="21">
        <f t="shared" si="16"/>
        <v>0</v>
      </c>
      <c r="J95" s="21">
        <f t="shared" si="17"/>
        <v>5.8342150000000002E-2</v>
      </c>
      <c r="K95">
        <f>RANK(J95,$J$38:$J$96)</f>
        <v>33</v>
      </c>
    </row>
    <row r="96" spans="1:13">
      <c r="A96" s="20" t="s">
        <v>71</v>
      </c>
      <c r="B96" s="17">
        <v>1403989494.75</v>
      </c>
      <c r="C96" s="17">
        <v>894453218.84000003</v>
      </c>
      <c r="D96" s="17">
        <v>2298442713.5900002</v>
      </c>
      <c r="E96" s="10"/>
      <c r="G96" s="2" t="s">
        <v>1376</v>
      </c>
      <c r="H96" s="21">
        <f t="shared" si="15"/>
        <v>1.98037368</v>
      </c>
      <c r="I96" s="21">
        <f t="shared" si="16"/>
        <v>0</v>
      </c>
      <c r="J96" s="21">
        <f t="shared" si="17"/>
        <v>1.98037368</v>
      </c>
      <c r="K96">
        <f t="shared" si="18"/>
        <v>24</v>
      </c>
    </row>
    <row r="97" spans="7:10">
      <c r="G97" s="3" t="s">
        <v>71</v>
      </c>
      <c r="H97" s="22">
        <f>SUM(H38:H96)</f>
        <v>1403.9894947500002</v>
      </c>
      <c r="I97" s="22">
        <f>SUM(I38:I96)</f>
        <v>894.45321884000009</v>
      </c>
      <c r="J97" s="22">
        <f>SUM(J38:J96)</f>
        <v>2298.4427135900005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72FF2-135C-41F9-ACA6-C5223AE6BACB}">
  <sheetPr>
    <tabColor rgb="FF00B050"/>
  </sheetPr>
  <dimension ref="A1:J28"/>
  <sheetViews>
    <sheetView zoomScaleNormal="100" workbookViewId="0">
      <selection activeCell="E17" sqref="E17"/>
    </sheetView>
  </sheetViews>
  <sheetFormatPr baseColWidth="10" defaultColWidth="8.83203125" defaultRowHeight="15"/>
  <cols>
    <col min="1" max="1" width="16.6640625" bestFit="1" customWidth="1"/>
    <col min="2" max="2" width="38.1640625" bestFit="1" customWidth="1"/>
    <col min="3" max="3" width="14" customWidth="1"/>
    <col min="4" max="4" width="20.33203125" customWidth="1"/>
    <col min="5" max="5" width="15.83203125" bestFit="1" customWidth="1"/>
    <col min="6" max="6" width="16.33203125" customWidth="1"/>
    <col min="8" max="8" width="12" customWidth="1"/>
  </cols>
  <sheetData>
    <row r="1" spans="1:10">
      <c r="A1" s="9" t="s">
        <v>105</v>
      </c>
      <c r="B1" s="9"/>
      <c r="C1" s="9"/>
      <c r="D1" s="9"/>
      <c r="E1" s="9"/>
      <c r="F1" s="9"/>
      <c r="G1" s="9"/>
      <c r="H1" s="9"/>
    </row>
    <row r="2" spans="1:10">
      <c r="B2" t="s">
        <v>73</v>
      </c>
      <c r="C2" t="s">
        <v>113</v>
      </c>
      <c r="F2" t="s">
        <v>73</v>
      </c>
      <c r="G2" t="s">
        <v>113</v>
      </c>
    </row>
    <row r="3" spans="1:10">
      <c r="A3" t="s">
        <v>73</v>
      </c>
      <c r="B3" s="14">
        <f>SUMIF($G$8:$G$27,"USD",$F$8:$F$27)</f>
        <v>398691672.10999995</v>
      </c>
      <c r="C3" s="16">
        <f>B3/10^6</f>
        <v>398.69167210999996</v>
      </c>
      <c r="E3" t="s">
        <v>14</v>
      </c>
      <c r="F3" s="14">
        <f ca="1">SUMIF($H$8:$H$21,E3,$F$8:$F$19)</f>
        <v>155206228.97999999</v>
      </c>
      <c r="G3" s="16">
        <f ca="1">F3/10^6</f>
        <v>155.20622897999999</v>
      </c>
      <c r="J3" s="74" t="s">
        <v>622</v>
      </c>
    </row>
    <row r="4" spans="1:10">
      <c r="A4" t="s">
        <v>70</v>
      </c>
      <c r="B4" s="14">
        <f>SUMIF($G$8:$G$27,"THB",$F$8:$F$27)</f>
        <v>56291693.787417114</v>
      </c>
      <c r="C4" s="16">
        <f>B4/10^6</f>
        <v>56.291693787417117</v>
      </c>
      <c r="E4" t="s">
        <v>68</v>
      </c>
      <c r="F4" s="14">
        <f ca="1">SUMIF($H$8:$H$21,E4,$F$8:$F$19)</f>
        <v>299777136.91741711</v>
      </c>
      <c r="G4" s="16">
        <f ca="1">F4/10^6</f>
        <v>299.77713691741712</v>
      </c>
    </row>
    <row r="5" spans="1:10" ht="16" thickBot="1">
      <c r="A5" t="s">
        <v>71</v>
      </c>
      <c r="B5" s="15">
        <f>SUM(B3:B4)</f>
        <v>454983365.89741707</v>
      </c>
      <c r="C5" s="15">
        <f>SUM(C3:C4)</f>
        <v>454.98336589741706</v>
      </c>
      <c r="F5" s="15">
        <f ca="1">SUM(F3:F4)</f>
        <v>454983365.89741707</v>
      </c>
      <c r="G5" s="15">
        <f ca="1">SUM(G3:G4)</f>
        <v>454.98336589741712</v>
      </c>
    </row>
    <row r="6" spans="1:10" ht="16" thickTop="1">
      <c r="B6" s="24"/>
      <c r="C6" s="24"/>
    </row>
    <row r="7" spans="1:10">
      <c r="D7" s="12" t="s">
        <v>76</v>
      </c>
      <c r="E7" s="12" t="s">
        <v>73</v>
      </c>
      <c r="F7" s="12" t="s">
        <v>71</v>
      </c>
      <c r="G7" s="12" t="s">
        <v>103</v>
      </c>
      <c r="H7" s="12" t="s">
        <v>104</v>
      </c>
    </row>
    <row r="8" spans="1:10">
      <c r="A8" s="113" t="s">
        <v>77</v>
      </c>
      <c r="B8" s="113" t="s">
        <v>78</v>
      </c>
      <c r="C8" s="113" t="s">
        <v>79</v>
      </c>
      <c r="D8" s="114">
        <v>0</v>
      </c>
      <c r="E8" s="114">
        <f>VLOOKUP(A8,'JV&amp;SUB raw info'!$C:$F,4,FALSE)</f>
        <v>0</v>
      </c>
      <c r="F8" s="114">
        <f>D8+E8</f>
        <v>0</v>
      </c>
      <c r="G8" s="4" t="str">
        <f>IF(E8&gt;=0,"USD","THB")</f>
        <v>USD</v>
      </c>
      <c r="H8" s="5" t="str">
        <f>IF(OR((B8="SBO &amp;SKO"),(B8="Partex")),"Subsidiary","JV")</f>
        <v>JV</v>
      </c>
    </row>
    <row r="9" spans="1:10">
      <c r="A9" s="113" t="s">
        <v>80</v>
      </c>
      <c r="B9" s="113" t="s">
        <v>81</v>
      </c>
      <c r="C9" s="113" t="s">
        <v>79</v>
      </c>
      <c r="D9" s="114">
        <v>0</v>
      </c>
      <c r="E9" s="114">
        <f>VLOOKUP(A9,'JV&amp;SUB raw info'!$C:$F,4,FALSE)</f>
        <v>0</v>
      </c>
      <c r="F9" s="114">
        <f t="shared" ref="F9:F16" si="0">D9+E9</f>
        <v>0</v>
      </c>
      <c r="G9" s="4" t="str">
        <f>IF(E9&gt;=0,"USD","THB")</f>
        <v>USD</v>
      </c>
      <c r="H9" s="5" t="str">
        <f t="shared" ref="H9:H20" si="1">IF(OR((B9="SBO &amp;SKO"),(B9="Partex")),"Subsidiary","JV")</f>
        <v>JV</v>
      </c>
    </row>
    <row r="10" spans="1:10">
      <c r="A10" s="113" t="s">
        <v>82</v>
      </c>
      <c r="B10" s="113" t="s">
        <v>83</v>
      </c>
      <c r="C10" s="113" t="s">
        <v>79</v>
      </c>
      <c r="D10" s="114">
        <v>0</v>
      </c>
      <c r="E10" s="114">
        <f>VLOOKUP(A10,'JV&amp;SUB raw info'!$C:$F,4,FALSE)</f>
        <v>54529292.310000002</v>
      </c>
      <c r="F10" s="114">
        <f t="shared" si="0"/>
        <v>54529292.310000002</v>
      </c>
      <c r="G10" s="4" t="str">
        <f t="shared" ref="G10:G19" si="2">IF(E10&gt;0,"USD","THB")</f>
        <v>USD</v>
      </c>
      <c r="H10" s="5" t="str">
        <f t="shared" si="1"/>
        <v>JV</v>
      </c>
    </row>
    <row r="11" spans="1:10">
      <c r="A11" s="113" t="s">
        <v>84</v>
      </c>
      <c r="B11" s="113" t="s">
        <v>85</v>
      </c>
      <c r="C11" s="113" t="s">
        <v>79</v>
      </c>
      <c r="D11" s="114">
        <v>0</v>
      </c>
      <c r="E11" s="114">
        <f>VLOOKUP(A11,'JV&amp;SUB raw info'!$C:$F,4,FALSE)</f>
        <v>488053.17</v>
      </c>
      <c r="F11" s="114">
        <f t="shared" si="0"/>
        <v>488053.17</v>
      </c>
      <c r="G11" s="4" t="str">
        <f t="shared" si="2"/>
        <v>USD</v>
      </c>
      <c r="H11" s="5" t="str">
        <f t="shared" si="1"/>
        <v>JV</v>
      </c>
    </row>
    <row r="12" spans="1:10">
      <c r="A12" s="113" t="s">
        <v>86</v>
      </c>
      <c r="B12" s="113" t="s">
        <v>87</v>
      </c>
      <c r="C12" s="113" t="s">
        <v>88</v>
      </c>
      <c r="D12" s="114">
        <f>VLOOKUP(A12,'JV&amp;SUB raw info'!$C:$F,4,FALSE)</f>
        <v>54860819.880000003</v>
      </c>
      <c r="E12" s="114">
        <v>0</v>
      </c>
      <c r="F12" s="114">
        <f t="shared" si="0"/>
        <v>54860819.880000003</v>
      </c>
      <c r="G12" s="4" t="str">
        <f>IF(D12&gt;0,"THB","USD")</f>
        <v>THB</v>
      </c>
      <c r="H12" s="5" t="str">
        <f t="shared" si="1"/>
        <v>JV</v>
      </c>
    </row>
    <row r="13" spans="1:10">
      <c r="A13" s="113" t="s">
        <v>89</v>
      </c>
      <c r="B13" s="113" t="s">
        <v>90</v>
      </c>
      <c r="C13" s="113" t="s">
        <v>79</v>
      </c>
      <c r="D13" s="114">
        <v>0</v>
      </c>
      <c r="E13" s="114">
        <f>VLOOKUP(A13,'JV&amp;SUB raw info'!$C:$F,4,FALSE)</f>
        <v>0</v>
      </c>
      <c r="F13" s="114">
        <f t="shared" si="0"/>
        <v>0</v>
      </c>
      <c r="G13" s="4" t="str">
        <f>IF(E13&gt;=0,"USD","THB")</f>
        <v>USD</v>
      </c>
      <c r="H13" s="5" t="str">
        <f t="shared" si="1"/>
        <v>JV</v>
      </c>
    </row>
    <row r="14" spans="1:10">
      <c r="A14" s="113" t="s">
        <v>91</v>
      </c>
      <c r="B14" s="113" t="s">
        <v>92</v>
      </c>
      <c r="C14" s="113" t="s">
        <v>93</v>
      </c>
      <c r="D14" s="114">
        <v>0</v>
      </c>
      <c r="E14" s="114">
        <v>0</v>
      </c>
      <c r="F14" s="114">
        <f t="shared" si="0"/>
        <v>0</v>
      </c>
      <c r="G14" s="4" t="str">
        <f>IF(E14&gt;=0,"USD","THB")</f>
        <v>USD</v>
      </c>
      <c r="H14" s="5" t="str">
        <f t="shared" si="1"/>
        <v>JV</v>
      </c>
    </row>
    <row r="15" spans="1:10">
      <c r="A15" s="113" t="s">
        <v>94</v>
      </c>
      <c r="B15" s="113" t="s">
        <v>95</v>
      </c>
      <c r="C15" s="113" t="s">
        <v>96</v>
      </c>
      <c r="D15" s="114">
        <v>0</v>
      </c>
      <c r="E15" s="114">
        <f>VLOOKUP(A15,'JV&amp;SUB raw info'!$C:$F,4,FALSE)</f>
        <v>7165542.0999999996</v>
      </c>
      <c r="F15" s="114">
        <f t="shared" si="0"/>
        <v>7165542.0999999996</v>
      </c>
      <c r="G15" s="4" t="str">
        <f>IF(E15&gt;=0,"USD","THB")</f>
        <v>USD</v>
      </c>
      <c r="H15" s="5" t="str">
        <f t="shared" si="1"/>
        <v>JV</v>
      </c>
    </row>
    <row r="16" spans="1:10">
      <c r="A16" s="113" t="s">
        <v>97</v>
      </c>
      <c r="B16" s="113" t="s">
        <v>98</v>
      </c>
      <c r="C16" s="113" t="s">
        <v>99</v>
      </c>
      <c r="D16" s="114">
        <v>0</v>
      </c>
      <c r="E16" s="114">
        <f>VLOOKUP(A16,'JV&amp;SUB raw info'!$C:$F,4,FALSE)</f>
        <v>29909188.82</v>
      </c>
      <c r="F16" s="114">
        <f t="shared" si="0"/>
        <v>29909188.82</v>
      </c>
      <c r="G16" s="4" t="str">
        <f>IF(E16&gt;=0,"USD","THB")</f>
        <v>USD</v>
      </c>
      <c r="H16" s="5" t="str">
        <f t="shared" si="1"/>
        <v>JV</v>
      </c>
    </row>
    <row r="17" spans="1:10">
      <c r="A17" s="111" t="s">
        <v>100</v>
      </c>
      <c r="B17" s="111" t="s">
        <v>630</v>
      </c>
      <c r="C17" s="111" t="s">
        <v>101</v>
      </c>
      <c r="D17" s="112"/>
      <c r="E17" s="519">
        <f>'SKO&amp; SBO'!$E$47*10^3</f>
        <v>205529889</v>
      </c>
      <c r="F17" s="112">
        <f>D17+E17</f>
        <v>205529889</v>
      </c>
      <c r="G17" s="4" t="str">
        <f t="shared" si="2"/>
        <v>USD</v>
      </c>
      <c r="H17" s="5" t="str">
        <f>IF(OR((B17="SBO&amp;SKO"),(B17="Partex")),"Subsidiary","JV")</f>
        <v>Subsidiary</v>
      </c>
      <c r="J17" t="str">
        <f>B17&amp;" "&amp;ROUNDDOWN((F17/10^6),0)&amp;"M$"</f>
        <v>SBO&amp;SKO 205M$</v>
      </c>
    </row>
    <row r="18" spans="1:10">
      <c r="A18" s="111" t="s">
        <v>1468</v>
      </c>
      <c r="B18" s="111" t="s">
        <v>1573</v>
      </c>
      <c r="C18" s="111" t="s">
        <v>88</v>
      </c>
      <c r="D18" s="536">
        <f>ARV!F16</f>
        <v>1430873.907417112</v>
      </c>
      <c r="E18" s="112"/>
      <c r="F18" s="112">
        <f>D18+E18</f>
        <v>1430873.907417112</v>
      </c>
      <c r="G18" s="4" t="s">
        <v>70</v>
      </c>
      <c r="H18" s="5" t="s">
        <v>68</v>
      </c>
    </row>
    <row r="19" spans="1:10">
      <c r="A19" s="111" t="s">
        <v>1468</v>
      </c>
      <c r="B19" s="111" t="s">
        <v>102</v>
      </c>
      <c r="C19" s="111"/>
      <c r="D19" s="112"/>
      <c r="E19" s="536">
        <f xml:space="preserve"> 2787721.89+ 63961878.42+ 100567.06+77148.44+14652389.48+ 11109758.7+77374.06+49535.96</f>
        <v>92816374.010000005</v>
      </c>
      <c r="F19" s="112">
        <f>D19+E19</f>
        <v>92816374.010000005</v>
      </c>
      <c r="G19" s="4" t="str">
        <f t="shared" si="2"/>
        <v>USD</v>
      </c>
      <c r="H19" s="5" t="str">
        <f t="shared" si="1"/>
        <v>Subsidiary</v>
      </c>
      <c r="J19" t="str">
        <f>B19&amp;" "&amp;ROUNDDOWN((F19/10^6),0)&amp;"M$"</f>
        <v>Partex 92M$</v>
      </c>
    </row>
    <row r="20" spans="1:10">
      <c r="A20" s="111" t="s">
        <v>1468</v>
      </c>
      <c r="B20" s="111" t="s">
        <v>1499</v>
      </c>
      <c r="C20" s="111" t="s">
        <v>96</v>
      </c>
      <c r="D20" s="112"/>
      <c r="E20" s="127">
        <f>6029049.21+2224283.49</f>
        <v>8253332.7000000002</v>
      </c>
      <c r="F20" s="112">
        <f>D20+E20</f>
        <v>8253332.7000000002</v>
      </c>
      <c r="G20" s="4" t="s">
        <v>73</v>
      </c>
      <c r="H20" s="5" t="str">
        <f t="shared" si="1"/>
        <v>JV</v>
      </c>
    </row>
    <row r="21" spans="1:10">
      <c r="A21" s="13"/>
      <c r="B21" s="6" t="s">
        <v>71</v>
      </c>
      <c r="C21" s="6"/>
      <c r="D21" s="7">
        <f>SUM(D8:D19)</f>
        <v>56291693.787417114</v>
      </c>
      <c r="E21" s="7">
        <f>SUM(E8:E20)</f>
        <v>398691672.10999995</v>
      </c>
      <c r="F21" s="7">
        <f>D21+E21</f>
        <v>454983365.89741707</v>
      </c>
      <c r="G21" s="4"/>
      <c r="H21" s="5"/>
    </row>
    <row r="23" spans="1:10">
      <c r="A23" s="113"/>
      <c r="B23" t="s">
        <v>702</v>
      </c>
      <c r="D23" t="s">
        <v>1464</v>
      </c>
      <c r="E23" s="126">
        <f>2794028.94+31682094.44+100567.06+ 77148.44+14652226.47+11309758.7+77374.06+49535.96</f>
        <v>60742734.07</v>
      </c>
    </row>
    <row r="24" spans="1:10">
      <c r="A24" s="85"/>
    </row>
    <row r="25" spans="1:10">
      <c r="F25" s="126"/>
    </row>
    <row r="26" spans="1:10">
      <c r="F26" s="126"/>
    </row>
    <row r="27" spans="1:10">
      <c r="F27" s="126"/>
    </row>
    <row r="28" spans="1:10">
      <c r="F28" s="126"/>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288C0-CCE6-4404-A029-9D06263F9E50}">
  <dimension ref="A3:B61"/>
  <sheetViews>
    <sheetView workbookViewId="0">
      <selection activeCell="B6" sqref="B6:B7"/>
    </sheetView>
  </sheetViews>
  <sheetFormatPr baseColWidth="10" defaultColWidth="8.83203125" defaultRowHeight="15"/>
  <cols>
    <col min="1" max="1" width="43" bestFit="1" customWidth="1"/>
    <col min="2" max="2" width="16" style="126" bestFit="1" customWidth="1"/>
  </cols>
  <sheetData>
    <row r="3" spans="1:2">
      <c r="A3" s="197" t="s">
        <v>972</v>
      </c>
    </row>
    <row r="4" spans="1:2">
      <c r="A4" s="197" t="s">
        <v>122</v>
      </c>
      <c r="B4" s="126" t="s">
        <v>71</v>
      </c>
    </row>
    <row r="5" spans="1:2">
      <c r="A5" t="s">
        <v>140</v>
      </c>
      <c r="B5" s="126">
        <v>225152874.09999999</v>
      </c>
    </row>
    <row r="6" spans="1:2">
      <c r="A6" t="s">
        <v>186</v>
      </c>
      <c r="B6" s="126">
        <v>157271626.00999999</v>
      </c>
    </row>
    <row r="7" spans="1:2">
      <c r="A7" t="s">
        <v>219</v>
      </c>
      <c r="B7" s="126">
        <v>5535868.3300000001</v>
      </c>
    </row>
    <row r="8" spans="1:2">
      <c r="A8" t="s">
        <v>231</v>
      </c>
      <c r="B8" s="126">
        <v>2363312.62</v>
      </c>
    </row>
    <row r="9" spans="1:2">
      <c r="A9" t="s">
        <v>236</v>
      </c>
      <c r="B9" s="126">
        <v>0</v>
      </c>
    </row>
    <row r="10" spans="1:2">
      <c r="A10" t="s">
        <v>239</v>
      </c>
      <c r="B10" s="126">
        <v>0</v>
      </c>
    </row>
    <row r="11" spans="1:2">
      <c r="A11" t="s">
        <v>242</v>
      </c>
      <c r="B11" s="126">
        <v>38268480.310000002</v>
      </c>
    </row>
    <row r="12" spans="1:2">
      <c r="A12" t="s">
        <v>247</v>
      </c>
      <c r="B12" s="126">
        <v>43086615.359999999</v>
      </c>
    </row>
    <row r="13" spans="1:2">
      <c r="A13" t="s">
        <v>253</v>
      </c>
      <c r="B13" s="126">
        <v>567199.61</v>
      </c>
    </row>
    <row r="14" spans="1:2">
      <c r="A14" t="s">
        <v>258</v>
      </c>
      <c r="B14" s="126">
        <v>67213.759999999995</v>
      </c>
    </row>
    <row r="15" spans="1:2">
      <c r="A15" t="s">
        <v>262</v>
      </c>
      <c r="B15" s="126">
        <v>191951453.39000002</v>
      </c>
    </row>
    <row r="16" spans="1:2">
      <c r="A16" t="s">
        <v>277</v>
      </c>
      <c r="B16" s="126">
        <v>36678882.510000005</v>
      </c>
    </row>
    <row r="17" spans="1:2">
      <c r="A17" t="s">
        <v>281</v>
      </c>
      <c r="B17" s="126">
        <v>0</v>
      </c>
    </row>
    <row r="18" spans="1:2">
      <c r="A18" t="s">
        <v>284</v>
      </c>
      <c r="B18" s="126">
        <v>0</v>
      </c>
    </row>
    <row r="19" spans="1:2">
      <c r="A19" t="s">
        <v>287</v>
      </c>
      <c r="B19" s="126">
        <v>0</v>
      </c>
    </row>
    <row r="20" spans="1:2">
      <c r="A20" t="s">
        <v>290</v>
      </c>
      <c r="B20" s="126">
        <v>8947717.8300000001</v>
      </c>
    </row>
    <row r="21" spans="1:2">
      <c r="A21" t="s">
        <v>308</v>
      </c>
      <c r="B21" s="126">
        <v>28357403.469999999</v>
      </c>
    </row>
    <row r="22" spans="1:2">
      <c r="A22" t="s">
        <v>315</v>
      </c>
      <c r="B22" s="126">
        <v>0</v>
      </c>
    </row>
    <row r="23" spans="1:2">
      <c r="A23" t="s">
        <v>318</v>
      </c>
      <c r="B23" s="126">
        <v>405380.99</v>
      </c>
    </row>
    <row r="24" spans="1:2">
      <c r="A24" t="s">
        <v>323</v>
      </c>
      <c r="B24" s="126">
        <v>0</v>
      </c>
    </row>
    <row r="25" spans="1:2">
      <c r="A25" t="s">
        <v>327</v>
      </c>
      <c r="B25" s="126">
        <v>18819.11</v>
      </c>
    </row>
    <row r="26" spans="1:2">
      <c r="A26" t="s">
        <v>332</v>
      </c>
      <c r="B26" s="126">
        <v>0</v>
      </c>
    </row>
    <row r="27" spans="1:2">
      <c r="A27" t="s">
        <v>335</v>
      </c>
      <c r="B27" s="126">
        <v>0</v>
      </c>
    </row>
    <row r="28" spans="1:2">
      <c r="A28" t="s">
        <v>338</v>
      </c>
      <c r="B28" s="126">
        <v>160741.13</v>
      </c>
    </row>
    <row r="29" spans="1:2">
      <c r="A29" t="s">
        <v>343</v>
      </c>
      <c r="B29" s="126">
        <v>5944548.8300000001</v>
      </c>
    </row>
    <row r="30" spans="1:2">
      <c r="A30" t="s">
        <v>348</v>
      </c>
      <c r="B30" s="126">
        <v>907115.5</v>
      </c>
    </row>
    <row r="31" spans="1:2">
      <c r="A31" t="s">
        <v>354</v>
      </c>
      <c r="B31" s="126">
        <v>0</v>
      </c>
    </row>
    <row r="32" spans="1:2">
      <c r="A32" t="s">
        <v>362</v>
      </c>
      <c r="B32" s="126">
        <v>2514649.16</v>
      </c>
    </row>
    <row r="33" spans="1:2">
      <c r="A33" t="s">
        <v>367</v>
      </c>
      <c r="B33" s="126">
        <v>589499.94999999995</v>
      </c>
    </row>
    <row r="34" spans="1:2">
      <c r="A34" t="s">
        <v>368</v>
      </c>
      <c r="B34" s="126">
        <v>7532938.0599999996</v>
      </c>
    </row>
    <row r="35" spans="1:2">
      <c r="A35" t="s">
        <v>388</v>
      </c>
      <c r="B35" s="126">
        <v>689840.87</v>
      </c>
    </row>
    <row r="36" spans="1:2">
      <c r="A36" t="s">
        <v>394</v>
      </c>
      <c r="B36" s="126">
        <v>2748748.56</v>
      </c>
    </row>
    <row r="37" spans="1:2">
      <c r="A37" t="s">
        <v>398</v>
      </c>
      <c r="B37" s="126">
        <v>27623.56</v>
      </c>
    </row>
    <row r="38" spans="1:2">
      <c r="A38" t="s">
        <v>402</v>
      </c>
      <c r="B38" s="126">
        <v>10054131.140000001</v>
      </c>
    </row>
    <row r="39" spans="1:2">
      <c r="A39" t="s">
        <v>406</v>
      </c>
      <c r="B39" s="126">
        <v>39680.159999999996</v>
      </c>
    </row>
    <row r="40" spans="1:2">
      <c r="A40" t="s">
        <v>409</v>
      </c>
      <c r="B40" s="126">
        <v>62303.69</v>
      </c>
    </row>
    <row r="41" spans="1:2">
      <c r="A41" t="s">
        <v>413</v>
      </c>
      <c r="B41" s="126">
        <v>1908378.05</v>
      </c>
    </row>
    <row r="42" spans="1:2">
      <c r="A42" t="s">
        <v>419</v>
      </c>
      <c r="B42" s="126">
        <v>2209771.86</v>
      </c>
    </row>
    <row r="43" spans="1:2">
      <c r="A43" t="s">
        <v>427</v>
      </c>
      <c r="B43" s="126">
        <v>0</v>
      </c>
    </row>
    <row r="44" spans="1:2">
      <c r="A44" t="s">
        <v>431</v>
      </c>
      <c r="B44" s="126">
        <v>75080970.970000014</v>
      </c>
    </row>
    <row r="45" spans="1:2">
      <c r="A45" t="s">
        <v>443</v>
      </c>
      <c r="B45" s="126">
        <v>7048322.3899999997</v>
      </c>
    </row>
    <row r="46" spans="1:2">
      <c r="A46" t="s">
        <v>446</v>
      </c>
      <c r="B46" s="126">
        <v>272099721.99000001</v>
      </c>
    </row>
    <row r="47" spans="1:2">
      <c r="A47" t="s">
        <v>460</v>
      </c>
      <c r="B47" s="126">
        <v>13867516.869999999</v>
      </c>
    </row>
    <row r="48" spans="1:2">
      <c r="A48" t="s">
        <v>463</v>
      </c>
      <c r="B48" s="126">
        <v>25797211.859999999</v>
      </c>
    </row>
    <row r="49" spans="1:2">
      <c r="A49" t="s">
        <v>498</v>
      </c>
      <c r="B49" s="126">
        <v>0</v>
      </c>
    </row>
    <row r="50" spans="1:2">
      <c r="A50" t="s">
        <v>502</v>
      </c>
      <c r="B50" s="126">
        <v>2903834.92</v>
      </c>
    </row>
    <row r="51" spans="1:2">
      <c r="A51" t="s">
        <v>506</v>
      </c>
      <c r="B51" s="126">
        <v>10860568.359999999</v>
      </c>
    </row>
    <row r="52" spans="1:2">
      <c r="A52" t="s">
        <v>510</v>
      </c>
      <c r="B52" s="126">
        <v>23164125.119999997</v>
      </c>
    </row>
    <row r="53" spans="1:2">
      <c r="A53" t="s">
        <v>516</v>
      </c>
      <c r="B53" s="126">
        <v>0</v>
      </c>
    </row>
    <row r="54" spans="1:2">
      <c r="A54" t="s">
        <v>520</v>
      </c>
      <c r="B54" s="126">
        <v>106558620.05</v>
      </c>
    </row>
    <row r="55" spans="1:2">
      <c r="A55" t="s">
        <v>536</v>
      </c>
      <c r="B55" s="126">
        <v>0</v>
      </c>
    </row>
    <row r="56" spans="1:2">
      <c r="A56" t="s">
        <v>539</v>
      </c>
      <c r="B56" s="126">
        <v>0</v>
      </c>
    </row>
    <row r="57" spans="1:2">
      <c r="A57" t="s">
        <v>543</v>
      </c>
      <c r="B57" s="126">
        <v>29422.770000000004</v>
      </c>
    </row>
    <row r="58" spans="1:2">
      <c r="A58" t="s">
        <v>546</v>
      </c>
      <c r="B58" s="126">
        <v>8113625.2600000007</v>
      </c>
    </row>
    <row r="59" spans="1:2">
      <c r="A59" t="s">
        <v>552</v>
      </c>
      <c r="B59" s="126">
        <v>7855148.8699999992</v>
      </c>
    </row>
    <row r="60" spans="1:2">
      <c r="A60" t="s">
        <v>950</v>
      </c>
    </row>
    <row r="61" spans="1:2">
      <c r="A61" t="s">
        <v>808</v>
      </c>
      <c r="B61" s="126">
        <v>1327441907.3499994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AE99E-47D3-45A0-A347-E7470D72C687}">
  <sheetPr>
    <tabColor theme="7" tint="0.79998168889431442"/>
  </sheetPr>
  <dimension ref="A1:F94"/>
  <sheetViews>
    <sheetView zoomScale="60" zoomScaleNormal="60" workbookViewId="0">
      <pane xSplit="5" ySplit="3" topLeftCell="F46" activePane="bottomRight" state="frozen"/>
      <selection pane="topRight" activeCell="L133" sqref="L133"/>
      <selection pane="bottomLeft" activeCell="L133" sqref="L133"/>
      <selection pane="bottomRight" activeCell="E58" sqref="E58"/>
    </sheetView>
  </sheetViews>
  <sheetFormatPr baseColWidth="10" defaultColWidth="9" defaultRowHeight="13"/>
  <cols>
    <col min="1" max="1" width="24.6640625" style="100" customWidth="1"/>
    <col min="2" max="2" width="9" style="493"/>
    <col min="3" max="3" width="12" style="100" customWidth="1"/>
    <col min="4" max="4" width="59.6640625" style="100" customWidth="1"/>
    <col min="5" max="5" width="28.33203125" style="100" customWidth="1"/>
    <col min="6" max="6" width="29" style="100" customWidth="1"/>
    <col min="7" max="16384" width="9" style="100"/>
  </cols>
  <sheetData>
    <row r="1" spans="1:6">
      <c r="E1" s="101"/>
    </row>
    <row r="2" spans="1:6">
      <c r="D2" s="100" t="s">
        <v>652</v>
      </c>
      <c r="E2" s="102">
        <v>32.901800000000001</v>
      </c>
    </row>
    <row r="3" spans="1:6" ht="14">
      <c r="F3" s="103" t="s">
        <v>1571</v>
      </c>
    </row>
    <row r="4" spans="1:6" ht="14">
      <c r="A4" s="104" t="s">
        <v>142</v>
      </c>
      <c r="B4" s="493" t="s">
        <v>140</v>
      </c>
      <c r="C4" s="105" t="s">
        <v>832</v>
      </c>
      <c r="D4" s="106" t="s">
        <v>833</v>
      </c>
      <c r="E4" s="106" t="s">
        <v>700</v>
      </c>
      <c r="F4" s="107">
        <v>788461604.79999995</v>
      </c>
    </row>
    <row r="5" spans="1:6" ht="14">
      <c r="A5" s="104" t="s">
        <v>188</v>
      </c>
      <c r="B5" s="493" t="s">
        <v>186</v>
      </c>
      <c r="C5" s="105" t="s">
        <v>834</v>
      </c>
      <c r="D5" s="106" t="s">
        <v>835</v>
      </c>
      <c r="E5" s="106" t="s">
        <v>700</v>
      </c>
      <c r="F5" s="107">
        <v>116361525.48999999</v>
      </c>
    </row>
    <row r="6" spans="1:6" ht="14">
      <c r="A6" s="104" t="s">
        <v>230</v>
      </c>
      <c r="B6" s="493" t="s">
        <v>219</v>
      </c>
      <c r="C6" s="105" t="s">
        <v>836</v>
      </c>
      <c r="D6" s="106" t="s">
        <v>837</v>
      </c>
      <c r="E6" s="106" t="s">
        <v>700</v>
      </c>
      <c r="F6" s="107">
        <v>4329204.22</v>
      </c>
    </row>
    <row r="7" spans="1:6" ht="14">
      <c r="A7" s="104" t="s">
        <v>234</v>
      </c>
      <c r="B7" s="493" t="s">
        <v>231</v>
      </c>
      <c r="C7" s="105" t="s">
        <v>838</v>
      </c>
      <c r="D7" s="106" t="s">
        <v>839</v>
      </c>
      <c r="E7" s="106" t="s">
        <v>700</v>
      </c>
      <c r="F7" s="107">
        <v>2560619.7999999998</v>
      </c>
    </row>
    <row r="8" spans="1:6" ht="14">
      <c r="A8" s="440" t="s">
        <v>238</v>
      </c>
      <c r="B8" s="493" t="s">
        <v>236</v>
      </c>
      <c r="C8" s="105" t="s">
        <v>77</v>
      </c>
      <c r="D8" s="106" t="s">
        <v>78</v>
      </c>
      <c r="E8" s="106" t="s">
        <v>700</v>
      </c>
      <c r="F8" s="107">
        <v>0</v>
      </c>
    </row>
    <row r="9" spans="1:6" ht="14">
      <c r="A9" s="440" t="s">
        <v>241</v>
      </c>
      <c r="B9" s="493" t="s">
        <v>239</v>
      </c>
      <c r="C9" s="105" t="s">
        <v>80</v>
      </c>
      <c r="D9" s="106" t="s">
        <v>81</v>
      </c>
      <c r="E9" s="106" t="s">
        <v>700</v>
      </c>
      <c r="F9" s="107">
        <v>0</v>
      </c>
    </row>
    <row r="10" spans="1:6" ht="14">
      <c r="A10" s="324" t="s">
        <v>1504</v>
      </c>
      <c r="B10" s="493" t="s">
        <v>1505</v>
      </c>
      <c r="C10" s="105" t="s">
        <v>82</v>
      </c>
      <c r="D10" s="106" t="s">
        <v>83</v>
      </c>
      <c r="E10" s="106" t="s">
        <v>700</v>
      </c>
      <c r="F10" s="107">
        <v>54529292.310000002</v>
      </c>
    </row>
    <row r="11" spans="1:6" ht="14">
      <c r="A11" s="324" t="s">
        <v>1506</v>
      </c>
      <c r="B11" s="493" t="s">
        <v>1507</v>
      </c>
      <c r="C11" s="105" t="s">
        <v>84</v>
      </c>
      <c r="D11" s="106" t="s">
        <v>85</v>
      </c>
      <c r="E11" s="106" t="s">
        <v>700</v>
      </c>
      <c r="F11" s="107">
        <v>488053.17</v>
      </c>
    </row>
    <row r="12" spans="1:6" ht="14">
      <c r="A12" s="104" t="s">
        <v>244</v>
      </c>
      <c r="B12" s="493" t="s">
        <v>242</v>
      </c>
      <c r="C12" s="105" t="s">
        <v>840</v>
      </c>
      <c r="D12" s="106" t="s">
        <v>841</v>
      </c>
      <c r="E12" s="106" t="s">
        <v>700</v>
      </c>
      <c r="F12" s="107">
        <v>22318965.289999999</v>
      </c>
    </row>
    <row r="13" spans="1:6" ht="14">
      <c r="A13" s="104" t="s">
        <v>249</v>
      </c>
      <c r="B13" s="493" t="s">
        <v>247</v>
      </c>
      <c r="C13" s="105" t="s">
        <v>842</v>
      </c>
      <c r="D13" s="106" t="s">
        <v>843</v>
      </c>
      <c r="E13" s="106" t="s">
        <v>700</v>
      </c>
      <c r="F13" s="107">
        <v>27564384.760000002</v>
      </c>
    </row>
    <row r="14" spans="1:6" ht="14">
      <c r="A14" s="104" t="s">
        <v>255</v>
      </c>
      <c r="B14" s="493" t="s">
        <v>253</v>
      </c>
      <c r="C14" s="105" t="s">
        <v>844</v>
      </c>
      <c r="D14" s="106" t="s">
        <v>845</v>
      </c>
      <c r="E14" s="106" t="s">
        <v>700</v>
      </c>
      <c r="F14" s="107">
        <v>62138.53</v>
      </c>
    </row>
    <row r="15" spans="1:6" ht="14">
      <c r="A15" s="104" t="s">
        <v>260</v>
      </c>
      <c r="B15" s="493" t="s">
        <v>258</v>
      </c>
      <c r="C15" s="105" t="s">
        <v>846</v>
      </c>
      <c r="D15" s="106" t="s">
        <v>847</v>
      </c>
      <c r="E15" s="106" t="s">
        <v>700</v>
      </c>
      <c r="F15" s="107">
        <v>7086956.0857793996</v>
      </c>
    </row>
    <row r="16" spans="1:6" ht="14">
      <c r="A16" s="104" t="s">
        <v>264</v>
      </c>
      <c r="B16" s="493" t="s">
        <v>262</v>
      </c>
      <c r="C16" s="105" t="s">
        <v>848</v>
      </c>
      <c r="D16" s="106" t="s">
        <v>849</v>
      </c>
      <c r="E16" s="106" t="s">
        <v>700</v>
      </c>
      <c r="F16" s="107">
        <v>136561662.93000001</v>
      </c>
    </row>
    <row r="17" spans="1:6" ht="14">
      <c r="A17" s="104" t="s">
        <v>279</v>
      </c>
      <c r="B17" s="493" t="s">
        <v>277</v>
      </c>
      <c r="C17" s="105" t="s">
        <v>850</v>
      </c>
      <c r="D17" s="106" t="s">
        <v>851</v>
      </c>
      <c r="E17" s="106" t="s">
        <v>700</v>
      </c>
      <c r="F17" s="107">
        <v>184541147.04526851</v>
      </c>
    </row>
    <row r="18" spans="1:6" ht="14">
      <c r="A18" s="324" t="s">
        <v>1508</v>
      </c>
      <c r="B18" s="493" t="s">
        <v>1509</v>
      </c>
      <c r="C18" s="105" t="s">
        <v>86</v>
      </c>
      <c r="D18" s="106" t="s">
        <v>87</v>
      </c>
      <c r="E18" s="106" t="s">
        <v>700</v>
      </c>
      <c r="F18" s="107">
        <v>54860819.880000003</v>
      </c>
    </row>
    <row r="19" spans="1:6" ht="14">
      <c r="A19" s="104" t="s">
        <v>1510</v>
      </c>
      <c r="B19" s="493" t="s">
        <v>1511</v>
      </c>
      <c r="C19" s="105" t="s">
        <v>852</v>
      </c>
      <c r="D19" s="106" t="s">
        <v>853</v>
      </c>
      <c r="E19" s="106" t="s">
        <v>700</v>
      </c>
      <c r="F19" s="107">
        <v>0</v>
      </c>
    </row>
    <row r="20" spans="1:6" ht="14">
      <c r="A20" s="104" t="s">
        <v>283</v>
      </c>
      <c r="B20" s="493" t="s">
        <v>281</v>
      </c>
      <c r="C20" s="105" t="s">
        <v>854</v>
      </c>
      <c r="D20" s="106" t="s">
        <v>855</v>
      </c>
      <c r="E20" s="106" t="s">
        <v>700</v>
      </c>
      <c r="F20" s="107">
        <v>0</v>
      </c>
    </row>
    <row r="21" spans="1:6" ht="14">
      <c r="A21" s="104" t="s">
        <v>286</v>
      </c>
      <c r="B21" s="493" t="s">
        <v>284</v>
      </c>
      <c r="C21" s="105" t="s">
        <v>856</v>
      </c>
      <c r="D21" s="106" t="s">
        <v>857</v>
      </c>
      <c r="E21" s="106" t="s">
        <v>700</v>
      </c>
      <c r="F21" s="107">
        <v>0</v>
      </c>
    </row>
    <row r="22" spans="1:6" ht="14">
      <c r="A22" s="104" t="s">
        <v>1512</v>
      </c>
      <c r="B22" s="493" t="s">
        <v>1513</v>
      </c>
      <c r="C22" s="105" t="s">
        <v>858</v>
      </c>
      <c r="D22" s="106" t="s">
        <v>859</v>
      </c>
      <c r="E22" s="106" t="s">
        <v>700</v>
      </c>
      <c r="F22" s="107">
        <v>0</v>
      </c>
    </row>
    <row r="23" spans="1:6" ht="14">
      <c r="A23" s="104" t="s">
        <v>289</v>
      </c>
      <c r="B23" s="493" t="s">
        <v>287</v>
      </c>
      <c r="C23" s="105" t="s">
        <v>860</v>
      </c>
      <c r="D23" s="106" t="s">
        <v>861</v>
      </c>
      <c r="E23" s="106" t="s">
        <v>700</v>
      </c>
      <c r="F23" s="107">
        <v>0</v>
      </c>
    </row>
    <row r="24" spans="1:6" ht="14">
      <c r="A24" s="104" t="s">
        <v>292</v>
      </c>
      <c r="B24" s="493" t="s">
        <v>290</v>
      </c>
      <c r="C24" s="105" t="s">
        <v>862</v>
      </c>
      <c r="D24" s="106" t="s">
        <v>863</v>
      </c>
      <c r="E24" s="106" t="s">
        <v>700</v>
      </c>
      <c r="F24" s="107">
        <v>9369884.4700000007</v>
      </c>
    </row>
    <row r="25" spans="1:6" ht="14">
      <c r="A25" s="104" t="s">
        <v>1514</v>
      </c>
      <c r="B25" s="493" t="s">
        <v>1515</v>
      </c>
      <c r="C25" s="105" t="s">
        <v>864</v>
      </c>
      <c r="D25" s="106" t="s">
        <v>865</v>
      </c>
      <c r="E25" s="106" t="s">
        <v>700</v>
      </c>
      <c r="F25" s="107">
        <v>0</v>
      </c>
    </row>
    <row r="26" spans="1:6" ht="14">
      <c r="A26" s="104" t="s">
        <v>1516</v>
      </c>
      <c r="B26" s="493" t="s">
        <v>1517</v>
      </c>
      <c r="C26" s="105" t="s">
        <v>866</v>
      </c>
      <c r="D26" s="106" t="s">
        <v>867</v>
      </c>
      <c r="E26" s="106" t="s">
        <v>700</v>
      </c>
      <c r="F26" s="107">
        <v>6970688.8099999996</v>
      </c>
    </row>
    <row r="27" spans="1:6" ht="14">
      <c r="A27" s="104" t="s">
        <v>1518</v>
      </c>
      <c r="B27" s="493" t="s">
        <v>1519</v>
      </c>
      <c r="C27" s="105" t="s">
        <v>868</v>
      </c>
      <c r="D27" s="106" t="s">
        <v>869</v>
      </c>
      <c r="E27" s="106" t="s">
        <v>700</v>
      </c>
      <c r="F27" s="107">
        <v>63979802.990000002</v>
      </c>
    </row>
    <row r="28" spans="1:6" ht="14">
      <c r="A28" s="104" t="s">
        <v>317</v>
      </c>
      <c r="B28" s="493" t="s">
        <v>315</v>
      </c>
      <c r="C28" s="105" t="s">
        <v>870</v>
      </c>
      <c r="D28" s="106" t="s">
        <v>871</v>
      </c>
      <c r="E28" s="106" t="s">
        <v>700</v>
      </c>
      <c r="F28" s="107">
        <v>0</v>
      </c>
    </row>
    <row r="29" spans="1:6" ht="14">
      <c r="A29" s="104" t="s">
        <v>320</v>
      </c>
      <c r="B29" s="493" t="s">
        <v>318</v>
      </c>
      <c r="C29" s="105" t="s">
        <v>872</v>
      </c>
      <c r="D29" s="106" t="s">
        <v>873</v>
      </c>
      <c r="E29" s="106" t="s">
        <v>700</v>
      </c>
      <c r="F29" s="107">
        <v>400291.01</v>
      </c>
    </row>
    <row r="30" spans="1:6" ht="14">
      <c r="A30" s="104" t="s">
        <v>326</v>
      </c>
      <c r="B30" s="493" t="s">
        <v>323</v>
      </c>
      <c r="C30" s="105" t="s">
        <v>874</v>
      </c>
      <c r="D30" s="106" t="s">
        <v>875</v>
      </c>
      <c r="E30" s="106" t="s">
        <v>700</v>
      </c>
      <c r="F30" s="107">
        <v>0</v>
      </c>
    </row>
    <row r="31" spans="1:6" ht="14">
      <c r="A31" s="104" t="s">
        <v>329</v>
      </c>
      <c r="B31" s="493" t="s">
        <v>327</v>
      </c>
      <c r="C31" s="105" t="s">
        <v>876</v>
      </c>
      <c r="D31" s="106" t="s">
        <v>877</v>
      </c>
      <c r="E31" s="106" t="s">
        <v>700</v>
      </c>
      <c r="F31" s="107">
        <v>18858.97</v>
      </c>
    </row>
    <row r="32" spans="1:6" ht="14">
      <c r="A32" s="104" t="s">
        <v>1520</v>
      </c>
      <c r="B32" s="493" t="s">
        <v>1521</v>
      </c>
      <c r="C32" s="105" t="s">
        <v>878</v>
      </c>
      <c r="D32" s="106" t="s">
        <v>879</v>
      </c>
      <c r="E32" s="106" t="s">
        <v>700</v>
      </c>
      <c r="F32" s="107">
        <v>0</v>
      </c>
    </row>
    <row r="33" spans="1:6" ht="14">
      <c r="A33" s="104" t="s">
        <v>334</v>
      </c>
      <c r="B33" s="493" t="s">
        <v>332</v>
      </c>
      <c r="C33" s="105" t="s">
        <v>880</v>
      </c>
      <c r="D33" s="106" t="s">
        <v>881</v>
      </c>
      <c r="E33" s="106" t="s">
        <v>700</v>
      </c>
      <c r="F33" s="107">
        <v>0</v>
      </c>
    </row>
    <row r="34" spans="1:6" ht="14">
      <c r="A34" s="104" t="s">
        <v>337</v>
      </c>
      <c r="B34" s="493" t="s">
        <v>335</v>
      </c>
      <c r="C34" s="105" t="s">
        <v>882</v>
      </c>
      <c r="D34" s="106" t="s">
        <v>883</v>
      </c>
      <c r="E34" s="106" t="s">
        <v>700</v>
      </c>
      <c r="F34" s="107">
        <v>0</v>
      </c>
    </row>
    <row r="35" spans="1:6" ht="14">
      <c r="A35" s="104" t="s">
        <v>340</v>
      </c>
      <c r="B35" s="493" t="s">
        <v>338</v>
      </c>
      <c r="C35" s="105" t="s">
        <v>884</v>
      </c>
      <c r="D35" s="106" t="s">
        <v>885</v>
      </c>
      <c r="E35" s="106" t="s">
        <v>700</v>
      </c>
      <c r="F35" s="107">
        <v>109324.81</v>
      </c>
    </row>
    <row r="36" spans="1:6" ht="14">
      <c r="A36" s="104" t="s">
        <v>346</v>
      </c>
      <c r="B36" s="493" t="s">
        <v>343</v>
      </c>
      <c r="C36" s="105" t="s">
        <v>886</v>
      </c>
      <c r="D36" s="106" t="s">
        <v>887</v>
      </c>
      <c r="E36" s="106" t="s">
        <v>700</v>
      </c>
      <c r="F36" s="107">
        <v>1527727.7415998001</v>
      </c>
    </row>
    <row r="37" spans="1:6" ht="14">
      <c r="A37" s="104" t="s">
        <v>350</v>
      </c>
      <c r="B37" s="493" t="s">
        <v>348</v>
      </c>
      <c r="C37" s="105" t="s">
        <v>888</v>
      </c>
      <c r="D37" s="106" t="s">
        <v>889</v>
      </c>
      <c r="E37" s="106" t="s">
        <v>700</v>
      </c>
      <c r="F37" s="107">
        <v>323899.48</v>
      </c>
    </row>
    <row r="38" spans="1:6" ht="14">
      <c r="A38" s="104" t="s">
        <v>356</v>
      </c>
      <c r="B38" s="493" t="s">
        <v>354</v>
      </c>
      <c r="C38" s="105" t="s">
        <v>890</v>
      </c>
      <c r="D38" s="106" t="s">
        <v>891</v>
      </c>
      <c r="E38" s="106" t="s">
        <v>700</v>
      </c>
      <c r="F38" s="107">
        <v>0</v>
      </c>
    </row>
    <row r="39" spans="1:6" ht="14">
      <c r="A39" s="104" t="s">
        <v>365</v>
      </c>
      <c r="B39" s="493" t="s">
        <v>362</v>
      </c>
      <c r="C39" s="105" t="s">
        <v>892</v>
      </c>
      <c r="D39" s="106" t="s">
        <v>893</v>
      </c>
      <c r="E39" s="106" t="s">
        <v>700</v>
      </c>
      <c r="F39" s="107">
        <v>2898221.76</v>
      </c>
    </row>
    <row r="40" spans="1:6" ht="14">
      <c r="A40" s="324" t="s">
        <v>1522</v>
      </c>
      <c r="B40" s="493" t="s">
        <v>1523</v>
      </c>
      <c r="C40" s="105" t="s">
        <v>89</v>
      </c>
      <c r="D40" s="106" t="s">
        <v>90</v>
      </c>
      <c r="E40" s="106" t="s">
        <v>700</v>
      </c>
      <c r="F40" s="107">
        <v>0</v>
      </c>
    </row>
    <row r="41" spans="1:6" ht="14">
      <c r="A41" s="104" t="s">
        <v>1524</v>
      </c>
      <c r="B41" s="493" t="s">
        <v>1525</v>
      </c>
      <c r="C41" s="105" t="s">
        <v>894</v>
      </c>
      <c r="D41" s="106" t="s">
        <v>895</v>
      </c>
      <c r="E41" s="106" t="s">
        <v>700</v>
      </c>
      <c r="F41" s="107">
        <v>0</v>
      </c>
    </row>
    <row r="42" spans="1:6" ht="14">
      <c r="A42" s="324" t="s">
        <v>1526</v>
      </c>
      <c r="B42" s="493" t="s">
        <v>1527</v>
      </c>
      <c r="C42" s="105" t="s">
        <v>94</v>
      </c>
      <c r="D42" s="106" t="s">
        <v>95</v>
      </c>
      <c r="E42" s="106" t="s">
        <v>700</v>
      </c>
      <c r="F42" s="107">
        <v>7165542.0999999996</v>
      </c>
    </row>
    <row r="43" spans="1:6" ht="14">
      <c r="A43" s="104" t="s">
        <v>1528</v>
      </c>
      <c r="B43" s="493" t="s">
        <v>1529</v>
      </c>
      <c r="C43" s="105" t="s">
        <v>896</v>
      </c>
      <c r="D43" s="106" t="s">
        <v>897</v>
      </c>
      <c r="E43" s="106" t="s">
        <v>700</v>
      </c>
      <c r="F43" s="107">
        <v>0</v>
      </c>
    </row>
    <row r="44" spans="1:6" ht="14">
      <c r="A44" s="104" t="s">
        <v>392</v>
      </c>
      <c r="B44" s="493" t="s">
        <v>388</v>
      </c>
      <c r="C44" s="105" t="s">
        <v>898</v>
      </c>
      <c r="D44" s="106" t="s">
        <v>899</v>
      </c>
      <c r="E44" s="106" t="s">
        <v>700</v>
      </c>
      <c r="F44" s="107">
        <v>412705.74</v>
      </c>
    </row>
    <row r="45" spans="1:6" ht="14">
      <c r="A45" s="104" t="s">
        <v>397</v>
      </c>
      <c r="B45" s="493" t="s">
        <v>394</v>
      </c>
      <c r="C45" s="105" t="s">
        <v>900</v>
      </c>
      <c r="D45" s="106" t="s">
        <v>901</v>
      </c>
      <c r="E45" s="106" t="s">
        <v>700</v>
      </c>
      <c r="F45" s="107">
        <v>2757424.6</v>
      </c>
    </row>
    <row r="46" spans="1:6" ht="14">
      <c r="A46" s="104" t="s">
        <v>1530</v>
      </c>
      <c r="B46" s="493" t="s">
        <v>1531</v>
      </c>
      <c r="C46" s="105" t="s">
        <v>902</v>
      </c>
      <c r="D46" s="106" t="s">
        <v>903</v>
      </c>
      <c r="E46" s="106" t="s">
        <v>700</v>
      </c>
      <c r="F46" s="107">
        <v>0</v>
      </c>
    </row>
    <row r="47" spans="1:6" ht="14">
      <c r="A47" s="104" t="s">
        <v>400</v>
      </c>
      <c r="B47" s="493" t="s">
        <v>398</v>
      </c>
      <c r="C47" s="105" t="s">
        <v>904</v>
      </c>
      <c r="D47" s="106" t="s">
        <v>905</v>
      </c>
      <c r="E47" s="106" t="s">
        <v>700</v>
      </c>
      <c r="F47" s="107">
        <v>33540.199999999997</v>
      </c>
    </row>
    <row r="48" spans="1:6" ht="14">
      <c r="A48" s="104" t="s">
        <v>404</v>
      </c>
      <c r="B48" s="493" t="s">
        <v>402</v>
      </c>
      <c r="C48" s="105" t="s">
        <v>906</v>
      </c>
      <c r="D48" s="106" t="s">
        <v>907</v>
      </c>
      <c r="E48" s="106" t="s">
        <v>700</v>
      </c>
      <c r="F48" s="107">
        <v>13686121.92</v>
      </c>
    </row>
    <row r="49" spans="1:6" ht="14">
      <c r="A49" s="104" t="s">
        <v>408</v>
      </c>
      <c r="B49" s="493" t="s">
        <v>406</v>
      </c>
      <c r="C49" s="105" t="s">
        <v>908</v>
      </c>
      <c r="D49" s="106" t="s">
        <v>909</v>
      </c>
      <c r="E49" s="106" t="s">
        <v>700</v>
      </c>
      <c r="F49" s="107">
        <v>14122.31</v>
      </c>
    </row>
    <row r="50" spans="1:6" ht="14">
      <c r="A50" s="104" t="s">
        <v>411</v>
      </c>
      <c r="B50" s="493" t="s">
        <v>409</v>
      </c>
      <c r="C50" s="105" t="s">
        <v>910</v>
      </c>
      <c r="D50" s="106" t="s">
        <v>911</v>
      </c>
      <c r="E50" s="106" t="s">
        <v>700</v>
      </c>
      <c r="F50" s="107">
        <v>21817.05</v>
      </c>
    </row>
    <row r="51" spans="1:6" ht="14">
      <c r="A51" s="104" t="s">
        <v>418</v>
      </c>
      <c r="B51" s="493" t="s">
        <v>413</v>
      </c>
      <c r="C51" s="105" t="s">
        <v>912</v>
      </c>
      <c r="D51" s="106" t="s">
        <v>913</v>
      </c>
      <c r="E51" s="106" t="s">
        <v>700</v>
      </c>
      <c r="F51" s="107">
        <v>5605204.9800000004</v>
      </c>
    </row>
    <row r="52" spans="1:6" ht="14">
      <c r="A52" s="104" t="s">
        <v>1532</v>
      </c>
      <c r="B52" s="493" t="s">
        <v>1533</v>
      </c>
      <c r="C52" s="105" t="s">
        <v>914</v>
      </c>
      <c r="D52" s="106" t="s">
        <v>915</v>
      </c>
      <c r="E52" s="106" t="s">
        <v>700</v>
      </c>
      <c r="F52" s="107">
        <v>0</v>
      </c>
    </row>
    <row r="53" spans="1:6" ht="14">
      <c r="A53" s="104" t="s">
        <v>423</v>
      </c>
      <c r="B53" s="493" t="s">
        <v>419</v>
      </c>
      <c r="C53" s="105" t="s">
        <v>916</v>
      </c>
      <c r="D53" s="106" t="s">
        <v>917</v>
      </c>
      <c r="E53" s="106" t="s">
        <v>700</v>
      </c>
      <c r="F53" s="107">
        <v>2123201.66</v>
      </c>
    </row>
    <row r="54" spans="1:6" ht="14">
      <c r="A54" s="324" t="s">
        <v>1534</v>
      </c>
      <c r="B54" s="493" t="s">
        <v>1535</v>
      </c>
      <c r="C54" s="105" t="s">
        <v>97</v>
      </c>
      <c r="D54" s="106" t="s">
        <v>98</v>
      </c>
      <c r="E54" s="106" t="s">
        <v>700</v>
      </c>
      <c r="F54" s="107">
        <v>29909188.82</v>
      </c>
    </row>
    <row r="55" spans="1:6" ht="14">
      <c r="A55" s="440" t="s">
        <v>430</v>
      </c>
      <c r="B55" s="493" t="s">
        <v>427</v>
      </c>
      <c r="C55" s="105" t="s">
        <v>918</v>
      </c>
      <c r="D55" s="106" t="s">
        <v>919</v>
      </c>
      <c r="E55" s="106" t="s">
        <v>700</v>
      </c>
      <c r="F55" s="107">
        <v>0</v>
      </c>
    </row>
    <row r="56" spans="1:6" ht="14">
      <c r="A56" s="104" t="s">
        <v>436</v>
      </c>
      <c r="B56" s="493" t="s">
        <v>431</v>
      </c>
      <c r="C56" s="105" t="s">
        <v>920</v>
      </c>
      <c r="D56" s="106" t="s">
        <v>51</v>
      </c>
      <c r="E56" s="106" t="s">
        <v>700</v>
      </c>
      <c r="F56" s="107">
        <v>104428947.88</v>
      </c>
    </row>
    <row r="57" spans="1:6" ht="14">
      <c r="A57" s="104" t="s">
        <v>445</v>
      </c>
      <c r="B57" s="493" t="s">
        <v>443</v>
      </c>
      <c r="C57" s="105" t="s">
        <v>921</v>
      </c>
      <c r="D57" s="106" t="s">
        <v>31</v>
      </c>
      <c r="E57" s="106" t="s">
        <v>700</v>
      </c>
      <c r="F57" s="107">
        <v>6827114.4299999997</v>
      </c>
    </row>
    <row r="58" spans="1:6" ht="14">
      <c r="A58" s="104" t="s">
        <v>448</v>
      </c>
      <c r="B58" s="493" t="s">
        <v>446</v>
      </c>
      <c r="C58" s="105" t="s">
        <v>922</v>
      </c>
      <c r="D58" s="106" t="s">
        <v>56</v>
      </c>
      <c r="E58" s="106" t="s">
        <v>700</v>
      </c>
      <c r="F58" s="107">
        <v>522136266.12999988</v>
      </c>
    </row>
    <row r="59" spans="1:6" ht="14">
      <c r="A59" s="104" t="s">
        <v>462</v>
      </c>
      <c r="B59" s="493" t="s">
        <v>460</v>
      </c>
      <c r="C59" s="105" t="s">
        <v>923</v>
      </c>
      <c r="D59" s="106" t="s">
        <v>924</v>
      </c>
      <c r="E59" s="106" t="s">
        <v>700</v>
      </c>
      <c r="F59" s="107">
        <v>30710214.34</v>
      </c>
    </row>
    <row r="60" spans="1:6" ht="14">
      <c r="A60" s="104" t="s">
        <v>466</v>
      </c>
      <c r="B60" s="493" t="s">
        <v>463</v>
      </c>
      <c r="C60" s="105" t="s">
        <v>925</v>
      </c>
      <c r="D60" s="106" t="s">
        <v>34</v>
      </c>
      <c r="E60" s="106" t="s">
        <v>700</v>
      </c>
      <c r="F60" s="107">
        <v>14662098.550000001</v>
      </c>
    </row>
    <row r="61" spans="1:6" ht="14">
      <c r="A61" s="104" t="s">
        <v>500</v>
      </c>
      <c r="B61" s="493" t="s">
        <v>498</v>
      </c>
      <c r="C61" s="105" t="s">
        <v>926</v>
      </c>
      <c r="D61" s="106" t="s">
        <v>927</v>
      </c>
      <c r="E61" s="106" t="s">
        <v>700</v>
      </c>
      <c r="F61" s="107">
        <v>0</v>
      </c>
    </row>
    <row r="62" spans="1:6" ht="14">
      <c r="A62" s="104" t="s">
        <v>513</v>
      </c>
      <c r="B62" s="493" t="s">
        <v>510</v>
      </c>
      <c r="C62" s="105" t="s">
        <v>928</v>
      </c>
      <c r="D62" s="106" t="s">
        <v>929</v>
      </c>
      <c r="E62" s="106" t="s">
        <v>700</v>
      </c>
      <c r="F62" s="107">
        <v>3689594.03</v>
      </c>
    </row>
    <row r="63" spans="1:6" ht="14">
      <c r="A63" s="104" t="s">
        <v>518</v>
      </c>
      <c r="B63" s="493" t="s">
        <v>516</v>
      </c>
      <c r="C63" s="105" t="s">
        <v>930</v>
      </c>
      <c r="D63" s="106" t="s">
        <v>931</v>
      </c>
      <c r="E63" s="106" t="s">
        <v>700</v>
      </c>
      <c r="F63" s="107">
        <v>0</v>
      </c>
    </row>
    <row r="64" spans="1:6" ht="14">
      <c r="A64" s="104" t="s">
        <v>1536</v>
      </c>
      <c r="B64" s="493" t="s">
        <v>520</v>
      </c>
      <c r="C64" s="105" t="s">
        <v>932</v>
      </c>
      <c r="D64" s="106" t="s">
        <v>933</v>
      </c>
      <c r="E64" s="106" t="s">
        <v>700</v>
      </c>
      <c r="F64" s="107">
        <v>119357889.55</v>
      </c>
    </row>
    <row r="65" spans="1:6" ht="14">
      <c r="A65" s="104" t="s">
        <v>538</v>
      </c>
      <c r="B65" s="493" t="s">
        <v>536</v>
      </c>
      <c r="C65" s="105" t="s">
        <v>934</v>
      </c>
      <c r="D65" s="106" t="s">
        <v>935</v>
      </c>
      <c r="E65" s="106" t="s">
        <v>700</v>
      </c>
      <c r="F65" s="107">
        <v>0</v>
      </c>
    </row>
    <row r="66" spans="1:6" ht="14">
      <c r="A66" s="104" t="s">
        <v>542</v>
      </c>
      <c r="B66" s="493" t="s">
        <v>539</v>
      </c>
      <c r="C66" s="108" t="s">
        <v>936</v>
      </c>
      <c r="D66" s="106" t="s">
        <v>541</v>
      </c>
      <c r="E66" s="106" t="s">
        <v>700</v>
      </c>
      <c r="F66" s="107">
        <v>0</v>
      </c>
    </row>
    <row r="67" spans="1:6" ht="14">
      <c r="A67" s="104" t="s">
        <v>545</v>
      </c>
      <c r="B67" s="493" t="s">
        <v>543</v>
      </c>
      <c r="C67" s="105" t="s">
        <v>937</v>
      </c>
      <c r="D67" s="106" t="s">
        <v>938</v>
      </c>
      <c r="E67" s="106" t="s">
        <v>700</v>
      </c>
      <c r="F67" s="107">
        <v>57165.4</v>
      </c>
    </row>
    <row r="68" spans="1:6" ht="14">
      <c r="A68" s="104" t="s">
        <v>549</v>
      </c>
      <c r="B68" s="493" t="s">
        <v>546</v>
      </c>
      <c r="C68" s="109" t="s">
        <v>939</v>
      </c>
      <c r="D68" s="106" t="s">
        <v>940</v>
      </c>
      <c r="E68" s="106" t="s">
        <v>700</v>
      </c>
      <c r="F68" s="107">
        <v>8662069.3300000001</v>
      </c>
    </row>
    <row r="69" spans="1:6" ht="14">
      <c r="A69" s="104" t="s">
        <v>941</v>
      </c>
      <c r="B69" s="493">
        <v>1102</v>
      </c>
      <c r="C69" s="109" t="s">
        <v>942</v>
      </c>
      <c r="D69" s="106" t="s">
        <v>943</v>
      </c>
      <c r="E69" s="106" t="s">
        <v>700</v>
      </c>
      <c r="F69" s="107">
        <v>62383734.93</v>
      </c>
    </row>
    <row r="70" spans="1:6" ht="14">
      <c r="A70" s="324" t="s">
        <v>944</v>
      </c>
      <c r="B70" s="493">
        <v>1103</v>
      </c>
      <c r="C70" s="109" t="s">
        <v>945</v>
      </c>
      <c r="D70" s="106" t="s">
        <v>946</v>
      </c>
      <c r="E70" s="106" t="s">
        <v>700</v>
      </c>
      <c r="F70" s="107">
        <v>54000915.689999998</v>
      </c>
    </row>
    <row r="71" spans="1:6" ht="14">
      <c r="A71" s="440" t="s">
        <v>1537</v>
      </c>
      <c r="B71" s="493">
        <v>1104</v>
      </c>
      <c r="C71" s="109" t="s">
        <v>1422</v>
      </c>
      <c r="D71" s="106" t="s">
        <v>1423</v>
      </c>
      <c r="E71" s="106" t="s">
        <v>700</v>
      </c>
      <c r="F71" s="107"/>
    </row>
    <row r="72" spans="1:6" ht="14">
      <c r="A72" s="104" t="s">
        <v>555</v>
      </c>
      <c r="B72" s="493" t="s">
        <v>552</v>
      </c>
      <c r="C72" s="109" t="s">
        <v>947</v>
      </c>
      <c r="D72" s="106" t="s">
        <v>553</v>
      </c>
      <c r="E72" s="106" t="s">
        <v>700</v>
      </c>
      <c r="F72" s="107">
        <v>23312499.98</v>
      </c>
    </row>
    <row r="73" spans="1:6" ht="14">
      <c r="A73" s="104" t="s">
        <v>1538</v>
      </c>
      <c r="B73" s="493" t="s">
        <v>1539</v>
      </c>
      <c r="C73" s="109" t="s">
        <v>1424</v>
      </c>
      <c r="D73" s="106" t="s">
        <v>1425</v>
      </c>
      <c r="E73" s="106" t="s">
        <v>700</v>
      </c>
      <c r="F73" s="107"/>
    </row>
    <row r="74" spans="1:6" ht="14">
      <c r="A74" s="324" t="s">
        <v>1540</v>
      </c>
      <c r="B74" s="493" t="s">
        <v>1541</v>
      </c>
      <c r="C74" s="109" t="s">
        <v>1426</v>
      </c>
      <c r="D74" s="106" t="s">
        <v>1427</v>
      </c>
      <c r="E74" s="106" t="s">
        <v>700</v>
      </c>
      <c r="F74" s="107"/>
    </row>
    <row r="75" spans="1:6" ht="14">
      <c r="A75" s="104" t="s">
        <v>1542</v>
      </c>
      <c r="B75" s="493" t="s">
        <v>1543</v>
      </c>
      <c r="C75" s="109" t="s">
        <v>1428</v>
      </c>
      <c r="D75" s="106" t="s">
        <v>1429</v>
      </c>
      <c r="E75" s="106" t="s">
        <v>700</v>
      </c>
      <c r="F75" s="107">
        <v>41580</v>
      </c>
    </row>
    <row r="76" spans="1:6" ht="14">
      <c r="A76" s="100" t="s">
        <v>1544</v>
      </c>
      <c r="B76" s="493" t="s">
        <v>1545</v>
      </c>
      <c r="C76" s="109" t="s">
        <v>1430</v>
      </c>
      <c r="D76" s="106" t="s">
        <v>1431</v>
      </c>
      <c r="E76" s="106" t="s">
        <v>700</v>
      </c>
      <c r="F76" s="492">
        <v>0</v>
      </c>
    </row>
    <row r="77" spans="1:6" ht="14">
      <c r="A77" s="100" t="s">
        <v>1546</v>
      </c>
      <c r="B77" s="493" t="s">
        <v>1547</v>
      </c>
      <c r="C77" s="109" t="s">
        <v>1432</v>
      </c>
      <c r="D77" s="106" t="s">
        <v>1433</v>
      </c>
      <c r="E77" s="106" t="s">
        <v>700</v>
      </c>
      <c r="F77" s="492">
        <v>4472124.57</v>
      </c>
    </row>
    <row r="78" spans="1:6" ht="14">
      <c r="A78" s="100" t="s">
        <v>1548</v>
      </c>
      <c r="B78" s="493" t="s">
        <v>1549</v>
      </c>
      <c r="C78" s="109" t="s">
        <v>1434</v>
      </c>
      <c r="D78" s="106" t="s">
        <v>1435</v>
      </c>
      <c r="E78" s="106" t="s">
        <v>700</v>
      </c>
      <c r="F78" s="492">
        <v>120149.90777200001</v>
      </c>
    </row>
    <row r="79" spans="1:6" ht="14">
      <c r="A79" s="100" t="s">
        <v>1550</v>
      </c>
      <c r="B79" s="493" t="s">
        <v>1551</v>
      </c>
      <c r="C79" s="109" t="s">
        <v>1436</v>
      </c>
      <c r="D79" s="106" t="s">
        <v>1437</v>
      </c>
      <c r="E79" s="106" t="s">
        <v>700</v>
      </c>
      <c r="F79" s="492">
        <v>83680</v>
      </c>
    </row>
    <row r="80" spans="1:6" ht="14">
      <c r="A80" s="100" t="s">
        <v>1552</v>
      </c>
      <c r="B80" s="493" t="s">
        <v>1553</v>
      </c>
      <c r="C80" s="109" t="s">
        <v>1438</v>
      </c>
      <c r="D80" s="106" t="s">
        <v>1439</v>
      </c>
      <c r="E80" s="106" t="s">
        <v>700</v>
      </c>
      <c r="F80" s="492">
        <v>77378.16</v>
      </c>
    </row>
    <row r="81" spans="1:6" ht="14">
      <c r="A81" s="100" t="s">
        <v>1554</v>
      </c>
      <c r="B81" s="493" t="s">
        <v>1555</v>
      </c>
      <c r="C81" s="109" t="s">
        <v>1440</v>
      </c>
      <c r="D81" s="106" t="s">
        <v>1441</v>
      </c>
      <c r="E81" s="106" t="s">
        <v>700</v>
      </c>
      <c r="F81" s="492">
        <v>0</v>
      </c>
    </row>
    <row r="82" spans="1:6" ht="14">
      <c r="A82" s="100" t="s">
        <v>1556</v>
      </c>
      <c r="B82" s="493" t="s">
        <v>1557</v>
      </c>
      <c r="C82" s="109" t="s">
        <v>1442</v>
      </c>
      <c r="D82" s="106" t="s">
        <v>1443</v>
      </c>
      <c r="E82" s="106" t="s">
        <v>700</v>
      </c>
      <c r="F82" s="492">
        <v>0</v>
      </c>
    </row>
    <row r="83" spans="1:6" ht="14">
      <c r="A83" s="100" t="s">
        <v>1558</v>
      </c>
      <c r="B83" s="493" t="s">
        <v>1559</v>
      </c>
      <c r="C83" s="109" t="s">
        <v>1444</v>
      </c>
      <c r="D83" s="106" t="s">
        <v>1445</v>
      </c>
      <c r="E83" s="106" t="s">
        <v>700</v>
      </c>
      <c r="F83" s="492">
        <v>49964.78</v>
      </c>
    </row>
    <row r="84" spans="1:6" ht="14">
      <c r="A84" s="100" t="s">
        <v>1560</v>
      </c>
      <c r="B84" s="493" t="s">
        <v>1561</v>
      </c>
      <c r="C84" s="109" t="s">
        <v>1446</v>
      </c>
      <c r="D84" s="106" t="s">
        <v>1447</v>
      </c>
      <c r="E84" s="106" t="s">
        <v>700</v>
      </c>
      <c r="F84" s="492">
        <v>3212678.9990679999</v>
      </c>
    </row>
    <row r="85" spans="1:6" ht="14">
      <c r="A85" s="100" t="s">
        <v>1562</v>
      </c>
      <c r="B85" s="493" t="s">
        <v>1563</v>
      </c>
      <c r="C85" s="109" t="s">
        <v>1448</v>
      </c>
      <c r="D85" s="106" t="s">
        <v>1449</v>
      </c>
      <c r="E85" s="106" t="s">
        <v>700</v>
      </c>
      <c r="F85" s="492">
        <v>0</v>
      </c>
    </row>
    <row r="86" spans="1:6" ht="14">
      <c r="A86" s="100" t="s">
        <v>1564</v>
      </c>
      <c r="B86" s="493" t="s">
        <v>1565</v>
      </c>
      <c r="C86" s="109" t="s">
        <v>1450</v>
      </c>
      <c r="D86" s="106" t="s">
        <v>1451</v>
      </c>
      <c r="E86" s="106" t="s">
        <v>700</v>
      </c>
      <c r="F86" s="492">
        <v>14717423.279999999</v>
      </c>
    </row>
    <row r="87" spans="1:6" ht="14">
      <c r="A87" s="100" t="s">
        <v>1566</v>
      </c>
      <c r="B87" s="493" t="s">
        <v>1567</v>
      </c>
      <c r="C87" s="109" t="s">
        <v>1452</v>
      </c>
      <c r="D87" s="106" t="s">
        <v>1453</v>
      </c>
      <c r="E87" s="106" t="s">
        <v>700</v>
      </c>
      <c r="F87" s="492">
        <v>54467.3</v>
      </c>
    </row>
    <row r="88" spans="1:6" ht="14">
      <c r="A88" s="100" t="s">
        <v>1568</v>
      </c>
      <c r="B88" s="493" t="s">
        <v>1569</v>
      </c>
      <c r="C88" s="109" t="s">
        <v>1454</v>
      </c>
      <c r="D88" s="106" t="s">
        <v>1455</v>
      </c>
      <c r="E88" s="106" t="s">
        <v>700</v>
      </c>
      <c r="F88" s="492">
        <v>100577.44</v>
      </c>
    </row>
    <row r="89" spans="1:6" ht="14">
      <c r="A89" s="100" t="s">
        <v>1408</v>
      </c>
      <c r="B89" s="493" t="s">
        <v>1402</v>
      </c>
      <c r="C89" s="109" t="s">
        <v>1456</v>
      </c>
      <c r="D89" s="106" t="s">
        <v>1457</v>
      </c>
      <c r="E89" s="106" t="s">
        <v>700</v>
      </c>
      <c r="F89" s="492">
        <v>0</v>
      </c>
    </row>
    <row r="90" spans="1:6" ht="14">
      <c r="A90" s="100" t="s">
        <v>1414</v>
      </c>
      <c r="B90" s="493" t="s">
        <v>1409</v>
      </c>
      <c r="C90" s="109" t="s">
        <v>1458</v>
      </c>
      <c r="D90" s="106" t="s">
        <v>1459</v>
      </c>
      <c r="E90" s="106" t="s">
        <v>700</v>
      </c>
      <c r="F90" s="492">
        <v>0</v>
      </c>
    </row>
    <row r="91" spans="1:6" ht="14">
      <c r="A91" s="100" t="s">
        <v>1382</v>
      </c>
      <c r="B91" s="493" t="s">
        <v>1377</v>
      </c>
      <c r="C91" s="109" t="s">
        <v>1460</v>
      </c>
      <c r="D91" s="106" t="s">
        <v>1461</v>
      </c>
      <c r="E91" s="106" t="s">
        <v>700</v>
      </c>
      <c r="F91" s="492">
        <v>58052.9487266</v>
      </c>
    </row>
    <row r="92" spans="1:6" ht="14">
      <c r="A92" s="100" t="s">
        <v>1387</v>
      </c>
      <c r="B92" s="493" t="s">
        <v>1383</v>
      </c>
      <c r="C92" s="109" t="s">
        <v>1462</v>
      </c>
      <c r="D92" s="106" t="s">
        <v>1463</v>
      </c>
      <c r="E92" s="106" t="s">
        <v>700</v>
      </c>
      <c r="F92" s="492">
        <v>1973104.4202002001</v>
      </c>
    </row>
    <row r="93" spans="1:6">
      <c r="A93" s="100" t="s">
        <v>1570</v>
      </c>
      <c r="B93" s="493" t="s">
        <v>948</v>
      </c>
      <c r="C93" s="100" t="s">
        <v>948</v>
      </c>
      <c r="D93" s="100" t="s">
        <v>949</v>
      </c>
      <c r="E93" s="100" t="s">
        <v>700</v>
      </c>
      <c r="F93" s="492"/>
    </row>
    <row r="94" spans="1:6">
      <c r="D94" s="100" t="s">
        <v>102</v>
      </c>
      <c r="F94" s="492"/>
    </row>
  </sheetData>
  <autoFilter ref="A3:F94" xr:uid="{00000000-0009-0000-0000-00000F000000}"/>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654D7-F28C-420B-BA8E-8E3BA0DB8D1F}">
  <sheetPr>
    <tabColor rgb="FF00B050"/>
  </sheetPr>
  <dimension ref="A1:U222"/>
  <sheetViews>
    <sheetView topLeftCell="B1" zoomScaleNormal="100" zoomScaleSheetLayoutView="40" workbookViewId="0">
      <selection activeCell="M1" sqref="M1"/>
    </sheetView>
  </sheetViews>
  <sheetFormatPr baseColWidth="10" defaultColWidth="9" defaultRowHeight="13"/>
  <cols>
    <col min="1" max="1" width="7.6640625" style="48" customWidth="1"/>
    <col min="2" max="3" width="14" style="48" bestFit="1" customWidth="1"/>
    <col min="4" max="4" width="12" style="48" bestFit="1" customWidth="1"/>
    <col min="5" max="5" width="15.6640625" style="48" customWidth="1"/>
    <col min="6" max="6" width="9.33203125" style="48" customWidth="1"/>
    <col min="7" max="7" width="17.1640625" style="56" bestFit="1" customWidth="1"/>
    <col min="8" max="8" width="23.83203125" style="48" customWidth="1"/>
    <col min="9" max="9" width="7" style="48" bestFit="1" customWidth="1"/>
    <col min="10" max="10" width="14.6640625" style="48" bestFit="1" customWidth="1"/>
    <col min="11" max="11" width="12" style="48" bestFit="1" customWidth="1"/>
    <col min="12" max="12" width="16.1640625" style="48" bestFit="1" customWidth="1"/>
    <col min="13" max="13" width="16.1640625" style="299" bestFit="1" customWidth="1"/>
    <col min="14" max="14" width="19.6640625" style="48" bestFit="1" customWidth="1"/>
    <col min="15" max="15" width="14" style="48" bestFit="1" customWidth="1"/>
    <col min="16" max="16" width="8.6640625" style="48" customWidth="1"/>
    <col min="17" max="17" width="15" style="48" bestFit="1" customWidth="1"/>
    <col min="18" max="18" width="8.1640625" style="57" customWidth="1"/>
    <col min="19" max="19" width="17.6640625" style="48" customWidth="1"/>
    <col min="20" max="20" width="15" style="48" customWidth="1"/>
    <col min="21" max="21" width="20" style="48" bestFit="1" customWidth="1"/>
    <col min="22" max="16384" width="9" style="48"/>
  </cols>
  <sheetData>
    <row r="1" spans="1:21" ht="19.5" customHeight="1">
      <c r="M1" s="299">
        <f>SUBTOTAL(9,M2:M211)</f>
        <v>1403989494.7500005</v>
      </c>
    </row>
    <row r="2" spans="1:21" ht="56">
      <c r="A2" s="46" t="s">
        <v>122</v>
      </c>
      <c r="B2" s="46" t="s">
        <v>123</v>
      </c>
      <c r="C2" s="46" t="s">
        <v>124</v>
      </c>
      <c r="D2" s="46" t="s">
        <v>125</v>
      </c>
      <c r="E2" s="46" t="s">
        <v>126</v>
      </c>
      <c r="F2" s="47" t="s">
        <v>127</v>
      </c>
      <c r="G2" s="55" t="s">
        <v>128</v>
      </c>
      <c r="H2" s="46" t="s">
        <v>129</v>
      </c>
      <c r="I2" s="47" t="s">
        <v>130</v>
      </c>
      <c r="J2" s="47" t="s">
        <v>131</v>
      </c>
      <c r="K2" s="46" t="s">
        <v>132</v>
      </c>
      <c r="L2" s="47" t="s">
        <v>133</v>
      </c>
      <c r="M2" s="298" t="s">
        <v>134</v>
      </c>
      <c r="N2" s="46" t="s">
        <v>135</v>
      </c>
      <c r="O2" s="46" t="s">
        <v>136</v>
      </c>
      <c r="P2" s="46" t="s">
        <v>137</v>
      </c>
      <c r="Q2" s="46" t="s">
        <v>138</v>
      </c>
      <c r="R2" s="58" t="s">
        <v>139</v>
      </c>
      <c r="S2" s="75" t="s">
        <v>560</v>
      </c>
      <c r="T2" s="75" t="s">
        <v>624</v>
      </c>
      <c r="U2" s="48" t="s">
        <v>588</v>
      </c>
    </row>
    <row r="3" spans="1:21">
      <c r="A3" s="48" t="s">
        <v>140</v>
      </c>
      <c r="B3" s="49">
        <v>44620</v>
      </c>
      <c r="C3" s="48" t="s">
        <v>141</v>
      </c>
      <c r="D3" s="48" t="s">
        <v>984</v>
      </c>
      <c r="E3" s="48" t="s">
        <v>985</v>
      </c>
      <c r="F3" s="48" t="s">
        <v>70</v>
      </c>
      <c r="G3" s="122">
        <v>7640.23</v>
      </c>
      <c r="H3" s="48" t="s">
        <v>20</v>
      </c>
      <c r="I3" s="48" t="s">
        <v>70</v>
      </c>
      <c r="J3" s="50">
        <v>233.46</v>
      </c>
      <c r="K3" s="51">
        <v>100</v>
      </c>
      <c r="L3" s="50">
        <v>7640.23</v>
      </c>
      <c r="M3" s="490">
        <v>233.46</v>
      </c>
      <c r="N3" s="48" t="s">
        <v>88</v>
      </c>
      <c r="O3" s="48" t="s">
        <v>12</v>
      </c>
      <c r="P3" s="48" t="s">
        <v>140</v>
      </c>
      <c r="Q3" s="48" t="s">
        <v>142</v>
      </c>
      <c r="R3" s="57" t="s">
        <v>143</v>
      </c>
      <c r="S3" s="48" t="str">
        <f t="shared" ref="S3:S34" si="0">IF(OR(C3=$T$3,C3=$T$4,C3=$T$5,C3=$T$6,C3=$T$7),$T$2,"Deposit")</f>
        <v>Deposit</v>
      </c>
      <c r="T3" s="302" t="s">
        <v>558</v>
      </c>
      <c r="U3" s="71">
        <v>3.5000000000000001E-3</v>
      </c>
    </row>
    <row r="4" spans="1:21">
      <c r="A4" s="48" t="s">
        <v>140</v>
      </c>
      <c r="B4" s="49">
        <v>44620</v>
      </c>
      <c r="C4" s="48" t="s">
        <v>144</v>
      </c>
      <c r="D4" s="48" t="s">
        <v>986</v>
      </c>
      <c r="E4" s="48" t="s">
        <v>987</v>
      </c>
      <c r="F4" s="48" t="s">
        <v>70</v>
      </c>
      <c r="G4" s="122">
        <v>0</v>
      </c>
      <c r="H4" s="48" t="s">
        <v>20</v>
      </c>
      <c r="I4" s="48" t="s">
        <v>70</v>
      </c>
      <c r="J4" s="52">
        <v>0</v>
      </c>
      <c r="K4" s="51">
        <v>100</v>
      </c>
      <c r="L4" s="52">
        <v>0</v>
      </c>
      <c r="M4" s="491">
        <v>0</v>
      </c>
      <c r="N4" s="48" t="s">
        <v>88</v>
      </c>
      <c r="O4" s="48" t="s">
        <v>12</v>
      </c>
      <c r="P4" s="48" t="s">
        <v>140</v>
      </c>
      <c r="Q4" s="48" t="s">
        <v>142</v>
      </c>
      <c r="R4" s="57" t="s">
        <v>145</v>
      </c>
      <c r="S4" s="48" t="str">
        <f t="shared" si="0"/>
        <v>Deposit</v>
      </c>
      <c r="T4" s="48" t="s">
        <v>459</v>
      </c>
      <c r="U4" s="71">
        <v>4.0000000000000001E-3</v>
      </c>
    </row>
    <row r="5" spans="1:21">
      <c r="A5" s="48" t="s">
        <v>140</v>
      </c>
      <c r="B5" s="49">
        <v>44620</v>
      </c>
      <c r="C5" s="48" t="s">
        <v>146</v>
      </c>
      <c r="D5" s="48" t="s">
        <v>988</v>
      </c>
      <c r="E5" s="48" t="s">
        <v>989</v>
      </c>
      <c r="F5" s="48" t="s">
        <v>73</v>
      </c>
      <c r="G5" s="122">
        <v>0</v>
      </c>
      <c r="H5" s="48" t="s">
        <v>20</v>
      </c>
      <c r="I5" s="48" t="s">
        <v>73</v>
      </c>
      <c r="J5" s="52">
        <v>0</v>
      </c>
      <c r="K5" s="51">
        <v>100</v>
      </c>
      <c r="L5" s="52">
        <v>0</v>
      </c>
      <c r="M5" s="491">
        <v>0</v>
      </c>
      <c r="N5" s="48" t="s">
        <v>88</v>
      </c>
      <c r="O5" s="48" t="s">
        <v>12</v>
      </c>
      <c r="P5" s="48" t="s">
        <v>140</v>
      </c>
      <c r="Q5" s="48" t="s">
        <v>142</v>
      </c>
      <c r="R5" s="57" t="s">
        <v>145</v>
      </c>
      <c r="S5" s="48" t="str">
        <f t="shared" si="0"/>
        <v>Deposit</v>
      </c>
      <c r="T5" s="48" t="s">
        <v>452</v>
      </c>
      <c r="U5" s="302">
        <v>1E-4</v>
      </c>
    </row>
    <row r="6" spans="1:21">
      <c r="A6" s="48" t="s">
        <v>140</v>
      </c>
      <c r="B6" s="49">
        <v>44620</v>
      </c>
      <c r="C6" s="48" t="s">
        <v>147</v>
      </c>
      <c r="D6" s="48" t="s">
        <v>990</v>
      </c>
      <c r="E6" s="48" t="s">
        <v>991</v>
      </c>
      <c r="F6" s="48" t="s">
        <v>70</v>
      </c>
      <c r="G6" s="122">
        <v>433045600.88</v>
      </c>
      <c r="H6" s="48" t="s">
        <v>148</v>
      </c>
      <c r="I6" s="48" t="s">
        <v>70</v>
      </c>
      <c r="J6" s="50">
        <v>13232322</v>
      </c>
      <c r="K6" s="51">
        <v>66.666700000000006</v>
      </c>
      <c r="L6" s="50">
        <v>288697211.60000002</v>
      </c>
      <c r="M6" s="490">
        <v>8821552.4100000001</v>
      </c>
      <c r="N6" s="48" t="s">
        <v>88</v>
      </c>
      <c r="O6" s="48" t="s">
        <v>14</v>
      </c>
      <c r="P6" s="48" t="s">
        <v>149</v>
      </c>
      <c r="Q6" s="48" t="s">
        <v>150</v>
      </c>
      <c r="R6" s="57" t="s">
        <v>145</v>
      </c>
      <c r="S6" s="48" t="str">
        <f t="shared" si="0"/>
        <v>Deposit</v>
      </c>
      <c r="T6" s="48" t="s">
        <v>1396</v>
      </c>
      <c r="U6" s="71">
        <v>2E-3</v>
      </c>
    </row>
    <row r="7" spans="1:21">
      <c r="A7" s="48" t="s">
        <v>140</v>
      </c>
      <c r="B7" s="49">
        <v>44620</v>
      </c>
      <c r="C7" s="48" t="s">
        <v>151</v>
      </c>
      <c r="D7" s="48" t="s">
        <v>992</v>
      </c>
      <c r="E7" s="48" t="s">
        <v>993</v>
      </c>
      <c r="F7" s="48" t="s">
        <v>70</v>
      </c>
      <c r="G7" s="122">
        <v>361256882.54000002</v>
      </c>
      <c r="H7" s="48" t="s">
        <v>152</v>
      </c>
      <c r="I7" s="48" t="s">
        <v>70</v>
      </c>
      <c r="J7" s="50">
        <v>11038715.98</v>
      </c>
      <c r="K7" s="51">
        <v>80</v>
      </c>
      <c r="L7" s="50">
        <v>289005506.02999997</v>
      </c>
      <c r="M7" s="490">
        <v>8830972.7799999993</v>
      </c>
      <c r="N7" s="48" t="s">
        <v>88</v>
      </c>
      <c r="O7" s="48" t="s">
        <v>14</v>
      </c>
      <c r="P7" s="48" t="s">
        <v>153</v>
      </c>
      <c r="Q7" s="48" t="s">
        <v>154</v>
      </c>
      <c r="R7" s="57" t="s">
        <v>145</v>
      </c>
      <c r="S7" s="48" t="str">
        <f t="shared" si="0"/>
        <v>Deposit</v>
      </c>
      <c r="T7" s="48" t="s">
        <v>457</v>
      </c>
      <c r="U7" s="71">
        <v>3.0000000000000001E-3</v>
      </c>
    </row>
    <row r="8" spans="1:21">
      <c r="A8" s="48" t="s">
        <v>140</v>
      </c>
      <c r="B8" s="49">
        <v>44620</v>
      </c>
      <c r="C8" s="48" t="s">
        <v>155</v>
      </c>
      <c r="D8" s="48" t="s">
        <v>994</v>
      </c>
      <c r="E8" s="48" t="s">
        <v>995</v>
      </c>
      <c r="F8" s="48" t="s">
        <v>73</v>
      </c>
      <c r="G8" s="122">
        <v>0</v>
      </c>
      <c r="H8" s="48" t="s">
        <v>148</v>
      </c>
      <c r="I8" s="48" t="s">
        <v>73</v>
      </c>
      <c r="J8" s="52">
        <v>0</v>
      </c>
      <c r="K8" s="51">
        <v>66.666700000000006</v>
      </c>
      <c r="L8" s="52">
        <v>0</v>
      </c>
      <c r="M8" s="491">
        <v>0</v>
      </c>
      <c r="N8" s="48" t="s">
        <v>88</v>
      </c>
      <c r="O8" s="48" t="s">
        <v>14</v>
      </c>
      <c r="P8" s="48" t="s">
        <v>149</v>
      </c>
      <c r="Q8" s="48" t="s">
        <v>150</v>
      </c>
      <c r="R8" s="57" t="s">
        <v>145</v>
      </c>
      <c r="S8" s="48" t="str">
        <f t="shared" si="0"/>
        <v>Deposit</v>
      </c>
    </row>
    <row r="9" spans="1:21">
      <c r="A9" s="48" t="s">
        <v>140</v>
      </c>
      <c r="B9" s="49">
        <v>44620</v>
      </c>
      <c r="C9" s="48" t="s">
        <v>156</v>
      </c>
      <c r="D9" s="48" t="s">
        <v>996</v>
      </c>
      <c r="E9" s="48" t="s">
        <v>997</v>
      </c>
      <c r="F9" s="48" t="s">
        <v>73</v>
      </c>
      <c r="G9" s="122">
        <v>0</v>
      </c>
      <c r="H9" s="48" t="s">
        <v>152</v>
      </c>
      <c r="I9" s="48" t="s">
        <v>73</v>
      </c>
      <c r="J9" s="52">
        <v>0</v>
      </c>
      <c r="K9" s="51">
        <v>80</v>
      </c>
      <c r="L9" s="52">
        <v>0</v>
      </c>
      <c r="M9" s="491">
        <v>0</v>
      </c>
      <c r="N9" s="48" t="s">
        <v>88</v>
      </c>
      <c r="O9" s="48" t="s">
        <v>14</v>
      </c>
      <c r="P9" s="48" t="s">
        <v>153</v>
      </c>
      <c r="Q9" s="48" t="s">
        <v>154</v>
      </c>
      <c r="R9" s="57" t="s">
        <v>145</v>
      </c>
      <c r="S9" s="48" t="str">
        <f t="shared" si="0"/>
        <v>Deposit</v>
      </c>
    </row>
    <row r="10" spans="1:21">
      <c r="A10" s="48" t="s">
        <v>140</v>
      </c>
      <c r="B10" s="49">
        <v>44620</v>
      </c>
      <c r="C10" s="48" t="s">
        <v>157</v>
      </c>
      <c r="D10" s="48" t="s">
        <v>998</v>
      </c>
      <c r="E10" s="48" t="s">
        <v>999</v>
      </c>
      <c r="F10" s="48" t="s">
        <v>70</v>
      </c>
      <c r="G10" s="122">
        <v>0</v>
      </c>
      <c r="H10" s="48" t="s">
        <v>20</v>
      </c>
      <c r="I10" s="48" t="s">
        <v>70</v>
      </c>
      <c r="J10" s="52">
        <v>0</v>
      </c>
      <c r="K10" s="51">
        <v>100</v>
      </c>
      <c r="L10" s="52">
        <v>0</v>
      </c>
      <c r="M10" s="491">
        <v>0</v>
      </c>
      <c r="N10" s="48" t="s">
        <v>88</v>
      </c>
      <c r="O10" s="48" t="s">
        <v>12</v>
      </c>
      <c r="P10" s="48" t="s">
        <v>140</v>
      </c>
      <c r="Q10" s="48" t="s">
        <v>142</v>
      </c>
      <c r="R10" s="57" t="s">
        <v>145</v>
      </c>
      <c r="S10" s="48" t="str">
        <f t="shared" si="0"/>
        <v>Deposit</v>
      </c>
    </row>
    <row r="11" spans="1:21">
      <c r="A11" s="48" t="s">
        <v>140</v>
      </c>
      <c r="B11" s="49">
        <v>44620</v>
      </c>
      <c r="C11" s="48" t="s">
        <v>158</v>
      </c>
      <c r="D11" s="48" t="s">
        <v>1000</v>
      </c>
      <c r="E11" s="48" t="s">
        <v>1001</v>
      </c>
      <c r="F11" s="48" t="s">
        <v>70</v>
      </c>
      <c r="G11" s="122">
        <v>0</v>
      </c>
      <c r="H11" s="48" t="s">
        <v>159</v>
      </c>
      <c r="I11" s="48" t="s">
        <v>70</v>
      </c>
      <c r="J11" s="52">
        <v>0</v>
      </c>
      <c r="K11" s="51">
        <v>100</v>
      </c>
      <c r="L11" s="52">
        <v>0</v>
      </c>
      <c r="M11" s="491">
        <v>0</v>
      </c>
      <c r="N11" s="48" t="s">
        <v>88</v>
      </c>
      <c r="O11" s="48" t="s">
        <v>14</v>
      </c>
      <c r="P11" s="48" t="s">
        <v>160</v>
      </c>
      <c r="Q11" s="48" t="s">
        <v>161</v>
      </c>
      <c r="R11" s="57" t="s">
        <v>145</v>
      </c>
      <c r="S11" s="48" t="str">
        <f t="shared" si="0"/>
        <v>Deposit</v>
      </c>
    </row>
    <row r="12" spans="1:21">
      <c r="A12" s="48" t="s">
        <v>140</v>
      </c>
      <c r="B12" s="49">
        <v>44620</v>
      </c>
      <c r="C12" s="48" t="s">
        <v>162</v>
      </c>
      <c r="D12" s="48" t="s">
        <v>1002</v>
      </c>
      <c r="E12" s="48" t="s">
        <v>1003</v>
      </c>
      <c r="F12" s="48" t="s">
        <v>70</v>
      </c>
      <c r="G12" s="122">
        <v>0</v>
      </c>
      <c r="H12" s="48" t="s">
        <v>163</v>
      </c>
      <c r="I12" s="48" t="s">
        <v>70</v>
      </c>
      <c r="J12" s="52">
        <v>0</v>
      </c>
      <c r="K12" s="51">
        <v>100</v>
      </c>
      <c r="L12" s="52">
        <v>0</v>
      </c>
      <c r="M12" s="491">
        <v>0</v>
      </c>
      <c r="N12" s="48" t="s">
        <v>88</v>
      </c>
      <c r="O12" s="48" t="s">
        <v>14</v>
      </c>
      <c r="P12" s="48" t="s">
        <v>164</v>
      </c>
      <c r="Q12" s="48" t="s">
        <v>165</v>
      </c>
      <c r="R12" s="57" t="s">
        <v>145</v>
      </c>
      <c r="S12" s="48" t="str">
        <f t="shared" si="0"/>
        <v>Deposit</v>
      </c>
    </row>
    <row r="13" spans="1:21">
      <c r="A13" s="48" t="s">
        <v>140</v>
      </c>
      <c r="B13" s="49">
        <v>44620</v>
      </c>
      <c r="C13" s="48" t="s">
        <v>166</v>
      </c>
      <c r="D13" s="48" t="s">
        <v>1004</v>
      </c>
      <c r="E13" s="48" t="s">
        <v>1005</v>
      </c>
      <c r="F13" s="48" t="s">
        <v>70</v>
      </c>
      <c r="G13" s="122">
        <v>46275.519999999997</v>
      </c>
      <c r="H13" s="48" t="s">
        <v>20</v>
      </c>
      <c r="I13" s="48" t="s">
        <v>70</v>
      </c>
      <c r="J13" s="50">
        <v>1414.01</v>
      </c>
      <c r="K13" s="51">
        <v>100</v>
      </c>
      <c r="L13" s="50">
        <v>46275.519999999997</v>
      </c>
      <c r="M13" s="490">
        <v>1414.01</v>
      </c>
      <c r="N13" s="48" t="s">
        <v>88</v>
      </c>
      <c r="O13" s="48" t="s">
        <v>12</v>
      </c>
      <c r="P13" s="48" t="s">
        <v>140</v>
      </c>
      <c r="Q13" s="48" t="s">
        <v>142</v>
      </c>
      <c r="R13" s="57" t="s">
        <v>167</v>
      </c>
      <c r="S13" s="48" t="str">
        <f t="shared" si="0"/>
        <v>Deposit</v>
      </c>
    </row>
    <row r="14" spans="1:21">
      <c r="A14" s="48" t="s">
        <v>140</v>
      </c>
      <c r="B14" s="49">
        <v>44620</v>
      </c>
      <c r="C14" s="48" t="s">
        <v>168</v>
      </c>
      <c r="D14" s="48" t="s">
        <v>1006</v>
      </c>
      <c r="E14" s="48" t="s">
        <v>1007</v>
      </c>
      <c r="F14" s="48" t="s">
        <v>70</v>
      </c>
      <c r="G14" s="122">
        <v>1719503.15</v>
      </c>
      <c r="H14" s="48" t="s">
        <v>20</v>
      </c>
      <c r="I14" s="48" t="s">
        <v>70</v>
      </c>
      <c r="J14" s="50">
        <v>52541.86</v>
      </c>
      <c r="K14" s="51">
        <v>100</v>
      </c>
      <c r="L14" s="50">
        <v>1719503.15</v>
      </c>
      <c r="M14" s="490">
        <v>52541.86</v>
      </c>
      <c r="N14" s="48" t="s">
        <v>88</v>
      </c>
      <c r="O14" s="48" t="s">
        <v>12</v>
      </c>
      <c r="P14" s="48" t="s">
        <v>140</v>
      </c>
      <c r="Q14" s="48" t="s">
        <v>142</v>
      </c>
      <c r="R14" s="57" t="s">
        <v>169</v>
      </c>
      <c r="S14" s="48" t="str">
        <f t="shared" si="0"/>
        <v>Deposit</v>
      </c>
    </row>
    <row r="15" spans="1:21">
      <c r="A15" s="48" t="s">
        <v>140</v>
      </c>
      <c r="B15" s="49">
        <v>44620</v>
      </c>
      <c r="C15" s="48" t="s">
        <v>170</v>
      </c>
      <c r="D15" s="48" t="s">
        <v>1008</v>
      </c>
      <c r="E15" s="48" t="s">
        <v>1009</v>
      </c>
      <c r="F15" s="48" t="s">
        <v>70</v>
      </c>
      <c r="G15" s="122">
        <v>8749689.7400000002</v>
      </c>
      <c r="H15" s="48" t="s">
        <v>20</v>
      </c>
      <c r="I15" s="48" t="s">
        <v>70</v>
      </c>
      <c r="J15" s="50">
        <v>267359.17</v>
      </c>
      <c r="K15" s="51">
        <v>100</v>
      </c>
      <c r="L15" s="50">
        <v>8749689.7400000002</v>
      </c>
      <c r="M15" s="490">
        <v>267359.17</v>
      </c>
      <c r="N15" s="48" t="s">
        <v>88</v>
      </c>
      <c r="O15" s="48" t="s">
        <v>12</v>
      </c>
      <c r="P15" s="48" t="s">
        <v>140</v>
      </c>
      <c r="Q15" s="48" t="s">
        <v>142</v>
      </c>
      <c r="R15" s="57" t="s">
        <v>169</v>
      </c>
      <c r="S15" s="48" t="str">
        <f t="shared" si="0"/>
        <v>Deposit</v>
      </c>
    </row>
    <row r="16" spans="1:21">
      <c r="A16" s="48" t="s">
        <v>140</v>
      </c>
      <c r="B16" s="49">
        <v>44620</v>
      </c>
      <c r="C16" s="48" t="s">
        <v>171</v>
      </c>
      <c r="D16" s="48" t="s">
        <v>1010</v>
      </c>
      <c r="E16" s="48" t="s">
        <v>1011</v>
      </c>
      <c r="F16" s="48" t="s">
        <v>73</v>
      </c>
      <c r="G16" s="122">
        <v>188.74</v>
      </c>
      <c r="H16" s="48" t="s">
        <v>20</v>
      </c>
      <c r="I16" s="48" t="s">
        <v>73</v>
      </c>
      <c r="J16" s="50">
        <v>188.74</v>
      </c>
      <c r="K16" s="51">
        <v>100</v>
      </c>
      <c r="L16" s="50">
        <v>188.74</v>
      </c>
      <c r="M16" s="490">
        <v>188.74</v>
      </c>
      <c r="N16" s="48" t="s">
        <v>88</v>
      </c>
      <c r="O16" s="48" t="s">
        <v>12</v>
      </c>
      <c r="P16" s="48" t="s">
        <v>140</v>
      </c>
      <c r="Q16" s="48" t="s">
        <v>142</v>
      </c>
      <c r="R16" s="57" t="s">
        <v>169</v>
      </c>
      <c r="S16" s="48" t="str">
        <f t="shared" si="0"/>
        <v>Deposit</v>
      </c>
      <c r="T16" s="347"/>
      <c r="U16" s="348"/>
    </row>
    <row r="17" spans="1:21">
      <c r="A17" s="48" t="s">
        <v>140</v>
      </c>
      <c r="B17" s="49">
        <v>44620</v>
      </c>
      <c r="C17" s="48" t="s">
        <v>172</v>
      </c>
      <c r="D17" s="48" t="s">
        <v>1012</v>
      </c>
      <c r="E17" s="48" t="s">
        <v>1013</v>
      </c>
      <c r="F17" s="48" t="s">
        <v>70</v>
      </c>
      <c r="G17" s="122">
        <v>1908580.5</v>
      </c>
      <c r="H17" s="48" t="s">
        <v>20</v>
      </c>
      <c r="I17" s="48" t="s">
        <v>70</v>
      </c>
      <c r="J17" s="50">
        <v>58319.38</v>
      </c>
      <c r="K17" s="51">
        <v>100</v>
      </c>
      <c r="L17" s="50">
        <v>1908580.5</v>
      </c>
      <c r="M17" s="490">
        <v>58319.38</v>
      </c>
      <c r="N17" s="48" t="s">
        <v>88</v>
      </c>
      <c r="O17" s="48" t="s">
        <v>12</v>
      </c>
      <c r="P17" s="48" t="s">
        <v>140</v>
      </c>
      <c r="Q17" s="48" t="s">
        <v>142</v>
      </c>
      <c r="R17" s="57" t="s">
        <v>173</v>
      </c>
      <c r="S17" s="48" t="str">
        <f t="shared" si="0"/>
        <v>Deposit</v>
      </c>
    </row>
    <row r="18" spans="1:21">
      <c r="A18" s="48" t="s">
        <v>140</v>
      </c>
      <c r="B18" s="49">
        <v>44620</v>
      </c>
      <c r="C18" s="48" t="s">
        <v>174</v>
      </c>
      <c r="D18" s="48" t="s">
        <v>1014</v>
      </c>
      <c r="E18" s="48" t="s">
        <v>1015</v>
      </c>
      <c r="F18" s="48" t="s">
        <v>70</v>
      </c>
      <c r="G18" s="122">
        <v>91652042.069999993</v>
      </c>
      <c r="H18" s="48" t="s">
        <v>20</v>
      </c>
      <c r="I18" s="48" t="s">
        <v>70</v>
      </c>
      <c r="J18" s="50">
        <v>2800558.02</v>
      </c>
      <c r="K18" s="51">
        <v>100</v>
      </c>
      <c r="L18" s="50">
        <v>91652042.069999993</v>
      </c>
      <c r="M18" s="490">
        <v>2800558.02</v>
      </c>
      <c r="N18" s="48" t="s">
        <v>88</v>
      </c>
      <c r="O18" s="48" t="s">
        <v>12</v>
      </c>
      <c r="P18" s="48" t="s">
        <v>140</v>
      </c>
      <c r="Q18" s="48" t="s">
        <v>142</v>
      </c>
      <c r="R18" s="57" t="s">
        <v>173</v>
      </c>
      <c r="S18" s="48" t="str">
        <f t="shared" si="0"/>
        <v>Deposit</v>
      </c>
    </row>
    <row r="19" spans="1:21">
      <c r="A19" s="48" t="s">
        <v>140</v>
      </c>
      <c r="B19" s="49">
        <v>44620</v>
      </c>
      <c r="C19" s="48" t="s">
        <v>175</v>
      </c>
      <c r="D19" s="48" t="s">
        <v>1016</v>
      </c>
      <c r="E19" s="48" t="s">
        <v>1017</v>
      </c>
      <c r="F19" s="48" t="s">
        <v>70</v>
      </c>
      <c r="G19" s="122">
        <v>12263005.439999999</v>
      </c>
      <c r="H19" s="48" t="s">
        <v>20</v>
      </c>
      <c r="I19" s="48" t="s">
        <v>70</v>
      </c>
      <c r="J19" s="50">
        <v>374713.51</v>
      </c>
      <c r="K19" s="51">
        <v>100</v>
      </c>
      <c r="L19" s="50">
        <v>12263005.439999999</v>
      </c>
      <c r="M19" s="490">
        <v>374713.51</v>
      </c>
      <c r="N19" s="48" t="s">
        <v>88</v>
      </c>
      <c r="O19" s="48" t="s">
        <v>12</v>
      </c>
      <c r="P19" s="48" t="s">
        <v>140</v>
      </c>
      <c r="Q19" s="48" t="s">
        <v>142</v>
      </c>
      <c r="R19" s="57" t="s">
        <v>173</v>
      </c>
      <c r="S19" s="48" t="str">
        <f t="shared" si="0"/>
        <v>Deposit</v>
      </c>
    </row>
    <row r="20" spans="1:21">
      <c r="A20" s="48" t="s">
        <v>140</v>
      </c>
      <c r="B20" s="49">
        <v>44620</v>
      </c>
      <c r="C20" s="48" t="s">
        <v>176</v>
      </c>
      <c r="D20" s="48" t="s">
        <v>1018</v>
      </c>
      <c r="E20" s="48" t="s">
        <v>1019</v>
      </c>
      <c r="F20" s="48" t="s">
        <v>70</v>
      </c>
      <c r="G20" s="122">
        <v>21669965.219999999</v>
      </c>
      <c r="H20" s="48" t="s">
        <v>148</v>
      </c>
      <c r="I20" s="48" t="s">
        <v>70</v>
      </c>
      <c r="J20" s="50">
        <v>662156.5</v>
      </c>
      <c r="K20" s="51">
        <v>66.666700000000006</v>
      </c>
      <c r="L20" s="50">
        <v>14446650.699999999</v>
      </c>
      <c r="M20" s="490">
        <v>441437.89</v>
      </c>
      <c r="N20" s="48" t="s">
        <v>88</v>
      </c>
      <c r="O20" s="48" t="s">
        <v>14</v>
      </c>
      <c r="P20" s="48" t="s">
        <v>149</v>
      </c>
      <c r="Q20" s="48" t="s">
        <v>150</v>
      </c>
      <c r="R20" s="57" t="s">
        <v>173</v>
      </c>
      <c r="S20" s="48" t="str">
        <f t="shared" si="0"/>
        <v>Deposit</v>
      </c>
    </row>
    <row r="21" spans="1:21">
      <c r="A21" s="48" t="s">
        <v>140</v>
      </c>
      <c r="B21" s="49">
        <v>44620</v>
      </c>
      <c r="C21" s="48" t="s">
        <v>177</v>
      </c>
      <c r="D21" s="48" t="s">
        <v>1020</v>
      </c>
      <c r="E21" s="48" t="s">
        <v>1021</v>
      </c>
      <c r="F21" s="48" t="s">
        <v>70</v>
      </c>
      <c r="G21" s="122">
        <v>7366454.75</v>
      </c>
      <c r="H21" s="48" t="s">
        <v>152</v>
      </c>
      <c r="I21" s="48" t="s">
        <v>70</v>
      </c>
      <c r="J21" s="50">
        <v>225092.46</v>
      </c>
      <c r="K21" s="51">
        <v>80</v>
      </c>
      <c r="L21" s="50">
        <v>5893163.7999999998</v>
      </c>
      <c r="M21" s="490">
        <v>180073.97</v>
      </c>
      <c r="N21" s="48" t="s">
        <v>88</v>
      </c>
      <c r="O21" s="48" t="s">
        <v>14</v>
      </c>
      <c r="P21" s="48" t="s">
        <v>153</v>
      </c>
      <c r="Q21" s="48" t="s">
        <v>154</v>
      </c>
      <c r="R21" s="57" t="s">
        <v>173</v>
      </c>
      <c r="S21" s="48" t="str">
        <f t="shared" si="0"/>
        <v>Deposit</v>
      </c>
    </row>
    <row r="22" spans="1:21">
      <c r="A22" s="48" t="s">
        <v>140</v>
      </c>
      <c r="B22" s="49">
        <v>44620</v>
      </c>
      <c r="C22" s="48" t="s">
        <v>178</v>
      </c>
      <c r="D22" s="48" t="s">
        <v>1022</v>
      </c>
      <c r="E22" s="48" t="s">
        <v>1023</v>
      </c>
      <c r="F22" s="48" t="s">
        <v>70</v>
      </c>
      <c r="G22" s="122">
        <v>0</v>
      </c>
      <c r="H22" s="48" t="s">
        <v>20</v>
      </c>
      <c r="I22" s="48" t="s">
        <v>70</v>
      </c>
      <c r="J22" s="52">
        <v>0</v>
      </c>
      <c r="K22" s="51">
        <v>100</v>
      </c>
      <c r="L22" s="52">
        <v>0</v>
      </c>
      <c r="M22" s="491">
        <v>0</v>
      </c>
      <c r="N22" s="48" t="s">
        <v>88</v>
      </c>
      <c r="O22" s="48" t="s">
        <v>12</v>
      </c>
      <c r="P22" s="48" t="s">
        <v>140</v>
      </c>
      <c r="Q22" s="48" t="s">
        <v>142</v>
      </c>
      <c r="R22" s="57" t="s">
        <v>173</v>
      </c>
      <c r="S22" s="48" t="str">
        <f t="shared" si="0"/>
        <v>Deposit</v>
      </c>
    </row>
    <row r="23" spans="1:21">
      <c r="A23" s="48" t="s">
        <v>140</v>
      </c>
      <c r="B23" s="49">
        <v>44620</v>
      </c>
      <c r="C23" s="48" t="s">
        <v>179</v>
      </c>
      <c r="D23" s="48" t="s">
        <v>1024</v>
      </c>
      <c r="E23" s="48" t="s">
        <v>1025</v>
      </c>
      <c r="F23" s="48" t="s">
        <v>70</v>
      </c>
      <c r="G23" s="122">
        <v>0</v>
      </c>
      <c r="H23" s="48" t="s">
        <v>20</v>
      </c>
      <c r="I23" s="48" t="s">
        <v>70</v>
      </c>
      <c r="J23" s="52">
        <v>0</v>
      </c>
      <c r="K23" s="51">
        <v>100</v>
      </c>
      <c r="L23" s="52">
        <v>0</v>
      </c>
      <c r="M23" s="491">
        <v>0</v>
      </c>
      <c r="N23" s="48" t="s">
        <v>88</v>
      </c>
      <c r="O23" s="48" t="s">
        <v>12</v>
      </c>
      <c r="P23" s="48" t="s">
        <v>140</v>
      </c>
      <c r="Q23" s="48" t="s">
        <v>142</v>
      </c>
      <c r="R23" s="57" t="s">
        <v>180</v>
      </c>
      <c r="S23" s="48" t="str">
        <f t="shared" si="0"/>
        <v>Deposit</v>
      </c>
      <c r="T23" s="347"/>
      <c r="U23" s="348"/>
    </row>
    <row r="24" spans="1:21">
      <c r="A24" s="48" t="s">
        <v>140</v>
      </c>
      <c r="B24" s="49">
        <v>44619</v>
      </c>
      <c r="C24" s="48" t="s">
        <v>181</v>
      </c>
      <c r="D24" s="48" t="s">
        <v>1026</v>
      </c>
      <c r="E24" s="48" t="s">
        <v>1027</v>
      </c>
      <c r="F24" s="48" t="s">
        <v>73</v>
      </c>
      <c r="G24" s="122">
        <v>5232.96</v>
      </c>
      <c r="H24" s="48" t="s">
        <v>20</v>
      </c>
      <c r="I24" s="48" t="s">
        <v>73</v>
      </c>
      <c r="J24" s="50">
        <v>5232.96</v>
      </c>
      <c r="K24" s="51">
        <v>100</v>
      </c>
      <c r="L24" s="50">
        <v>5232.96</v>
      </c>
      <c r="M24" s="490">
        <v>5232.96</v>
      </c>
      <c r="N24" s="48" t="s">
        <v>88</v>
      </c>
      <c r="O24" s="48" t="s">
        <v>12</v>
      </c>
      <c r="P24" s="48" t="s">
        <v>140</v>
      </c>
      <c r="Q24" s="48" t="s">
        <v>142</v>
      </c>
      <c r="R24" s="57" t="s">
        <v>180</v>
      </c>
      <c r="S24" s="48" t="str">
        <f t="shared" si="0"/>
        <v>Deposit</v>
      </c>
    </row>
    <row r="25" spans="1:21">
      <c r="A25" s="48" t="s">
        <v>140</v>
      </c>
      <c r="B25" s="49">
        <v>44620</v>
      </c>
      <c r="C25" s="48" t="s">
        <v>182</v>
      </c>
      <c r="D25" s="48" t="s">
        <v>1028</v>
      </c>
      <c r="E25" s="48" t="s">
        <v>1029</v>
      </c>
      <c r="F25" s="48" t="s">
        <v>70</v>
      </c>
      <c r="G25" s="122">
        <v>0</v>
      </c>
      <c r="H25" s="48" t="s">
        <v>20</v>
      </c>
      <c r="I25" s="48" t="s">
        <v>70</v>
      </c>
      <c r="J25" s="52">
        <v>0</v>
      </c>
      <c r="K25" s="51">
        <v>100</v>
      </c>
      <c r="L25" s="52">
        <v>0</v>
      </c>
      <c r="M25" s="491">
        <v>0</v>
      </c>
      <c r="N25" s="48" t="s">
        <v>88</v>
      </c>
      <c r="O25" s="48" t="s">
        <v>12</v>
      </c>
      <c r="P25" s="48" t="s">
        <v>140</v>
      </c>
      <c r="Q25" s="48" t="s">
        <v>142</v>
      </c>
      <c r="R25" s="57" t="s">
        <v>180</v>
      </c>
      <c r="S25" s="48" t="str">
        <f t="shared" si="0"/>
        <v>Deposit</v>
      </c>
    </row>
    <row r="26" spans="1:21">
      <c r="A26" s="48" t="s">
        <v>140</v>
      </c>
      <c r="B26" s="49">
        <v>44594</v>
      </c>
      <c r="C26" s="48" t="s">
        <v>183</v>
      </c>
      <c r="D26" s="48" t="s">
        <v>1030</v>
      </c>
      <c r="E26" s="48" t="s">
        <v>1031</v>
      </c>
      <c r="F26" s="48" t="s">
        <v>70</v>
      </c>
      <c r="G26" s="122">
        <v>97661220.680000007</v>
      </c>
      <c r="H26" s="48" t="s">
        <v>20</v>
      </c>
      <c r="I26" s="48" t="s">
        <v>70</v>
      </c>
      <c r="J26" s="50">
        <v>2984176.99</v>
      </c>
      <c r="K26" s="51">
        <v>100</v>
      </c>
      <c r="L26" s="50">
        <v>97661220.680000007</v>
      </c>
      <c r="M26" s="490">
        <v>2984176.99</v>
      </c>
      <c r="N26" s="48" t="s">
        <v>88</v>
      </c>
      <c r="O26" s="48" t="s">
        <v>12</v>
      </c>
      <c r="P26" s="48" t="s">
        <v>140</v>
      </c>
      <c r="Q26" s="48" t="s">
        <v>142</v>
      </c>
      <c r="R26" s="57" t="s">
        <v>184</v>
      </c>
      <c r="S26" s="48" t="str">
        <f t="shared" si="0"/>
        <v>Deposit</v>
      </c>
    </row>
    <row r="27" spans="1:21">
      <c r="A27" s="48" t="s">
        <v>140</v>
      </c>
      <c r="B27" s="49">
        <v>42661</v>
      </c>
      <c r="C27" s="48" t="s">
        <v>185</v>
      </c>
      <c r="D27" s="48" t="s">
        <v>1032</v>
      </c>
      <c r="E27" s="48" t="s">
        <v>1033</v>
      </c>
      <c r="F27" s="48" t="s">
        <v>70</v>
      </c>
      <c r="G27" s="122">
        <v>0</v>
      </c>
      <c r="H27" s="48" t="s">
        <v>20</v>
      </c>
      <c r="I27" s="48" t="s">
        <v>70</v>
      </c>
      <c r="J27" s="52">
        <v>0</v>
      </c>
      <c r="K27" s="51">
        <v>100</v>
      </c>
      <c r="L27" s="52">
        <v>0</v>
      </c>
      <c r="M27" s="491">
        <v>0</v>
      </c>
      <c r="N27" s="48" t="s">
        <v>88</v>
      </c>
      <c r="O27" s="48" t="s">
        <v>12</v>
      </c>
      <c r="P27" s="48" t="s">
        <v>140</v>
      </c>
      <c r="Q27" s="48" t="s">
        <v>142</v>
      </c>
      <c r="R27" s="57" t="s">
        <v>184</v>
      </c>
      <c r="S27" s="48" t="str">
        <f t="shared" si="0"/>
        <v>Deposit</v>
      </c>
    </row>
    <row r="28" spans="1:21">
      <c r="A28" s="48" t="s">
        <v>186</v>
      </c>
      <c r="B28" s="49">
        <v>44620</v>
      </c>
      <c r="C28" s="48" t="s">
        <v>187</v>
      </c>
      <c r="D28" s="48" t="s">
        <v>1034</v>
      </c>
      <c r="E28" s="48" t="s">
        <v>1035</v>
      </c>
      <c r="F28" s="48" t="s">
        <v>70</v>
      </c>
      <c r="G28" s="122">
        <v>0</v>
      </c>
      <c r="H28" s="48" t="s">
        <v>59</v>
      </c>
      <c r="I28" s="48" t="s">
        <v>70</v>
      </c>
      <c r="J28" s="52">
        <v>0</v>
      </c>
      <c r="K28" s="51">
        <v>100</v>
      </c>
      <c r="L28" s="52">
        <v>0</v>
      </c>
      <c r="M28" s="491">
        <v>0</v>
      </c>
      <c r="N28" s="48" t="s">
        <v>88</v>
      </c>
      <c r="O28" s="48" t="s">
        <v>68</v>
      </c>
      <c r="P28" s="48" t="s">
        <v>186</v>
      </c>
      <c r="Q28" s="48" t="s">
        <v>188</v>
      </c>
      <c r="R28" s="57" t="s">
        <v>145</v>
      </c>
      <c r="S28" s="48" t="str">
        <f t="shared" si="0"/>
        <v>Deposit</v>
      </c>
    </row>
    <row r="29" spans="1:21">
      <c r="A29" s="48" t="s">
        <v>186</v>
      </c>
      <c r="B29" s="49">
        <v>44620</v>
      </c>
      <c r="C29" s="48" t="s">
        <v>189</v>
      </c>
      <c r="D29" s="48" t="s">
        <v>1036</v>
      </c>
      <c r="E29" s="48" t="s">
        <v>1037</v>
      </c>
      <c r="F29" s="48" t="s">
        <v>73</v>
      </c>
      <c r="G29" s="122">
        <v>0</v>
      </c>
      <c r="H29" s="48" t="s">
        <v>59</v>
      </c>
      <c r="I29" s="48" t="s">
        <v>73</v>
      </c>
      <c r="J29" s="52">
        <v>0</v>
      </c>
      <c r="K29" s="51">
        <v>100</v>
      </c>
      <c r="L29" s="52">
        <v>0</v>
      </c>
      <c r="M29" s="491">
        <v>0</v>
      </c>
      <c r="N29" s="48" t="s">
        <v>88</v>
      </c>
      <c r="O29" s="48" t="s">
        <v>68</v>
      </c>
      <c r="P29" s="48" t="s">
        <v>186</v>
      </c>
      <c r="Q29" s="48" t="s">
        <v>188</v>
      </c>
      <c r="R29" s="57" t="s">
        <v>145</v>
      </c>
      <c r="S29" s="48" t="str">
        <f t="shared" si="0"/>
        <v>Deposit</v>
      </c>
    </row>
    <row r="30" spans="1:21">
      <c r="A30" s="48" t="s">
        <v>186</v>
      </c>
      <c r="B30" s="49">
        <v>44620</v>
      </c>
      <c r="C30" s="48" t="s">
        <v>190</v>
      </c>
      <c r="D30" s="48" t="s">
        <v>1038</v>
      </c>
      <c r="E30" s="48" t="s">
        <v>1039</v>
      </c>
      <c r="F30" s="48" t="s">
        <v>70</v>
      </c>
      <c r="G30" s="122">
        <v>3267448.57</v>
      </c>
      <c r="H30" s="48" t="s">
        <v>191</v>
      </c>
      <c r="I30" s="48" t="s">
        <v>70</v>
      </c>
      <c r="J30" s="50">
        <v>99841.52</v>
      </c>
      <c r="K30" s="51">
        <v>66.666700000000006</v>
      </c>
      <c r="L30" s="50">
        <v>2178300.14</v>
      </c>
      <c r="M30" s="490">
        <v>66561.05</v>
      </c>
      <c r="N30" s="48" t="s">
        <v>88</v>
      </c>
      <c r="O30" s="48" t="s">
        <v>14</v>
      </c>
      <c r="P30" s="48" t="s">
        <v>192</v>
      </c>
      <c r="Q30" s="48" t="s">
        <v>193</v>
      </c>
      <c r="R30" s="57" t="s">
        <v>145</v>
      </c>
      <c r="S30" s="48" t="str">
        <f t="shared" si="0"/>
        <v>Deposit</v>
      </c>
      <c r="U30" s="71"/>
    </row>
    <row r="31" spans="1:21">
      <c r="A31" s="48" t="s">
        <v>186</v>
      </c>
      <c r="B31" s="49">
        <v>44620</v>
      </c>
      <c r="C31" s="48" t="s">
        <v>194</v>
      </c>
      <c r="D31" s="48" t="s">
        <v>1040</v>
      </c>
      <c r="E31" s="48" t="s">
        <v>1041</v>
      </c>
      <c r="F31" s="48" t="s">
        <v>70</v>
      </c>
      <c r="G31" s="122">
        <v>4031130.81</v>
      </c>
      <c r="H31" s="48" t="s">
        <v>195</v>
      </c>
      <c r="I31" s="48" t="s">
        <v>70</v>
      </c>
      <c r="J31" s="50">
        <v>123176.91</v>
      </c>
      <c r="K31" s="51">
        <v>80</v>
      </c>
      <c r="L31" s="50">
        <v>3224904.65</v>
      </c>
      <c r="M31" s="490">
        <v>98541.53</v>
      </c>
      <c r="N31" s="48" t="s">
        <v>88</v>
      </c>
      <c r="O31" s="48" t="s">
        <v>14</v>
      </c>
      <c r="P31" s="48" t="s">
        <v>196</v>
      </c>
      <c r="Q31" s="48" t="s">
        <v>197</v>
      </c>
      <c r="R31" s="57" t="s">
        <v>145</v>
      </c>
      <c r="S31" s="48" t="str">
        <f t="shared" si="0"/>
        <v>Deposit</v>
      </c>
    </row>
    <row r="32" spans="1:21">
      <c r="A32" s="48" t="s">
        <v>186</v>
      </c>
      <c r="B32" s="49">
        <v>44620</v>
      </c>
      <c r="C32" s="48" t="s">
        <v>198</v>
      </c>
      <c r="D32" s="48" t="s">
        <v>1042</v>
      </c>
      <c r="E32" s="48" t="s">
        <v>1043</v>
      </c>
      <c r="F32" s="48" t="s">
        <v>70</v>
      </c>
      <c r="G32" s="122">
        <v>0</v>
      </c>
      <c r="H32" s="48" t="s">
        <v>199</v>
      </c>
      <c r="I32" s="48" t="s">
        <v>70</v>
      </c>
      <c r="J32" s="52">
        <v>0</v>
      </c>
      <c r="K32" s="51">
        <v>100</v>
      </c>
      <c r="L32" s="52">
        <v>0</v>
      </c>
      <c r="M32" s="491">
        <v>0</v>
      </c>
      <c r="N32" s="48" t="s">
        <v>88</v>
      </c>
      <c r="O32" s="48" t="s">
        <v>14</v>
      </c>
      <c r="P32" s="48" t="s">
        <v>200</v>
      </c>
      <c r="Q32" s="48" t="s">
        <v>201</v>
      </c>
      <c r="R32" s="57" t="s">
        <v>145</v>
      </c>
      <c r="S32" s="48" t="str">
        <f t="shared" si="0"/>
        <v>Deposit</v>
      </c>
    </row>
    <row r="33" spans="1:19">
      <c r="A33" s="48" t="s">
        <v>186</v>
      </c>
      <c r="B33" s="49">
        <v>44620</v>
      </c>
      <c r="C33" s="48" t="s">
        <v>202</v>
      </c>
      <c r="D33" s="48" t="s">
        <v>1044</v>
      </c>
      <c r="E33" s="48" t="s">
        <v>1045</v>
      </c>
      <c r="F33" s="48" t="s">
        <v>70</v>
      </c>
      <c r="G33" s="122">
        <v>0</v>
      </c>
      <c r="H33" s="48" t="s">
        <v>203</v>
      </c>
      <c r="I33" s="48" t="s">
        <v>70</v>
      </c>
      <c r="J33" s="52">
        <v>0</v>
      </c>
      <c r="K33" s="51">
        <v>100</v>
      </c>
      <c r="L33" s="52">
        <v>0</v>
      </c>
      <c r="M33" s="491">
        <v>0</v>
      </c>
      <c r="N33" s="48" t="s">
        <v>88</v>
      </c>
      <c r="O33" s="48" t="s">
        <v>14</v>
      </c>
      <c r="P33" s="48" t="s">
        <v>204</v>
      </c>
      <c r="Q33" s="48" t="s">
        <v>205</v>
      </c>
      <c r="R33" s="57" t="s">
        <v>145</v>
      </c>
      <c r="S33" s="48" t="str">
        <f t="shared" si="0"/>
        <v>Deposit</v>
      </c>
    </row>
    <row r="34" spans="1:19">
      <c r="A34" s="48" t="s">
        <v>186</v>
      </c>
      <c r="B34" s="49">
        <v>44620</v>
      </c>
      <c r="C34" s="48" t="s">
        <v>206</v>
      </c>
      <c r="D34" s="48" t="s">
        <v>1046</v>
      </c>
      <c r="E34" s="48" t="s">
        <v>1047</v>
      </c>
      <c r="F34" s="48" t="s">
        <v>70</v>
      </c>
      <c r="G34" s="122">
        <v>0</v>
      </c>
      <c r="H34" s="48" t="s">
        <v>207</v>
      </c>
      <c r="I34" s="48" t="s">
        <v>70</v>
      </c>
      <c r="J34" s="52">
        <v>0</v>
      </c>
      <c r="K34" s="51">
        <v>100</v>
      </c>
      <c r="L34" s="52">
        <v>0</v>
      </c>
      <c r="M34" s="491">
        <v>0</v>
      </c>
      <c r="N34" s="48" t="s">
        <v>88</v>
      </c>
      <c r="O34" s="48" t="s">
        <v>14</v>
      </c>
      <c r="P34" s="48" t="s">
        <v>208</v>
      </c>
      <c r="Q34" s="48" t="s">
        <v>209</v>
      </c>
      <c r="R34" s="57" t="s">
        <v>145</v>
      </c>
      <c r="S34" s="48" t="str">
        <f t="shared" si="0"/>
        <v>Deposit</v>
      </c>
    </row>
    <row r="35" spans="1:19">
      <c r="A35" s="48" t="s">
        <v>186</v>
      </c>
      <c r="B35" s="49">
        <v>44620</v>
      </c>
      <c r="C35" s="48" t="s">
        <v>210</v>
      </c>
      <c r="D35" s="48" t="s">
        <v>1048</v>
      </c>
      <c r="E35" s="48" t="s">
        <v>1049</v>
      </c>
      <c r="F35" s="48" t="s">
        <v>70</v>
      </c>
      <c r="G35" s="122">
        <v>22348185.629999999</v>
      </c>
      <c r="H35" s="48" t="s">
        <v>59</v>
      </c>
      <c r="I35" s="48" t="s">
        <v>70</v>
      </c>
      <c r="J35" s="50">
        <v>682880.48</v>
      </c>
      <c r="K35" s="51">
        <v>100</v>
      </c>
      <c r="L35" s="50">
        <v>22348185.629999999</v>
      </c>
      <c r="M35" s="490">
        <v>682880.48</v>
      </c>
      <c r="N35" s="48" t="s">
        <v>88</v>
      </c>
      <c r="O35" s="48" t="s">
        <v>68</v>
      </c>
      <c r="P35" s="48" t="s">
        <v>186</v>
      </c>
      <c r="Q35" s="48" t="s">
        <v>188</v>
      </c>
      <c r="R35" s="57" t="s">
        <v>173</v>
      </c>
      <c r="S35" s="48" t="str">
        <f t="shared" ref="S35:S66" si="1">IF(OR(C35=$T$3,C35=$T$4,C35=$T$5,C35=$T$6,C35=$T$7),$T$2,"Deposit")</f>
        <v>Deposit</v>
      </c>
    </row>
    <row r="36" spans="1:19">
      <c r="A36" s="48" t="s">
        <v>186</v>
      </c>
      <c r="B36" s="49">
        <v>44620</v>
      </c>
      <c r="C36" s="48" t="s">
        <v>211</v>
      </c>
      <c r="D36" s="48" t="s">
        <v>1050</v>
      </c>
      <c r="E36" s="48" t="s">
        <v>1051</v>
      </c>
      <c r="F36" s="48" t="s">
        <v>73</v>
      </c>
      <c r="G36" s="122">
        <v>1808587.15</v>
      </c>
      <c r="H36" s="48" t="s">
        <v>59</v>
      </c>
      <c r="I36" s="48" t="s">
        <v>73</v>
      </c>
      <c r="J36" s="50">
        <v>1808587.15</v>
      </c>
      <c r="K36" s="51">
        <v>100</v>
      </c>
      <c r="L36" s="50">
        <v>1808587.15</v>
      </c>
      <c r="M36" s="490">
        <v>1808587.15</v>
      </c>
      <c r="N36" s="48" t="s">
        <v>88</v>
      </c>
      <c r="O36" s="48" t="s">
        <v>68</v>
      </c>
      <c r="P36" s="48" t="s">
        <v>186</v>
      </c>
      <c r="Q36" s="48" t="s">
        <v>188</v>
      </c>
      <c r="R36" s="57" t="s">
        <v>173</v>
      </c>
      <c r="S36" s="48" t="str">
        <f t="shared" si="1"/>
        <v>Deposit</v>
      </c>
    </row>
    <row r="37" spans="1:19">
      <c r="A37" s="48" t="s">
        <v>186</v>
      </c>
      <c r="B37" s="49">
        <v>44620</v>
      </c>
      <c r="C37" s="48" t="s">
        <v>212</v>
      </c>
      <c r="D37" s="48" t="s">
        <v>1052</v>
      </c>
      <c r="E37" s="48" t="s">
        <v>1053</v>
      </c>
      <c r="F37" s="48" t="s">
        <v>73</v>
      </c>
      <c r="G37" s="122">
        <v>2223176.1800000002</v>
      </c>
      <c r="H37" s="48" t="s">
        <v>59</v>
      </c>
      <c r="I37" s="48" t="s">
        <v>73</v>
      </c>
      <c r="J37" s="50">
        <v>2223176.1800000002</v>
      </c>
      <c r="K37" s="51">
        <v>100</v>
      </c>
      <c r="L37" s="50">
        <v>2223176.1800000002</v>
      </c>
      <c r="M37" s="490">
        <v>2223176.1800000002</v>
      </c>
      <c r="N37" s="48" t="s">
        <v>88</v>
      </c>
      <c r="O37" s="48" t="s">
        <v>68</v>
      </c>
      <c r="P37" s="48" t="s">
        <v>186</v>
      </c>
      <c r="Q37" s="48" t="s">
        <v>188</v>
      </c>
      <c r="R37" s="57" t="s">
        <v>213</v>
      </c>
      <c r="S37" s="48" t="str">
        <f t="shared" si="1"/>
        <v>Deposit</v>
      </c>
    </row>
    <row r="38" spans="1:19">
      <c r="A38" s="48" t="s">
        <v>186</v>
      </c>
      <c r="B38" s="49">
        <v>44620</v>
      </c>
      <c r="C38" s="48" t="s">
        <v>214</v>
      </c>
      <c r="D38" s="48" t="s">
        <v>1054</v>
      </c>
      <c r="E38" s="48" t="s">
        <v>1055</v>
      </c>
      <c r="F38" s="48" t="s">
        <v>73</v>
      </c>
      <c r="G38" s="122">
        <v>74778809.640000001</v>
      </c>
      <c r="H38" s="48" t="s">
        <v>59</v>
      </c>
      <c r="I38" s="48" t="s">
        <v>73</v>
      </c>
      <c r="J38" s="50">
        <v>74778809.640000001</v>
      </c>
      <c r="K38" s="51">
        <v>100</v>
      </c>
      <c r="L38" s="50">
        <v>74778809.640000001</v>
      </c>
      <c r="M38" s="490">
        <v>74778809.640000001</v>
      </c>
      <c r="N38" s="48" t="s">
        <v>88</v>
      </c>
      <c r="O38" s="48" t="s">
        <v>68</v>
      </c>
      <c r="P38" s="48" t="s">
        <v>186</v>
      </c>
      <c r="Q38" s="48" t="s">
        <v>188</v>
      </c>
      <c r="R38" s="57" t="s">
        <v>213</v>
      </c>
      <c r="S38" s="48" t="str">
        <f t="shared" si="1"/>
        <v>Deposit</v>
      </c>
    </row>
    <row r="39" spans="1:19">
      <c r="A39" s="48" t="s">
        <v>186</v>
      </c>
      <c r="B39" s="49">
        <v>44620</v>
      </c>
      <c r="C39" s="48" t="s">
        <v>215</v>
      </c>
      <c r="D39" s="48" t="s">
        <v>1056</v>
      </c>
      <c r="E39" s="48" t="s">
        <v>1057</v>
      </c>
      <c r="F39" s="48" t="s">
        <v>73</v>
      </c>
      <c r="G39" s="122">
        <v>11580604.68</v>
      </c>
      <c r="H39" s="48" t="s">
        <v>59</v>
      </c>
      <c r="I39" s="48" t="s">
        <v>73</v>
      </c>
      <c r="J39" s="50">
        <v>11580604.68</v>
      </c>
      <c r="K39" s="51">
        <v>100</v>
      </c>
      <c r="L39" s="50">
        <v>11580604.68</v>
      </c>
      <c r="M39" s="490">
        <v>11580604.68</v>
      </c>
      <c r="N39" s="48" t="s">
        <v>88</v>
      </c>
      <c r="O39" s="48" t="s">
        <v>68</v>
      </c>
      <c r="P39" s="48" t="s">
        <v>186</v>
      </c>
      <c r="Q39" s="48" t="s">
        <v>188</v>
      </c>
      <c r="R39" s="57" t="s">
        <v>213</v>
      </c>
      <c r="S39" s="48" t="str">
        <f t="shared" si="1"/>
        <v>Deposit</v>
      </c>
    </row>
    <row r="40" spans="1:19">
      <c r="A40" s="48" t="s">
        <v>186</v>
      </c>
      <c r="B40" s="49">
        <v>44620</v>
      </c>
      <c r="C40" s="48" t="s">
        <v>216</v>
      </c>
      <c r="D40" s="48" t="s">
        <v>1058</v>
      </c>
      <c r="E40" s="48" t="s">
        <v>1059</v>
      </c>
      <c r="F40" s="48" t="s">
        <v>73</v>
      </c>
      <c r="G40" s="122">
        <v>0</v>
      </c>
      <c r="H40" s="48" t="s">
        <v>59</v>
      </c>
      <c r="I40" s="48" t="s">
        <v>73</v>
      </c>
      <c r="J40" s="52">
        <v>0</v>
      </c>
      <c r="K40" s="51">
        <v>100</v>
      </c>
      <c r="L40" s="52">
        <v>0</v>
      </c>
      <c r="M40" s="491">
        <v>0</v>
      </c>
      <c r="N40" s="48" t="s">
        <v>88</v>
      </c>
      <c r="O40" s="48" t="s">
        <v>68</v>
      </c>
      <c r="P40" s="48" t="s">
        <v>186</v>
      </c>
      <c r="Q40" s="48" t="s">
        <v>188</v>
      </c>
      <c r="R40" s="57" t="s">
        <v>213</v>
      </c>
      <c r="S40" s="48" t="str">
        <f t="shared" si="1"/>
        <v>Deposit</v>
      </c>
    </row>
    <row r="41" spans="1:19">
      <c r="A41" s="48" t="s">
        <v>186</v>
      </c>
      <c r="B41" s="49">
        <v>44620</v>
      </c>
      <c r="C41" s="48" t="s">
        <v>217</v>
      </c>
      <c r="D41" s="48" t="s">
        <v>1060</v>
      </c>
      <c r="E41" s="48" t="s">
        <v>1061</v>
      </c>
      <c r="F41" s="48" t="s">
        <v>73</v>
      </c>
      <c r="G41" s="122">
        <v>0</v>
      </c>
      <c r="H41" s="48" t="s">
        <v>59</v>
      </c>
      <c r="I41" s="48" t="s">
        <v>73</v>
      </c>
      <c r="J41" s="52">
        <v>0</v>
      </c>
      <c r="K41" s="51">
        <v>100</v>
      </c>
      <c r="L41" s="52">
        <v>0</v>
      </c>
      <c r="M41" s="491">
        <v>0</v>
      </c>
      <c r="N41" s="48" t="s">
        <v>88</v>
      </c>
      <c r="O41" s="48" t="s">
        <v>68</v>
      </c>
      <c r="P41" s="48" t="s">
        <v>186</v>
      </c>
      <c r="Q41" s="48" t="s">
        <v>188</v>
      </c>
      <c r="R41" s="57" t="s">
        <v>213</v>
      </c>
      <c r="S41" s="48" t="str">
        <f t="shared" si="1"/>
        <v>Deposit</v>
      </c>
    </row>
    <row r="42" spans="1:19">
      <c r="A42" s="48" t="s">
        <v>186</v>
      </c>
      <c r="B42" s="49">
        <v>44620</v>
      </c>
      <c r="C42" s="48" t="s">
        <v>218</v>
      </c>
      <c r="D42" s="48" t="s">
        <v>1062</v>
      </c>
      <c r="E42" s="48" t="s">
        <v>1063</v>
      </c>
      <c r="F42" s="48" t="s">
        <v>73</v>
      </c>
      <c r="G42" s="122">
        <v>0</v>
      </c>
      <c r="H42" s="48" t="s">
        <v>59</v>
      </c>
      <c r="I42" s="48" t="s">
        <v>73</v>
      </c>
      <c r="J42" s="52">
        <v>0</v>
      </c>
      <c r="K42" s="51">
        <v>100</v>
      </c>
      <c r="L42" s="52">
        <v>0</v>
      </c>
      <c r="M42" s="491">
        <v>0</v>
      </c>
      <c r="N42" s="48" t="s">
        <v>88</v>
      </c>
      <c r="O42" s="48" t="s">
        <v>68</v>
      </c>
      <c r="P42" s="48" t="s">
        <v>186</v>
      </c>
      <c r="Q42" s="48" t="s">
        <v>188</v>
      </c>
      <c r="R42" s="57" t="s">
        <v>213</v>
      </c>
      <c r="S42" s="48" t="str">
        <f t="shared" si="1"/>
        <v>Deposit</v>
      </c>
    </row>
    <row r="43" spans="1:19">
      <c r="A43" s="48" t="s">
        <v>219</v>
      </c>
      <c r="B43" s="49">
        <v>44620</v>
      </c>
      <c r="C43" s="48" t="s">
        <v>224</v>
      </c>
      <c r="D43" s="48" t="s">
        <v>1064</v>
      </c>
      <c r="E43" s="48" t="s">
        <v>1065</v>
      </c>
      <c r="F43" s="48" t="s">
        <v>73</v>
      </c>
      <c r="G43" s="122">
        <v>1489907.89</v>
      </c>
      <c r="H43" s="48" t="s">
        <v>220</v>
      </c>
      <c r="I43" s="48" t="s">
        <v>73</v>
      </c>
      <c r="J43" s="50">
        <v>1489907.89</v>
      </c>
      <c r="K43" s="51">
        <v>100</v>
      </c>
      <c r="L43" s="50">
        <v>1489907.89</v>
      </c>
      <c r="M43" s="490">
        <v>1489907.89</v>
      </c>
      <c r="N43" s="48" t="s">
        <v>221</v>
      </c>
      <c r="O43" s="48" t="s">
        <v>68</v>
      </c>
      <c r="P43" s="48" t="s">
        <v>219</v>
      </c>
      <c r="Q43" s="48" t="s">
        <v>222</v>
      </c>
      <c r="R43" s="57" t="s">
        <v>213</v>
      </c>
      <c r="S43" s="48" t="str">
        <f t="shared" si="1"/>
        <v>Deposit</v>
      </c>
    </row>
    <row r="44" spans="1:19">
      <c r="A44" s="48" t="s">
        <v>219</v>
      </c>
      <c r="B44" s="49">
        <v>44620</v>
      </c>
      <c r="C44" s="48" t="s">
        <v>225</v>
      </c>
      <c r="D44" s="48" t="s">
        <v>1066</v>
      </c>
      <c r="E44" s="48" t="s">
        <v>1067</v>
      </c>
      <c r="F44" s="48" t="s">
        <v>70</v>
      </c>
      <c r="G44" s="122">
        <v>5076430.9800000004</v>
      </c>
      <c r="H44" s="48" t="s">
        <v>220</v>
      </c>
      <c r="I44" s="48" t="s">
        <v>70</v>
      </c>
      <c r="J44" s="50">
        <v>155117.54</v>
      </c>
      <c r="K44" s="51">
        <v>100</v>
      </c>
      <c r="L44" s="50">
        <v>5076430.9800000004</v>
      </c>
      <c r="M44" s="490">
        <v>155117.54</v>
      </c>
      <c r="N44" s="48" t="s">
        <v>221</v>
      </c>
      <c r="O44" s="48" t="s">
        <v>68</v>
      </c>
      <c r="P44" s="48" t="s">
        <v>219</v>
      </c>
      <c r="Q44" s="48" t="s">
        <v>222</v>
      </c>
      <c r="R44" s="57" t="s">
        <v>213</v>
      </c>
      <c r="S44" s="48" t="str">
        <f t="shared" si="1"/>
        <v>Deposit</v>
      </c>
    </row>
    <row r="45" spans="1:19">
      <c r="A45" s="48" t="s">
        <v>219</v>
      </c>
      <c r="B45" s="49">
        <v>44620</v>
      </c>
      <c r="C45" s="48" t="s">
        <v>226</v>
      </c>
      <c r="D45" s="48" t="s">
        <v>1068</v>
      </c>
      <c r="E45" s="48" t="s">
        <v>1069</v>
      </c>
      <c r="F45" s="48" t="s">
        <v>73</v>
      </c>
      <c r="G45" s="122">
        <v>957295.03</v>
      </c>
      <c r="H45" s="48" t="s">
        <v>220</v>
      </c>
      <c r="I45" s="48" t="s">
        <v>73</v>
      </c>
      <c r="J45" s="50">
        <v>957295.03</v>
      </c>
      <c r="K45" s="51">
        <v>100</v>
      </c>
      <c r="L45" s="50">
        <v>957295.03</v>
      </c>
      <c r="M45" s="490">
        <v>957295.03</v>
      </c>
      <c r="N45" s="48" t="s">
        <v>221</v>
      </c>
      <c r="O45" s="48" t="s">
        <v>68</v>
      </c>
      <c r="P45" s="48" t="s">
        <v>219</v>
      </c>
      <c r="Q45" s="48" t="s">
        <v>222</v>
      </c>
      <c r="R45" s="57" t="s">
        <v>213</v>
      </c>
      <c r="S45" s="48" t="str">
        <f t="shared" si="1"/>
        <v>Deposit</v>
      </c>
    </row>
    <row r="46" spans="1:19">
      <c r="A46" s="48" t="s">
        <v>219</v>
      </c>
      <c r="B46" s="49">
        <v>44620</v>
      </c>
      <c r="C46" s="48" t="s">
        <v>227</v>
      </c>
      <c r="D46" s="48" t="s">
        <v>1070</v>
      </c>
      <c r="E46" s="48" t="s">
        <v>1071</v>
      </c>
      <c r="F46" s="48" t="s">
        <v>228</v>
      </c>
      <c r="G46" s="252">
        <v>746275504</v>
      </c>
      <c r="H46" s="48" t="s">
        <v>220</v>
      </c>
      <c r="I46" s="48" t="s">
        <v>18</v>
      </c>
      <c r="J46" s="50">
        <v>419584.5</v>
      </c>
      <c r="K46" s="51">
        <v>100</v>
      </c>
      <c r="L46" s="52">
        <v>746275504</v>
      </c>
      <c r="M46" s="490">
        <v>419584.5</v>
      </c>
      <c r="N46" s="48" t="s">
        <v>221</v>
      </c>
      <c r="O46" s="48" t="s">
        <v>68</v>
      </c>
      <c r="P46" s="48" t="s">
        <v>219</v>
      </c>
      <c r="Q46" s="48" t="s">
        <v>222</v>
      </c>
      <c r="R46" s="57" t="s">
        <v>213</v>
      </c>
      <c r="S46" s="48" t="str">
        <f t="shared" si="1"/>
        <v>Deposit</v>
      </c>
    </row>
    <row r="47" spans="1:19">
      <c r="A47" s="48" t="s">
        <v>219</v>
      </c>
      <c r="B47" s="49">
        <v>44620</v>
      </c>
      <c r="C47" s="48" t="s">
        <v>229</v>
      </c>
      <c r="D47" s="48" t="s">
        <v>1072</v>
      </c>
      <c r="E47" s="48" t="s">
        <v>1073</v>
      </c>
      <c r="F47" s="48" t="s">
        <v>73</v>
      </c>
      <c r="G47" s="122">
        <v>0</v>
      </c>
      <c r="H47" s="48" t="s">
        <v>60</v>
      </c>
      <c r="I47" s="48" t="s">
        <v>73</v>
      </c>
      <c r="J47" s="52">
        <v>0</v>
      </c>
      <c r="K47" s="51">
        <v>100</v>
      </c>
      <c r="L47" s="52">
        <v>0</v>
      </c>
      <c r="M47" s="491">
        <v>0</v>
      </c>
      <c r="N47" s="48" t="s">
        <v>221</v>
      </c>
      <c r="O47" s="48" t="s">
        <v>68</v>
      </c>
      <c r="P47" s="48" t="s">
        <v>219</v>
      </c>
      <c r="Q47" s="48" t="s">
        <v>230</v>
      </c>
      <c r="R47" s="57" t="s">
        <v>213</v>
      </c>
      <c r="S47" s="48" t="str">
        <f t="shared" si="1"/>
        <v>Deposit</v>
      </c>
    </row>
    <row r="48" spans="1:19">
      <c r="A48" s="48" t="s">
        <v>231</v>
      </c>
      <c r="B48" s="49">
        <v>44620</v>
      </c>
      <c r="C48" s="48" t="s">
        <v>232</v>
      </c>
      <c r="D48" s="48" t="s">
        <v>1074</v>
      </c>
      <c r="E48" s="48" t="s">
        <v>1075</v>
      </c>
      <c r="F48" s="48" t="s">
        <v>73</v>
      </c>
      <c r="G48" s="122">
        <v>2041706.45</v>
      </c>
      <c r="H48" s="48" t="s">
        <v>62</v>
      </c>
      <c r="I48" s="48" t="s">
        <v>73</v>
      </c>
      <c r="J48" s="50">
        <v>2041706.45</v>
      </c>
      <c r="K48" s="51">
        <v>100</v>
      </c>
      <c r="L48" s="50">
        <v>2041706.45</v>
      </c>
      <c r="M48" s="490">
        <v>2041706.45</v>
      </c>
      <c r="N48" s="48" t="s">
        <v>233</v>
      </c>
      <c r="O48" s="48" t="s">
        <v>12</v>
      </c>
      <c r="P48" s="48" t="s">
        <v>231</v>
      </c>
      <c r="Q48" s="48" t="s">
        <v>234</v>
      </c>
      <c r="R48" s="57" t="s">
        <v>143</v>
      </c>
      <c r="S48" s="48" t="str">
        <f t="shared" si="1"/>
        <v>Deposit</v>
      </c>
    </row>
    <row r="49" spans="1:21">
      <c r="A49" s="48" t="s">
        <v>231</v>
      </c>
      <c r="B49" s="49">
        <v>44620</v>
      </c>
      <c r="C49" s="48" t="s">
        <v>235</v>
      </c>
      <c r="D49" s="48" t="s">
        <v>1076</v>
      </c>
      <c r="E49" s="48" t="s">
        <v>1077</v>
      </c>
      <c r="F49" s="48" t="s">
        <v>73</v>
      </c>
      <c r="G49" s="122">
        <v>2052151.06</v>
      </c>
      <c r="H49" s="271" t="s">
        <v>62</v>
      </c>
      <c r="I49" s="48" t="s">
        <v>73</v>
      </c>
      <c r="J49" s="50">
        <v>2052151.06</v>
      </c>
      <c r="K49" s="51">
        <v>100</v>
      </c>
      <c r="L49" s="50">
        <v>2052151.06</v>
      </c>
      <c r="M49" s="490">
        <v>2052151.06</v>
      </c>
      <c r="N49" s="48" t="s">
        <v>233</v>
      </c>
      <c r="O49" s="48" t="s">
        <v>12</v>
      </c>
      <c r="P49" s="48" t="s">
        <v>231</v>
      </c>
      <c r="Q49" s="48" t="s">
        <v>234</v>
      </c>
      <c r="R49" s="57" t="s">
        <v>145</v>
      </c>
      <c r="S49" s="48" t="str">
        <f t="shared" si="1"/>
        <v>Deposit</v>
      </c>
      <c r="U49" s="71"/>
    </row>
    <row r="50" spans="1:21">
      <c r="A50" s="48" t="s">
        <v>236</v>
      </c>
      <c r="B50" s="49">
        <v>44620</v>
      </c>
      <c r="C50" s="48" t="s">
        <v>237</v>
      </c>
      <c r="D50" s="48" t="s">
        <v>1078</v>
      </c>
      <c r="E50" s="48" t="s">
        <v>1079</v>
      </c>
      <c r="F50" s="48" t="s">
        <v>73</v>
      </c>
      <c r="G50" s="122">
        <v>0</v>
      </c>
      <c r="H50" s="48" t="s">
        <v>39</v>
      </c>
      <c r="I50" s="48" t="s">
        <v>73</v>
      </c>
      <c r="J50" s="52">
        <v>0</v>
      </c>
      <c r="K50" s="51">
        <v>100</v>
      </c>
      <c r="L50" s="52">
        <v>0</v>
      </c>
      <c r="M50" s="491">
        <v>0</v>
      </c>
      <c r="N50" s="48" t="s">
        <v>233</v>
      </c>
      <c r="O50" s="48" t="s">
        <v>68</v>
      </c>
      <c r="P50" s="48" t="s">
        <v>236</v>
      </c>
      <c r="Q50" s="48" t="s">
        <v>238</v>
      </c>
      <c r="R50" s="57" t="s">
        <v>145</v>
      </c>
      <c r="S50" s="48" t="str">
        <f t="shared" si="1"/>
        <v>Deposit</v>
      </c>
    </row>
    <row r="51" spans="1:21">
      <c r="A51" s="48" t="s">
        <v>239</v>
      </c>
      <c r="B51" s="49">
        <v>44620</v>
      </c>
      <c r="C51" s="48" t="s">
        <v>240</v>
      </c>
      <c r="D51" s="48" t="s">
        <v>1080</v>
      </c>
      <c r="E51" s="48" t="s">
        <v>1081</v>
      </c>
      <c r="F51" s="48" t="s">
        <v>73</v>
      </c>
      <c r="G51" s="122">
        <v>0</v>
      </c>
      <c r="H51" s="271" t="s">
        <v>53</v>
      </c>
      <c r="I51" s="48" t="s">
        <v>73</v>
      </c>
      <c r="J51" s="52">
        <v>0</v>
      </c>
      <c r="K51" s="51">
        <v>100</v>
      </c>
      <c r="L51" s="52">
        <v>0</v>
      </c>
      <c r="M51" s="491">
        <v>0</v>
      </c>
      <c r="N51" s="48" t="s">
        <v>233</v>
      </c>
      <c r="O51" s="48" t="s">
        <v>68</v>
      </c>
      <c r="P51" s="48" t="s">
        <v>239</v>
      </c>
      <c r="Q51" s="48" t="s">
        <v>241</v>
      </c>
      <c r="R51" s="57" t="s">
        <v>145</v>
      </c>
      <c r="S51" s="48" t="str">
        <f t="shared" si="1"/>
        <v>Deposit</v>
      </c>
      <c r="U51" s="302"/>
    </row>
    <row r="52" spans="1:21">
      <c r="A52" s="48" t="s">
        <v>242</v>
      </c>
      <c r="B52" s="49">
        <v>44620</v>
      </c>
      <c r="C52" s="48" t="s">
        <v>243</v>
      </c>
      <c r="D52" s="48" t="s">
        <v>1082</v>
      </c>
      <c r="E52" s="48" t="s">
        <v>1083</v>
      </c>
      <c r="F52" s="48" t="s">
        <v>73</v>
      </c>
      <c r="G52" s="122">
        <v>20733101.199999999</v>
      </c>
      <c r="H52" s="48" t="s">
        <v>36</v>
      </c>
      <c r="I52" s="48" t="s">
        <v>73</v>
      </c>
      <c r="J52" s="122">
        <v>20733101.199999999</v>
      </c>
      <c r="K52" s="51">
        <v>100</v>
      </c>
      <c r="L52" s="122">
        <v>20733101.199999999</v>
      </c>
      <c r="M52" s="490">
        <v>20733101.199999999</v>
      </c>
      <c r="N52" s="48" t="s">
        <v>233</v>
      </c>
      <c r="O52" s="48" t="s">
        <v>68</v>
      </c>
      <c r="P52" s="48" t="s">
        <v>242</v>
      </c>
      <c r="Q52" s="48" t="s">
        <v>244</v>
      </c>
      <c r="R52" s="57" t="s">
        <v>167</v>
      </c>
      <c r="S52" s="48" t="str">
        <f t="shared" si="1"/>
        <v>Deposit</v>
      </c>
      <c r="T52" s="347"/>
      <c r="U52" s="348"/>
    </row>
    <row r="53" spans="1:21">
      <c r="A53" s="48" t="s">
        <v>242</v>
      </c>
      <c r="B53" s="49">
        <v>44620</v>
      </c>
      <c r="C53" s="48" t="s">
        <v>245</v>
      </c>
      <c r="D53" s="48" t="s">
        <v>1084</v>
      </c>
      <c r="E53" s="48" t="s">
        <v>1085</v>
      </c>
      <c r="F53" s="48" t="s">
        <v>246</v>
      </c>
      <c r="G53" s="252">
        <v>60301930704</v>
      </c>
      <c r="H53" s="48" t="s">
        <v>36</v>
      </c>
      <c r="I53" s="48" t="s">
        <v>18</v>
      </c>
      <c r="J53" s="50">
        <v>2634933.87</v>
      </c>
      <c r="K53" s="51">
        <v>100</v>
      </c>
      <c r="L53" s="52">
        <v>60301930704</v>
      </c>
      <c r="M53" s="490">
        <v>2634933.87</v>
      </c>
      <c r="N53" s="48" t="s">
        <v>233</v>
      </c>
      <c r="O53" s="48" t="s">
        <v>68</v>
      </c>
      <c r="P53" s="48" t="s">
        <v>242</v>
      </c>
      <c r="Q53" s="48" t="s">
        <v>244</v>
      </c>
      <c r="R53" s="57" t="s">
        <v>167</v>
      </c>
      <c r="S53" s="48" t="str">
        <f t="shared" si="1"/>
        <v>Deposit</v>
      </c>
    </row>
    <row r="54" spans="1:21">
      <c r="A54" s="48" t="s">
        <v>242</v>
      </c>
      <c r="B54" s="49">
        <v>44620</v>
      </c>
      <c r="C54" s="48" t="s">
        <v>959</v>
      </c>
      <c r="D54" s="48" t="s">
        <v>1086</v>
      </c>
      <c r="E54" s="48" t="s">
        <v>1087</v>
      </c>
      <c r="F54" s="48" t="s">
        <v>73</v>
      </c>
      <c r="G54" s="122">
        <v>0</v>
      </c>
      <c r="H54" s="48" t="s">
        <v>36</v>
      </c>
      <c r="I54" s="48" t="s">
        <v>73</v>
      </c>
      <c r="J54" s="52">
        <v>0</v>
      </c>
      <c r="K54" s="51">
        <v>100</v>
      </c>
      <c r="L54" s="52">
        <v>0</v>
      </c>
      <c r="M54" s="491">
        <v>0</v>
      </c>
      <c r="N54" s="48" t="s">
        <v>233</v>
      </c>
      <c r="O54" s="48" t="s">
        <v>68</v>
      </c>
      <c r="P54" s="48" t="s">
        <v>242</v>
      </c>
      <c r="Q54" s="48" t="s">
        <v>244</v>
      </c>
      <c r="R54" s="57" t="s">
        <v>167</v>
      </c>
      <c r="S54" s="48" t="str">
        <f t="shared" si="1"/>
        <v>Deposit</v>
      </c>
    </row>
    <row r="55" spans="1:21">
      <c r="A55" s="48" t="s">
        <v>242</v>
      </c>
      <c r="B55" s="49">
        <v>44620</v>
      </c>
      <c r="C55" s="48" t="s">
        <v>960</v>
      </c>
      <c r="D55" s="48" t="s">
        <v>1088</v>
      </c>
      <c r="E55" s="48" t="s">
        <v>1089</v>
      </c>
      <c r="F55" s="48" t="s">
        <v>246</v>
      </c>
      <c r="G55" s="122">
        <v>0</v>
      </c>
      <c r="H55" s="48" t="s">
        <v>36</v>
      </c>
      <c r="I55" s="48" t="s">
        <v>18</v>
      </c>
      <c r="J55" s="52">
        <v>0</v>
      </c>
      <c r="K55" s="51">
        <v>100</v>
      </c>
      <c r="L55" s="52">
        <v>0</v>
      </c>
      <c r="M55" s="491">
        <v>0</v>
      </c>
      <c r="N55" s="48" t="s">
        <v>233</v>
      </c>
      <c r="O55" s="48" t="s">
        <v>68</v>
      </c>
      <c r="P55" s="48" t="s">
        <v>242</v>
      </c>
      <c r="Q55" s="48" t="s">
        <v>244</v>
      </c>
      <c r="R55" s="57" t="s">
        <v>167</v>
      </c>
      <c r="S55" s="48" t="str">
        <f t="shared" si="1"/>
        <v>Deposit</v>
      </c>
    </row>
    <row r="56" spans="1:21">
      <c r="A56" s="48" t="s">
        <v>247</v>
      </c>
      <c r="B56" s="49">
        <v>44620</v>
      </c>
      <c r="C56" s="48" t="s">
        <v>248</v>
      </c>
      <c r="D56" s="48" t="s">
        <v>1090</v>
      </c>
      <c r="E56" s="48" t="s">
        <v>1231</v>
      </c>
      <c r="F56" s="48" t="s">
        <v>73</v>
      </c>
      <c r="G56" s="122">
        <v>27336227.84</v>
      </c>
      <c r="H56" s="48" t="s">
        <v>35</v>
      </c>
      <c r="I56" s="48" t="s">
        <v>73</v>
      </c>
      <c r="J56" s="50">
        <v>27336227.84</v>
      </c>
      <c r="K56" s="51">
        <v>100</v>
      </c>
      <c r="L56" s="50">
        <v>27336227.84</v>
      </c>
      <c r="M56" s="490">
        <v>27336227.84</v>
      </c>
      <c r="N56" s="48" t="s">
        <v>233</v>
      </c>
      <c r="O56" s="48" t="s">
        <v>68</v>
      </c>
      <c r="P56" s="48" t="s">
        <v>247</v>
      </c>
      <c r="Q56" s="48" t="s">
        <v>249</v>
      </c>
      <c r="R56" s="57" t="s">
        <v>167</v>
      </c>
      <c r="S56" s="48" t="str">
        <f t="shared" si="1"/>
        <v>Deposit</v>
      </c>
    </row>
    <row r="57" spans="1:21">
      <c r="A57" s="48" t="s">
        <v>247</v>
      </c>
      <c r="B57" s="49">
        <v>44620</v>
      </c>
      <c r="C57" s="48" t="s">
        <v>250</v>
      </c>
      <c r="D57" s="48" t="s">
        <v>1091</v>
      </c>
      <c r="E57" s="48" t="s">
        <v>1232</v>
      </c>
      <c r="F57" s="48" t="s">
        <v>246</v>
      </c>
      <c r="G57" s="252">
        <v>90712939996</v>
      </c>
      <c r="H57" s="48" t="s">
        <v>35</v>
      </c>
      <c r="I57" s="48" t="s">
        <v>18</v>
      </c>
      <c r="J57" s="50">
        <v>3963763.6</v>
      </c>
      <c r="K57" s="51">
        <v>100</v>
      </c>
      <c r="L57" s="52">
        <v>90712939996</v>
      </c>
      <c r="M57" s="490">
        <v>3963763.6</v>
      </c>
      <c r="N57" s="48" t="s">
        <v>233</v>
      </c>
      <c r="O57" s="48" t="s">
        <v>68</v>
      </c>
      <c r="P57" s="48" t="s">
        <v>247</v>
      </c>
      <c r="Q57" s="48" t="s">
        <v>249</v>
      </c>
      <c r="R57" s="57" t="s">
        <v>167</v>
      </c>
      <c r="S57" s="48" t="str">
        <f t="shared" si="1"/>
        <v>Deposit</v>
      </c>
    </row>
    <row r="58" spans="1:21">
      <c r="A58" s="48" t="s">
        <v>247</v>
      </c>
      <c r="B58" s="49">
        <v>44620</v>
      </c>
      <c r="C58" s="48" t="s">
        <v>961</v>
      </c>
      <c r="D58" s="48" t="s">
        <v>1092</v>
      </c>
      <c r="E58" s="48" t="s">
        <v>1233</v>
      </c>
      <c r="F58" s="48" t="s">
        <v>73</v>
      </c>
      <c r="G58" s="122">
        <v>0</v>
      </c>
      <c r="H58" s="48" t="s">
        <v>35</v>
      </c>
      <c r="I58" s="48" t="s">
        <v>73</v>
      </c>
      <c r="J58" s="52">
        <v>0</v>
      </c>
      <c r="K58" s="51">
        <v>100</v>
      </c>
      <c r="L58" s="52">
        <v>0</v>
      </c>
      <c r="M58" s="491">
        <v>0</v>
      </c>
      <c r="N58" s="48" t="s">
        <v>233</v>
      </c>
      <c r="O58" s="48" t="s">
        <v>68</v>
      </c>
      <c r="P58" s="48" t="s">
        <v>247</v>
      </c>
      <c r="Q58" s="48" t="s">
        <v>249</v>
      </c>
      <c r="R58" s="57" t="s">
        <v>167</v>
      </c>
      <c r="S58" s="48" t="str">
        <f t="shared" si="1"/>
        <v>Deposit</v>
      </c>
    </row>
    <row r="59" spans="1:21">
      <c r="A59" s="48" t="s">
        <v>247</v>
      </c>
      <c r="B59" s="49">
        <v>44620</v>
      </c>
      <c r="C59" s="48" t="s">
        <v>962</v>
      </c>
      <c r="D59" s="48" t="s">
        <v>1093</v>
      </c>
      <c r="E59" s="48" t="s">
        <v>1234</v>
      </c>
      <c r="F59" s="48" t="s">
        <v>246</v>
      </c>
      <c r="G59" s="122">
        <v>0</v>
      </c>
      <c r="H59" s="48" t="s">
        <v>35</v>
      </c>
      <c r="I59" s="48" t="s">
        <v>18</v>
      </c>
      <c r="J59" s="52">
        <v>0</v>
      </c>
      <c r="K59" s="51">
        <v>100</v>
      </c>
      <c r="L59" s="52">
        <v>0</v>
      </c>
      <c r="M59" s="491">
        <v>0</v>
      </c>
      <c r="N59" s="48" t="s">
        <v>233</v>
      </c>
      <c r="O59" s="48" t="s">
        <v>68</v>
      </c>
      <c r="P59" s="48" t="s">
        <v>247</v>
      </c>
      <c r="Q59" s="48" t="s">
        <v>249</v>
      </c>
      <c r="R59" s="57" t="s">
        <v>167</v>
      </c>
      <c r="S59" s="48" t="str">
        <f t="shared" si="1"/>
        <v>Deposit</v>
      </c>
    </row>
    <row r="60" spans="1:21">
      <c r="A60" s="48" t="s">
        <v>253</v>
      </c>
      <c r="B60" s="49">
        <v>44620</v>
      </c>
      <c r="C60" s="48" t="s">
        <v>254</v>
      </c>
      <c r="D60" s="48" t="s">
        <v>1094</v>
      </c>
      <c r="E60" s="48" t="s">
        <v>1235</v>
      </c>
      <c r="F60" s="48" t="s">
        <v>73</v>
      </c>
      <c r="G60" s="122">
        <v>562491.43000000005</v>
      </c>
      <c r="H60" s="48" t="s">
        <v>21</v>
      </c>
      <c r="I60" s="48" t="s">
        <v>73</v>
      </c>
      <c r="J60" s="50">
        <v>562491.43000000005</v>
      </c>
      <c r="K60" s="51">
        <v>100</v>
      </c>
      <c r="L60" s="50">
        <v>562491.43000000005</v>
      </c>
      <c r="M60" s="490">
        <v>562491.43000000005</v>
      </c>
      <c r="N60" s="48" t="s">
        <v>233</v>
      </c>
      <c r="O60" s="48" t="s">
        <v>68</v>
      </c>
      <c r="P60" s="48" t="s">
        <v>253</v>
      </c>
      <c r="Q60" s="48" t="s">
        <v>255</v>
      </c>
      <c r="R60" s="57" t="s">
        <v>145</v>
      </c>
      <c r="S60" s="48" t="str">
        <f t="shared" si="1"/>
        <v>Deposit</v>
      </c>
      <c r="T60" s="347"/>
      <c r="U60" s="348"/>
    </row>
    <row r="61" spans="1:21">
      <c r="A61" s="48" t="s">
        <v>253</v>
      </c>
      <c r="B61" s="49">
        <v>44620</v>
      </c>
      <c r="C61" s="48" t="s">
        <v>256</v>
      </c>
      <c r="D61" s="48" t="s">
        <v>1095</v>
      </c>
      <c r="E61" s="48" t="s">
        <v>1236</v>
      </c>
      <c r="F61" s="48" t="s">
        <v>257</v>
      </c>
      <c r="G61" s="122">
        <v>7147027.9400000004</v>
      </c>
      <c r="H61" s="48" t="s">
        <v>21</v>
      </c>
      <c r="I61" s="48" t="s">
        <v>18</v>
      </c>
      <c r="J61" s="50">
        <v>50491.21</v>
      </c>
      <c r="K61" s="51">
        <v>100</v>
      </c>
      <c r="L61" s="50">
        <v>7147027.9400000004</v>
      </c>
      <c r="M61" s="490">
        <v>50491.21</v>
      </c>
      <c r="N61" s="48" t="s">
        <v>233</v>
      </c>
      <c r="O61" s="48" t="s">
        <v>68</v>
      </c>
      <c r="P61" s="48" t="s">
        <v>253</v>
      </c>
      <c r="Q61" s="48" t="s">
        <v>255</v>
      </c>
      <c r="R61" s="57" t="s">
        <v>167</v>
      </c>
      <c r="S61" s="48" t="str">
        <f t="shared" si="1"/>
        <v>Deposit</v>
      </c>
    </row>
    <row r="62" spans="1:21">
      <c r="A62" s="48" t="s">
        <v>253</v>
      </c>
      <c r="B62" s="49">
        <v>44620</v>
      </c>
      <c r="C62" s="48" t="s">
        <v>977</v>
      </c>
      <c r="D62" s="48" t="s">
        <v>1096</v>
      </c>
      <c r="E62" s="48" t="s">
        <v>1237</v>
      </c>
      <c r="F62" s="48" t="s">
        <v>73</v>
      </c>
      <c r="G62" s="122">
        <v>0</v>
      </c>
      <c r="H62" s="48" t="s">
        <v>21</v>
      </c>
      <c r="I62" s="48" t="s">
        <v>73</v>
      </c>
      <c r="J62" s="252">
        <v>0</v>
      </c>
      <c r="K62" s="51">
        <v>100</v>
      </c>
      <c r="L62" s="252">
        <v>0</v>
      </c>
      <c r="M62" s="491">
        <v>0</v>
      </c>
      <c r="N62" s="48" t="s">
        <v>233</v>
      </c>
      <c r="O62" s="48" t="s">
        <v>68</v>
      </c>
      <c r="P62" s="48" t="s">
        <v>253</v>
      </c>
      <c r="Q62" s="48" t="s">
        <v>255</v>
      </c>
      <c r="R62" s="57" t="s">
        <v>167</v>
      </c>
      <c r="S62" s="48" t="str">
        <f t="shared" si="1"/>
        <v>Deposit</v>
      </c>
    </row>
    <row r="63" spans="1:21">
      <c r="A63" s="48" t="s">
        <v>258</v>
      </c>
      <c r="B63" s="49">
        <v>44620</v>
      </c>
      <c r="C63" s="48" t="s">
        <v>259</v>
      </c>
      <c r="D63" s="48" t="s">
        <v>1097</v>
      </c>
      <c r="E63" s="48" t="s">
        <v>1238</v>
      </c>
      <c r="F63" s="48" t="s">
        <v>70</v>
      </c>
      <c r="G63" s="122">
        <v>0</v>
      </c>
      <c r="H63" s="48" t="s">
        <v>55</v>
      </c>
      <c r="I63" s="48" t="s">
        <v>70</v>
      </c>
      <c r="J63" s="52">
        <v>0</v>
      </c>
      <c r="K63" s="51">
        <v>100</v>
      </c>
      <c r="L63" s="52">
        <v>0</v>
      </c>
      <c r="M63" s="491">
        <v>0</v>
      </c>
      <c r="N63" s="48" t="s">
        <v>88</v>
      </c>
      <c r="O63" s="48" t="s">
        <v>12</v>
      </c>
      <c r="P63" s="48" t="s">
        <v>258</v>
      </c>
      <c r="Q63" s="48" t="s">
        <v>260</v>
      </c>
      <c r="R63" s="57" t="s">
        <v>145</v>
      </c>
      <c r="S63" s="48" t="str">
        <f t="shared" si="1"/>
        <v>Deposit</v>
      </c>
    </row>
    <row r="64" spans="1:21">
      <c r="A64" s="48" t="s">
        <v>258</v>
      </c>
      <c r="B64" s="49">
        <v>44620</v>
      </c>
      <c r="C64" s="48" t="s">
        <v>261</v>
      </c>
      <c r="D64" s="48" t="s">
        <v>1098</v>
      </c>
      <c r="E64" s="48" t="s">
        <v>1239</v>
      </c>
      <c r="F64" s="48" t="s">
        <v>70</v>
      </c>
      <c r="G64" s="122">
        <v>4628098.83</v>
      </c>
      <c r="H64" s="48" t="s">
        <v>55</v>
      </c>
      <c r="I64" s="48" t="s">
        <v>70</v>
      </c>
      <c r="J64" s="50">
        <v>141418.12</v>
      </c>
      <c r="K64" s="51">
        <v>100</v>
      </c>
      <c r="L64" s="50">
        <v>4628098.83</v>
      </c>
      <c r="M64" s="490">
        <v>141418.12</v>
      </c>
      <c r="N64" s="48" t="s">
        <v>88</v>
      </c>
      <c r="O64" s="48" t="s">
        <v>12</v>
      </c>
      <c r="P64" s="48" t="s">
        <v>258</v>
      </c>
      <c r="Q64" s="48" t="s">
        <v>260</v>
      </c>
      <c r="R64" s="57" t="s">
        <v>173</v>
      </c>
      <c r="S64" s="48" t="str">
        <f t="shared" si="1"/>
        <v>Deposit</v>
      </c>
    </row>
    <row r="65" spans="1:21">
      <c r="A65" s="48" t="s">
        <v>262</v>
      </c>
      <c r="B65" s="49">
        <v>44620</v>
      </c>
      <c r="C65" s="48" t="s">
        <v>263</v>
      </c>
      <c r="D65" s="48" t="s">
        <v>1099</v>
      </c>
      <c r="E65" s="48" t="s">
        <v>1240</v>
      </c>
      <c r="F65" s="48" t="s">
        <v>70</v>
      </c>
      <c r="G65" s="122">
        <v>1182388808.8</v>
      </c>
      <c r="H65" s="48" t="s">
        <v>63</v>
      </c>
      <c r="I65" s="48" t="s">
        <v>70</v>
      </c>
      <c r="J65" s="50">
        <v>36129565.590000004</v>
      </c>
      <c r="K65" s="51">
        <v>100</v>
      </c>
      <c r="L65" s="50">
        <v>1182388808.8</v>
      </c>
      <c r="M65" s="490">
        <v>36129565.590000004</v>
      </c>
      <c r="N65" s="48" t="s">
        <v>88</v>
      </c>
      <c r="O65" s="48" t="s">
        <v>68</v>
      </c>
      <c r="P65" s="48" t="s">
        <v>262</v>
      </c>
      <c r="Q65" s="48" t="s">
        <v>264</v>
      </c>
      <c r="R65" s="57" t="s">
        <v>145</v>
      </c>
      <c r="S65" s="48" t="str">
        <f t="shared" si="1"/>
        <v>Deposit</v>
      </c>
      <c r="U65" s="71"/>
    </row>
    <row r="66" spans="1:21">
      <c r="A66" s="48" t="s">
        <v>262</v>
      </c>
      <c r="B66" s="49">
        <v>44620</v>
      </c>
      <c r="C66" s="48" t="s">
        <v>265</v>
      </c>
      <c r="D66" s="48" t="s">
        <v>1100</v>
      </c>
      <c r="E66" s="48" t="s">
        <v>1241</v>
      </c>
      <c r="F66" s="48" t="s">
        <v>70</v>
      </c>
      <c r="G66" s="122">
        <v>0.02</v>
      </c>
      <c r="H66" s="48" t="s">
        <v>266</v>
      </c>
      <c r="I66" s="48" t="s">
        <v>70</v>
      </c>
      <c r="J66" s="52">
        <v>0</v>
      </c>
      <c r="K66" s="51">
        <v>100</v>
      </c>
      <c r="L66" s="52">
        <v>0.02</v>
      </c>
      <c r="M66" s="491">
        <v>0</v>
      </c>
      <c r="N66" s="48" t="s">
        <v>88</v>
      </c>
      <c r="O66" s="48" t="s">
        <v>14</v>
      </c>
      <c r="P66" s="48" t="s">
        <v>267</v>
      </c>
      <c r="Q66" s="48" t="s">
        <v>268</v>
      </c>
      <c r="R66" s="57" t="s">
        <v>145</v>
      </c>
      <c r="S66" s="48" t="str">
        <f t="shared" si="1"/>
        <v>Deposit</v>
      </c>
      <c r="T66" s="302"/>
      <c r="U66" s="54"/>
    </row>
    <row r="67" spans="1:21">
      <c r="A67" s="48" t="s">
        <v>262</v>
      </c>
      <c r="B67" s="49">
        <v>44620</v>
      </c>
      <c r="C67" s="48" t="s">
        <v>269</v>
      </c>
      <c r="D67" s="48" t="s">
        <v>1101</v>
      </c>
      <c r="E67" s="48" t="s">
        <v>1242</v>
      </c>
      <c r="F67" s="48" t="s">
        <v>70</v>
      </c>
      <c r="G67" s="122">
        <v>0</v>
      </c>
      <c r="H67" s="48" t="s">
        <v>270</v>
      </c>
      <c r="I67" s="48" t="s">
        <v>70</v>
      </c>
      <c r="J67" s="52">
        <v>0</v>
      </c>
      <c r="K67" s="51">
        <v>100</v>
      </c>
      <c r="L67" s="52">
        <v>0</v>
      </c>
      <c r="M67" s="491">
        <v>0</v>
      </c>
      <c r="N67" s="48" t="s">
        <v>88</v>
      </c>
      <c r="O67" s="48" t="s">
        <v>14</v>
      </c>
      <c r="P67" s="48" t="s">
        <v>271</v>
      </c>
      <c r="Q67" s="48" t="s">
        <v>272</v>
      </c>
      <c r="R67" s="57" t="s">
        <v>145</v>
      </c>
      <c r="S67" s="48" t="str">
        <f t="shared" ref="S67:S98" si="2">IF(OR(C67=$T$3,C67=$T$4,C67=$T$5,C67=$T$6,C67=$T$7),$T$2,"Deposit")</f>
        <v>Deposit</v>
      </c>
    </row>
    <row r="68" spans="1:21">
      <c r="A68" s="48" t="s">
        <v>262</v>
      </c>
      <c r="B68" s="49">
        <v>44620</v>
      </c>
      <c r="C68" s="48" t="s">
        <v>273</v>
      </c>
      <c r="D68" s="48" t="s">
        <v>1102</v>
      </c>
      <c r="E68" s="48" t="s">
        <v>1243</v>
      </c>
      <c r="F68" s="48" t="s">
        <v>73</v>
      </c>
      <c r="G68" s="122">
        <v>45332836.710000001</v>
      </c>
      <c r="H68" s="48" t="s">
        <v>63</v>
      </c>
      <c r="I68" s="48" t="s">
        <v>73</v>
      </c>
      <c r="J68" s="50">
        <v>45332836.710000001</v>
      </c>
      <c r="K68" s="51">
        <v>100</v>
      </c>
      <c r="L68" s="50">
        <v>45332836.710000001</v>
      </c>
      <c r="M68" s="490">
        <v>45332836.710000001</v>
      </c>
      <c r="N68" s="48" t="s">
        <v>88</v>
      </c>
      <c r="O68" s="48" t="s">
        <v>68</v>
      </c>
      <c r="P68" s="48" t="s">
        <v>262</v>
      </c>
      <c r="Q68" s="48" t="s">
        <v>264</v>
      </c>
      <c r="R68" s="57" t="s">
        <v>145</v>
      </c>
      <c r="S68" s="48" t="str">
        <f t="shared" si="2"/>
        <v>Deposit</v>
      </c>
    </row>
    <row r="69" spans="1:21">
      <c r="A69" s="48" t="s">
        <v>262</v>
      </c>
      <c r="B69" s="49">
        <v>43874</v>
      </c>
      <c r="C69" s="48" t="s">
        <v>274</v>
      </c>
      <c r="D69" s="48" t="s">
        <v>1103</v>
      </c>
      <c r="E69" s="48" t="s">
        <v>1244</v>
      </c>
      <c r="F69" s="48" t="s">
        <v>70</v>
      </c>
      <c r="G69" s="122">
        <v>0</v>
      </c>
      <c r="H69" s="48" t="s">
        <v>63</v>
      </c>
      <c r="I69" s="48" t="s">
        <v>70</v>
      </c>
      <c r="J69" s="52">
        <v>0</v>
      </c>
      <c r="K69" s="51">
        <v>100</v>
      </c>
      <c r="L69" s="52">
        <v>0</v>
      </c>
      <c r="M69" s="491">
        <v>0</v>
      </c>
      <c r="N69" s="48" t="s">
        <v>88</v>
      </c>
      <c r="O69" s="48" t="s">
        <v>68</v>
      </c>
      <c r="P69" s="48" t="s">
        <v>262</v>
      </c>
      <c r="Q69" s="48" t="s">
        <v>264</v>
      </c>
      <c r="R69" s="57" t="s">
        <v>169</v>
      </c>
      <c r="S69" s="48" t="str">
        <f t="shared" si="2"/>
        <v>Deposit</v>
      </c>
    </row>
    <row r="70" spans="1:21">
      <c r="A70" s="48" t="s">
        <v>262</v>
      </c>
      <c r="B70" s="49">
        <v>44620</v>
      </c>
      <c r="C70" s="48" t="s">
        <v>275</v>
      </c>
      <c r="D70" s="48" t="s">
        <v>1104</v>
      </c>
      <c r="E70" s="48" t="s">
        <v>1245</v>
      </c>
      <c r="F70" s="48" t="s">
        <v>70</v>
      </c>
      <c r="G70" s="122">
        <v>7812000.3499999996</v>
      </c>
      <c r="H70" s="48" t="s">
        <v>63</v>
      </c>
      <c r="I70" s="48" t="s">
        <v>70</v>
      </c>
      <c r="J70" s="50">
        <v>238706.74</v>
      </c>
      <c r="K70" s="51">
        <v>100</v>
      </c>
      <c r="L70" s="50">
        <v>7812000.3499999996</v>
      </c>
      <c r="M70" s="490">
        <v>238706.74</v>
      </c>
      <c r="N70" s="48" t="s">
        <v>88</v>
      </c>
      <c r="O70" s="48" t="s">
        <v>68</v>
      </c>
      <c r="P70" s="48" t="s">
        <v>262</v>
      </c>
      <c r="Q70" s="48" t="s">
        <v>264</v>
      </c>
      <c r="R70" s="57" t="s">
        <v>173</v>
      </c>
      <c r="S70" s="48" t="str">
        <f t="shared" si="2"/>
        <v>Deposit</v>
      </c>
    </row>
    <row r="71" spans="1:21">
      <c r="A71" s="48" t="s">
        <v>262</v>
      </c>
      <c r="B71" s="49">
        <v>44620</v>
      </c>
      <c r="C71" s="48" t="s">
        <v>276</v>
      </c>
      <c r="D71" s="48" t="s">
        <v>1105</v>
      </c>
      <c r="E71" s="48" t="s">
        <v>1246</v>
      </c>
      <c r="F71" s="48" t="s">
        <v>70</v>
      </c>
      <c r="G71" s="122">
        <v>11476018.189999999</v>
      </c>
      <c r="H71" s="48" t="s">
        <v>266</v>
      </c>
      <c r="I71" s="48" t="s">
        <v>70</v>
      </c>
      <c r="J71" s="50">
        <v>350666</v>
      </c>
      <c r="K71" s="51">
        <v>100</v>
      </c>
      <c r="L71" s="50">
        <v>11476018.189999999</v>
      </c>
      <c r="M71" s="490">
        <v>350666</v>
      </c>
      <c r="N71" s="48" t="s">
        <v>88</v>
      </c>
      <c r="O71" s="48" t="s">
        <v>14</v>
      </c>
      <c r="P71" s="48" t="s">
        <v>267</v>
      </c>
      <c r="Q71" s="48" t="s">
        <v>268</v>
      </c>
      <c r="R71" s="57" t="s">
        <v>173</v>
      </c>
      <c r="S71" s="48" t="str">
        <f t="shared" si="2"/>
        <v>Deposit</v>
      </c>
    </row>
    <row r="72" spans="1:21">
      <c r="A72" s="48" t="s">
        <v>277</v>
      </c>
      <c r="B72" s="49">
        <v>44620</v>
      </c>
      <c r="C72" s="48" t="s">
        <v>278</v>
      </c>
      <c r="D72" s="48" t="s">
        <v>1106</v>
      </c>
      <c r="E72" s="48" t="s">
        <v>1247</v>
      </c>
      <c r="F72" s="48" t="s">
        <v>70</v>
      </c>
      <c r="G72" s="122">
        <v>1086478795.79</v>
      </c>
      <c r="H72" s="48" t="s">
        <v>17</v>
      </c>
      <c r="I72" s="48" t="s">
        <v>70</v>
      </c>
      <c r="J72" s="50">
        <v>33198899.23</v>
      </c>
      <c r="K72" s="51">
        <v>53.949599999999997</v>
      </c>
      <c r="L72" s="50">
        <v>586150964.40999997</v>
      </c>
      <c r="M72" s="490">
        <v>17910673.34</v>
      </c>
      <c r="N72" s="48" t="s">
        <v>88</v>
      </c>
      <c r="O72" s="48" t="s">
        <v>14</v>
      </c>
      <c r="P72" s="48" t="s">
        <v>277</v>
      </c>
      <c r="Q72" s="48" t="s">
        <v>279</v>
      </c>
      <c r="R72" s="57" t="s">
        <v>145</v>
      </c>
      <c r="S72" s="48" t="str">
        <f t="shared" si="2"/>
        <v>Deposit</v>
      </c>
      <c r="T72" s="347"/>
      <c r="U72" s="348"/>
    </row>
    <row r="73" spans="1:21">
      <c r="A73" s="48" t="s">
        <v>277</v>
      </c>
      <c r="B73" s="49">
        <v>44620</v>
      </c>
      <c r="C73" s="48" t="s">
        <v>280</v>
      </c>
      <c r="D73" s="48" t="s">
        <v>1107</v>
      </c>
      <c r="E73" s="48" t="s">
        <v>1248</v>
      </c>
      <c r="F73" s="48" t="s">
        <v>73</v>
      </c>
      <c r="G73" s="122">
        <v>15552044.109999999</v>
      </c>
      <c r="H73" s="48" t="s">
        <v>17</v>
      </c>
      <c r="I73" s="48" t="s">
        <v>73</v>
      </c>
      <c r="J73" s="50">
        <v>15552044.109999999</v>
      </c>
      <c r="K73" s="51">
        <v>53.949599999999997</v>
      </c>
      <c r="L73" s="50">
        <v>8390265.5899999999</v>
      </c>
      <c r="M73" s="490">
        <v>8390265.5899999999</v>
      </c>
      <c r="N73" s="48" t="s">
        <v>88</v>
      </c>
      <c r="O73" s="48" t="s">
        <v>14</v>
      </c>
      <c r="P73" s="48" t="s">
        <v>277</v>
      </c>
      <c r="Q73" s="48" t="s">
        <v>279</v>
      </c>
      <c r="R73" s="57" t="s">
        <v>145</v>
      </c>
      <c r="S73" s="48" t="str">
        <f t="shared" si="2"/>
        <v>Deposit</v>
      </c>
    </row>
    <row r="74" spans="1:21">
      <c r="A74" s="48" t="s">
        <v>281</v>
      </c>
      <c r="B74" s="49">
        <v>44620</v>
      </c>
      <c r="C74" s="48" t="s">
        <v>282</v>
      </c>
      <c r="D74" s="48" t="s">
        <v>1108</v>
      </c>
      <c r="E74" s="48" t="s">
        <v>1249</v>
      </c>
      <c r="F74" s="48" t="s">
        <v>73</v>
      </c>
      <c r="G74" s="122">
        <v>0</v>
      </c>
      <c r="H74" s="48" t="s">
        <v>58</v>
      </c>
      <c r="I74" s="48" t="s">
        <v>73</v>
      </c>
      <c r="J74" s="52">
        <v>0</v>
      </c>
      <c r="K74" s="51">
        <v>100</v>
      </c>
      <c r="L74" s="52">
        <v>0</v>
      </c>
      <c r="M74" s="491">
        <v>0</v>
      </c>
      <c r="N74" s="48" t="s">
        <v>233</v>
      </c>
      <c r="O74" s="48" t="s">
        <v>68</v>
      </c>
      <c r="P74" s="48" t="s">
        <v>281</v>
      </c>
      <c r="Q74" s="48" t="s">
        <v>283</v>
      </c>
      <c r="R74" s="57" t="s">
        <v>145</v>
      </c>
      <c r="S74" s="48" t="str">
        <f t="shared" si="2"/>
        <v>Deposit</v>
      </c>
    </row>
    <row r="75" spans="1:21">
      <c r="A75" s="48" t="s">
        <v>284</v>
      </c>
      <c r="B75" s="49">
        <v>44620</v>
      </c>
      <c r="C75" s="48" t="s">
        <v>285</v>
      </c>
      <c r="D75" s="48" t="s">
        <v>1109</v>
      </c>
      <c r="E75" s="48" t="s">
        <v>1250</v>
      </c>
      <c r="F75" s="48" t="s">
        <v>73</v>
      </c>
      <c r="G75" s="122">
        <v>0</v>
      </c>
      <c r="H75" s="48" t="s">
        <v>37</v>
      </c>
      <c r="I75" s="48" t="s">
        <v>73</v>
      </c>
      <c r="J75" s="52">
        <v>0</v>
      </c>
      <c r="K75" s="51">
        <v>100</v>
      </c>
      <c r="L75" s="52">
        <v>0</v>
      </c>
      <c r="M75" s="491">
        <v>0</v>
      </c>
      <c r="N75" s="48" t="s">
        <v>233</v>
      </c>
      <c r="O75" s="48" t="s">
        <v>68</v>
      </c>
      <c r="P75" s="48" t="s">
        <v>284</v>
      </c>
      <c r="Q75" s="48" t="s">
        <v>286</v>
      </c>
      <c r="R75" s="57" t="s">
        <v>145</v>
      </c>
      <c r="S75" s="48" t="str">
        <f t="shared" si="2"/>
        <v>Deposit</v>
      </c>
      <c r="U75" s="302"/>
    </row>
    <row r="76" spans="1:21">
      <c r="A76" s="48" t="s">
        <v>287</v>
      </c>
      <c r="B76" s="49">
        <v>44620</v>
      </c>
      <c r="C76" s="48" t="s">
        <v>288</v>
      </c>
      <c r="D76" s="48" t="s">
        <v>1110</v>
      </c>
      <c r="E76" s="48" t="s">
        <v>1251</v>
      </c>
      <c r="F76" s="48" t="s">
        <v>73</v>
      </c>
      <c r="G76" s="122">
        <v>0</v>
      </c>
      <c r="H76" s="48" t="s">
        <v>22</v>
      </c>
      <c r="I76" s="48" t="s">
        <v>73</v>
      </c>
      <c r="J76" s="52">
        <v>0</v>
      </c>
      <c r="K76" s="51">
        <v>100</v>
      </c>
      <c r="L76" s="52">
        <v>0</v>
      </c>
      <c r="M76" s="491">
        <v>0</v>
      </c>
      <c r="N76" s="48" t="s">
        <v>233</v>
      </c>
      <c r="O76" s="48" t="s">
        <v>68</v>
      </c>
      <c r="P76" s="48" t="s">
        <v>287</v>
      </c>
      <c r="Q76" s="48" t="s">
        <v>289</v>
      </c>
      <c r="R76" s="57" t="s">
        <v>145</v>
      </c>
      <c r="S76" s="48" t="str">
        <f t="shared" si="2"/>
        <v>Deposit</v>
      </c>
    </row>
    <row r="77" spans="1:21">
      <c r="A77" s="48" t="s">
        <v>290</v>
      </c>
      <c r="B77" s="49">
        <v>44620</v>
      </c>
      <c r="C77" s="48" t="s">
        <v>291</v>
      </c>
      <c r="D77" s="48" t="s">
        <v>1111</v>
      </c>
      <c r="E77" s="48" t="s">
        <v>1252</v>
      </c>
      <c r="F77" s="48" t="s">
        <v>70</v>
      </c>
      <c r="G77" s="122">
        <v>36524426.229999997</v>
      </c>
      <c r="H77" s="48" t="s">
        <v>49</v>
      </c>
      <c r="I77" s="48" t="s">
        <v>70</v>
      </c>
      <c r="J77" s="50">
        <v>1116055.6000000001</v>
      </c>
      <c r="K77" s="51">
        <v>100</v>
      </c>
      <c r="L77" s="50">
        <v>36524426.229999997</v>
      </c>
      <c r="M77" s="490">
        <v>1116055.6000000001</v>
      </c>
      <c r="N77" s="48" t="s">
        <v>233</v>
      </c>
      <c r="O77" s="48" t="s">
        <v>68</v>
      </c>
      <c r="P77" s="48" t="s">
        <v>290</v>
      </c>
      <c r="Q77" s="48" t="s">
        <v>292</v>
      </c>
      <c r="R77" s="57" t="s">
        <v>173</v>
      </c>
      <c r="S77" s="48" t="str">
        <f t="shared" si="2"/>
        <v>Deposit</v>
      </c>
    </row>
    <row r="78" spans="1:21">
      <c r="A78" s="48" t="s">
        <v>290</v>
      </c>
      <c r="B78" s="49">
        <v>44057</v>
      </c>
      <c r="C78" s="48" t="s">
        <v>299</v>
      </c>
      <c r="D78" s="48" t="s">
        <v>1112</v>
      </c>
      <c r="E78" s="48" t="s">
        <v>1253</v>
      </c>
      <c r="F78" s="48" t="s">
        <v>228</v>
      </c>
      <c r="G78" s="252">
        <v>14700</v>
      </c>
      <c r="H78" s="48" t="s">
        <v>296</v>
      </c>
      <c r="I78" s="48" t="s">
        <v>18</v>
      </c>
      <c r="J78" s="50">
        <v>8.26</v>
      </c>
      <c r="K78" s="51">
        <v>79.473684000000006</v>
      </c>
      <c r="L78" s="52">
        <v>11683</v>
      </c>
      <c r="M78" s="490">
        <v>6.56</v>
      </c>
      <c r="N78" s="48" t="s">
        <v>233</v>
      </c>
      <c r="O78" s="48" t="s">
        <v>14</v>
      </c>
      <c r="P78" s="48" t="s">
        <v>297</v>
      </c>
      <c r="Q78" s="48" t="s">
        <v>298</v>
      </c>
      <c r="R78" s="57" t="s">
        <v>223</v>
      </c>
      <c r="S78" s="48" t="str">
        <f t="shared" si="2"/>
        <v>Deposit</v>
      </c>
    </row>
    <row r="79" spans="1:21">
      <c r="A79" s="48" t="s">
        <v>290</v>
      </c>
      <c r="B79" s="49">
        <v>44620</v>
      </c>
      <c r="C79" s="48" t="s">
        <v>300</v>
      </c>
      <c r="D79" s="48" t="s">
        <v>1113</v>
      </c>
      <c r="E79" s="48" t="s">
        <v>1254</v>
      </c>
      <c r="F79" s="48" t="s">
        <v>73</v>
      </c>
      <c r="G79" s="122">
        <v>265533.93</v>
      </c>
      <c r="H79" s="48" t="s">
        <v>293</v>
      </c>
      <c r="I79" s="48" t="s">
        <v>73</v>
      </c>
      <c r="J79" s="50">
        <v>265533.93</v>
      </c>
      <c r="K79" s="51">
        <v>50</v>
      </c>
      <c r="L79" s="50">
        <v>132766.97</v>
      </c>
      <c r="M79" s="490">
        <v>132766.97</v>
      </c>
      <c r="N79" s="48" t="s">
        <v>233</v>
      </c>
      <c r="O79" s="48" t="s">
        <v>14</v>
      </c>
      <c r="P79" s="48" t="s">
        <v>294</v>
      </c>
      <c r="Q79" s="48" t="s">
        <v>295</v>
      </c>
      <c r="R79" s="57" t="s">
        <v>213</v>
      </c>
      <c r="S79" s="48" t="str">
        <f t="shared" si="2"/>
        <v>Deposit</v>
      </c>
    </row>
    <row r="80" spans="1:21">
      <c r="A80" s="48" t="s">
        <v>290</v>
      </c>
      <c r="B80" s="49">
        <v>44620</v>
      </c>
      <c r="C80" s="48" t="s">
        <v>301</v>
      </c>
      <c r="D80" s="48" t="s">
        <v>1114</v>
      </c>
      <c r="E80" s="48" t="s">
        <v>1255</v>
      </c>
      <c r="F80" s="48" t="s">
        <v>73</v>
      </c>
      <c r="G80" s="122">
        <v>105452.54</v>
      </c>
      <c r="H80" s="48" t="s">
        <v>293</v>
      </c>
      <c r="I80" s="48" t="s">
        <v>73</v>
      </c>
      <c r="J80" s="50">
        <v>105452.54</v>
      </c>
      <c r="K80" s="51">
        <v>50</v>
      </c>
      <c r="L80" s="50">
        <v>52726.27</v>
      </c>
      <c r="M80" s="490">
        <v>52726.27</v>
      </c>
      <c r="N80" s="48" t="s">
        <v>233</v>
      </c>
      <c r="O80" s="48" t="s">
        <v>14</v>
      </c>
      <c r="P80" s="48" t="s">
        <v>294</v>
      </c>
      <c r="Q80" s="48" t="s">
        <v>295</v>
      </c>
      <c r="R80" s="57" t="s">
        <v>213</v>
      </c>
      <c r="S80" s="48" t="str">
        <f t="shared" si="2"/>
        <v>Deposit</v>
      </c>
    </row>
    <row r="81" spans="1:21">
      <c r="A81" s="48" t="s">
        <v>290</v>
      </c>
      <c r="B81" s="49">
        <v>44620</v>
      </c>
      <c r="C81" s="48" t="s">
        <v>302</v>
      </c>
      <c r="D81" s="48" t="s">
        <v>1115</v>
      </c>
      <c r="E81" s="48" t="s">
        <v>1256</v>
      </c>
      <c r="F81" s="48" t="s">
        <v>228</v>
      </c>
      <c r="G81" s="252">
        <v>228977311</v>
      </c>
      <c r="H81" s="48" t="s">
        <v>293</v>
      </c>
      <c r="I81" s="48" t="s">
        <v>18</v>
      </c>
      <c r="J81" s="50">
        <v>128739.76</v>
      </c>
      <c r="K81" s="51">
        <v>50</v>
      </c>
      <c r="L81" s="52">
        <v>114488656</v>
      </c>
      <c r="M81" s="490">
        <v>64369.88</v>
      </c>
      <c r="N81" s="48" t="s">
        <v>233</v>
      </c>
      <c r="O81" s="48" t="s">
        <v>14</v>
      </c>
      <c r="P81" s="48" t="s">
        <v>294</v>
      </c>
      <c r="Q81" s="48" t="s">
        <v>295</v>
      </c>
      <c r="R81" s="57" t="s">
        <v>213</v>
      </c>
      <c r="S81" s="48" t="str">
        <f t="shared" si="2"/>
        <v>Deposit</v>
      </c>
    </row>
    <row r="82" spans="1:21">
      <c r="A82" s="48" t="s">
        <v>290</v>
      </c>
      <c r="B82" s="49">
        <v>44620</v>
      </c>
      <c r="C82" s="48" t="s">
        <v>303</v>
      </c>
      <c r="D82" s="48" t="s">
        <v>1116</v>
      </c>
      <c r="E82" s="48" t="s">
        <v>1257</v>
      </c>
      <c r="F82" s="48" t="s">
        <v>73</v>
      </c>
      <c r="G82" s="122">
        <v>221122.18</v>
      </c>
      <c r="H82" s="48" t="s">
        <v>296</v>
      </c>
      <c r="I82" s="48" t="s">
        <v>73</v>
      </c>
      <c r="J82" s="50">
        <v>221122.18</v>
      </c>
      <c r="K82" s="51">
        <v>79.473684000000006</v>
      </c>
      <c r="L82" s="50">
        <v>175733.94</v>
      </c>
      <c r="M82" s="490">
        <v>175733.94</v>
      </c>
      <c r="N82" s="48" t="s">
        <v>233</v>
      </c>
      <c r="O82" s="48" t="s">
        <v>14</v>
      </c>
      <c r="P82" s="48" t="s">
        <v>297</v>
      </c>
      <c r="Q82" s="48" t="s">
        <v>298</v>
      </c>
      <c r="R82" s="57" t="s">
        <v>213</v>
      </c>
      <c r="S82" s="48" t="str">
        <f t="shared" si="2"/>
        <v>Deposit</v>
      </c>
    </row>
    <row r="83" spans="1:21">
      <c r="A83" s="48" t="s">
        <v>290</v>
      </c>
      <c r="B83" s="49">
        <v>44620</v>
      </c>
      <c r="C83" s="48" t="s">
        <v>304</v>
      </c>
      <c r="D83" s="48" t="s">
        <v>1117</v>
      </c>
      <c r="E83" s="48" t="s">
        <v>1258</v>
      </c>
      <c r="F83" s="48" t="s">
        <v>73</v>
      </c>
      <c r="G83" s="122">
        <v>5366.62</v>
      </c>
      <c r="H83" s="48" t="s">
        <v>296</v>
      </c>
      <c r="I83" s="48" t="s">
        <v>73</v>
      </c>
      <c r="J83" s="50">
        <v>5366.62</v>
      </c>
      <c r="K83" s="51">
        <v>79.473684000000006</v>
      </c>
      <c r="L83" s="50">
        <v>4265.05</v>
      </c>
      <c r="M83" s="490">
        <v>4265.05</v>
      </c>
      <c r="N83" s="48" t="s">
        <v>233</v>
      </c>
      <c r="O83" s="48" t="s">
        <v>14</v>
      </c>
      <c r="P83" s="48" t="s">
        <v>297</v>
      </c>
      <c r="Q83" s="48" t="s">
        <v>298</v>
      </c>
      <c r="R83" s="57" t="s">
        <v>213</v>
      </c>
      <c r="S83" s="48" t="str">
        <f t="shared" si="2"/>
        <v>Deposit</v>
      </c>
    </row>
    <row r="84" spans="1:21">
      <c r="A84" s="48" t="s">
        <v>290</v>
      </c>
      <c r="B84" s="49">
        <v>44620</v>
      </c>
      <c r="C84" s="48" t="s">
        <v>305</v>
      </c>
      <c r="D84" s="48" t="s">
        <v>1118</v>
      </c>
      <c r="E84" s="48" t="s">
        <v>1259</v>
      </c>
      <c r="F84" s="48" t="s">
        <v>228</v>
      </c>
      <c r="G84" s="252">
        <v>904226826</v>
      </c>
      <c r="H84" s="48" t="s">
        <v>296</v>
      </c>
      <c r="I84" s="48" t="s">
        <v>18</v>
      </c>
      <c r="J84" s="50">
        <v>508390.75</v>
      </c>
      <c r="K84" s="51">
        <v>79.473684000000006</v>
      </c>
      <c r="L84" s="52">
        <v>718622370</v>
      </c>
      <c r="M84" s="490">
        <v>404036.86</v>
      </c>
      <c r="N84" s="48" t="s">
        <v>233</v>
      </c>
      <c r="O84" s="48" t="s">
        <v>14</v>
      </c>
      <c r="P84" s="48" t="s">
        <v>297</v>
      </c>
      <c r="Q84" s="48" t="s">
        <v>298</v>
      </c>
      <c r="R84" s="57" t="s">
        <v>213</v>
      </c>
      <c r="S84" s="48" t="str">
        <f t="shared" si="2"/>
        <v>Deposit</v>
      </c>
    </row>
    <row r="85" spans="1:21">
      <c r="A85" s="48" t="s">
        <v>290</v>
      </c>
      <c r="B85" s="49">
        <v>44620</v>
      </c>
      <c r="C85" s="48" t="s">
        <v>306</v>
      </c>
      <c r="D85" s="48" t="s">
        <v>1119</v>
      </c>
      <c r="E85" s="48" t="s">
        <v>1260</v>
      </c>
      <c r="F85" s="48" t="s">
        <v>73</v>
      </c>
      <c r="G85" s="122">
        <v>151504.09</v>
      </c>
      <c r="H85" s="48" t="s">
        <v>49</v>
      </c>
      <c r="I85" s="48" t="s">
        <v>73</v>
      </c>
      <c r="J85" s="50">
        <v>151504.09</v>
      </c>
      <c r="K85" s="51">
        <v>100</v>
      </c>
      <c r="L85" s="50">
        <v>151504.09</v>
      </c>
      <c r="M85" s="490">
        <v>151504.09</v>
      </c>
      <c r="N85" s="48" t="s">
        <v>233</v>
      </c>
      <c r="O85" s="48" t="s">
        <v>68</v>
      </c>
      <c r="P85" s="48" t="s">
        <v>290</v>
      </c>
      <c r="Q85" s="48" t="s">
        <v>292</v>
      </c>
      <c r="R85" s="57" t="s">
        <v>213</v>
      </c>
      <c r="S85" s="48" t="str">
        <f t="shared" si="2"/>
        <v>Deposit</v>
      </c>
    </row>
    <row r="86" spans="1:21">
      <c r="A86" s="48" t="s">
        <v>290</v>
      </c>
      <c r="B86" s="49">
        <v>44620</v>
      </c>
      <c r="C86" s="48" t="s">
        <v>307</v>
      </c>
      <c r="D86" s="48" t="s">
        <v>1120</v>
      </c>
      <c r="E86" s="48" t="s">
        <v>1261</v>
      </c>
      <c r="F86" s="48" t="s">
        <v>73</v>
      </c>
      <c r="G86" s="122">
        <v>6347399.9100000001</v>
      </c>
      <c r="H86" s="48" t="s">
        <v>49</v>
      </c>
      <c r="I86" s="48" t="s">
        <v>73</v>
      </c>
      <c r="J86" s="50">
        <v>6347399.9100000001</v>
      </c>
      <c r="K86" s="51">
        <v>100</v>
      </c>
      <c r="L86" s="50">
        <v>6347399.9100000001</v>
      </c>
      <c r="M86" s="490">
        <v>6347399.9100000001</v>
      </c>
      <c r="N86" s="48" t="s">
        <v>233</v>
      </c>
      <c r="O86" s="48" t="s">
        <v>68</v>
      </c>
      <c r="P86" s="48" t="s">
        <v>290</v>
      </c>
      <c r="Q86" s="48" t="s">
        <v>292</v>
      </c>
      <c r="R86" s="57" t="s">
        <v>213</v>
      </c>
      <c r="S86" s="48" t="str">
        <f t="shared" si="2"/>
        <v>Deposit</v>
      </c>
    </row>
    <row r="87" spans="1:21">
      <c r="A87" s="48" t="s">
        <v>308</v>
      </c>
      <c r="B87" s="49">
        <v>44620</v>
      </c>
      <c r="C87" s="48" t="s">
        <v>311</v>
      </c>
      <c r="D87" s="48" t="s">
        <v>1121</v>
      </c>
      <c r="E87" s="48" t="s">
        <v>1262</v>
      </c>
      <c r="F87" s="48" t="s">
        <v>73</v>
      </c>
      <c r="G87" s="122">
        <v>152610254.44999999</v>
      </c>
      <c r="H87" s="48" t="s">
        <v>309</v>
      </c>
      <c r="I87" s="48" t="s">
        <v>73</v>
      </c>
      <c r="J87" s="50">
        <v>152610254.44999999</v>
      </c>
      <c r="K87" s="51">
        <v>80</v>
      </c>
      <c r="L87" s="122">
        <v>122088203.56</v>
      </c>
      <c r="M87" s="490">
        <v>122088203.56</v>
      </c>
      <c r="N87" s="48" t="s">
        <v>233</v>
      </c>
      <c r="O87" s="48" t="s">
        <v>14</v>
      </c>
      <c r="P87" s="48" t="s">
        <v>308</v>
      </c>
      <c r="Q87" s="48" t="s">
        <v>310</v>
      </c>
      <c r="R87" s="57" t="s">
        <v>213</v>
      </c>
      <c r="S87" s="48" t="str">
        <f t="shared" si="2"/>
        <v>Deposit</v>
      </c>
    </row>
    <row r="88" spans="1:21">
      <c r="A88" s="48" t="s">
        <v>308</v>
      </c>
      <c r="B88" s="49">
        <v>44620</v>
      </c>
      <c r="C88" s="48" t="s">
        <v>312</v>
      </c>
      <c r="D88" s="48" t="s">
        <v>1122</v>
      </c>
      <c r="E88" s="48" t="s">
        <v>1263</v>
      </c>
      <c r="F88" s="48" t="s">
        <v>70</v>
      </c>
      <c r="G88" s="122">
        <v>1197316.95</v>
      </c>
      <c r="H88" s="48" t="s">
        <v>309</v>
      </c>
      <c r="I88" s="48" t="s">
        <v>70</v>
      </c>
      <c r="J88" s="50">
        <v>36585.72</v>
      </c>
      <c r="K88" s="51">
        <v>80</v>
      </c>
      <c r="L88" s="50">
        <v>957853.56</v>
      </c>
      <c r="M88" s="490">
        <v>29268.58</v>
      </c>
      <c r="N88" s="48" t="s">
        <v>233</v>
      </c>
      <c r="O88" s="48" t="s">
        <v>14</v>
      </c>
      <c r="P88" s="48" t="s">
        <v>308</v>
      </c>
      <c r="Q88" s="48" t="s">
        <v>310</v>
      </c>
      <c r="R88" s="57" t="s">
        <v>213</v>
      </c>
      <c r="S88" s="48" t="str">
        <f t="shared" si="2"/>
        <v>Deposit</v>
      </c>
    </row>
    <row r="89" spans="1:21">
      <c r="A89" s="48" t="s">
        <v>308</v>
      </c>
      <c r="B89" s="49">
        <v>44620</v>
      </c>
      <c r="C89" s="48" t="s">
        <v>313</v>
      </c>
      <c r="D89" s="48" t="s">
        <v>1123</v>
      </c>
      <c r="E89" s="48" t="s">
        <v>1264</v>
      </c>
      <c r="F89" s="48" t="s">
        <v>73</v>
      </c>
      <c r="G89" s="122">
        <v>1783112.74</v>
      </c>
      <c r="H89" s="48" t="s">
        <v>309</v>
      </c>
      <c r="I89" s="48" t="s">
        <v>73</v>
      </c>
      <c r="J89" s="50">
        <v>1783112.74</v>
      </c>
      <c r="K89" s="51">
        <v>80</v>
      </c>
      <c r="L89" s="50">
        <v>1426490.19</v>
      </c>
      <c r="M89" s="490">
        <v>1426490.19</v>
      </c>
      <c r="N89" s="48" t="s">
        <v>233</v>
      </c>
      <c r="O89" s="48" t="s">
        <v>14</v>
      </c>
      <c r="P89" s="48" t="s">
        <v>308</v>
      </c>
      <c r="Q89" s="48" t="s">
        <v>310</v>
      </c>
      <c r="R89" s="57" t="s">
        <v>213</v>
      </c>
      <c r="S89" s="48" t="str">
        <f t="shared" si="2"/>
        <v>Deposit</v>
      </c>
      <c r="U89" s="71"/>
    </row>
    <row r="90" spans="1:21">
      <c r="A90" s="48" t="s">
        <v>308</v>
      </c>
      <c r="B90" s="49">
        <v>44620</v>
      </c>
      <c r="C90" s="48" t="s">
        <v>314</v>
      </c>
      <c r="D90" s="48" t="s">
        <v>1124</v>
      </c>
      <c r="E90" s="48" t="s">
        <v>1265</v>
      </c>
      <c r="F90" s="48" t="s">
        <v>228</v>
      </c>
      <c r="G90" s="252">
        <v>390921124</v>
      </c>
      <c r="H90" s="48" t="s">
        <v>309</v>
      </c>
      <c r="I90" s="48" t="s">
        <v>18</v>
      </c>
      <c r="J90" s="50">
        <v>219790.74</v>
      </c>
      <c r="K90" s="51">
        <v>80</v>
      </c>
      <c r="L90" s="52">
        <v>312736899</v>
      </c>
      <c r="M90" s="490">
        <v>175832.59</v>
      </c>
      <c r="N90" s="48" t="s">
        <v>233</v>
      </c>
      <c r="O90" s="48" t="s">
        <v>14</v>
      </c>
      <c r="P90" s="48" t="s">
        <v>308</v>
      </c>
      <c r="Q90" s="48" t="s">
        <v>310</v>
      </c>
      <c r="R90" s="57" t="s">
        <v>213</v>
      </c>
      <c r="S90" s="48" t="str">
        <f t="shared" si="2"/>
        <v>Deposit</v>
      </c>
    </row>
    <row r="91" spans="1:21">
      <c r="A91" s="48" t="s">
        <v>315</v>
      </c>
      <c r="B91" s="49">
        <v>44620</v>
      </c>
      <c r="C91" s="48" t="s">
        <v>316</v>
      </c>
      <c r="D91" s="48" t="s">
        <v>1125</v>
      </c>
      <c r="E91" s="48" t="s">
        <v>1266</v>
      </c>
      <c r="F91" s="48" t="s">
        <v>73</v>
      </c>
      <c r="G91" s="122">
        <v>0</v>
      </c>
      <c r="H91" s="48" t="s">
        <v>38</v>
      </c>
      <c r="I91" s="48" t="s">
        <v>73</v>
      </c>
      <c r="J91" s="52">
        <v>0</v>
      </c>
      <c r="K91" s="51">
        <v>100</v>
      </c>
      <c r="L91" s="52">
        <v>0</v>
      </c>
      <c r="M91" s="491">
        <v>0</v>
      </c>
      <c r="N91" s="48" t="s">
        <v>233</v>
      </c>
      <c r="O91" s="48" t="s">
        <v>68</v>
      </c>
      <c r="P91" s="48" t="s">
        <v>315</v>
      </c>
      <c r="Q91" s="48" t="s">
        <v>317</v>
      </c>
      <c r="R91" s="57" t="s">
        <v>145</v>
      </c>
      <c r="S91" s="48" t="str">
        <f t="shared" si="2"/>
        <v>Deposit</v>
      </c>
    </row>
    <row r="92" spans="1:21">
      <c r="A92" s="48" t="s">
        <v>318</v>
      </c>
      <c r="B92" s="49">
        <v>44620</v>
      </c>
      <c r="C92" s="48" t="s">
        <v>319</v>
      </c>
      <c r="D92" s="48" t="s">
        <v>1126</v>
      </c>
      <c r="E92" s="48" t="s">
        <v>1267</v>
      </c>
      <c r="F92" s="48" t="s">
        <v>73</v>
      </c>
      <c r="G92" s="122">
        <v>0</v>
      </c>
      <c r="H92" s="48" t="s">
        <v>54</v>
      </c>
      <c r="I92" s="48" t="s">
        <v>73</v>
      </c>
      <c r="J92" s="52">
        <v>0</v>
      </c>
      <c r="K92" s="51">
        <v>100</v>
      </c>
      <c r="L92" s="52">
        <v>0</v>
      </c>
      <c r="M92" s="491">
        <v>0</v>
      </c>
      <c r="N92" s="48" t="s">
        <v>233</v>
      </c>
      <c r="O92" s="48" t="s">
        <v>68</v>
      </c>
      <c r="P92" s="48" t="s">
        <v>318</v>
      </c>
      <c r="Q92" s="48" t="s">
        <v>320</v>
      </c>
      <c r="R92" s="57" t="s">
        <v>145</v>
      </c>
      <c r="S92" s="48" t="str">
        <f t="shared" si="2"/>
        <v>Deposit</v>
      </c>
    </row>
    <row r="93" spans="1:21">
      <c r="A93" s="48" t="s">
        <v>318</v>
      </c>
      <c r="B93" s="49">
        <v>44620</v>
      </c>
      <c r="C93" s="48" t="s">
        <v>321</v>
      </c>
      <c r="D93" s="48" t="s">
        <v>1127</v>
      </c>
      <c r="E93" s="48" t="s">
        <v>1268</v>
      </c>
      <c r="F93" s="48" t="s">
        <v>73</v>
      </c>
      <c r="G93" s="122">
        <v>21175</v>
      </c>
      <c r="H93" s="48" t="s">
        <v>54</v>
      </c>
      <c r="I93" s="48" t="s">
        <v>73</v>
      </c>
      <c r="J93" s="50">
        <v>21175</v>
      </c>
      <c r="K93" s="51">
        <v>100</v>
      </c>
      <c r="L93" s="50">
        <v>21175</v>
      </c>
      <c r="M93" s="490">
        <v>21175</v>
      </c>
      <c r="N93" s="48" t="s">
        <v>233</v>
      </c>
      <c r="O93" s="48" t="s">
        <v>68</v>
      </c>
      <c r="P93" s="48" t="s">
        <v>318</v>
      </c>
      <c r="Q93" s="48" t="s">
        <v>320</v>
      </c>
      <c r="R93" s="57" t="s">
        <v>167</v>
      </c>
      <c r="S93" s="48" t="str">
        <f t="shared" si="2"/>
        <v>Deposit</v>
      </c>
      <c r="U93" s="71"/>
    </row>
    <row r="94" spans="1:21">
      <c r="A94" s="48" t="s">
        <v>318</v>
      </c>
      <c r="B94" s="49">
        <v>44620</v>
      </c>
      <c r="C94" s="48" t="s">
        <v>322</v>
      </c>
      <c r="D94" s="48" t="s">
        <v>1128</v>
      </c>
      <c r="E94" s="48" t="s">
        <v>1269</v>
      </c>
      <c r="F94" s="48" t="s">
        <v>246</v>
      </c>
      <c r="G94" s="252">
        <v>6261226432</v>
      </c>
      <c r="H94" s="48" t="s">
        <v>54</v>
      </c>
      <c r="I94" s="48" t="s">
        <v>18</v>
      </c>
      <c r="J94" s="50">
        <v>273588.55</v>
      </c>
      <c r="K94" s="51">
        <v>100</v>
      </c>
      <c r="L94" s="52">
        <v>6261226432</v>
      </c>
      <c r="M94" s="490">
        <v>273588.55</v>
      </c>
      <c r="N94" s="48" t="s">
        <v>233</v>
      </c>
      <c r="O94" s="48" t="s">
        <v>68</v>
      </c>
      <c r="P94" s="48" t="s">
        <v>318</v>
      </c>
      <c r="Q94" s="48" t="s">
        <v>320</v>
      </c>
      <c r="R94" s="57" t="s">
        <v>167</v>
      </c>
      <c r="S94" s="48" t="str">
        <f t="shared" si="2"/>
        <v>Deposit</v>
      </c>
    </row>
    <row r="95" spans="1:21">
      <c r="A95" s="48" t="s">
        <v>318</v>
      </c>
      <c r="B95" s="49">
        <v>44620</v>
      </c>
      <c r="C95" s="48" t="s">
        <v>964</v>
      </c>
      <c r="D95" s="48" t="s">
        <v>1129</v>
      </c>
      <c r="E95" s="48" t="s">
        <v>1270</v>
      </c>
      <c r="F95" s="48" t="s">
        <v>246</v>
      </c>
      <c r="G95" s="252">
        <v>2300169656</v>
      </c>
      <c r="H95" s="48" t="s">
        <v>54</v>
      </c>
      <c r="I95" s="48" t="s">
        <v>18</v>
      </c>
      <c r="J95" s="50">
        <v>100507.48</v>
      </c>
      <c r="K95" s="51">
        <v>100</v>
      </c>
      <c r="L95" s="52">
        <v>2300169656</v>
      </c>
      <c r="M95" s="490">
        <v>100507.48</v>
      </c>
      <c r="N95" s="48" t="s">
        <v>233</v>
      </c>
      <c r="O95" s="48" t="s">
        <v>68</v>
      </c>
      <c r="P95" s="48" t="s">
        <v>318</v>
      </c>
      <c r="Q95" s="48" t="s">
        <v>320</v>
      </c>
      <c r="R95" s="57" t="s">
        <v>167</v>
      </c>
      <c r="S95" s="48" t="str">
        <f t="shared" si="2"/>
        <v>Deposit</v>
      </c>
    </row>
    <row r="96" spans="1:21">
      <c r="A96" s="48" t="s">
        <v>323</v>
      </c>
      <c r="B96" s="49">
        <v>44620</v>
      </c>
      <c r="C96" s="48" t="s">
        <v>324</v>
      </c>
      <c r="D96" s="48" t="s">
        <v>1130</v>
      </c>
      <c r="E96" s="48" t="s">
        <v>1271</v>
      </c>
      <c r="F96" s="48" t="s">
        <v>73</v>
      </c>
      <c r="G96" s="122">
        <v>0</v>
      </c>
      <c r="H96" s="48" t="s">
        <v>30</v>
      </c>
      <c r="I96" s="48" t="s">
        <v>73</v>
      </c>
      <c r="J96" s="52">
        <v>0</v>
      </c>
      <c r="K96" s="51">
        <v>100</v>
      </c>
      <c r="L96" s="52">
        <v>0</v>
      </c>
      <c r="M96" s="491">
        <v>0</v>
      </c>
      <c r="N96" s="48" t="s">
        <v>325</v>
      </c>
      <c r="O96" s="48" t="s">
        <v>68</v>
      </c>
      <c r="P96" s="48" t="s">
        <v>323</v>
      </c>
      <c r="Q96" s="48" t="s">
        <v>326</v>
      </c>
      <c r="R96" s="57" t="s">
        <v>145</v>
      </c>
      <c r="S96" s="48" t="str">
        <f t="shared" si="2"/>
        <v>Deposit</v>
      </c>
      <c r="U96" s="302"/>
    </row>
    <row r="97" spans="1:21">
      <c r="A97" s="48" t="s">
        <v>327</v>
      </c>
      <c r="B97" s="49">
        <v>44620</v>
      </c>
      <c r="C97" s="48" t="s">
        <v>328</v>
      </c>
      <c r="D97" s="48" t="s">
        <v>1131</v>
      </c>
      <c r="E97" s="48" t="s">
        <v>1272</v>
      </c>
      <c r="F97" s="48" t="s">
        <v>73</v>
      </c>
      <c r="G97" s="122">
        <v>0</v>
      </c>
      <c r="H97" s="48" t="s">
        <v>52</v>
      </c>
      <c r="I97" s="48" t="s">
        <v>73</v>
      </c>
      <c r="J97" s="52">
        <v>0</v>
      </c>
      <c r="K97" s="51">
        <v>100</v>
      </c>
      <c r="L97" s="52">
        <v>0</v>
      </c>
      <c r="M97" s="491">
        <v>0</v>
      </c>
      <c r="N97" s="48" t="s">
        <v>233</v>
      </c>
      <c r="O97" s="48" t="s">
        <v>68</v>
      </c>
      <c r="P97" s="48" t="s">
        <v>327</v>
      </c>
      <c r="Q97" s="48" t="s">
        <v>329</v>
      </c>
      <c r="R97" s="57" t="s">
        <v>145</v>
      </c>
      <c r="S97" s="48" t="str">
        <f t="shared" si="2"/>
        <v>Deposit</v>
      </c>
      <c r="U97" s="71"/>
    </row>
    <row r="98" spans="1:21">
      <c r="A98" s="48" t="s">
        <v>332</v>
      </c>
      <c r="B98" s="49">
        <v>44620</v>
      </c>
      <c r="C98" s="48" t="s">
        <v>333</v>
      </c>
      <c r="D98" s="48" t="s">
        <v>1132</v>
      </c>
      <c r="E98" s="48" t="s">
        <v>1273</v>
      </c>
      <c r="F98" s="48" t="s">
        <v>73</v>
      </c>
      <c r="G98" s="122">
        <v>0</v>
      </c>
      <c r="H98" s="48" t="s">
        <v>48</v>
      </c>
      <c r="I98" s="48" t="s">
        <v>73</v>
      </c>
      <c r="J98" s="52">
        <v>0</v>
      </c>
      <c r="K98" s="51">
        <v>100</v>
      </c>
      <c r="L98" s="52">
        <v>0</v>
      </c>
      <c r="M98" s="491">
        <v>0</v>
      </c>
      <c r="N98" s="48" t="s">
        <v>233</v>
      </c>
      <c r="O98" s="48" t="s">
        <v>68</v>
      </c>
      <c r="P98" s="48" t="s">
        <v>332</v>
      </c>
      <c r="Q98" s="48" t="s">
        <v>334</v>
      </c>
      <c r="R98" s="57" t="s">
        <v>145</v>
      </c>
      <c r="S98" s="48" t="str">
        <f t="shared" si="2"/>
        <v>Deposit</v>
      </c>
    </row>
    <row r="99" spans="1:21">
      <c r="A99" s="48" t="s">
        <v>335</v>
      </c>
      <c r="B99" s="49">
        <v>44620</v>
      </c>
      <c r="C99" s="48" t="s">
        <v>336</v>
      </c>
      <c r="D99" s="48" t="s">
        <v>1133</v>
      </c>
      <c r="E99" s="48" t="s">
        <v>1274</v>
      </c>
      <c r="F99" s="48" t="s">
        <v>73</v>
      </c>
      <c r="G99" s="122">
        <v>0</v>
      </c>
      <c r="H99" s="48" t="s">
        <v>15</v>
      </c>
      <c r="I99" s="48" t="s">
        <v>73</v>
      </c>
      <c r="J99" s="52">
        <v>0</v>
      </c>
      <c r="K99" s="51">
        <v>100</v>
      </c>
      <c r="L99" s="52">
        <v>0</v>
      </c>
      <c r="M99" s="491">
        <v>0</v>
      </c>
      <c r="N99" s="48" t="s">
        <v>233</v>
      </c>
      <c r="O99" s="48" t="s">
        <v>68</v>
      </c>
      <c r="P99" s="48" t="s">
        <v>335</v>
      </c>
      <c r="Q99" s="48" t="s">
        <v>337</v>
      </c>
      <c r="R99" s="57" t="s">
        <v>145</v>
      </c>
      <c r="S99" s="48" t="str">
        <f t="shared" ref="S99:S130" si="3">IF(OR(C99=$T$3,C99=$T$4,C99=$T$5,C99=$T$6,C99=$T$7),$T$2,"Deposit")</f>
        <v>Deposit</v>
      </c>
    </row>
    <row r="100" spans="1:21">
      <c r="A100" s="48" t="s">
        <v>338</v>
      </c>
      <c r="B100" s="49">
        <v>44620</v>
      </c>
      <c r="C100" s="48" t="s">
        <v>342</v>
      </c>
      <c r="D100" s="48" t="s">
        <v>1134</v>
      </c>
      <c r="E100" s="48" t="s">
        <v>1275</v>
      </c>
      <c r="F100" s="48" t="s">
        <v>73</v>
      </c>
      <c r="G100" s="122">
        <v>80949.149999999994</v>
      </c>
      <c r="H100" s="48" t="s">
        <v>46</v>
      </c>
      <c r="I100" s="48" t="s">
        <v>73</v>
      </c>
      <c r="J100" s="52">
        <v>80949.149999999994</v>
      </c>
      <c r="K100" s="51">
        <v>100</v>
      </c>
      <c r="L100" s="52">
        <v>80949.149999999994</v>
      </c>
      <c r="M100" s="491">
        <v>80949.149999999994</v>
      </c>
      <c r="N100" s="48" t="s">
        <v>233</v>
      </c>
      <c r="O100" s="48" t="s">
        <v>68</v>
      </c>
      <c r="P100" s="48" t="s">
        <v>338</v>
      </c>
      <c r="Q100" s="48" t="s">
        <v>340</v>
      </c>
      <c r="R100" s="57" t="s">
        <v>167</v>
      </c>
      <c r="S100" s="48" t="str">
        <f t="shared" si="3"/>
        <v>Deposit</v>
      </c>
    </row>
    <row r="101" spans="1:21">
      <c r="A101" s="48" t="s">
        <v>343</v>
      </c>
      <c r="B101" s="49">
        <v>44617</v>
      </c>
      <c r="C101" s="48" t="s">
        <v>344</v>
      </c>
      <c r="D101" s="48" t="s">
        <v>1135</v>
      </c>
      <c r="E101" s="48" t="s">
        <v>1276</v>
      </c>
      <c r="F101" s="48" t="s">
        <v>345</v>
      </c>
      <c r="G101" s="122">
        <v>318174.63</v>
      </c>
      <c r="H101" s="48" t="s">
        <v>26</v>
      </c>
      <c r="I101" s="48" t="s">
        <v>18</v>
      </c>
      <c r="J101" s="50">
        <v>248929.66</v>
      </c>
      <c r="K101" s="51">
        <v>100</v>
      </c>
      <c r="L101" s="50">
        <v>318174.63</v>
      </c>
      <c r="M101" s="490">
        <v>248929.66</v>
      </c>
      <c r="N101" s="48" t="s">
        <v>93</v>
      </c>
      <c r="O101" s="48" t="s">
        <v>68</v>
      </c>
      <c r="P101" s="48" t="s">
        <v>343</v>
      </c>
      <c r="Q101" s="48" t="s">
        <v>346</v>
      </c>
      <c r="R101" s="57" t="s">
        <v>167</v>
      </c>
      <c r="S101" s="48" t="str">
        <f t="shared" si="3"/>
        <v>Deposit</v>
      </c>
      <c r="U101" s="302"/>
    </row>
    <row r="102" spans="1:21">
      <c r="A102" s="48" t="s">
        <v>343</v>
      </c>
      <c r="B102" s="49">
        <v>44617</v>
      </c>
      <c r="C102" s="48" t="s">
        <v>347</v>
      </c>
      <c r="D102" s="48" t="s">
        <v>1136</v>
      </c>
      <c r="E102" s="48" t="s">
        <v>1277</v>
      </c>
      <c r="F102" s="48" t="s">
        <v>73</v>
      </c>
      <c r="G102" s="122">
        <v>467562.49</v>
      </c>
      <c r="H102" s="48" t="s">
        <v>26</v>
      </c>
      <c r="I102" s="48" t="s">
        <v>73</v>
      </c>
      <c r="J102" s="50">
        <v>467562.49</v>
      </c>
      <c r="K102" s="51">
        <v>100</v>
      </c>
      <c r="L102" s="50">
        <v>467562.49</v>
      </c>
      <c r="M102" s="490">
        <v>467562.49</v>
      </c>
      <c r="N102" s="48" t="s">
        <v>93</v>
      </c>
      <c r="O102" s="48" t="s">
        <v>68</v>
      </c>
      <c r="P102" s="48" t="s">
        <v>343</v>
      </c>
      <c r="Q102" s="48" t="s">
        <v>346</v>
      </c>
      <c r="R102" s="57" t="s">
        <v>167</v>
      </c>
      <c r="S102" s="48" t="str">
        <f t="shared" si="3"/>
        <v>Deposit</v>
      </c>
    </row>
    <row r="103" spans="1:21">
      <c r="A103" s="48" t="s">
        <v>348</v>
      </c>
      <c r="B103" s="49">
        <v>44620</v>
      </c>
      <c r="C103" s="48" t="s">
        <v>349</v>
      </c>
      <c r="D103" s="48" t="s">
        <v>1137</v>
      </c>
      <c r="E103" s="48" t="s">
        <v>1278</v>
      </c>
      <c r="F103" s="48" t="s">
        <v>73</v>
      </c>
      <c r="G103" s="122">
        <v>0</v>
      </c>
      <c r="H103" s="48" t="s">
        <v>43</v>
      </c>
      <c r="I103" s="48" t="s">
        <v>73</v>
      </c>
      <c r="J103" s="50">
        <v>0</v>
      </c>
      <c r="K103" s="51">
        <v>100</v>
      </c>
      <c r="L103" s="50">
        <v>0</v>
      </c>
      <c r="M103" s="490">
        <v>0</v>
      </c>
      <c r="N103" s="48" t="s">
        <v>233</v>
      </c>
      <c r="O103" s="48" t="s">
        <v>68</v>
      </c>
      <c r="P103" s="48" t="s">
        <v>348</v>
      </c>
      <c r="Q103" s="48" t="s">
        <v>350</v>
      </c>
      <c r="R103" s="57" t="s">
        <v>145</v>
      </c>
      <c r="S103" s="48" t="str">
        <f t="shared" si="3"/>
        <v>Deposit</v>
      </c>
    </row>
    <row r="104" spans="1:21">
      <c r="A104" s="48" t="s">
        <v>348</v>
      </c>
      <c r="B104" s="49">
        <v>44617</v>
      </c>
      <c r="C104" s="48" t="s">
        <v>330</v>
      </c>
      <c r="D104" s="48" t="s">
        <v>1138</v>
      </c>
      <c r="E104" s="48" t="s">
        <v>1279</v>
      </c>
      <c r="F104" s="48" t="s">
        <v>331</v>
      </c>
      <c r="G104" s="122">
        <v>937366260</v>
      </c>
      <c r="H104" s="48" t="s">
        <v>351</v>
      </c>
      <c r="I104" s="48" t="s">
        <v>18</v>
      </c>
      <c r="J104" s="52">
        <v>65319.35</v>
      </c>
      <c r="K104" s="51">
        <v>100</v>
      </c>
      <c r="L104" s="52">
        <v>937366260</v>
      </c>
      <c r="M104" s="491">
        <v>65319.35</v>
      </c>
      <c r="N104" s="48" t="s">
        <v>233</v>
      </c>
      <c r="O104" s="48" t="s">
        <v>68</v>
      </c>
      <c r="P104" s="48" t="s">
        <v>348</v>
      </c>
      <c r="Q104" s="48" t="s">
        <v>352</v>
      </c>
      <c r="R104" s="57" t="s">
        <v>167</v>
      </c>
      <c r="S104" s="48" t="str">
        <f t="shared" si="3"/>
        <v>Deposit</v>
      </c>
    </row>
    <row r="105" spans="1:21">
      <c r="A105" s="48" t="s">
        <v>348</v>
      </c>
      <c r="B105" s="49">
        <v>44617</v>
      </c>
      <c r="C105" s="48" t="s">
        <v>353</v>
      </c>
      <c r="D105" s="48" t="s">
        <v>1139</v>
      </c>
      <c r="E105" s="48" t="s">
        <v>1280</v>
      </c>
      <c r="F105" s="48" t="s">
        <v>73</v>
      </c>
      <c r="G105" s="252">
        <v>817970.99</v>
      </c>
      <c r="H105" s="48" t="s">
        <v>351</v>
      </c>
      <c r="I105" s="48" t="s">
        <v>73</v>
      </c>
      <c r="J105" s="50">
        <v>817970.99</v>
      </c>
      <c r="K105" s="51">
        <v>100</v>
      </c>
      <c r="L105" s="52">
        <v>817970.99</v>
      </c>
      <c r="M105" s="490">
        <v>817970.99</v>
      </c>
      <c r="N105" s="48" t="s">
        <v>233</v>
      </c>
      <c r="O105" s="48" t="s">
        <v>68</v>
      </c>
      <c r="P105" s="48" t="s">
        <v>348</v>
      </c>
      <c r="Q105" s="48" t="s">
        <v>352</v>
      </c>
      <c r="R105" s="57" t="s">
        <v>167</v>
      </c>
      <c r="S105" s="48" t="str">
        <f t="shared" si="3"/>
        <v>Deposit</v>
      </c>
      <c r="U105" s="71"/>
    </row>
    <row r="106" spans="1:21">
      <c r="A106" s="48" t="s">
        <v>354</v>
      </c>
      <c r="B106" s="49">
        <v>44620</v>
      </c>
      <c r="C106" s="48" t="s">
        <v>355</v>
      </c>
      <c r="D106" s="48" t="s">
        <v>1140</v>
      </c>
      <c r="E106" s="48" t="s">
        <v>1281</v>
      </c>
      <c r="F106" s="48" t="s">
        <v>73</v>
      </c>
      <c r="G106" s="122">
        <v>0</v>
      </c>
      <c r="H106" s="48" t="s">
        <v>50</v>
      </c>
      <c r="I106" s="48" t="s">
        <v>73</v>
      </c>
      <c r="J106" s="50">
        <v>0</v>
      </c>
      <c r="K106" s="51">
        <v>100</v>
      </c>
      <c r="L106" s="50">
        <v>0</v>
      </c>
      <c r="M106" s="490">
        <v>0</v>
      </c>
      <c r="N106" s="48" t="s">
        <v>233</v>
      </c>
      <c r="O106" s="48" t="s">
        <v>68</v>
      </c>
      <c r="P106" s="48" t="s">
        <v>354</v>
      </c>
      <c r="Q106" s="48" t="s">
        <v>356</v>
      </c>
      <c r="R106" s="57" t="s">
        <v>145</v>
      </c>
      <c r="S106" s="48" t="str">
        <f t="shared" si="3"/>
        <v>Deposit</v>
      </c>
    </row>
    <row r="107" spans="1:21">
      <c r="A107" s="48" t="s">
        <v>354</v>
      </c>
      <c r="B107" s="49">
        <v>44617</v>
      </c>
      <c r="C107" s="48" t="s">
        <v>357</v>
      </c>
      <c r="D107" s="48" t="s">
        <v>1141</v>
      </c>
      <c r="E107" s="48" t="s">
        <v>1282</v>
      </c>
      <c r="F107" s="48" t="s">
        <v>331</v>
      </c>
      <c r="G107" s="122">
        <v>0</v>
      </c>
      <c r="H107" s="48" t="s">
        <v>358</v>
      </c>
      <c r="I107" s="48" t="s">
        <v>18</v>
      </c>
      <c r="J107" s="52">
        <v>0</v>
      </c>
      <c r="K107" s="51">
        <v>50.746299999999998</v>
      </c>
      <c r="L107" s="52">
        <v>0</v>
      </c>
      <c r="M107" s="491">
        <v>0</v>
      </c>
      <c r="N107" s="48" t="s">
        <v>233</v>
      </c>
      <c r="O107" s="48" t="s">
        <v>14</v>
      </c>
      <c r="P107" s="48" t="s">
        <v>359</v>
      </c>
      <c r="Q107" s="48" t="s">
        <v>360</v>
      </c>
      <c r="R107" s="57" t="s">
        <v>167</v>
      </c>
      <c r="S107" s="48" t="str">
        <f t="shared" si="3"/>
        <v>Deposit</v>
      </c>
    </row>
    <row r="108" spans="1:21">
      <c r="A108" s="48" t="s">
        <v>354</v>
      </c>
      <c r="B108" s="49">
        <v>44617</v>
      </c>
      <c r="C108" s="48" t="s">
        <v>361</v>
      </c>
      <c r="D108" s="48" t="s">
        <v>1142</v>
      </c>
      <c r="E108" s="48" t="s">
        <v>1283</v>
      </c>
      <c r="F108" s="48" t="s">
        <v>73</v>
      </c>
      <c r="G108" s="122">
        <v>0</v>
      </c>
      <c r="H108" s="48" t="s">
        <v>358</v>
      </c>
      <c r="I108" s="48" t="s">
        <v>73</v>
      </c>
      <c r="J108" s="52">
        <v>0</v>
      </c>
      <c r="K108" s="51">
        <v>50.746299999999998</v>
      </c>
      <c r="L108" s="52">
        <v>0</v>
      </c>
      <c r="M108" s="491">
        <v>0</v>
      </c>
      <c r="N108" s="48" t="s">
        <v>233</v>
      </c>
      <c r="O108" s="48" t="s">
        <v>14</v>
      </c>
      <c r="P108" s="48" t="s">
        <v>359</v>
      </c>
      <c r="Q108" s="48" t="s">
        <v>360</v>
      </c>
      <c r="R108" s="57" t="s">
        <v>167</v>
      </c>
      <c r="S108" s="48" t="str">
        <f t="shared" si="3"/>
        <v>Deposit</v>
      </c>
    </row>
    <row r="109" spans="1:21">
      <c r="A109" s="48" t="s">
        <v>362</v>
      </c>
      <c r="B109" s="49">
        <v>44617</v>
      </c>
      <c r="C109" s="48" t="s">
        <v>363</v>
      </c>
      <c r="D109" s="48" t="s">
        <v>1143</v>
      </c>
      <c r="E109" s="48" t="s">
        <v>1284</v>
      </c>
      <c r="F109" s="48" t="s">
        <v>345</v>
      </c>
      <c r="G109" s="122">
        <v>20744.18</v>
      </c>
      <c r="H109" s="48" t="s">
        <v>364</v>
      </c>
      <c r="I109" s="48" t="s">
        <v>18</v>
      </c>
      <c r="J109" s="52">
        <v>16229.58</v>
      </c>
      <c r="K109" s="51">
        <v>100</v>
      </c>
      <c r="L109" s="52">
        <v>20744.18</v>
      </c>
      <c r="M109" s="491">
        <v>16229.58</v>
      </c>
      <c r="N109" s="48" t="s">
        <v>93</v>
      </c>
      <c r="O109" s="48" t="s">
        <v>68</v>
      </c>
      <c r="P109" s="48" t="s">
        <v>362</v>
      </c>
      <c r="Q109" s="48" t="s">
        <v>365</v>
      </c>
      <c r="R109" s="57" t="s">
        <v>167</v>
      </c>
      <c r="S109" s="48" t="str">
        <f t="shared" si="3"/>
        <v>Deposit</v>
      </c>
    </row>
    <row r="110" spans="1:21">
      <c r="A110" s="48" t="s">
        <v>362</v>
      </c>
      <c r="B110" s="49">
        <v>44620</v>
      </c>
      <c r="C110" s="48" t="s">
        <v>366</v>
      </c>
      <c r="D110" s="48" t="s">
        <v>1144</v>
      </c>
      <c r="E110" s="48" t="s">
        <v>1285</v>
      </c>
      <c r="F110" s="48" t="s">
        <v>73</v>
      </c>
      <c r="G110" s="122">
        <v>2875666.7</v>
      </c>
      <c r="H110" s="48" t="s">
        <v>364</v>
      </c>
      <c r="I110" s="48" t="s">
        <v>73</v>
      </c>
      <c r="J110" s="50">
        <v>2875666.7</v>
      </c>
      <c r="K110" s="51">
        <v>100</v>
      </c>
      <c r="L110" s="50">
        <v>2875666.7</v>
      </c>
      <c r="M110" s="490">
        <v>2875666.7</v>
      </c>
      <c r="N110" s="48" t="s">
        <v>93</v>
      </c>
      <c r="O110" s="48" t="s">
        <v>68</v>
      </c>
      <c r="P110" s="48" t="s">
        <v>362</v>
      </c>
      <c r="Q110" s="48" t="s">
        <v>365</v>
      </c>
      <c r="R110" s="57" t="s">
        <v>167</v>
      </c>
      <c r="S110" s="48" t="str">
        <f t="shared" si="3"/>
        <v>Deposit</v>
      </c>
    </row>
    <row r="111" spans="1:21">
      <c r="A111" s="48" t="s">
        <v>368</v>
      </c>
      <c r="B111" s="49">
        <v>44620</v>
      </c>
      <c r="C111" s="48" t="s">
        <v>378</v>
      </c>
      <c r="D111" s="48" t="s">
        <v>1145</v>
      </c>
      <c r="E111" s="48" t="s">
        <v>1286</v>
      </c>
      <c r="F111" s="48" t="s">
        <v>73</v>
      </c>
      <c r="G111" s="122">
        <v>10269628.4</v>
      </c>
      <c r="H111" s="48" t="s">
        <v>372</v>
      </c>
      <c r="I111" s="48" t="s">
        <v>73</v>
      </c>
      <c r="J111" s="50">
        <v>10269628.4</v>
      </c>
      <c r="K111" s="51">
        <v>80</v>
      </c>
      <c r="L111" s="50">
        <v>8215702.7199999997</v>
      </c>
      <c r="M111" s="490">
        <v>8215702.7199999997</v>
      </c>
      <c r="N111" s="48" t="s">
        <v>221</v>
      </c>
      <c r="O111" s="48" t="s">
        <v>14</v>
      </c>
      <c r="P111" s="48" t="s">
        <v>373</v>
      </c>
      <c r="Q111" s="48" t="s">
        <v>374</v>
      </c>
      <c r="R111" s="57" t="s">
        <v>213</v>
      </c>
      <c r="S111" s="48" t="str">
        <f t="shared" si="3"/>
        <v>Deposit</v>
      </c>
      <c r="U111" s="71"/>
    </row>
    <row r="112" spans="1:21">
      <c r="A112" s="48" t="s">
        <v>368</v>
      </c>
      <c r="B112" s="49">
        <v>44620</v>
      </c>
      <c r="C112" s="48" t="s">
        <v>379</v>
      </c>
      <c r="D112" s="48" t="s">
        <v>1146</v>
      </c>
      <c r="E112" s="48" t="s">
        <v>1287</v>
      </c>
      <c r="F112" s="48" t="s">
        <v>70</v>
      </c>
      <c r="G112" s="122">
        <v>5603999.4299999997</v>
      </c>
      <c r="H112" s="48" t="s">
        <v>372</v>
      </c>
      <c r="I112" s="48" t="s">
        <v>70</v>
      </c>
      <c r="J112" s="50">
        <v>171238.14</v>
      </c>
      <c r="K112" s="51">
        <v>80</v>
      </c>
      <c r="L112" s="50">
        <v>4483199.54</v>
      </c>
      <c r="M112" s="490">
        <v>136990.51</v>
      </c>
      <c r="N112" s="48" t="s">
        <v>221</v>
      </c>
      <c r="O112" s="48" t="s">
        <v>14</v>
      </c>
      <c r="P112" s="48" t="s">
        <v>373</v>
      </c>
      <c r="Q112" s="48" t="s">
        <v>374</v>
      </c>
      <c r="R112" s="57" t="s">
        <v>213</v>
      </c>
      <c r="S112" s="48" t="str">
        <f t="shared" si="3"/>
        <v>Deposit</v>
      </c>
    </row>
    <row r="113" spans="1:21">
      <c r="A113" s="48" t="s">
        <v>368</v>
      </c>
      <c r="B113" s="49">
        <v>44620</v>
      </c>
      <c r="C113" s="48" t="s">
        <v>380</v>
      </c>
      <c r="D113" s="48" t="s">
        <v>1147</v>
      </c>
      <c r="E113" s="48" t="s">
        <v>1288</v>
      </c>
      <c r="F113" s="48" t="s">
        <v>73</v>
      </c>
      <c r="G113" s="122">
        <v>989495.51</v>
      </c>
      <c r="H113" s="48" t="s">
        <v>372</v>
      </c>
      <c r="I113" s="48" t="s">
        <v>73</v>
      </c>
      <c r="J113" s="50">
        <v>989495.51</v>
      </c>
      <c r="K113" s="51">
        <v>80</v>
      </c>
      <c r="L113" s="50">
        <v>791596.41</v>
      </c>
      <c r="M113" s="490">
        <v>791596.41</v>
      </c>
      <c r="N113" s="48" t="s">
        <v>221</v>
      </c>
      <c r="O113" s="48" t="s">
        <v>14</v>
      </c>
      <c r="P113" s="48" t="s">
        <v>373</v>
      </c>
      <c r="Q113" s="48" t="s">
        <v>374</v>
      </c>
      <c r="R113" s="57" t="s">
        <v>213</v>
      </c>
      <c r="S113" s="48" t="str">
        <f t="shared" si="3"/>
        <v>Deposit</v>
      </c>
    </row>
    <row r="114" spans="1:21">
      <c r="A114" s="48" t="s">
        <v>368</v>
      </c>
      <c r="B114" s="49">
        <v>44620</v>
      </c>
      <c r="C114" s="48" t="s">
        <v>381</v>
      </c>
      <c r="D114" s="48" t="s">
        <v>1148</v>
      </c>
      <c r="E114" s="48" t="s">
        <v>1289</v>
      </c>
      <c r="F114" s="48" t="s">
        <v>228</v>
      </c>
      <c r="G114" s="122">
        <v>1657732344</v>
      </c>
      <c r="H114" s="48" t="s">
        <v>372</v>
      </c>
      <c r="I114" s="48" t="s">
        <v>18</v>
      </c>
      <c r="J114" s="50">
        <v>932040.23</v>
      </c>
      <c r="K114" s="51">
        <v>80</v>
      </c>
      <c r="L114" s="50">
        <v>1326185875</v>
      </c>
      <c r="M114" s="490">
        <v>745632.18</v>
      </c>
      <c r="N114" s="48" t="s">
        <v>221</v>
      </c>
      <c r="O114" s="48" t="s">
        <v>14</v>
      </c>
      <c r="P114" s="48" t="s">
        <v>373</v>
      </c>
      <c r="Q114" s="48" t="s">
        <v>374</v>
      </c>
      <c r="R114" s="57" t="s">
        <v>213</v>
      </c>
      <c r="S114" s="48" t="str">
        <f t="shared" si="3"/>
        <v>Deposit</v>
      </c>
    </row>
    <row r="115" spans="1:21">
      <c r="A115" s="48" t="s">
        <v>368</v>
      </c>
      <c r="B115" s="49">
        <v>44620</v>
      </c>
      <c r="C115" s="48" t="s">
        <v>382</v>
      </c>
      <c r="D115" s="48" t="s">
        <v>1149</v>
      </c>
      <c r="E115" s="48" t="s">
        <v>1290</v>
      </c>
      <c r="F115" s="48" t="s">
        <v>73</v>
      </c>
      <c r="G115" s="252">
        <v>353673.17</v>
      </c>
      <c r="H115" s="48" t="s">
        <v>369</v>
      </c>
      <c r="I115" s="48" t="s">
        <v>73</v>
      </c>
      <c r="J115" s="50">
        <v>353673.17</v>
      </c>
      <c r="K115" s="51">
        <v>100</v>
      </c>
      <c r="L115" s="52">
        <v>353673.17</v>
      </c>
      <c r="M115" s="490">
        <v>353673.17</v>
      </c>
      <c r="N115" s="48" t="s">
        <v>221</v>
      </c>
      <c r="O115" s="48" t="s">
        <v>14</v>
      </c>
      <c r="P115" s="48" t="s">
        <v>370</v>
      </c>
      <c r="Q115" s="48" t="s">
        <v>371</v>
      </c>
      <c r="R115" s="57" t="s">
        <v>213</v>
      </c>
      <c r="S115" s="48" t="str">
        <f t="shared" si="3"/>
        <v>Deposit</v>
      </c>
    </row>
    <row r="116" spans="1:21">
      <c r="A116" s="48" t="s">
        <v>368</v>
      </c>
      <c r="B116" s="49">
        <v>44620</v>
      </c>
      <c r="C116" s="48" t="s">
        <v>383</v>
      </c>
      <c r="D116" s="48" t="s">
        <v>1150</v>
      </c>
      <c r="E116" s="48" t="s">
        <v>1291</v>
      </c>
      <c r="F116" s="48" t="s">
        <v>73</v>
      </c>
      <c r="G116" s="122">
        <v>125578.88</v>
      </c>
      <c r="H116" s="48" t="s">
        <v>369</v>
      </c>
      <c r="I116" s="48" t="s">
        <v>73</v>
      </c>
      <c r="J116" s="50">
        <v>125578.88</v>
      </c>
      <c r="K116" s="51">
        <v>100</v>
      </c>
      <c r="L116" s="50">
        <v>125578.88</v>
      </c>
      <c r="M116" s="490">
        <v>125578.88</v>
      </c>
      <c r="N116" s="48" t="s">
        <v>221</v>
      </c>
      <c r="O116" s="48" t="s">
        <v>14</v>
      </c>
      <c r="P116" s="48" t="s">
        <v>370</v>
      </c>
      <c r="Q116" s="48" t="s">
        <v>371</v>
      </c>
      <c r="R116" s="57" t="s">
        <v>213</v>
      </c>
      <c r="S116" s="48" t="str">
        <f t="shared" si="3"/>
        <v>Deposit</v>
      </c>
      <c r="U116" s="323"/>
    </row>
    <row r="117" spans="1:21">
      <c r="A117" s="48" t="s">
        <v>368</v>
      </c>
      <c r="B117" s="49">
        <v>44620</v>
      </c>
      <c r="C117" s="48" t="s">
        <v>384</v>
      </c>
      <c r="D117" s="48" t="s">
        <v>1151</v>
      </c>
      <c r="E117" s="48" t="s">
        <v>1292</v>
      </c>
      <c r="F117" s="48" t="s">
        <v>228</v>
      </c>
      <c r="G117" s="122">
        <v>34158957</v>
      </c>
      <c r="H117" s="48" t="s">
        <v>369</v>
      </c>
      <c r="I117" s="48" t="s">
        <v>18</v>
      </c>
      <c r="J117" s="50">
        <v>19205.47</v>
      </c>
      <c r="K117" s="51">
        <v>100</v>
      </c>
      <c r="L117" s="50">
        <v>34158957</v>
      </c>
      <c r="M117" s="490">
        <v>19205.47</v>
      </c>
      <c r="N117" s="48" t="s">
        <v>221</v>
      </c>
      <c r="O117" s="48" t="s">
        <v>14</v>
      </c>
      <c r="P117" s="48" t="s">
        <v>370</v>
      </c>
      <c r="Q117" s="48" t="s">
        <v>371</v>
      </c>
      <c r="R117" s="57" t="s">
        <v>213</v>
      </c>
      <c r="S117" s="48" t="str">
        <f t="shared" si="3"/>
        <v>Deposit</v>
      </c>
    </row>
    <row r="118" spans="1:21">
      <c r="A118" s="48" t="s">
        <v>368</v>
      </c>
      <c r="B118" s="49">
        <v>44620</v>
      </c>
      <c r="C118" s="48" t="s">
        <v>385</v>
      </c>
      <c r="D118" s="48" t="s">
        <v>1152</v>
      </c>
      <c r="E118" s="48" t="s">
        <v>1293</v>
      </c>
      <c r="F118" s="48" t="s">
        <v>73</v>
      </c>
      <c r="G118" s="252">
        <v>585690.17000000004</v>
      </c>
      <c r="H118" s="48" t="s">
        <v>375</v>
      </c>
      <c r="I118" s="48" t="s">
        <v>73</v>
      </c>
      <c r="J118" s="50">
        <v>585690.17000000004</v>
      </c>
      <c r="K118" s="51">
        <v>100</v>
      </c>
      <c r="L118" s="52">
        <v>585690.17000000004</v>
      </c>
      <c r="M118" s="490">
        <v>585690.17000000004</v>
      </c>
      <c r="N118" s="48" t="s">
        <v>221</v>
      </c>
      <c r="O118" s="48" t="s">
        <v>14</v>
      </c>
      <c r="P118" s="48" t="s">
        <v>376</v>
      </c>
      <c r="Q118" s="48" t="s">
        <v>377</v>
      </c>
      <c r="R118" s="57" t="s">
        <v>213</v>
      </c>
      <c r="S118" s="48" t="str">
        <f t="shared" si="3"/>
        <v>Deposit</v>
      </c>
    </row>
    <row r="119" spans="1:21">
      <c r="A119" s="48" t="s">
        <v>368</v>
      </c>
      <c r="B119" s="49">
        <v>44620</v>
      </c>
      <c r="C119" s="48" t="s">
        <v>386</v>
      </c>
      <c r="D119" s="48" t="s">
        <v>1153</v>
      </c>
      <c r="E119" s="48" t="s">
        <v>1294</v>
      </c>
      <c r="F119" s="48" t="s">
        <v>73</v>
      </c>
      <c r="G119" s="122">
        <v>148513.79999999999</v>
      </c>
      <c r="H119" s="48" t="s">
        <v>375</v>
      </c>
      <c r="I119" s="48" t="s">
        <v>73</v>
      </c>
      <c r="J119" s="50">
        <v>148513.79999999999</v>
      </c>
      <c r="K119" s="51">
        <v>100</v>
      </c>
      <c r="L119" s="50">
        <v>148513.79999999999</v>
      </c>
      <c r="M119" s="490">
        <v>148513.79999999999</v>
      </c>
      <c r="N119" s="48" t="s">
        <v>221</v>
      </c>
      <c r="O119" s="48" t="s">
        <v>14</v>
      </c>
      <c r="P119" s="48" t="s">
        <v>376</v>
      </c>
      <c r="Q119" s="48" t="s">
        <v>377</v>
      </c>
      <c r="R119" s="57" t="s">
        <v>213</v>
      </c>
      <c r="S119" s="48" t="str">
        <f t="shared" si="3"/>
        <v>Deposit</v>
      </c>
    </row>
    <row r="120" spans="1:21">
      <c r="A120" s="48" t="s">
        <v>368</v>
      </c>
      <c r="B120" s="49">
        <v>44620</v>
      </c>
      <c r="C120" s="48" t="s">
        <v>387</v>
      </c>
      <c r="D120" s="48" t="s">
        <v>1154</v>
      </c>
      <c r="E120" s="48" t="s">
        <v>1295</v>
      </c>
      <c r="F120" s="48" t="s">
        <v>228</v>
      </c>
      <c r="G120" s="122">
        <v>345634319</v>
      </c>
      <c r="H120" s="48" t="s">
        <v>375</v>
      </c>
      <c r="I120" s="48" t="s">
        <v>18</v>
      </c>
      <c r="J120" s="50">
        <v>194328.77</v>
      </c>
      <c r="K120" s="51">
        <v>100</v>
      </c>
      <c r="L120" s="50">
        <v>345634319</v>
      </c>
      <c r="M120" s="490">
        <v>194328.77</v>
      </c>
      <c r="N120" s="48" t="s">
        <v>221</v>
      </c>
      <c r="O120" s="48" t="s">
        <v>14</v>
      </c>
      <c r="P120" s="48" t="s">
        <v>376</v>
      </c>
      <c r="Q120" s="48" t="s">
        <v>377</v>
      </c>
      <c r="R120" s="57" t="s">
        <v>213</v>
      </c>
      <c r="S120" s="48" t="str">
        <f t="shared" si="3"/>
        <v>Deposit</v>
      </c>
    </row>
    <row r="121" spans="1:21">
      <c r="A121" s="48" t="s">
        <v>388</v>
      </c>
      <c r="B121" s="49">
        <v>44620</v>
      </c>
      <c r="C121" s="48" t="s">
        <v>389</v>
      </c>
      <c r="D121" s="48" t="s">
        <v>1155</v>
      </c>
      <c r="E121" s="48" t="s">
        <v>1296</v>
      </c>
      <c r="F121" s="48" t="s">
        <v>73</v>
      </c>
      <c r="G121" s="252">
        <v>412335.41</v>
      </c>
      <c r="H121" s="48" t="s">
        <v>390</v>
      </c>
      <c r="I121" s="48" t="s">
        <v>73</v>
      </c>
      <c r="J121" s="50">
        <v>412335.41</v>
      </c>
      <c r="K121" s="51">
        <v>100</v>
      </c>
      <c r="L121" s="52">
        <v>412335.41</v>
      </c>
      <c r="M121" s="490">
        <v>412335.41</v>
      </c>
      <c r="N121" s="48" t="s">
        <v>391</v>
      </c>
      <c r="O121" s="48" t="s">
        <v>68</v>
      </c>
      <c r="P121" s="48" t="s">
        <v>388</v>
      </c>
      <c r="Q121" s="48" t="s">
        <v>392</v>
      </c>
      <c r="R121" s="57" t="s">
        <v>145</v>
      </c>
      <c r="S121" s="48" t="str">
        <f t="shared" si="3"/>
        <v>Deposit</v>
      </c>
    </row>
    <row r="122" spans="1:21">
      <c r="A122" s="48" t="s">
        <v>388</v>
      </c>
      <c r="B122" s="49">
        <v>44620</v>
      </c>
      <c r="C122" s="48" t="s">
        <v>393</v>
      </c>
      <c r="D122" s="48" t="s">
        <v>1156</v>
      </c>
      <c r="E122" s="48" t="s">
        <v>1297</v>
      </c>
      <c r="F122" s="48" t="s">
        <v>73</v>
      </c>
      <c r="G122" s="122">
        <v>0</v>
      </c>
      <c r="H122" s="271" t="s">
        <v>390</v>
      </c>
      <c r="I122" s="48" t="s">
        <v>73</v>
      </c>
      <c r="J122" s="50">
        <v>0</v>
      </c>
      <c r="K122" s="51">
        <v>100</v>
      </c>
      <c r="L122" s="50">
        <v>0</v>
      </c>
      <c r="M122" s="490">
        <v>0</v>
      </c>
      <c r="N122" s="48" t="s">
        <v>391</v>
      </c>
      <c r="O122" s="48" t="s">
        <v>68</v>
      </c>
      <c r="P122" s="48" t="s">
        <v>388</v>
      </c>
      <c r="Q122" s="48" t="s">
        <v>392</v>
      </c>
      <c r="R122" s="57" t="s">
        <v>145</v>
      </c>
      <c r="S122" s="48" t="str">
        <f t="shared" si="3"/>
        <v>Deposit</v>
      </c>
      <c r="U122" s="71"/>
    </row>
    <row r="123" spans="1:21">
      <c r="A123" s="48" t="s">
        <v>394</v>
      </c>
      <c r="B123" s="49">
        <v>44620</v>
      </c>
      <c r="C123" s="48" t="s">
        <v>395</v>
      </c>
      <c r="D123" s="48" t="s">
        <v>1157</v>
      </c>
      <c r="E123" s="48" t="s">
        <v>1298</v>
      </c>
      <c r="F123" s="48" t="s">
        <v>73</v>
      </c>
      <c r="G123" s="122">
        <v>2766739.4</v>
      </c>
      <c r="H123" s="271" t="s">
        <v>4</v>
      </c>
      <c r="I123" s="48" t="s">
        <v>73</v>
      </c>
      <c r="J123" s="52">
        <v>2766739.4</v>
      </c>
      <c r="K123" s="51">
        <v>100</v>
      </c>
      <c r="L123" s="52">
        <v>2766739.4</v>
      </c>
      <c r="M123" s="491">
        <v>2766739.4</v>
      </c>
      <c r="N123" s="48" t="s">
        <v>396</v>
      </c>
      <c r="O123" s="48" t="s">
        <v>68</v>
      </c>
      <c r="P123" s="48" t="s">
        <v>394</v>
      </c>
      <c r="Q123" s="48" t="s">
        <v>397</v>
      </c>
      <c r="R123" s="57" t="s">
        <v>145</v>
      </c>
      <c r="S123" s="48" t="str">
        <f t="shared" si="3"/>
        <v>Deposit</v>
      </c>
      <c r="U123" s="71"/>
    </row>
    <row r="124" spans="1:21">
      <c r="A124" s="48" t="s">
        <v>398</v>
      </c>
      <c r="B124" s="49">
        <v>44620</v>
      </c>
      <c r="C124" s="48" t="s">
        <v>399</v>
      </c>
      <c r="D124" s="48" t="s">
        <v>1158</v>
      </c>
      <c r="E124" s="48" t="s">
        <v>1299</v>
      </c>
      <c r="F124" s="48" t="s">
        <v>73</v>
      </c>
      <c r="G124" s="122">
        <v>15199.11</v>
      </c>
      <c r="H124" s="271" t="s">
        <v>44</v>
      </c>
      <c r="I124" s="48" t="s">
        <v>73</v>
      </c>
      <c r="J124" s="50">
        <v>15199.11</v>
      </c>
      <c r="K124" s="51">
        <v>100</v>
      </c>
      <c r="L124" s="50">
        <v>15199.11</v>
      </c>
      <c r="M124" s="490">
        <v>15199.11</v>
      </c>
      <c r="N124" s="48" t="s">
        <v>396</v>
      </c>
      <c r="O124" s="48" t="s">
        <v>68</v>
      </c>
      <c r="P124" s="48" t="s">
        <v>398</v>
      </c>
      <c r="Q124" s="48" t="s">
        <v>400</v>
      </c>
      <c r="R124" s="57" t="s">
        <v>145</v>
      </c>
      <c r="S124" s="48" t="str">
        <f t="shared" si="3"/>
        <v>Deposit</v>
      </c>
    </row>
    <row r="125" spans="1:21">
      <c r="A125" s="48" t="s">
        <v>398</v>
      </c>
      <c r="B125" s="49">
        <v>44617</v>
      </c>
      <c r="C125" s="48" t="s">
        <v>401</v>
      </c>
      <c r="D125" s="48" t="s">
        <v>1159</v>
      </c>
      <c r="E125" s="48" t="s">
        <v>1300</v>
      </c>
      <c r="F125" s="48" t="s">
        <v>339</v>
      </c>
      <c r="G125" s="122">
        <v>2991.29</v>
      </c>
      <c r="H125" s="48" t="s">
        <v>44</v>
      </c>
      <c r="I125" s="48" t="s">
        <v>18</v>
      </c>
      <c r="J125" s="50">
        <v>3339.45</v>
      </c>
      <c r="K125" s="51">
        <v>100</v>
      </c>
      <c r="L125" s="50">
        <v>2991.29</v>
      </c>
      <c r="M125" s="490">
        <v>3339.45</v>
      </c>
      <c r="N125" s="48" t="s">
        <v>396</v>
      </c>
      <c r="O125" s="48" t="s">
        <v>68</v>
      </c>
      <c r="P125" s="48" t="s">
        <v>398</v>
      </c>
      <c r="Q125" s="48" t="s">
        <v>400</v>
      </c>
      <c r="R125" s="57" t="s">
        <v>341</v>
      </c>
      <c r="S125" s="48" t="str">
        <f t="shared" si="3"/>
        <v>Deposit</v>
      </c>
    </row>
    <row r="126" spans="1:21">
      <c r="A126" s="48" t="s">
        <v>402</v>
      </c>
      <c r="B126" s="49">
        <v>44620</v>
      </c>
      <c r="C126" s="48" t="s">
        <v>403</v>
      </c>
      <c r="D126" s="48" t="s">
        <v>1160</v>
      </c>
      <c r="E126" s="48" t="s">
        <v>1301</v>
      </c>
      <c r="F126" s="48" t="s">
        <v>73</v>
      </c>
      <c r="G126" s="122">
        <v>10203546.91</v>
      </c>
      <c r="H126" s="48" t="s">
        <v>32</v>
      </c>
      <c r="I126" s="48" t="s">
        <v>73</v>
      </c>
      <c r="J126" s="50">
        <v>10203546.91</v>
      </c>
      <c r="K126" s="51">
        <v>100</v>
      </c>
      <c r="L126" s="50">
        <v>10203546.91</v>
      </c>
      <c r="M126" s="490">
        <v>10203546.91</v>
      </c>
      <c r="N126" s="48" t="s">
        <v>325</v>
      </c>
      <c r="O126" s="48" t="s">
        <v>12</v>
      </c>
      <c r="P126" s="48" t="s">
        <v>402</v>
      </c>
      <c r="Q126" s="48" t="s">
        <v>404</v>
      </c>
      <c r="R126" s="57" t="s">
        <v>145</v>
      </c>
      <c r="S126" s="48" t="str">
        <f t="shared" si="3"/>
        <v>Deposit</v>
      </c>
      <c r="T126" s="474"/>
      <c r="U126" s="71"/>
    </row>
    <row r="127" spans="1:21">
      <c r="A127" s="48" t="s">
        <v>402</v>
      </c>
      <c r="B127" s="49">
        <v>44620</v>
      </c>
      <c r="C127" s="48" t="s">
        <v>405</v>
      </c>
      <c r="D127" s="48" t="s">
        <v>1161</v>
      </c>
      <c r="E127" s="48" t="s">
        <v>1302</v>
      </c>
      <c r="F127" s="48" t="s">
        <v>73</v>
      </c>
      <c r="G127" s="122">
        <v>0</v>
      </c>
      <c r="H127" s="48" t="s">
        <v>32</v>
      </c>
      <c r="I127" s="48" t="s">
        <v>73</v>
      </c>
      <c r="J127" s="50">
        <v>0</v>
      </c>
      <c r="K127" s="51">
        <v>100</v>
      </c>
      <c r="L127" s="50">
        <v>0</v>
      </c>
      <c r="M127" s="490">
        <v>0</v>
      </c>
      <c r="N127" s="48" t="s">
        <v>325</v>
      </c>
      <c r="O127" s="48" t="s">
        <v>12</v>
      </c>
      <c r="P127" s="48" t="s">
        <v>402</v>
      </c>
      <c r="Q127" s="48" t="s">
        <v>404</v>
      </c>
      <c r="R127" s="57" t="s">
        <v>145</v>
      </c>
      <c r="S127" s="48" t="str">
        <f t="shared" si="3"/>
        <v>Deposit</v>
      </c>
    </row>
    <row r="128" spans="1:21">
      <c r="A128" s="48" t="s">
        <v>406</v>
      </c>
      <c r="B128" s="49">
        <v>44620</v>
      </c>
      <c r="C128" s="48" t="s">
        <v>407</v>
      </c>
      <c r="D128" s="48" t="s">
        <v>1162</v>
      </c>
      <c r="E128" s="48" t="s">
        <v>1303</v>
      </c>
      <c r="F128" s="48" t="s">
        <v>73</v>
      </c>
      <c r="G128" s="122">
        <v>11638.92</v>
      </c>
      <c r="H128" s="48" t="s">
        <v>47</v>
      </c>
      <c r="I128" s="48" t="s">
        <v>73</v>
      </c>
      <c r="J128" s="52">
        <v>11638.92</v>
      </c>
      <c r="K128" s="51">
        <v>100</v>
      </c>
      <c r="L128" s="52">
        <v>11638.92</v>
      </c>
      <c r="M128" s="491">
        <v>11638.92</v>
      </c>
      <c r="N128" s="48" t="s">
        <v>99</v>
      </c>
      <c r="O128" s="48" t="s">
        <v>68</v>
      </c>
      <c r="P128" s="48" t="s">
        <v>406</v>
      </c>
      <c r="Q128" s="48" t="s">
        <v>408</v>
      </c>
      <c r="R128" s="57" t="s">
        <v>145</v>
      </c>
      <c r="S128" s="48" t="str">
        <f t="shared" si="3"/>
        <v>Deposit</v>
      </c>
    </row>
    <row r="129" spans="1:21">
      <c r="A129" s="48" t="s">
        <v>409</v>
      </c>
      <c r="B129" s="49">
        <v>44620</v>
      </c>
      <c r="C129" s="48" t="s">
        <v>410</v>
      </c>
      <c r="D129" s="48" t="s">
        <v>1163</v>
      </c>
      <c r="E129" s="48" t="s">
        <v>1304</v>
      </c>
      <c r="F129" s="48" t="s">
        <v>73</v>
      </c>
      <c r="G129" s="122">
        <v>20113.97</v>
      </c>
      <c r="H129" s="48" t="s">
        <v>24</v>
      </c>
      <c r="I129" s="48" t="s">
        <v>73</v>
      </c>
      <c r="J129" s="50">
        <v>20113.97</v>
      </c>
      <c r="K129" s="51">
        <v>100</v>
      </c>
      <c r="L129" s="50">
        <v>20113.97</v>
      </c>
      <c r="M129" s="490">
        <v>20113.97</v>
      </c>
      <c r="N129" s="48" t="s">
        <v>99</v>
      </c>
      <c r="O129" s="48" t="s">
        <v>68</v>
      </c>
      <c r="P129" s="48" t="s">
        <v>409</v>
      </c>
      <c r="Q129" s="48" t="s">
        <v>411</v>
      </c>
      <c r="R129" s="57" t="s">
        <v>145</v>
      </c>
      <c r="S129" s="48" t="str">
        <f t="shared" si="3"/>
        <v>Deposit</v>
      </c>
    </row>
    <row r="130" spans="1:21">
      <c r="A130" s="48" t="s">
        <v>409</v>
      </c>
      <c r="B130" s="49">
        <v>44617</v>
      </c>
      <c r="C130" s="48" t="s">
        <v>412</v>
      </c>
      <c r="D130" s="48" t="s">
        <v>1164</v>
      </c>
      <c r="E130" s="48" t="s">
        <v>1305</v>
      </c>
      <c r="F130" s="48" t="s">
        <v>339</v>
      </c>
      <c r="G130" s="122">
        <v>193.54</v>
      </c>
      <c r="H130" s="48" t="s">
        <v>24</v>
      </c>
      <c r="I130" s="48" t="s">
        <v>18</v>
      </c>
      <c r="J130" s="50">
        <v>216.07</v>
      </c>
      <c r="K130" s="51">
        <v>100</v>
      </c>
      <c r="L130" s="50">
        <v>193.54</v>
      </c>
      <c r="M130" s="490">
        <v>216.07</v>
      </c>
      <c r="N130" s="48" t="s">
        <v>99</v>
      </c>
      <c r="O130" s="48" t="s">
        <v>68</v>
      </c>
      <c r="P130" s="48" t="s">
        <v>409</v>
      </c>
      <c r="Q130" s="48" t="s">
        <v>411</v>
      </c>
      <c r="R130" s="57" t="s">
        <v>341</v>
      </c>
      <c r="S130" s="48" t="str">
        <f t="shared" si="3"/>
        <v>Deposit</v>
      </c>
      <c r="U130" s="71"/>
    </row>
    <row r="131" spans="1:21">
      <c r="A131" s="48" t="s">
        <v>413</v>
      </c>
      <c r="B131" s="49">
        <v>44617</v>
      </c>
      <c r="C131" s="48" t="s">
        <v>414</v>
      </c>
      <c r="D131" s="48" t="s">
        <v>1165</v>
      </c>
      <c r="E131" s="48" t="s">
        <v>1306</v>
      </c>
      <c r="F131" s="48" t="s">
        <v>415</v>
      </c>
      <c r="G131" s="122">
        <v>8471332.2100000009</v>
      </c>
      <c r="H131" s="48" t="s">
        <v>416</v>
      </c>
      <c r="I131" s="48" t="s">
        <v>18</v>
      </c>
      <c r="J131" s="50">
        <v>1636239.24</v>
      </c>
      <c r="K131" s="51">
        <v>100</v>
      </c>
      <c r="L131" s="50">
        <v>8471332.2100000009</v>
      </c>
      <c r="M131" s="490">
        <v>1636239.24</v>
      </c>
      <c r="N131" s="48" t="s">
        <v>417</v>
      </c>
      <c r="O131" s="48" t="s">
        <v>68</v>
      </c>
      <c r="P131" s="48" t="s">
        <v>413</v>
      </c>
      <c r="Q131" s="48" t="s">
        <v>418</v>
      </c>
      <c r="R131" s="57" t="s">
        <v>341</v>
      </c>
      <c r="S131" s="48" t="str">
        <f t="shared" ref="S131:S162" si="4">IF(OR(C131=$T$3,C131=$T$4,C131=$T$5,C131=$T$6,C131=$T$7),$T$2,"Deposit")</f>
        <v>Deposit</v>
      </c>
    </row>
    <row r="132" spans="1:21">
      <c r="A132" s="48" t="s">
        <v>419</v>
      </c>
      <c r="B132" s="49">
        <v>44620</v>
      </c>
      <c r="C132" s="48" t="s">
        <v>420</v>
      </c>
      <c r="D132" s="48" t="s">
        <v>1166</v>
      </c>
      <c r="E132" s="48" t="s">
        <v>1307</v>
      </c>
      <c r="F132" s="48" t="s">
        <v>73</v>
      </c>
      <c r="G132" s="122">
        <v>1941606.06</v>
      </c>
      <c r="H132" s="48" t="s">
        <v>421</v>
      </c>
      <c r="I132" s="48" t="s">
        <v>73</v>
      </c>
      <c r="J132" s="50">
        <v>1941606.06</v>
      </c>
      <c r="K132" s="51">
        <v>100</v>
      </c>
      <c r="L132" s="50">
        <v>1941606.06</v>
      </c>
      <c r="M132" s="490">
        <v>1941606.06</v>
      </c>
      <c r="N132" s="48" t="s">
        <v>422</v>
      </c>
      <c r="O132" s="48" t="s">
        <v>68</v>
      </c>
      <c r="P132" s="48" t="s">
        <v>419</v>
      </c>
      <c r="Q132" s="48" t="s">
        <v>423</v>
      </c>
      <c r="R132" s="57" t="s">
        <v>424</v>
      </c>
      <c r="S132" s="48" t="str">
        <f t="shared" si="4"/>
        <v>Deposit</v>
      </c>
    </row>
    <row r="133" spans="1:21">
      <c r="A133" s="48" t="s">
        <v>419</v>
      </c>
      <c r="B133" s="49">
        <v>44620</v>
      </c>
      <c r="C133" s="48" t="s">
        <v>425</v>
      </c>
      <c r="D133" s="48" t="s">
        <v>1167</v>
      </c>
      <c r="E133" s="48" t="s">
        <v>1308</v>
      </c>
      <c r="F133" s="48" t="s">
        <v>426</v>
      </c>
      <c r="G133" s="122">
        <v>8805875</v>
      </c>
      <c r="H133" s="48" t="s">
        <v>421</v>
      </c>
      <c r="I133" s="48" t="s">
        <v>18</v>
      </c>
      <c r="J133" s="50">
        <v>146802.48000000001</v>
      </c>
      <c r="K133" s="51">
        <v>100</v>
      </c>
      <c r="L133" s="50">
        <v>8805875</v>
      </c>
      <c r="M133" s="490">
        <v>146802.48000000001</v>
      </c>
      <c r="N133" s="48" t="s">
        <v>422</v>
      </c>
      <c r="O133" s="48" t="s">
        <v>68</v>
      </c>
      <c r="P133" s="48" t="s">
        <v>419</v>
      </c>
      <c r="Q133" s="48" t="s">
        <v>423</v>
      </c>
      <c r="R133" s="57" t="s">
        <v>424</v>
      </c>
      <c r="S133" s="48" t="str">
        <f t="shared" si="4"/>
        <v>Deposit</v>
      </c>
    </row>
    <row r="134" spans="1:21">
      <c r="A134" s="48" t="s">
        <v>427</v>
      </c>
      <c r="B134" s="49">
        <v>44620</v>
      </c>
      <c r="C134" s="48" t="s">
        <v>428</v>
      </c>
      <c r="D134" s="48" t="s">
        <v>1168</v>
      </c>
      <c r="E134" s="48" t="s">
        <v>1309</v>
      </c>
      <c r="F134" s="48" t="s">
        <v>73</v>
      </c>
      <c r="G134" s="252">
        <v>0</v>
      </c>
      <c r="H134" s="48" t="s">
        <v>429</v>
      </c>
      <c r="I134" s="48" t="s">
        <v>73</v>
      </c>
      <c r="J134" s="50">
        <v>0</v>
      </c>
      <c r="K134" s="51">
        <v>100</v>
      </c>
      <c r="L134" s="52">
        <v>0</v>
      </c>
      <c r="M134" s="490">
        <v>0</v>
      </c>
      <c r="N134" s="48" t="s">
        <v>233</v>
      </c>
      <c r="O134" s="48" t="s">
        <v>68</v>
      </c>
      <c r="P134" s="48" t="s">
        <v>427</v>
      </c>
      <c r="Q134" s="48" t="s">
        <v>430</v>
      </c>
      <c r="R134" s="57" t="s">
        <v>145</v>
      </c>
      <c r="S134" s="48" t="str">
        <f t="shared" si="4"/>
        <v>Deposit</v>
      </c>
    </row>
    <row r="135" spans="1:21">
      <c r="A135" s="48" t="s">
        <v>431</v>
      </c>
      <c r="B135" s="49">
        <v>44620</v>
      </c>
      <c r="C135" s="48" t="s">
        <v>432</v>
      </c>
      <c r="D135" s="48" t="s">
        <v>1169</v>
      </c>
      <c r="E135" s="48" t="s">
        <v>1310</v>
      </c>
      <c r="F135" s="48" t="s">
        <v>73</v>
      </c>
      <c r="G135" s="122">
        <v>4646281.08</v>
      </c>
      <c r="H135" s="48" t="s">
        <v>433</v>
      </c>
      <c r="I135" s="48" t="s">
        <v>73</v>
      </c>
      <c r="J135" s="52">
        <v>4646281.08</v>
      </c>
      <c r="K135" s="51">
        <v>100</v>
      </c>
      <c r="L135" s="52">
        <v>4646281.08</v>
      </c>
      <c r="M135" s="491">
        <v>4646281.08</v>
      </c>
      <c r="N135" s="48" t="s">
        <v>391</v>
      </c>
      <c r="O135" s="48" t="s">
        <v>68</v>
      </c>
      <c r="P135" s="48" t="s">
        <v>431</v>
      </c>
      <c r="Q135" s="48" t="s">
        <v>434</v>
      </c>
      <c r="R135" s="57" t="s">
        <v>145</v>
      </c>
      <c r="S135" s="48" t="str">
        <f t="shared" si="4"/>
        <v>Deposit</v>
      </c>
    </row>
    <row r="136" spans="1:21">
      <c r="A136" s="48" t="s">
        <v>431</v>
      </c>
      <c r="B136" s="49">
        <v>44620</v>
      </c>
      <c r="C136" s="48" t="s">
        <v>435</v>
      </c>
      <c r="D136" s="48" t="s">
        <v>1170</v>
      </c>
      <c r="E136" s="48" t="s">
        <v>1311</v>
      </c>
      <c r="F136" s="48" t="s">
        <v>70</v>
      </c>
      <c r="G136" s="122">
        <v>2277063912.4000001</v>
      </c>
      <c r="H136" s="48" t="s">
        <v>51</v>
      </c>
      <c r="I136" s="48" t="s">
        <v>70</v>
      </c>
      <c r="J136" s="50">
        <v>69578914.629999995</v>
      </c>
      <c r="K136" s="51">
        <v>100</v>
      </c>
      <c r="L136" s="50">
        <v>2277063912.4000001</v>
      </c>
      <c r="M136" s="490">
        <v>69578914.629999995</v>
      </c>
      <c r="N136" s="48" t="s">
        <v>391</v>
      </c>
      <c r="O136" s="48" t="s">
        <v>68</v>
      </c>
      <c r="P136" s="48" t="s">
        <v>431</v>
      </c>
      <c r="Q136" s="48" t="s">
        <v>436</v>
      </c>
      <c r="R136" s="57" t="s">
        <v>145</v>
      </c>
      <c r="S136" s="48" t="str">
        <f t="shared" si="4"/>
        <v>Deposit</v>
      </c>
    </row>
    <row r="137" spans="1:21">
      <c r="A137" s="48" t="s">
        <v>431</v>
      </c>
      <c r="B137" s="49">
        <v>44620</v>
      </c>
      <c r="C137" s="48" t="s">
        <v>437</v>
      </c>
      <c r="D137" s="48" t="s">
        <v>1171</v>
      </c>
      <c r="E137" s="48" t="s">
        <v>1312</v>
      </c>
      <c r="F137" s="48" t="s">
        <v>73</v>
      </c>
      <c r="G137" s="122">
        <v>29158466.52</v>
      </c>
      <c r="H137" s="48" t="s">
        <v>51</v>
      </c>
      <c r="I137" s="48" t="s">
        <v>73</v>
      </c>
      <c r="J137" s="50">
        <v>29158466.52</v>
      </c>
      <c r="K137" s="51">
        <v>100</v>
      </c>
      <c r="L137" s="50">
        <v>29158466.52</v>
      </c>
      <c r="M137" s="490">
        <v>29158466.52</v>
      </c>
      <c r="N137" s="48" t="s">
        <v>391</v>
      </c>
      <c r="O137" s="48" t="s">
        <v>68</v>
      </c>
      <c r="P137" s="48" t="s">
        <v>431</v>
      </c>
      <c r="Q137" s="48" t="s">
        <v>436</v>
      </c>
      <c r="R137" s="57" t="s">
        <v>145</v>
      </c>
      <c r="S137" s="48" t="str">
        <f t="shared" si="4"/>
        <v>Deposit</v>
      </c>
    </row>
    <row r="138" spans="1:21">
      <c r="A138" s="48" t="s">
        <v>431</v>
      </c>
      <c r="B138" s="49">
        <v>44620</v>
      </c>
      <c r="C138" s="48" t="s">
        <v>438</v>
      </c>
      <c r="D138" s="48" t="s">
        <v>1172</v>
      </c>
      <c r="E138" s="48" t="s">
        <v>1313</v>
      </c>
      <c r="F138" s="48" t="s">
        <v>70</v>
      </c>
      <c r="G138" s="122">
        <v>35578695.119999997</v>
      </c>
      <c r="H138" s="48" t="s">
        <v>439</v>
      </c>
      <c r="I138" s="48" t="s">
        <v>70</v>
      </c>
      <c r="J138" s="50">
        <v>1087157.45</v>
      </c>
      <c r="K138" s="51">
        <v>45</v>
      </c>
      <c r="L138" s="50">
        <v>16010412.800000001</v>
      </c>
      <c r="M138" s="490">
        <v>489220.85</v>
      </c>
      <c r="N138" s="48" t="s">
        <v>391</v>
      </c>
      <c r="O138" s="48" t="s">
        <v>14</v>
      </c>
      <c r="P138" s="48" t="s">
        <v>440</v>
      </c>
      <c r="Q138" s="48" t="s">
        <v>441</v>
      </c>
      <c r="R138" s="57" t="s">
        <v>145</v>
      </c>
      <c r="S138" s="48" t="str">
        <f t="shared" si="4"/>
        <v>Deposit</v>
      </c>
    </row>
    <row r="139" spans="1:21">
      <c r="A139" s="48" t="s">
        <v>431</v>
      </c>
      <c r="B139" s="49">
        <v>44620</v>
      </c>
      <c r="C139" s="48" t="s">
        <v>442</v>
      </c>
      <c r="D139" s="48" t="s">
        <v>1173</v>
      </c>
      <c r="E139" s="48" t="s">
        <v>1314</v>
      </c>
      <c r="F139" s="48" t="s">
        <v>73</v>
      </c>
      <c r="G139" s="122">
        <v>177029.35</v>
      </c>
      <c r="H139" s="48" t="s">
        <v>433</v>
      </c>
      <c r="I139" s="48" t="s">
        <v>73</v>
      </c>
      <c r="J139" s="50">
        <v>177029.35</v>
      </c>
      <c r="K139" s="51">
        <v>100</v>
      </c>
      <c r="L139" s="50">
        <v>177029.35</v>
      </c>
      <c r="M139" s="490">
        <v>177029.35</v>
      </c>
      <c r="N139" s="48" t="s">
        <v>391</v>
      </c>
      <c r="O139" s="48" t="s">
        <v>68</v>
      </c>
      <c r="P139" s="48" t="s">
        <v>431</v>
      </c>
      <c r="Q139" s="48" t="s">
        <v>434</v>
      </c>
      <c r="R139" s="57" t="s">
        <v>167</v>
      </c>
      <c r="S139" s="48" t="str">
        <f t="shared" si="4"/>
        <v>Deposit</v>
      </c>
    </row>
    <row r="140" spans="1:21">
      <c r="A140" s="48" t="s">
        <v>443</v>
      </c>
      <c r="B140" s="49">
        <v>44620</v>
      </c>
      <c r="C140" s="48" t="s">
        <v>444</v>
      </c>
      <c r="D140" s="48" t="s">
        <v>1174</v>
      </c>
      <c r="E140" s="48" t="s">
        <v>1315</v>
      </c>
      <c r="F140" s="48" t="s">
        <v>70</v>
      </c>
      <c r="G140" s="122">
        <v>228111866.28999999</v>
      </c>
      <c r="H140" s="48" t="s">
        <v>31</v>
      </c>
      <c r="I140" s="48" t="s">
        <v>70</v>
      </c>
      <c r="J140" s="50">
        <v>6970281.3300000001</v>
      </c>
      <c r="K140" s="51">
        <v>100</v>
      </c>
      <c r="L140" s="50">
        <v>228111866.28999999</v>
      </c>
      <c r="M140" s="490">
        <v>6970281.3300000001</v>
      </c>
      <c r="N140" s="48" t="s">
        <v>88</v>
      </c>
      <c r="O140" s="48" t="s">
        <v>68</v>
      </c>
      <c r="P140" s="48" t="s">
        <v>443</v>
      </c>
      <c r="Q140" s="48" t="s">
        <v>445</v>
      </c>
      <c r="R140" s="57" t="s">
        <v>167</v>
      </c>
      <c r="S140" s="48" t="str">
        <f t="shared" si="4"/>
        <v>Deposit</v>
      </c>
    </row>
    <row r="141" spans="1:21">
      <c r="A141" s="48" t="s">
        <v>446</v>
      </c>
      <c r="B141" s="49">
        <v>44620</v>
      </c>
      <c r="C141" s="48" t="s">
        <v>447</v>
      </c>
      <c r="D141" s="48" t="s">
        <v>1175</v>
      </c>
      <c r="E141" s="48" t="s">
        <v>1316</v>
      </c>
      <c r="F141" s="48" t="s">
        <v>73</v>
      </c>
      <c r="G141" s="122">
        <v>0</v>
      </c>
      <c r="H141" s="48" t="s">
        <v>56</v>
      </c>
      <c r="I141" s="48" t="s">
        <v>73</v>
      </c>
      <c r="J141" s="50">
        <v>0</v>
      </c>
      <c r="K141" s="51">
        <v>100</v>
      </c>
      <c r="L141" s="50">
        <v>0</v>
      </c>
      <c r="M141" s="490">
        <v>0</v>
      </c>
      <c r="N141" s="48" t="s">
        <v>88</v>
      </c>
      <c r="O141" s="48" t="s">
        <v>12</v>
      </c>
      <c r="P141" s="48" t="s">
        <v>446</v>
      </c>
      <c r="Q141" s="48" t="s">
        <v>448</v>
      </c>
      <c r="R141" s="57" t="s">
        <v>145</v>
      </c>
      <c r="S141" s="48" t="str">
        <f t="shared" si="4"/>
        <v>Deposit</v>
      </c>
    </row>
    <row r="142" spans="1:21">
      <c r="A142" s="48" t="s">
        <v>446</v>
      </c>
      <c r="B142" s="49">
        <v>44620</v>
      </c>
      <c r="C142" s="48" t="s">
        <v>449</v>
      </c>
      <c r="D142" s="48" t="s">
        <v>1176</v>
      </c>
      <c r="E142" s="48" t="s">
        <v>1317</v>
      </c>
      <c r="F142" s="48" t="s">
        <v>73</v>
      </c>
      <c r="G142" s="122">
        <v>127771121.87</v>
      </c>
      <c r="H142" s="48" t="s">
        <v>56</v>
      </c>
      <c r="I142" s="48" t="s">
        <v>73</v>
      </c>
      <c r="J142" s="52">
        <v>127771121.87</v>
      </c>
      <c r="K142" s="51">
        <v>100</v>
      </c>
      <c r="L142" s="52">
        <v>127771121.87</v>
      </c>
      <c r="M142" s="491">
        <v>127771121.87</v>
      </c>
      <c r="N142" s="48" t="s">
        <v>88</v>
      </c>
      <c r="O142" s="48" t="s">
        <v>12</v>
      </c>
      <c r="P142" s="48" t="s">
        <v>446</v>
      </c>
      <c r="Q142" s="48" t="s">
        <v>448</v>
      </c>
      <c r="R142" s="57" t="s">
        <v>145</v>
      </c>
      <c r="S142" s="48" t="str">
        <f t="shared" si="4"/>
        <v>Deposit</v>
      </c>
    </row>
    <row r="143" spans="1:21">
      <c r="A143" s="48" t="s">
        <v>446</v>
      </c>
      <c r="B143" s="49">
        <v>44620</v>
      </c>
      <c r="C143" s="48" t="s">
        <v>450</v>
      </c>
      <c r="D143" s="48" t="s">
        <v>1177</v>
      </c>
      <c r="E143" s="48" t="s">
        <v>1318</v>
      </c>
      <c r="F143" s="48" t="s">
        <v>70</v>
      </c>
      <c r="G143" s="122">
        <v>1278601755.02</v>
      </c>
      <c r="H143" s="48" t="s">
        <v>56</v>
      </c>
      <c r="I143" s="48" t="s">
        <v>70</v>
      </c>
      <c r="J143" s="50">
        <v>39069488.509999998</v>
      </c>
      <c r="K143" s="51">
        <v>100</v>
      </c>
      <c r="L143" s="50">
        <v>1278601755.02</v>
      </c>
      <c r="M143" s="490">
        <v>39069488.509999998</v>
      </c>
      <c r="N143" s="48" t="s">
        <v>88</v>
      </c>
      <c r="O143" s="48" t="s">
        <v>12</v>
      </c>
      <c r="P143" s="48" t="s">
        <v>446</v>
      </c>
      <c r="Q143" s="48" t="s">
        <v>448</v>
      </c>
      <c r="R143" s="57" t="s">
        <v>145</v>
      </c>
      <c r="S143" s="48" t="str">
        <f t="shared" si="4"/>
        <v>Deposit</v>
      </c>
    </row>
    <row r="144" spans="1:21">
      <c r="A144" s="48" t="s">
        <v>446</v>
      </c>
      <c r="B144" s="49">
        <v>44620</v>
      </c>
      <c r="C144" s="48" t="s">
        <v>451</v>
      </c>
      <c r="D144" s="48" t="s">
        <v>1178</v>
      </c>
      <c r="E144" s="48" t="s">
        <v>1319</v>
      </c>
      <c r="F144" s="48" t="s">
        <v>73</v>
      </c>
      <c r="G144" s="122">
        <v>3871014.83</v>
      </c>
      <c r="H144" s="48" t="s">
        <v>56</v>
      </c>
      <c r="I144" s="48" t="s">
        <v>73</v>
      </c>
      <c r="J144" s="50">
        <v>3871014.83</v>
      </c>
      <c r="K144" s="51">
        <v>100</v>
      </c>
      <c r="L144" s="50">
        <v>3871014.83</v>
      </c>
      <c r="M144" s="490">
        <v>3871014.83</v>
      </c>
      <c r="N144" s="48" t="s">
        <v>88</v>
      </c>
      <c r="O144" s="48" t="s">
        <v>12</v>
      </c>
      <c r="P144" s="48" t="s">
        <v>446</v>
      </c>
      <c r="Q144" s="48" t="s">
        <v>448</v>
      </c>
      <c r="R144" s="57" t="s">
        <v>145</v>
      </c>
      <c r="S144" s="48" t="str">
        <f t="shared" si="4"/>
        <v>Deposit</v>
      </c>
      <c r="U144" s="71"/>
    </row>
    <row r="145" spans="1:21">
      <c r="A145" s="48" t="s">
        <v>446</v>
      </c>
      <c r="B145" s="49">
        <v>44620</v>
      </c>
      <c r="C145" s="48" t="s">
        <v>983</v>
      </c>
      <c r="D145" s="48" t="s">
        <v>1179</v>
      </c>
      <c r="E145" s="48" t="s">
        <v>1320</v>
      </c>
      <c r="F145" s="48" t="s">
        <v>73</v>
      </c>
      <c r="G145" s="122">
        <v>50729524.170000002</v>
      </c>
      <c r="H145" s="48" t="s">
        <v>56</v>
      </c>
      <c r="I145" s="48" t="s">
        <v>73</v>
      </c>
      <c r="J145" s="50">
        <v>50729524.170000002</v>
      </c>
      <c r="K145" s="51">
        <v>100</v>
      </c>
      <c r="L145" s="50">
        <v>50729524.170000002</v>
      </c>
      <c r="M145" s="490">
        <v>50729524.170000002</v>
      </c>
      <c r="N145" s="48" t="s">
        <v>88</v>
      </c>
      <c r="O145" s="48" t="s">
        <v>12</v>
      </c>
      <c r="P145" s="48" t="s">
        <v>446</v>
      </c>
      <c r="Q145" s="48" t="s">
        <v>448</v>
      </c>
      <c r="R145" s="57" t="s">
        <v>145</v>
      </c>
      <c r="S145" s="48" t="str">
        <f t="shared" si="4"/>
        <v>Deposit</v>
      </c>
    </row>
    <row r="146" spans="1:21">
      <c r="A146" s="48" t="s">
        <v>446</v>
      </c>
      <c r="B146" s="49">
        <v>44618</v>
      </c>
      <c r="C146" s="48" t="s">
        <v>452</v>
      </c>
      <c r="D146" s="48" t="s">
        <v>1180</v>
      </c>
      <c r="E146" s="48" t="s">
        <v>1321</v>
      </c>
      <c r="F146" s="48" t="s">
        <v>73</v>
      </c>
      <c r="G146" s="122">
        <v>194933.96</v>
      </c>
      <c r="H146" s="48" t="s">
        <v>56</v>
      </c>
      <c r="I146" s="48" t="s">
        <v>73</v>
      </c>
      <c r="J146" s="50">
        <v>194933.96</v>
      </c>
      <c r="K146" s="51">
        <v>100</v>
      </c>
      <c r="L146" s="50">
        <v>194933.96</v>
      </c>
      <c r="M146" s="490">
        <v>194933.96</v>
      </c>
      <c r="N146" s="48" t="s">
        <v>88</v>
      </c>
      <c r="O146" s="48" t="s">
        <v>12</v>
      </c>
      <c r="P146" s="48" t="s">
        <v>446</v>
      </c>
      <c r="Q146" s="48" t="s">
        <v>448</v>
      </c>
      <c r="R146" s="57" t="s">
        <v>453</v>
      </c>
      <c r="S146" s="48" t="str">
        <f t="shared" si="4"/>
        <v>Special saving</v>
      </c>
      <c r="U146" s="71"/>
    </row>
    <row r="147" spans="1:21">
      <c r="A147" s="48" t="s">
        <v>446</v>
      </c>
      <c r="B147" s="49">
        <v>44620</v>
      </c>
      <c r="C147" s="48" t="s">
        <v>454</v>
      </c>
      <c r="D147" s="48" t="s">
        <v>1181</v>
      </c>
      <c r="E147" s="48" t="s">
        <v>1322</v>
      </c>
      <c r="F147" s="48" t="s">
        <v>70</v>
      </c>
      <c r="G147" s="122">
        <v>18245.16</v>
      </c>
      <c r="H147" s="48" t="s">
        <v>56</v>
      </c>
      <c r="I147" s="48" t="s">
        <v>70</v>
      </c>
      <c r="J147" s="50">
        <v>557.51</v>
      </c>
      <c r="K147" s="51">
        <v>100</v>
      </c>
      <c r="L147" s="50">
        <v>18245.16</v>
      </c>
      <c r="M147" s="490">
        <v>557.51</v>
      </c>
      <c r="N147" s="48" t="s">
        <v>88</v>
      </c>
      <c r="O147" s="48" t="s">
        <v>12</v>
      </c>
      <c r="P147" s="48" t="s">
        <v>446</v>
      </c>
      <c r="Q147" s="48" t="s">
        <v>448</v>
      </c>
      <c r="R147" s="57" t="s">
        <v>173</v>
      </c>
      <c r="S147" s="48" t="str">
        <f t="shared" si="4"/>
        <v>Deposit</v>
      </c>
    </row>
    <row r="148" spans="1:21">
      <c r="A148" s="48" t="s">
        <v>446</v>
      </c>
      <c r="B148" s="49">
        <v>44620</v>
      </c>
      <c r="C148" s="48" t="s">
        <v>455</v>
      </c>
      <c r="D148" s="48" t="s">
        <v>1182</v>
      </c>
      <c r="E148" s="48" t="s">
        <v>1323</v>
      </c>
      <c r="F148" s="48" t="s">
        <v>70</v>
      </c>
      <c r="G148" s="122">
        <v>81.09</v>
      </c>
      <c r="H148" s="48" t="s">
        <v>56</v>
      </c>
      <c r="I148" s="48" t="s">
        <v>70</v>
      </c>
      <c r="J148" s="50">
        <v>2.48</v>
      </c>
      <c r="K148" s="51">
        <v>100</v>
      </c>
      <c r="L148" s="50">
        <v>81.09</v>
      </c>
      <c r="M148" s="490">
        <v>2.48</v>
      </c>
      <c r="N148" s="48" t="s">
        <v>88</v>
      </c>
      <c r="O148" s="48" t="s">
        <v>12</v>
      </c>
      <c r="P148" s="48" t="s">
        <v>446</v>
      </c>
      <c r="Q148" s="48" t="s">
        <v>448</v>
      </c>
      <c r="R148" s="57" t="s">
        <v>180</v>
      </c>
      <c r="S148" s="48" t="str">
        <f t="shared" si="4"/>
        <v>Deposit</v>
      </c>
    </row>
    <row r="149" spans="1:21">
      <c r="A149" s="48" t="s">
        <v>446</v>
      </c>
      <c r="B149" s="49">
        <v>44619</v>
      </c>
      <c r="C149" s="48" t="s">
        <v>456</v>
      </c>
      <c r="D149" s="48" t="s">
        <v>1183</v>
      </c>
      <c r="E149" s="48" t="s">
        <v>1324</v>
      </c>
      <c r="F149" s="48" t="s">
        <v>73</v>
      </c>
      <c r="G149" s="122">
        <v>127.58</v>
      </c>
      <c r="H149" s="48" t="s">
        <v>56</v>
      </c>
      <c r="I149" s="48" t="s">
        <v>73</v>
      </c>
      <c r="J149" s="50">
        <v>127.58</v>
      </c>
      <c r="K149" s="51">
        <v>100</v>
      </c>
      <c r="L149" s="50">
        <v>127.58</v>
      </c>
      <c r="M149" s="490">
        <v>127.58</v>
      </c>
      <c r="N149" s="48" t="s">
        <v>88</v>
      </c>
      <c r="O149" s="48" t="s">
        <v>12</v>
      </c>
      <c r="P149" s="48" t="s">
        <v>446</v>
      </c>
      <c r="Q149" s="48" t="s">
        <v>448</v>
      </c>
      <c r="R149" s="57" t="s">
        <v>180</v>
      </c>
      <c r="S149" s="48" t="str">
        <f t="shared" si="4"/>
        <v>Deposit</v>
      </c>
    </row>
    <row r="150" spans="1:21">
      <c r="A150" s="48" t="s">
        <v>446</v>
      </c>
      <c r="B150" s="49">
        <v>44620</v>
      </c>
      <c r="C150" s="48" t="s">
        <v>457</v>
      </c>
      <c r="D150" s="48" t="s">
        <v>1184</v>
      </c>
      <c r="E150" s="48" t="s">
        <v>1325</v>
      </c>
      <c r="F150" s="48" t="s">
        <v>73</v>
      </c>
      <c r="G150" s="122">
        <v>115330295.58</v>
      </c>
      <c r="H150" s="48" t="s">
        <v>56</v>
      </c>
      <c r="I150" s="48" t="s">
        <v>73</v>
      </c>
      <c r="J150" s="50">
        <v>115330295.58</v>
      </c>
      <c r="K150" s="51">
        <v>100</v>
      </c>
      <c r="L150" s="50">
        <v>115330295.58</v>
      </c>
      <c r="M150" s="490">
        <v>115330295.58</v>
      </c>
      <c r="N150" s="48" t="s">
        <v>88</v>
      </c>
      <c r="O150" s="48" t="s">
        <v>12</v>
      </c>
      <c r="P150" s="48" t="s">
        <v>446</v>
      </c>
      <c r="Q150" s="48" t="s">
        <v>448</v>
      </c>
      <c r="R150" s="57" t="s">
        <v>458</v>
      </c>
      <c r="S150" s="48" t="str">
        <f t="shared" si="4"/>
        <v>Special saving</v>
      </c>
    </row>
    <row r="151" spans="1:21">
      <c r="A151" s="48" t="s">
        <v>446</v>
      </c>
      <c r="B151" s="49">
        <v>44620</v>
      </c>
      <c r="C151" s="48" t="s">
        <v>459</v>
      </c>
      <c r="D151" s="48" t="s">
        <v>1185</v>
      </c>
      <c r="E151" s="48" t="s">
        <v>1326</v>
      </c>
      <c r="F151" s="48" t="s">
        <v>70</v>
      </c>
      <c r="G151" s="122">
        <v>1936602.74</v>
      </c>
      <c r="H151" s="48" t="s">
        <v>56</v>
      </c>
      <c r="I151" s="48" t="s">
        <v>70</v>
      </c>
      <c r="J151" s="50">
        <v>59175.64</v>
      </c>
      <c r="K151" s="51">
        <v>100</v>
      </c>
      <c r="L151" s="50">
        <v>1936602.74</v>
      </c>
      <c r="M151" s="490">
        <v>59175.64</v>
      </c>
      <c r="N151" s="48" t="s">
        <v>88</v>
      </c>
      <c r="O151" s="48" t="s">
        <v>12</v>
      </c>
      <c r="P151" s="48" t="s">
        <v>446</v>
      </c>
      <c r="Q151" s="48" t="s">
        <v>448</v>
      </c>
      <c r="R151" s="57" t="s">
        <v>458</v>
      </c>
      <c r="S151" s="48" t="str">
        <f t="shared" si="4"/>
        <v>Special saving</v>
      </c>
    </row>
    <row r="152" spans="1:21">
      <c r="A152" s="48" t="s">
        <v>460</v>
      </c>
      <c r="B152" s="49">
        <v>44617</v>
      </c>
      <c r="C152" s="48" t="s">
        <v>461</v>
      </c>
      <c r="D152" s="48" t="s">
        <v>1186</v>
      </c>
      <c r="E152" s="48" t="s">
        <v>1327</v>
      </c>
      <c r="F152" s="48" t="s">
        <v>73</v>
      </c>
      <c r="G152" s="122">
        <v>19721562.280000001</v>
      </c>
      <c r="H152" s="48" t="s">
        <v>33</v>
      </c>
      <c r="I152" s="48" t="s">
        <v>73</v>
      </c>
      <c r="J152" s="50">
        <v>19721562.280000001</v>
      </c>
      <c r="K152" s="51">
        <v>100</v>
      </c>
      <c r="L152" s="50">
        <v>19721562.280000001</v>
      </c>
      <c r="M152" s="490">
        <v>19721562.280000001</v>
      </c>
      <c r="N152" s="48" t="s">
        <v>325</v>
      </c>
      <c r="O152" s="48" t="s">
        <v>68</v>
      </c>
      <c r="P152" s="48" t="s">
        <v>460</v>
      </c>
      <c r="Q152" s="48" t="s">
        <v>462</v>
      </c>
      <c r="R152" s="57" t="s">
        <v>453</v>
      </c>
      <c r="S152" s="48" t="str">
        <f t="shared" si="4"/>
        <v>Deposit</v>
      </c>
    </row>
    <row r="153" spans="1:21">
      <c r="A153" s="48" t="s">
        <v>463</v>
      </c>
      <c r="B153" s="49">
        <v>44617</v>
      </c>
      <c r="C153" s="48" t="s">
        <v>464</v>
      </c>
      <c r="D153" s="48" t="s">
        <v>1187</v>
      </c>
      <c r="E153" s="48" t="s">
        <v>1328</v>
      </c>
      <c r="F153" s="48" t="s">
        <v>73</v>
      </c>
      <c r="G153" s="122">
        <v>5648764.0700000003</v>
      </c>
      <c r="H153" s="48" t="s">
        <v>465</v>
      </c>
      <c r="I153" s="48" t="s">
        <v>73</v>
      </c>
      <c r="J153" s="50">
        <v>5648764.0700000003</v>
      </c>
      <c r="K153" s="51">
        <v>100</v>
      </c>
      <c r="L153" s="50">
        <v>5648764.0700000003</v>
      </c>
      <c r="M153" s="490">
        <v>5648764.0700000003</v>
      </c>
      <c r="N153" s="48" t="s">
        <v>101</v>
      </c>
      <c r="O153" s="48" t="s">
        <v>68</v>
      </c>
      <c r="P153" s="48" t="s">
        <v>463</v>
      </c>
      <c r="Q153" s="48" t="s">
        <v>466</v>
      </c>
      <c r="R153" s="57" t="s">
        <v>453</v>
      </c>
      <c r="S153" s="48" t="str">
        <f t="shared" si="4"/>
        <v>Deposit</v>
      </c>
    </row>
    <row r="154" spans="1:21">
      <c r="A154" s="48" t="s">
        <v>463</v>
      </c>
      <c r="B154" s="49">
        <v>44617</v>
      </c>
      <c r="C154" s="48" t="s">
        <v>467</v>
      </c>
      <c r="D154" s="48" t="s">
        <v>1188</v>
      </c>
      <c r="E154" s="48" t="s">
        <v>1329</v>
      </c>
      <c r="F154" s="48" t="s">
        <v>468</v>
      </c>
      <c r="G154" s="122">
        <v>680718.21</v>
      </c>
      <c r="H154" s="48" t="s">
        <v>465</v>
      </c>
      <c r="I154" s="48" t="s">
        <v>18</v>
      </c>
      <c r="J154" s="50">
        <v>162146.73000000001</v>
      </c>
      <c r="K154" s="51">
        <v>100</v>
      </c>
      <c r="L154" s="50">
        <v>680718.21</v>
      </c>
      <c r="M154" s="490">
        <v>162146.73000000001</v>
      </c>
      <c r="N154" s="48" t="s">
        <v>101</v>
      </c>
      <c r="O154" s="48" t="s">
        <v>68</v>
      </c>
      <c r="P154" s="48" t="s">
        <v>463</v>
      </c>
      <c r="Q154" s="48" t="s">
        <v>466</v>
      </c>
      <c r="R154" s="57" t="s">
        <v>453</v>
      </c>
      <c r="S154" s="48" t="str">
        <f t="shared" si="4"/>
        <v>Deposit</v>
      </c>
    </row>
    <row r="155" spans="1:21">
      <c r="A155" s="48" t="s">
        <v>463</v>
      </c>
      <c r="B155" s="49">
        <v>44617</v>
      </c>
      <c r="C155" s="48" t="s">
        <v>469</v>
      </c>
      <c r="D155" s="48" t="s">
        <v>1189</v>
      </c>
      <c r="E155" s="48" t="s">
        <v>1330</v>
      </c>
      <c r="F155" s="48" t="s">
        <v>73</v>
      </c>
      <c r="G155" s="122">
        <v>551572.01</v>
      </c>
      <c r="H155" s="48" t="s">
        <v>470</v>
      </c>
      <c r="I155" s="48" t="s">
        <v>73</v>
      </c>
      <c r="J155" s="50">
        <v>551572.01</v>
      </c>
      <c r="K155" s="51">
        <v>100</v>
      </c>
      <c r="L155" s="50">
        <v>551572.01</v>
      </c>
      <c r="M155" s="490">
        <v>551572.01</v>
      </c>
      <c r="N155" s="48" t="s">
        <v>101</v>
      </c>
      <c r="O155" s="48" t="s">
        <v>68</v>
      </c>
      <c r="P155" s="48" t="s">
        <v>463</v>
      </c>
      <c r="Q155" s="48" t="s">
        <v>471</v>
      </c>
      <c r="R155" s="57" t="s">
        <v>453</v>
      </c>
      <c r="S155" s="48" t="str">
        <f t="shared" si="4"/>
        <v>Deposit</v>
      </c>
    </row>
    <row r="156" spans="1:21">
      <c r="A156" s="48" t="s">
        <v>463</v>
      </c>
      <c r="B156" s="49">
        <v>44617</v>
      </c>
      <c r="C156" s="48" t="s">
        <v>472</v>
      </c>
      <c r="D156" s="48" t="s">
        <v>1190</v>
      </c>
      <c r="E156" s="48" t="s">
        <v>1331</v>
      </c>
      <c r="F156" s="48" t="s">
        <v>468</v>
      </c>
      <c r="G156" s="122">
        <v>98387.28</v>
      </c>
      <c r="H156" s="48" t="s">
        <v>470</v>
      </c>
      <c r="I156" s="48" t="s">
        <v>18</v>
      </c>
      <c r="J156" s="50">
        <v>23435.8</v>
      </c>
      <c r="K156" s="51">
        <v>100</v>
      </c>
      <c r="L156" s="122">
        <v>98387.28</v>
      </c>
      <c r="M156" s="490">
        <v>23435.8</v>
      </c>
      <c r="N156" s="48" t="s">
        <v>101</v>
      </c>
      <c r="O156" s="48" t="s">
        <v>68</v>
      </c>
      <c r="P156" s="48" t="s">
        <v>463</v>
      </c>
      <c r="Q156" s="48" t="s">
        <v>471</v>
      </c>
      <c r="R156" s="57" t="s">
        <v>453</v>
      </c>
      <c r="S156" s="48" t="str">
        <f t="shared" si="4"/>
        <v>Deposit</v>
      </c>
    </row>
    <row r="157" spans="1:21">
      <c r="A157" s="48" t="s">
        <v>463</v>
      </c>
      <c r="B157" s="49">
        <v>44617</v>
      </c>
      <c r="C157" s="48" t="s">
        <v>473</v>
      </c>
      <c r="D157" s="48" t="s">
        <v>1191</v>
      </c>
      <c r="E157" s="48" t="s">
        <v>1332</v>
      </c>
      <c r="F157" s="48" t="s">
        <v>73</v>
      </c>
      <c r="G157" s="122">
        <v>221697.66</v>
      </c>
      <c r="H157" s="48" t="s">
        <v>474</v>
      </c>
      <c r="I157" s="48" t="s">
        <v>73</v>
      </c>
      <c r="J157" s="50">
        <v>221697.66</v>
      </c>
      <c r="K157" s="51">
        <v>42.5</v>
      </c>
      <c r="L157" s="50">
        <v>94221.51</v>
      </c>
      <c r="M157" s="490">
        <v>94221.51</v>
      </c>
      <c r="N157" s="48" t="s">
        <v>101</v>
      </c>
      <c r="O157" s="48" t="s">
        <v>14</v>
      </c>
      <c r="P157" s="48" t="s">
        <v>475</v>
      </c>
      <c r="Q157" s="48" t="s">
        <v>476</v>
      </c>
      <c r="R157" s="57" t="s">
        <v>453</v>
      </c>
      <c r="S157" s="48" t="str">
        <f t="shared" si="4"/>
        <v>Deposit</v>
      </c>
    </row>
    <row r="158" spans="1:21">
      <c r="A158" s="48" t="s">
        <v>463</v>
      </c>
      <c r="B158" s="49">
        <v>44617</v>
      </c>
      <c r="C158" s="48" t="s">
        <v>477</v>
      </c>
      <c r="D158" s="48" t="s">
        <v>1192</v>
      </c>
      <c r="E158" s="48" t="s">
        <v>1333</v>
      </c>
      <c r="F158" s="48" t="s">
        <v>468</v>
      </c>
      <c r="G158" s="122">
        <v>747937.61</v>
      </c>
      <c r="H158" s="48" t="s">
        <v>474</v>
      </c>
      <c r="I158" s="48" t="s">
        <v>18</v>
      </c>
      <c r="J158" s="50">
        <v>178158.36</v>
      </c>
      <c r="K158" s="51">
        <v>42.5</v>
      </c>
      <c r="L158" s="50">
        <v>317873.48</v>
      </c>
      <c r="M158" s="490">
        <v>75717.3</v>
      </c>
      <c r="N158" s="48" t="s">
        <v>101</v>
      </c>
      <c r="O158" s="48" t="s">
        <v>14</v>
      </c>
      <c r="P158" s="48" t="s">
        <v>475</v>
      </c>
      <c r="Q158" s="48" t="s">
        <v>476</v>
      </c>
      <c r="R158" s="57" t="s">
        <v>453</v>
      </c>
      <c r="S158" s="48" t="str">
        <f t="shared" si="4"/>
        <v>Deposit</v>
      </c>
    </row>
    <row r="159" spans="1:21">
      <c r="A159" s="48" t="s">
        <v>463</v>
      </c>
      <c r="B159" s="49">
        <v>44617</v>
      </c>
      <c r="C159" s="48" t="s">
        <v>478</v>
      </c>
      <c r="D159" s="48" t="s">
        <v>1193</v>
      </c>
      <c r="E159" s="48" t="s">
        <v>1334</v>
      </c>
      <c r="F159" s="48" t="s">
        <v>73</v>
      </c>
      <c r="G159" s="122">
        <v>4311213.63</v>
      </c>
      <c r="H159" s="48" t="s">
        <v>479</v>
      </c>
      <c r="I159" s="48" t="s">
        <v>73</v>
      </c>
      <c r="J159" s="50">
        <v>4311213.63</v>
      </c>
      <c r="K159" s="51">
        <v>100</v>
      </c>
      <c r="L159" s="50">
        <v>4311213.63</v>
      </c>
      <c r="M159" s="490">
        <v>4311213.63</v>
      </c>
      <c r="N159" s="48" t="s">
        <v>101</v>
      </c>
      <c r="O159" s="48" t="s">
        <v>14</v>
      </c>
      <c r="P159" s="48" t="s">
        <v>480</v>
      </c>
      <c r="Q159" s="48" t="s">
        <v>481</v>
      </c>
      <c r="R159" s="57" t="s">
        <v>453</v>
      </c>
      <c r="S159" s="48" t="str">
        <f t="shared" si="4"/>
        <v>Deposit</v>
      </c>
      <c r="U159" s="71"/>
    </row>
    <row r="160" spans="1:21">
      <c r="A160" s="48" t="s">
        <v>463</v>
      </c>
      <c r="B160" s="49">
        <v>44617</v>
      </c>
      <c r="C160" s="48" t="s">
        <v>482</v>
      </c>
      <c r="D160" s="48" t="s">
        <v>1194</v>
      </c>
      <c r="E160" s="48" t="s">
        <v>1335</v>
      </c>
      <c r="F160" s="48" t="s">
        <v>468</v>
      </c>
      <c r="G160" s="122">
        <v>719782.52</v>
      </c>
      <c r="H160" s="48" t="s">
        <v>479</v>
      </c>
      <c r="I160" s="48" t="s">
        <v>18</v>
      </c>
      <c r="J160" s="50">
        <v>171451.83</v>
      </c>
      <c r="K160" s="51">
        <v>100</v>
      </c>
      <c r="L160" s="50">
        <v>719782.52</v>
      </c>
      <c r="M160" s="490">
        <v>171451.83</v>
      </c>
      <c r="N160" s="48" t="s">
        <v>101</v>
      </c>
      <c r="O160" s="48" t="s">
        <v>14</v>
      </c>
      <c r="P160" s="48" t="s">
        <v>480</v>
      </c>
      <c r="Q160" s="48" t="s">
        <v>481</v>
      </c>
      <c r="R160" s="57" t="s">
        <v>453</v>
      </c>
      <c r="S160" s="48" t="str">
        <f t="shared" si="4"/>
        <v>Deposit</v>
      </c>
    </row>
    <row r="161" spans="1:19">
      <c r="A161" s="48" t="s">
        <v>463</v>
      </c>
      <c r="B161" s="49">
        <v>44617</v>
      </c>
      <c r="C161" s="48" t="s">
        <v>483</v>
      </c>
      <c r="D161" s="48" t="s">
        <v>1195</v>
      </c>
      <c r="E161" s="48" t="s">
        <v>1336</v>
      </c>
      <c r="F161" s="48" t="s">
        <v>73</v>
      </c>
      <c r="G161" s="122">
        <v>6152983.1799999997</v>
      </c>
      <c r="H161" s="48" t="s">
        <v>484</v>
      </c>
      <c r="I161" s="48" t="s">
        <v>73</v>
      </c>
      <c r="J161" s="50">
        <v>6152983.1799999997</v>
      </c>
      <c r="K161" s="51">
        <v>100</v>
      </c>
      <c r="L161" s="50">
        <v>6152983.1799999997</v>
      </c>
      <c r="M161" s="490">
        <v>6152983.1799999997</v>
      </c>
      <c r="N161" s="48" t="s">
        <v>101</v>
      </c>
      <c r="O161" s="48" t="s">
        <v>14</v>
      </c>
      <c r="P161" s="48" t="s">
        <v>485</v>
      </c>
      <c r="Q161" s="48" t="s">
        <v>486</v>
      </c>
      <c r="R161" s="57" t="s">
        <v>453</v>
      </c>
      <c r="S161" s="48" t="str">
        <f t="shared" si="4"/>
        <v>Deposit</v>
      </c>
    </row>
    <row r="162" spans="1:19">
      <c r="A162" s="48" t="s">
        <v>463</v>
      </c>
      <c r="B162" s="49">
        <v>44617</v>
      </c>
      <c r="C162" s="48" t="s">
        <v>487</v>
      </c>
      <c r="D162" s="48" t="s">
        <v>1196</v>
      </c>
      <c r="E162" s="48" t="s">
        <v>1337</v>
      </c>
      <c r="F162" s="48" t="s">
        <v>468</v>
      </c>
      <c r="G162" s="122">
        <v>4376138.8499999996</v>
      </c>
      <c r="H162" s="48" t="s">
        <v>484</v>
      </c>
      <c r="I162" s="48" t="s">
        <v>18</v>
      </c>
      <c r="J162" s="50">
        <v>1042394.06</v>
      </c>
      <c r="K162" s="51">
        <v>100</v>
      </c>
      <c r="L162" s="50">
        <v>4376138.8499999996</v>
      </c>
      <c r="M162" s="490">
        <v>1042394.06</v>
      </c>
      <c r="N162" s="48" t="s">
        <v>101</v>
      </c>
      <c r="O162" s="48" t="s">
        <v>14</v>
      </c>
      <c r="P162" s="48" t="s">
        <v>485</v>
      </c>
      <c r="Q162" s="48" t="s">
        <v>486</v>
      </c>
      <c r="R162" s="57" t="s">
        <v>453</v>
      </c>
      <c r="S162" s="48" t="str">
        <f t="shared" si="4"/>
        <v>Deposit</v>
      </c>
    </row>
    <row r="163" spans="1:19">
      <c r="A163" s="48" t="s">
        <v>463</v>
      </c>
      <c r="B163" s="49">
        <v>44617</v>
      </c>
      <c r="C163" s="48" t="s">
        <v>488</v>
      </c>
      <c r="D163" s="48" t="s">
        <v>1197</v>
      </c>
      <c r="E163" s="48" t="s">
        <v>1338</v>
      </c>
      <c r="F163" s="48" t="s">
        <v>73</v>
      </c>
      <c r="G163" s="122">
        <v>134118.17000000001</v>
      </c>
      <c r="H163" s="48" t="s">
        <v>489</v>
      </c>
      <c r="I163" s="48" t="s">
        <v>73</v>
      </c>
      <c r="J163" s="50">
        <v>134118.17000000001</v>
      </c>
      <c r="K163" s="51">
        <v>70</v>
      </c>
      <c r="L163" s="50">
        <v>93882.72</v>
      </c>
      <c r="M163" s="490">
        <v>93882.72</v>
      </c>
      <c r="N163" s="48" t="s">
        <v>101</v>
      </c>
      <c r="O163" s="48" t="s">
        <v>14</v>
      </c>
      <c r="P163" s="48" t="s">
        <v>490</v>
      </c>
      <c r="Q163" s="48" t="s">
        <v>491</v>
      </c>
      <c r="R163" s="57" t="s">
        <v>453</v>
      </c>
      <c r="S163" s="48" t="str">
        <f t="shared" ref="S163:S194" si="5">IF(OR(C163=$T$3,C163=$T$4,C163=$T$5,C163=$T$6,C163=$T$7),$T$2,"Deposit")</f>
        <v>Deposit</v>
      </c>
    </row>
    <row r="164" spans="1:19">
      <c r="A164" s="48" t="s">
        <v>463</v>
      </c>
      <c r="B164" s="49">
        <v>44617</v>
      </c>
      <c r="C164" s="48" t="s">
        <v>492</v>
      </c>
      <c r="D164" s="48" t="s">
        <v>1198</v>
      </c>
      <c r="E164" s="48" t="s">
        <v>1339</v>
      </c>
      <c r="F164" s="48" t="s">
        <v>468</v>
      </c>
      <c r="G164" s="122">
        <v>151301.25</v>
      </c>
      <c r="H164" s="48" t="s">
        <v>489</v>
      </c>
      <c r="I164" s="48" t="s">
        <v>18</v>
      </c>
      <c r="J164" s="50">
        <v>36039.879999999997</v>
      </c>
      <c r="K164" s="51">
        <v>70</v>
      </c>
      <c r="L164" s="50">
        <v>105910.88</v>
      </c>
      <c r="M164" s="490">
        <v>25227.919999999998</v>
      </c>
      <c r="N164" s="48" t="s">
        <v>101</v>
      </c>
      <c r="O164" s="48" t="s">
        <v>14</v>
      </c>
      <c r="P164" s="48" t="s">
        <v>490</v>
      </c>
      <c r="Q164" s="48" t="s">
        <v>491</v>
      </c>
      <c r="R164" s="57" t="s">
        <v>453</v>
      </c>
      <c r="S164" s="48" t="str">
        <f t="shared" si="5"/>
        <v>Deposit</v>
      </c>
    </row>
    <row r="165" spans="1:19">
      <c r="A165" s="48" t="s">
        <v>463</v>
      </c>
      <c r="B165" s="49">
        <v>44617</v>
      </c>
      <c r="C165" s="48" t="s">
        <v>493</v>
      </c>
      <c r="D165" s="48" t="s">
        <v>1199</v>
      </c>
      <c r="E165" s="48" t="s">
        <v>1340</v>
      </c>
      <c r="F165" s="48" t="s">
        <v>73</v>
      </c>
      <c r="G165" s="122">
        <v>3137188.52</v>
      </c>
      <c r="H165" s="48" t="s">
        <v>494</v>
      </c>
      <c r="I165" s="48" t="s">
        <v>73</v>
      </c>
      <c r="J165" s="50">
        <v>3137188.52</v>
      </c>
      <c r="K165" s="51">
        <v>100</v>
      </c>
      <c r="L165" s="50">
        <v>3137188.52</v>
      </c>
      <c r="M165" s="490">
        <v>3137188.52</v>
      </c>
      <c r="N165" s="48" t="s">
        <v>101</v>
      </c>
      <c r="O165" s="48" t="s">
        <v>14</v>
      </c>
      <c r="P165" s="48" t="s">
        <v>495</v>
      </c>
      <c r="Q165" s="48" t="s">
        <v>496</v>
      </c>
      <c r="R165" s="57" t="s">
        <v>453</v>
      </c>
      <c r="S165" s="48" t="str">
        <f t="shared" si="5"/>
        <v>Deposit</v>
      </c>
    </row>
    <row r="166" spans="1:19">
      <c r="A166" s="48" t="s">
        <v>463</v>
      </c>
      <c r="B166" s="49">
        <v>44617</v>
      </c>
      <c r="C166" s="48" t="s">
        <v>497</v>
      </c>
      <c r="D166" s="48" t="s">
        <v>1200</v>
      </c>
      <c r="E166" s="48" t="s">
        <v>1341</v>
      </c>
      <c r="F166" s="48" t="s">
        <v>468</v>
      </c>
      <c r="G166" s="122">
        <v>652643.68999999994</v>
      </c>
      <c r="H166" s="48" t="s">
        <v>494</v>
      </c>
      <c r="I166" s="48" t="s">
        <v>18</v>
      </c>
      <c r="J166" s="50">
        <v>155459.4</v>
      </c>
      <c r="K166" s="51">
        <v>100</v>
      </c>
      <c r="L166" s="50">
        <v>652643.68999999994</v>
      </c>
      <c r="M166" s="490">
        <v>155459.4</v>
      </c>
      <c r="N166" s="48" t="s">
        <v>101</v>
      </c>
      <c r="O166" s="48" t="s">
        <v>14</v>
      </c>
      <c r="P166" s="48" t="s">
        <v>495</v>
      </c>
      <c r="Q166" s="48" t="s">
        <v>496</v>
      </c>
      <c r="R166" s="57" t="s">
        <v>453</v>
      </c>
      <c r="S166" s="48" t="str">
        <f t="shared" si="5"/>
        <v>Deposit</v>
      </c>
    </row>
    <row r="167" spans="1:19">
      <c r="A167" s="48" t="s">
        <v>498</v>
      </c>
      <c r="B167" s="49">
        <v>44620</v>
      </c>
      <c r="C167" s="48" t="s">
        <v>499</v>
      </c>
      <c r="D167" s="48" t="s">
        <v>1201</v>
      </c>
      <c r="E167" s="48" t="s">
        <v>1342</v>
      </c>
      <c r="F167" s="48" t="s">
        <v>70</v>
      </c>
      <c r="G167" s="122">
        <v>0</v>
      </c>
      <c r="H167" s="48" t="s">
        <v>23</v>
      </c>
      <c r="I167" s="48" t="s">
        <v>70</v>
      </c>
      <c r="J167" s="50">
        <v>0</v>
      </c>
      <c r="K167" s="51">
        <v>100</v>
      </c>
      <c r="L167" s="50">
        <v>0</v>
      </c>
      <c r="M167" s="490">
        <v>0</v>
      </c>
      <c r="N167" s="48" t="s">
        <v>88</v>
      </c>
      <c r="O167" s="48" t="s">
        <v>68</v>
      </c>
      <c r="P167" s="48" t="s">
        <v>498</v>
      </c>
      <c r="Q167" s="48" t="s">
        <v>500</v>
      </c>
      <c r="R167" s="57" t="s">
        <v>145</v>
      </c>
      <c r="S167" s="48" t="str">
        <f t="shared" si="5"/>
        <v>Deposit</v>
      </c>
    </row>
    <row r="168" spans="1:19">
      <c r="A168" s="48" t="s">
        <v>498</v>
      </c>
      <c r="B168" s="49">
        <v>44620</v>
      </c>
      <c r="C168" s="48" t="s">
        <v>501</v>
      </c>
      <c r="D168" s="48" t="s">
        <v>1202</v>
      </c>
      <c r="E168" s="48" t="s">
        <v>1343</v>
      </c>
      <c r="F168" s="48" t="s">
        <v>73</v>
      </c>
      <c r="G168" s="122">
        <v>0</v>
      </c>
      <c r="H168" s="48" t="s">
        <v>23</v>
      </c>
      <c r="I168" s="48" t="s">
        <v>73</v>
      </c>
      <c r="J168" s="52">
        <v>0</v>
      </c>
      <c r="K168" s="51">
        <v>100</v>
      </c>
      <c r="L168" s="52">
        <v>0</v>
      </c>
      <c r="M168" s="491">
        <v>0</v>
      </c>
      <c r="N168" s="48" t="s">
        <v>88</v>
      </c>
      <c r="O168" s="48" t="s">
        <v>68</v>
      </c>
      <c r="P168" s="48" t="s">
        <v>498</v>
      </c>
      <c r="Q168" s="48" t="s">
        <v>500</v>
      </c>
      <c r="R168" s="57" t="s">
        <v>145</v>
      </c>
      <c r="S168" s="48" t="str">
        <f t="shared" si="5"/>
        <v>Deposit</v>
      </c>
    </row>
    <row r="169" spans="1:19">
      <c r="A169" s="48" t="s">
        <v>502</v>
      </c>
      <c r="B169" s="49">
        <v>44620</v>
      </c>
      <c r="C169" s="48" t="s">
        <v>503</v>
      </c>
      <c r="D169" s="48" t="s">
        <v>1203</v>
      </c>
      <c r="E169" s="48" t="s">
        <v>1344</v>
      </c>
      <c r="F169" s="48" t="s">
        <v>70</v>
      </c>
      <c r="G169" s="122">
        <v>18036441.670000002</v>
      </c>
      <c r="H169" s="271" t="s">
        <v>19</v>
      </c>
      <c r="I169" s="48" t="s">
        <v>70</v>
      </c>
      <c r="J169" s="52">
        <v>551129.03</v>
      </c>
      <c r="K169" s="51">
        <v>50</v>
      </c>
      <c r="L169" s="52">
        <v>9018220.8399999999</v>
      </c>
      <c r="M169" s="491">
        <v>275564.52</v>
      </c>
      <c r="N169" s="48" t="s">
        <v>88</v>
      </c>
      <c r="O169" s="48" t="s">
        <v>14</v>
      </c>
      <c r="P169" s="48" t="s">
        <v>502</v>
      </c>
      <c r="Q169" s="48" t="s">
        <v>504</v>
      </c>
      <c r="R169" s="57" t="s">
        <v>341</v>
      </c>
      <c r="S169" s="48" t="str">
        <f t="shared" si="5"/>
        <v>Deposit</v>
      </c>
    </row>
    <row r="170" spans="1:19">
      <c r="A170" s="48" t="s">
        <v>502</v>
      </c>
      <c r="B170" s="49">
        <v>44620</v>
      </c>
      <c r="C170" s="48" t="s">
        <v>505</v>
      </c>
      <c r="D170" s="48" t="s">
        <v>1204</v>
      </c>
      <c r="E170" s="48" t="s">
        <v>1345</v>
      </c>
      <c r="F170" s="48" t="s">
        <v>73</v>
      </c>
      <c r="G170" s="122">
        <v>3275287.18</v>
      </c>
      <c r="H170" s="271" t="s">
        <v>19</v>
      </c>
      <c r="I170" s="48" t="s">
        <v>73</v>
      </c>
      <c r="J170" s="50">
        <v>3275287.18</v>
      </c>
      <c r="K170" s="51">
        <v>50</v>
      </c>
      <c r="L170" s="50">
        <v>1637643.59</v>
      </c>
      <c r="M170" s="490">
        <v>1637643.59</v>
      </c>
      <c r="N170" s="48" t="s">
        <v>88</v>
      </c>
      <c r="O170" s="48" t="s">
        <v>14</v>
      </c>
      <c r="P170" s="48" t="s">
        <v>502</v>
      </c>
      <c r="Q170" s="48" t="s">
        <v>504</v>
      </c>
      <c r="R170" s="57" t="s">
        <v>341</v>
      </c>
      <c r="S170" s="48" t="str">
        <f t="shared" si="5"/>
        <v>Deposit</v>
      </c>
    </row>
    <row r="171" spans="1:19">
      <c r="A171" s="48" t="s">
        <v>506</v>
      </c>
      <c r="B171" s="49">
        <v>44620</v>
      </c>
      <c r="C171" s="48" t="s">
        <v>507</v>
      </c>
      <c r="D171" s="48" t="s">
        <v>1205</v>
      </c>
      <c r="E171" s="48" t="s">
        <v>1346</v>
      </c>
      <c r="F171" s="48" t="s">
        <v>73</v>
      </c>
      <c r="G171" s="122">
        <v>28321913.739999998</v>
      </c>
      <c r="H171" s="271" t="s">
        <v>508</v>
      </c>
      <c r="I171" s="48" t="s">
        <v>73</v>
      </c>
      <c r="J171" s="50">
        <v>28321913.739999998</v>
      </c>
      <c r="K171" s="51">
        <v>50</v>
      </c>
      <c r="L171" s="50">
        <v>14160956.869999999</v>
      </c>
      <c r="M171" s="490">
        <v>14160956.869999999</v>
      </c>
      <c r="N171" s="48" t="s">
        <v>325</v>
      </c>
      <c r="O171" s="48" t="s">
        <v>14</v>
      </c>
      <c r="P171" s="48" t="s">
        <v>506</v>
      </c>
      <c r="Q171" s="48" t="s">
        <v>509</v>
      </c>
      <c r="R171" s="57" t="s">
        <v>341</v>
      </c>
      <c r="S171" s="48" t="str">
        <f t="shared" si="5"/>
        <v>Deposit</v>
      </c>
    </row>
    <row r="172" spans="1:19">
      <c r="A172" s="48" t="s">
        <v>510</v>
      </c>
      <c r="B172" s="49">
        <v>44617</v>
      </c>
      <c r="C172" s="48" t="s">
        <v>511</v>
      </c>
      <c r="D172" s="48" t="s">
        <v>1206</v>
      </c>
      <c r="E172" s="48" t="s">
        <v>1347</v>
      </c>
      <c r="F172" s="48" t="s">
        <v>73</v>
      </c>
      <c r="G172" s="122">
        <v>4467661.2</v>
      </c>
      <c r="H172" s="271" t="s">
        <v>42</v>
      </c>
      <c r="I172" s="48" t="s">
        <v>73</v>
      </c>
      <c r="J172" s="50">
        <v>4467661.2</v>
      </c>
      <c r="K172" s="51">
        <v>100</v>
      </c>
      <c r="L172" s="50">
        <v>4467661.2</v>
      </c>
      <c r="M172" s="490">
        <v>4467661.2</v>
      </c>
      <c r="N172" s="48" t="s">
        <v>512</v>
      </c>
      <c r="O172" s="48" t="s">
        <v>68</v>
      </c>
      <c r="P172" s="48" t="s">
        <v>510</v>
      </c>
      <c r="Q172" s="48" t="s">
        <v>513</v>
      </c>
      <c r="R172" s="57" t="s">
        <v>341</v>
      </c>
      <c r="S172" s="48" t="str">
        <f t="shared" si="5"/>
        <v>Deposit</v>
      </c>
    </row>
    <row r="173" spans="1:19">
      <c r="A173" s="48" t="s">
        <v>510</v>
      </c>
      <c r="B173" s="49">
        <v>44617</v>
      </c>
      <c r="C173" s="48" t="s">
        <v>514</v>
      </c>
      <c r="D173" s="48" t="s">
        <v>1207</v>
      </c>
      <c r="E173" s="48" t="s">
        <v>1348</v>
      </c>
      <c r="F173" s="48" t="s">
        <v>515</v>
      </c>
      <c r="G173" s="122">
        <v>208012</v>
      </c>
      <c r="H173" s="48" t="s">
        <v>42</v>
      </c>
      <c r="I173" s="48" t="s">
        <v>18</v>
      </c>
      <c r="J173" s="50">
        <v>10220.61</v>
      </c>
      <c r="K173" s="51">
        <v>100</v>
      </c>
      <c r="L173" s="50">
        <v>208012</v>
      </c>
      <c r="M173" s="490">
        <v>10220.61</v>
      </c>
      <c r="N173" s="48" t="s">
        <v>512</v>
      </c>
      <c r="O173" s="48" t="s">
        <v>68</v>
      </c>
      <c r="P173" s="48" t="s">
        <v>510</v>
      </c>
      <c r="Q173" s="48" t="s">
        <v>513</v>
      </c>
      <c r="R173" s="57" t="s">
        <v>341</v>
      </c>
      <c r="S173" s="48" t="str">
        <f t="shared" si="5"/>
        <v>Deposit</v>
      </c>
    </row>
    <row r="174" spans="1:19">
      <c r="A174" s="48" t="s">
        <v>516</v>
      </c>
      <c r="B174" s="49">
        <v>44620</v>
      </c>
      <c r="C174" s="48" t="s">
        <v>517</v>
      </c>
      <c r="D174" s="48" t="s">
        <v>1208</v>
      </c>
      <c r="E174" s="48" t="s">
        <v>1349</v>
      </c>
      <c r="F174" s="48" t="s">
        <v>70</v>
      </c>
      <c r="G174" s="122">
        <v>0</v>
      </c>
      <c r="H174" s="48" t="s">
        <v>29</v>
      </c>
      <c r="I174" s="48" t="s">
        <v>70</v>
      </c>
      <c r="J174" s="50">
        <v>0</v>
      </c>
      <c r="K174" s="51">
        <v>100</v>
      </c>
      <c r="L174" s="50">
        <v>0</v>
      </c>
      <c r="M174" s="490">
        <v>0</v>
      </c>
      <c r="N174" s="48" t="s">
        <v>88</v>
      </c>
      <c r="O174" s="48" t="s">
        <v>68</v>
      </c>
      <c r="P174" s="48" t="s">
        <v>516</v>
      </c>
      <c r="Q174" s="48" t="s">
        <v>518</v>
      </c>
      <c r="R174" s="57" t="s">
        <v>145</v>
      </c>
      <c r="S174" s="48" t="str">
        <f t="shared" si="5"/>
        <v>Deposit</v>
      </c>
    </row>
    <row r="175" spans="1:19">
      <c r="A175" s="48" t="s">
        <v>516</v>
      </c>
      <c r="B175" s="49">
        <v>44620</v>
      </c>
      <c r="C175" s="48" t="s">
        <v>519</v>
      </c>
      <c r="D175" s="48" t="s">
        <v>1209</v>
      </c>
      <c r="E175" s="48" t="s">
        <v>1350</v>
      </c>
      <c r="F175" s="48" t="s">
        <v>73</v>
      </c>
      <c r="G175" s="122">
        <v>0</v>
      </c>
      <c r="H175" s="48" t="s">
        <v>29</v>
      </c>
      <c r="I175" s="48" t="s">
        <v>73</v>
      </c>
      <c r="J175" s="52">
        <v>0</v>
      </c>
      <c r="K175" s="51">
        <v>100</v>
      </c>
      <c r="L175" s="52">
        <v>0</v>
      </c>
      <c r="M175" s="491">
        <v>0</v>
      </c>
      <c r="N175" s="48" t="s">
        <v>88</v>
      </c>
      <c r="O175" s="48" t="s">
        <v>68</v>
      </c>
      <c r="P175" s="48" t="s">
        <v>516</v>
      </c>
      <c r="Q175" s="48" t="s">
        <v>518</v>
      </c>
      <c r="R175" s="57" t="s">
        <v>145</v>
      </c>
      <c r="S175" s="48" t="str">
        <f t="shared" si="5"/>
        <v>Deposit</v>
      </c>
    </row>
    <row r="176" spans="1:19">
      <c r="A176" s="48" t="s">
        <v>520</v>
      </c>
      <c r="B176" s="49">
        <v>44620</v>
      </c>
      <c r="C176" s="48" t="s">
        <v>521</v>
      </c>
      <c r="D176" s="48" t="s">
        <v>1210</v>
      </c>
      <c r="E176" s="48" t="s">
        <v>1351</v>
      </c>
      <c r="F176" s="48" t="s">
        <v>70</v>
      </c>
      <c r="G176" s="122">
        <v>107644054.83</v>
      </c>
      <c r="H176" s="48" t="s">
        <v>522</v>
      </c>
      <c r="I176" s="48" t="s">
        <v>70</v>
      </c>
      <c r="J176" s="52">
        <v>3289216.64</v>
      </c>
      <c r="K176" s="51">
        <v>100</v>
      </c>
      <c r="L176" s="52">
        <v>107644054.83</v>
      </c>
      <c r="M176" s="491">
        <v>3289216.64</v>
      </c>
      <c r="N176" s="48" t="s">
        <v>88</v>
      </c>
      <c r="O176" s="48" t="s">
        <v>68</v>
      </c>
      <c r="P176" s="48" t="s">
        <v>520</v>
      </c>
      <c r="Q176" s="48" t="s">
        <v>523</v>
      </c>
      <c r="R176" s="57" t="s">
        <v>145</v>
      </c>
      <c r="S176" s="48" t="str">
        <f t="shared" si="5"/>
        <v>Deposit</v>
      </c>
    </row>
    <row r="177" spans="1:21">
      <c r="A177" s="48" t="s">
        <v>520</v>
      </c>
      <c r="B177" s="254">
        <v>44620</v>
      </c>
      <c r="C177" s="48" t="s">
        <v>524</v>
      </c>
      <c r="D177" s="48" t="s">
        <v>1211</v>
      </c>
      <c r="E177" s="48" t="s">
        <v>1352</v>
      </c>
      <c r="F177" s="48" t="s">
        <v>70</v>
      </c>
      <c r="G177" s="283">
        <v>572145653.09000003</v>
      </c>
      <c r="H177" s="48" t="s">
        <v>525</v>
      </c>
      <c r="I177" s="48" t="s">
        <v>70</v>
      </c>
      <c r="J177" s="119">
        <v>17482721.210000001</v>
      </c>
      <c r="K177" s="256">
        <v>60</v>
      </c>
      <c r="L177" s="119">
        <v>343287391.85000002</v>
      </c>
      <c r="M177" s="570">
        <v>10489632.73</v>
      </c>
      <c r="N177" s="48" t="s">
        <v>88</v>
      </c>
      <c r="O177" s="48" t="s">
        <v>14</v>
      </c>
      <c r="P177" s="48" t="s">
        <v>526</v>
      </c>
      <c r="Q177" s="48" t="s">
        <v>527</v>
      </c>
      <c r="R177" s="57" t="s">
        <v>145</v>
      </c>
      <c r="S177" s="48" t="str">
        <f t="shared" si="5"/>
        <v>Deposit</v>
      </c>
    </row>
    <row r="178" spans="1:21">
      <c r="A178" s="48" t="s">
        <v>520</v>
      </c>
      <c r="B178" s="49">
        <v>44620</v>
      </c>
      <c r="C178" s="48" t="s">
        <v>528</v>
      </c>
      <c r="D178" s="48" t="s">
        <v>1212</v>
      </c>
      <c r="E178" s="48" t="s">
        <v>1353</v>
      </c>
      <c r="F178" s="48" t="s">
        <v>70</v>
      </c>
      <c r="G178" s="122">
        <v>324626741.91000003</v>
      </c>
      <c r="H178" s="48" t="s">
        <v>529</v>
      </c>
      <c r="I178" s="48" t="s">
        <v>70</v>
      </c>
      <c r="J178" s="50">
        <v>9919430.1199999992</v>
      </c>
      <c r="K178" s="51">
        <v>100</v>
      </c>
      <c r="L178" s="50">
        <v>324626741.91000003</v>
      </c>
      <c r="M178" s="490">
        <v>9919430.1199999992</v>
      </c>
      <c r="N178" s="48" t="s">
        <v>88</v>
      </c>
      <c r="O178" s="48" t="s">
        <v>14</v>
      </c>
      <c r="P178" s="48" t="s">
        <v>530</v>
      </c>
      <c r="Q178" s="48" t="s">
        <v>531</v>
      </c>
      <c r="R178" s="57" t="s">
        <v>145</v>
      </c>
      <c r="S178" s="48" t="str">
        <f t="shared" si="5"/>
        <v>Deposit</v>
      </c>
      <c r="U178" s="302"/>
    </row>
    <row r="179" spans="1:21">
      <c r="A179" s="48" t="s">
        <v>520</v>
      </c>
      <c r="B179" s="49">
        <v>44620</v>
      </c>
      <c r="C179" s="48" t="s">
        <v>532</v>
      </c>
      <c r="D179" s="48" t="s">
        <v>1213</v>
      </c>
      <c r="E179" s="48" t="s">
        <v>1354</v>
      </c>
      <c r="F179" s="48" t="s">
        <v>73</v>
      </c>
      <c r="G179" s="122">
        <v>0</v>
      </c>
      <c r="H179" s="48" t="s">
        <v>525</v>
      </c>
      <c r="I179" s="48" t="s">
        <v>73</v>
      </c>
      <c r="J179" s="50">
        <v>0</v>
      </c>
      <c r="K179" s="51">
        <v>60</v>
      </c>
      <c r="L179" s="50">
        <v>0</v>
      </c>
      <c r="M179" s="490">
        <v>0</v>
      </c>
      <c r="N179" s="48" t="s">
        <v>88</v>
      </c>
      <c r="O179" s="48" t="s">
        <v>14</v>
      </c>
      <c r="P179" s="48" t="s">
        <v>526</v>
      </c>
      <c r="Q179" s="48" t="s">
        <v>527</v>
      </c>
      <c r="R179" s="57" t="s">
        <v>145</v>
      </c>
      <c r="S179" s="48" t="str">
        <f t="shared" si="5"/>
        <v>Deposit</v>
      </c>
    </row>
    <row r="180" spans="1:21">
      <c r="A180" s="48" t="s">
        <v>520</v>
      </c>
      <c r="B180" s="49">
        <v>44620</v>
      </c>
      <c r="C180" s="48" t="s">
        <v>533</v>
      </c>
      <c r="D180" s="48" t="s">
        <v>1214</v>
      </c>
      <c r="E180" s="48" t="s">
        <v>1355</v>
      </c>
      <c r="F180" s="48" t="s">
        <v>73</v>
      </c>
      <c r="G180" s="122">
        <v>0</v>
      </c>
      <c r="H180" s="48" t="s">
        <v>529</v>
      </c>
      <c r="I180" s="48" t="s">
        <v>73</v>
      </c>
      <c r="J180" s="52">
        <v>0</v>
      </c>
      <c r="K180" s="51">
        <v>100</v>
      </c>
      <c r="L180" s="52">
        <v>0</v>
      </c>
      <c r="M180" s="491">
        <v>0</v>
      </c>
      <c r="N180" s="48" t="s">
        <v>88</v>
      </c>
      <c r="O180" s="48" t="s">
        <v>14</v>
      </c>
      <c r="P180" s="48" t="s">
        <v>530</v>
      </c>
      <c r="Q180" s="48" t="s">
        <v>531</v>
      </c>
      <c r="R180" s="57" t="s">
        <v>145</v>
      </c>
      <c r="S180" s="48" t="str">
        <f t="shared" si="5"/>
        <v>Deposit</v>
      </c>
    </row>
    <row r="181" spans="1:21">
      <c r="A181" s="48" t="s">
        <v>520</v>
      </c>
      <c r="B181" s="49">
        <v>44620</v>
      </c>
      <c r="C181" s="48" t="s">
        <v>534</v>
      </c>
      <c r="D181" s="48" t="s">
        <v>1215</v>
      </c>
      <c r="E181" s="48" t="s">
        <v>1356</v>
      </c>
      <c r="F181" s="48" t="s">
        <v>73</v>
      </c>
      <c r="G181" s="122">
        <v>28244552.530000001</v>
      </c>
      <c r="H181" s="48" t="s">
        <v>522</v>
      </c>
      <c r="I181" s="48" t="s">
        <v>73</v>
      </c>
      <c r="J181" s="52">
        <v>28244552.530000001</v>
      </c>
      <c r="K181" s="51">
        <v>100</v>
      </c>
      <c r="L181" s="52">
        <v>28244552.530000001</v>
      </c>
      <c r="M181" s="491">
        <v>28244552.530000001</v>
      </c>
      <c r="N181" s="48" t="s">
        <v>88</v>
      </c>
      <c r="O181" s="48" t="s">
        <v>68</v>
      </c>
      <c r="P181" s="48" t="s">
        <v>520</v>
      </c>
      <c r="Q181" s="48" t="s">
        <v>523</v>
      </c>
      <c r="R181" s="57" t="s">
        <v>145</v>
      </c>
      <c r="S181" s="48" t="str">
        <f t="shared" si="5"/>
        <v>Deposit</v>
      </c>
    </row>
    <row r="182" spans="1:21">
      <c r="A182" s="48" t="s">
        <v>520</v>
      </c>
      <c r="B182" s="49">
        <v>44620</v>
      </c>
      <c r="C182" s="48" t="s">
        <v>1487</v>
      </c>
      <c r="D182" s="48" t="s">
        <v>1488</v>
      </c>
      <c r="E182" s="48" t="s">
        <v>1489</v>
      </c>
      <c r="F182" s="48" t="s">
        <v>70</v>
      </c>
      <c r="G182" s="122">
        <v>102831094.59</v>
      </c>
      <c r="H182" s="48" t="s">
        <v>1490</v>
      </c>
      <c r="I182" s="48" t="s">
        <v>70</v>
      </c>
      <c r="J182" s="50">
        <v>3142149.82</v>
      </c>
      <c r="K182" s="51">
        <v>60</v>
      </c>
      <c r="L182" s="50">
        <v>61698656.75</v>
      </c>
      <c r="M182" s="490">
        <v>1885289.89</v>
      </c>
      <c r="N182" s="48" t="s">
        <v>88</v>
      </c>
      <c r="O182" s="48" t="s">
        <v>14</v>
      </c>
      <c r="P182" s="48" t="s">
        <v>1491</v>
      </c>
      <c r="Q182" s="48" t="s">
        <v>1492</v>
      </c>
      <c r="R182" s="57" t="s">
        <v>145</v>
      </c>
      <c r="S182" s="48" t="str">
        <f t="shared" si="5"/>
        <v>Deposit</v>
      </c>
    </row>
    <row r="183" spans="1:21">
      <c r="A183" s="48" t="s">
        <v>520</v>
      </c>
      <c r="B183" s="254">
        <v>44620</v>
      </c>
      <c r="C183" s="48" t="s">
        <v>535</v>
      </c>
      <c r="D183" s="48" t="s">
        <v>1216</v>
      </c>
      <c r="E183" s="48" t="s">
        <v>1357</v>
      </c>
      <c r="F183" s="48" t="s">
        <v>70</v>
      </c>
      <c r="G183" s="283">
        <v>1508068.32</v>
      </c>
      <c r="H183" s="48" t="s">
        <v>522</v>
      </c>
      <c r="I183" s="48" t="s">
        <v>70</v>
      </c>
      <c r="J183" s="119">
        <v>46081.16</v>
      </c>
      <c r="K183" s="256">
        <v>100</v>
      </c>
      <c r="L183" s="119">
        <v>1508068.32</v>
      </c>
      <c r="M183" s="570">
        <v>46081.16</v>
      </c>
      <c r="N183" s="48" t="s">
        <v>88</v>
      </c>
      <c r="O183" s="48" t="s">
        <v>68</v>
      </c>
      <c r="P183" s="48" t="s">
        <v>520</v>
      </c>
      <c r="Q183" s="48" t="s">
        <v>523</v>
      </c>
      <c r="R183" s="57" t="s">
        <v>173</v>
      </c>
      <c r="S183" s="48" t="str">
        <f t="shared" si="5"/>
        <v>Deposit</v>
      </c>
    </row>
    <row r="184" spans="1:21">
      <c r="A184" s="48" t="s">
        <v>536</v>
      </c>
      <c r="B184" s="49">
        <v>44620</v>
      </c>
      <c r="C184" s="48" t="s">
        <v>537</v>
      </c>
      <c r="D184" s="48" t="s">
        <v>1217</v>
      </c>
      <c r="E184" s="48" t="s">
        <v>1358</v>
      </c>
      <c r="F184" s="48" t="s">
        <v>70</v>
      </c>
      <c r="G184" s="122">
        <v>0</v>
      </c>
      <c r="H184" s="48" t="s">
        <v>8</v>
      </c>
      <c r="I184" s="48" t="s">
        <v>70</v>
      </c>
      <c r="J184" s="50">
        <v>0</v>
      </c>
      <c r="K184" s="51">
        <v>100</v>
      </c>
      <c r="L184" s="50">
        <v>0</v>
      </c>
      <c r="M184" s="490">
        <v>0</v>
      </c>
      <c r="N184" s="48" t="s">
        <v>88</v>
      </c>
      <c r="O184" s="48" t="s">
        <v>68</v>
      </c>
      <c r="P184" s="48" t="s">
        <v>536</v>
      </c>
      <c r="Q184" s="48" t="s">
        <v>538</v>
      </c>
      <c r="R184" s="57" t="s">
        <v>145</v>
      </c>
      <c r="S184" s="48" t="str">
        <f t="shared" si="5"/>
        <v>Deposit</v>
      </c>
      <c r="U184" s="302"/>
    </row>
    <row r="185" spans="1:21">
      <c r="A185" s="48" t="s">
        <v>536</v>
      </c>
      <c r="B185" s="49">
        <v>44620</v>
      </c>
      <c r="C185" s="48" t="s">
        <v>1465</v>
      </c>
      <c r="D185" s="48" t="s">
        <v>1466</v>
      </c>
      <c r="E185" s="48" t="s">
        <v>1467</v>
      </c>
      <c r="F185" s="48" t="s">
        <v>73</v>
      </c>
      <c r="G185" s="122">
        <v>0</v>
      </c>
      <c r="H185" s="48" t="s">
        <v>8</v>
      </c>
      <c r="I185" s="48" t="s">
        <v>73</v>
      </c>
      <c r="J185" s="52">
        <v>0</v>
      </c>
      <c r="K185" s="51">
        <v>100</v>
      </c>
      <c r="L185" s="52">
        <v>0</v>
      </c>
      <c r="M185" s="491">
        <v>0</v>
      </c>
      <c r="N185" s="48" t="s">
        <v>88</v>
      </c>
      <c r="O185" s="48" t="s">
        <v>68</v>
      </c>
      <c r="P185" s="48" t="s">
        <v>536</v>
      </c>
      <c r="Q185" s="48" t="s">
        <v>538</v>
      </c>
      <c r="R185" s="57" t="s">
        <v>145</v>
      </c>
      <c r="S185" s="48" t="str">
        <f t="shared" si="5"/>
        <v>Deposit</v>
      </c>
      <c r="U185" s="302"/>
    </row>
    <row r="186" spans="1:21">
      <c r="A186" s="48" t="s">
        <v>539</v>
      </c>
      <c r="B186" s="49">
        <v>44620</v>
      </c>
      <c r="C186" s="48" t="s">
        <v>540</v>
      </c>
      <c r="D186" s="48" t="s">
        <v>1218</v>
      </c>
      <c r="E186" s="48" t="s">
        <v>1359</v>
      </c>
      <c r="F186" s="48" t="s">
        <v>73</v>
      </c>
      <c r="G186" s="122">
        <v>0</v>
      </c>
      <c r="H186" s="48" t="s">
        <v>541</v>
      </c>
      <c r="I186" s="48" t="s">
        <v>73</v>
      </c>
      <c r="J186" s="52">
        <v>0</v>
      </c>
      <c r="K186" s="51">
        <v>100</v>
      </c>
      <c r="L186" s="52">
        <v>0</v>
      </c>
      <c r="M186" s="491">
        <v>0</v>
      </c>
      <c r="N186" s="48" t="s">
        <v>325</v>
      </c>
      <c r="O186" s="48" t="s">
        <v>68</v>
      </c>
      <c r="P186" s="48" t="s">
        <v>539</v>
      </c>
      <c r="Q186" s="48" t="s">
        <v>542</v>
      </c>
      <c r="R186" s="57" t="s">
        <v>145</v>
      </c>
      <c r="S186" s="48" t="str">
        <f t="shared" si="5"/>
        <v>Deposit</v>
      </c>
    </row>
    <row r="187" spans="1:21">
      <c r="A187" s="48" t="s">
        <v>543</v>
      </c>
      <c r="B187" s="49">
        <v>44561</v>
      </c>
      <c r="C187" s="48" t="s">
        <v>544</v>
      </c>
      <c r="D187" s="48" t="s">
        <v>1219</v>
      </c>
      <c r="E187" s="48" t="s">
        <v>1360</v>
      </c>
      <c r="F187" s="48" t="s">
        <v>70</v>
      </c>
      <c r="G187" s="122">
        <v>0</v>
      </c>
      <c r="H187" s="48" t="s">
        <v>1</v>
      </c>
      <c r="I187" s="48" t="s">
        <v>70</v>
      </c>
      <c r="J187" s="52">
        <v>0</v>
      </c>
      <c r="K187" s="51">
        <v>100</v>
      </c>
      <c r="L187" s="52">
        <v>0</v>
      </c>
      <c r="M187" s="491">
        <v>0</v>
      </c>
      <c r="N187" s="48" t="s">
        <v>88</v>
      </c>
      <c r="O187" s="48" t="s">
        <v>68</v>
      </c>
      <c r="P187" s="48" t="s">
        <v>543</v>
      </c>
      <c r="Q187" s="48" t="s">
        <v>545</v>
      </c>
      <c r="R187" s="57" t="s">
        <v>145</v>
      </c>
      <c r="S187" s="48" t="str">
        <f t="shared" si="5"/>
        <v>Deposit</v>
      </c>
    </row>
    <row r="188" spans="1:21">
      <c r="A188" s="48" t="s">
        <v>543</v>
      </c>
      <c r="B188" s="49">
        <v>44561</v>
      </c>
      <c r="C188" s="48" t="s">
        <v>963</v>
      </c>
      <c r="D188" s="48" t="s">
        <v>1220</v>
      </c>
      <c r="E188" s="48" t="s">
        <v>1361</v>
      </c>
      <c r="F188" s="48" t="s">
        <v>70</v>
      </c>
      <c r="G188" s="122">
        <v>0</v>
      </c>
      <c r="H188" s="48" t="s">
        <v>1</v>
      </c>
      <c r="I188" s="48" t="s">
        <v>70</v>
      </c>
      <c r="J188" s="52">
        <v>0</v>
      </c>
      <c r="K188" s="51">
        <v>100</v>
      </c>
      <c r="L188" s="52">
        <v>0</v>
      </c>
      <c r="M188" s="491">
        <v>0</v>
      </c>
      <c r="N188" s="48" t="s">
        <v>88</v>
      </c>
      <c r="O188" s="48" t="s">
        <v>68</v>
      </c>
      <c r="P188" s="48" t="s">
        <v>543</v>
      </c>
      <c r="Q188" s="48" t="s">
        <v>545</v>
      </c>
      <c r="R188" s="57" t="s">
        <v>173</v>
      </c>
      <c r="S188" s="48" t="str">
        <f t="shared" si="5"/>
        <v>Deposit</v>
      </c>
    </row>
    <row r="189" spans="1:21">
      <c r="A189" s="48" t="s">
        <v>543</v>
      </c>
      <c r="B189" s="49">
        <v>44561</v>
      </c>
      <c r="C189" s="48" t="s">
        <v>967</v>
      </c>
      <c r="D189" s="48" t="s">
        <v>1221</v>
      </c>
      <c r="E189" s="48" t="s">
        <v>1362</v>
      </c>
      <c r="F189" s="48" t="s">
        <v>70</v>
      </c>
      <c r="G189" s="122">
        <v>1908313.56</v>
      </c>
      <c r="H189" s="48" t="s">
        <v>1</v>
      </c>
      <c r="I189" s="48" t="s">
        <v>70</v>
      </c>
      <c r="J189" s="52">
        <v>58311.23</v>
      </c>
      <c r="K189" s="51">
        <v>100</v>
      </c>
      <c r="L189" s="52">
        <v>1908313.56</v>
      </c>
      <c r="M189" s="491">
        <v>58311.23</v>
      </c>
      <c r="N189" s="48" t="s">
        <v>88</v>
      </c>
      <c r="O189" s="48" t="s">
        <v>68</v>
      </c>
      <c r="P189" s="48" t="s">
        <v>543</v>
      </c>
      <c r="Q189" s="48" t="s">
        <v>545</v>
      </c>
      <c r="R189" s="57" t="s">
        <v>173</v>
      </c>
      <c r="S189" s="48" t="str">
        <f t="shared" si="5"/>
        <v>Deposit</v>
      </c>
    </row>
    <row r="190" spans="1:21">
      <c r="A190" s="48" t="s">
        <v>546</v>
      </c>
      <c r="B190" s="49">
        <v>44620</v>
      </c>
      <c r="C190" s="48" t="s">
        <v>251</v>
      </c>
      <c r="D190" s="48" t="s">
        <v>1222</v>
      </c>
      <c r="E190" s="48" t="s">
        <v>1363</v>
      </c>
      <c r="F190" s="48" t="s">
        <v>547</v>
      </c>
      <c r="G190" s="122">
        <v>1060397.76</v>
      </c>
      <c r="H190" s="48" t="s">
        <v>976</v>
      </c>
      <c r="I190" s="48" t="s">
        <v>18</v>
      </c>
      <c r="J190" s="50">
        <v>288693.33</v>
      </c>
      <c r="K190" s="51">
        <v>100</v>
      </c>
      <c r="L190" s="50">
        <v>1060397.76</v>
      </c>
      <c r="M190" s="490">
        <v>288693.33</v>
      </c>
      <c r="N190" s="48" t="s">
        <v>548</v>
      </c>
      <c r="O190" s="48" t="s">
        <v>68</v>
      </c>
      <c r="P190" s="48" t="s">
        <v>546</v>
      </c>
      <c r="Q190" s="48" t="s">
        <v>549</v>
      </c>
      <c r="R190" s="57" t="s">
        <v>167</v>
      </c>
      <c r="S190" s="48" t="str">
        <f t="shared" si="5"/>
        <v>Deposit</v>
      </c>
    </row>
    <row r="191" spans="1:21">
      <c r="A191" s="48" t="s">
        <v>546</v>
      </c>
      <c r="B191" s="49">
        <v>44620</v>
      </c>
      <c r="C191" s="48" t="s">
        <v>550</v>
      </c>
      <c r="D191" s="48" t="s">
        <v>1223</v>
      </c>
      <c r="E191" s="48" t="s">
        <v>1364</v>
      </c>
      <c r="F191" s="48" t="s">
        <v>73</v>
      </c>
      <c r="G191" s="122">
        <v>4793848.3499999996</v>
      </c>
      <c r="H191" s="48" t="s">
        <v>976</v>
      </c>
      <c r="I191" s="48" t="s">
        <v>73</v>
      </c>
      <c r="J191" s="50">
        <v>4793848.3499999996</v>
      </c>
      <c r="K191" s="51">
        <v>100</v>
      </c>
      <c r="L191" s="50">
        <v>4793848.3499999996</v>
      </c>
      <c r="M191" s="490">
        <v>4793848.3499999996</v>
      </c>
      <c r="N191" s="48" t="s">
        <v>548</v>
      </c>
      <c r="O191" s="48" t="s">
        <v>68</v>
      </c>
      <c r="P191" s="48" t="s">
        <v>546</v>
      </c>
      <c r="Q191" s="48" t="s">
        <v>549</v>
      </c>
      <c r="R191" s="57" t="s">
        <v>167</v>
      </c>
      <c r="S191" s="48" t="str">
        <f t="shared" si="5"/>
        <v>Deposit</v>
      </c>
    </row>
    <row r="192" spans="1:21">
      <c r="A192" s="48" t="s">
        <v>546</v>
      </c>
      <c r="B192" s="49">
        <v>44620</v>
      </c>
      <c r="C192" s="48" t="s">
        <v>551</v>
      </c>
      <c r="D192" s="48" t="s">
        <v>1224</v>
      </c>
      <c r="E192" s="48" t="s">
        <v>1365</v>
      </c>
      <c r="F192" s="48" t="s">
        <v>70</v>
      </c>
      <c r="G192" s="122">
        <v>2281146.8199999998</v>
      </c>
      <c r="H192" s="48" t="s">
        <v>976</v>
      </c>
      <c r="I192" s="48" t="s">
        <v>70</v>
      </c>
      <c r="J192" s="50">
        <v>69703.67</v>
      </c>
      <c r="K192" s="51">
        <v>100</v>
      </c>
      <c r="L192" s="50">
        <v>2281146.8199999998</v>
      </c>
      <c r="M192" s="490">
        <v>69703.67</v>
      </c>
      <c r="N192" s="48" t="s">
        <v>548</v>
      </c>
      <c r="O192" s="48" t="s">
        <v>68</v>
      </c>
      <c r="P192" s="48" t="s">
        <v>546</v>
      </c>
      <c r="Q192" s="48" t="s">
        <v>549</v>
      </c>
      <c r="R192" s="57" t="s">
        <v>173</v>
      </c>
      <c r="S192" s="48" t="str">
        <f t="shared" si="5"/>
        <v>Deposit</v>
      </c>
    </row>
    <row r="193" spans="1:21">
      <c r="A193" s="48" t="s">
        <v>552</v>
      </c>
      <c r="B193" s="49">
        <v>44620</v>
      </c>
      <c r="C193" s="48" t="s">
        <v>363</v>
      </c>
      <c r="D193" s="48" t="s">
        <v>1225</v>
      </c>
      <c r="E193" s="48" t="s">
        <v>1366</v>
      </c>
      <c r="F193" s="48" t="s">
        <v>252</v>
      </c>
      <c r="G193" s="122">
        <v>94992.595000000001</v>
      </c>
      <c r="H193" s="48" t="s">
        <v>553</v>
      </c>
      <c r="I193" s="48" t="s">
        <v>18</v>
      </c>
      <c r="J193" s="50">
        <v>246733.99</v>
      </c>
      <c r="K193" s="51">
        <v>100</v>
      </c>
      <c r="L193" s="50">
        <v>94992.595000000001</v>
      </c>
      <c r="M193" s="490">
        <v>246733.99</v>
      </c>
      <c r="N193" s="48" t="s">
        <v>554</v>
      </c>
      <c r="O193" s="48" t="s">
        <v>68</v>
      </c>
      <c r="P193" s="48" t="s">
        <v>552</v>
      </c>
      <c r="Q193" s="48" t="s">
        <v>555</v>
      </c>
      <c r="R193" s="57" t="s">
        <v>167</v>
      </c>
      <c r="S193" s="48" t="str">
        <f t="shared" si="5"/>
        <v>Deposit</v>
      </c>
    </row>
    <row r="194" spans="1:21">
      <c r="A194" s="48" t="s">
        <v>552</v>
      </c>
      <c r="B194" s="49">
        <v>44620</v>
      </c>
      <c r="C194" s="48" t="s">
        <v>556</v>
      </c>
      <c r="D194" s="48" t="s">
        <v>1226</v>
      </c>
      <c r="E194" s="48" t="s">
        <v>1367</v>
      </c>
      <c r="F194" s="48" t="s">
        <v>73</v>
      </c>
      <c r="G194" s="571">
        <v>4179617.72</v>
      </c>
      <c r="H194" s="48" t="s">
        <v>553</v>
      </c>
      <c r="I194" s="48" t="s">
        <v>73</v>
      </c>
      <c r="J194" s="50">
        <v>4179617.72</v>
      </c>
      <c r="K194" s="51">
        <v>100</v>
      </c>
      <c r="L194" s="53">
        <v>4179617.72</v>
      </c>
      <c r="M194" s="490">
        <v>4179617.72</v>
      </c>
      <c r="N194" s="48" t="s">
        <v>554</v>
      </c>
      <c r="O194" s="48" t="s">
        <v>68</v>
      </c>
      <c r="P194" s="48" t="s">
        <v>552</v>
      </c>
      <c r="Q194" s="48" t="s">
        <v>555</v>
      </c>
      <c r="R194" s="57" t="s">
        <v>167</v>
      </c>
      <c r="S194" s="48" t="str">
        <f t="shared" si="5"/>
        <v>Deposit</v>
      </c>
    </row>
    <row r="195" spans="1:21">
      <c r="A195" s="48" t="s">
        <v>552</v>
      </c>
      <c r="B195" s="49">
        <v>44620</v>
      </c>
      <c r="C195" s="48" t="s">
        <v>557</v>
      </c>
      <c r="D195" s="48" t="s">
        <v>1227</v>
      </c>
      <c r="E195" s="48" t="s">
        <v>1368</v>
      </c>
      <c r="F195" s="48" t="s">
        <v>70</v>
      </c>
      <c r="G195" s="122">
        <v>1216904.25</v>
      </c>
      <c r="H195" s="48" t="s">
        <v>553</v>
      </c>
      <c r="I195" s="48" t="s">
        <v>70</v>
      </c>
      <c r="J195" s="50">
        <v>37184.230000000003</v>
      </c>
      <c r="K195" s="51">
        <v>100</v>
      </c>
      <c r="L195" s="50">
        <v>1216904.25</v>
      </c>
      <c r="M195" s="490">
        <v>37184.230000000003</v>
      </c>
      <c r="N195" s="48" t="s">
        <v>554</v>
      </c>
      <c r="O195" s="48" t="s">
        <v>68</v>
      </c>
      <c r="P195" s="48" t="s">
        <v>552</v>
      </c>
      <c r="Q195" s="48" t="s">
        <v>555</v>
      </c>
      <c r="R195" s="57" t="s">
        <v>173</v>
      </c>
      <c r="S195" s="48" t="str">
        <f t="shared" ref="S195:S201" si="6">IF(OR(C195=$T$3,C195=$T$4,C195=$T$5,C195=$T$6,C195=$T$7),$T$2,"Deposit")</f>
        <v>Deposit</v>
      </c>
    </row>
    <row r="196" spans="1:21">
      <c r="A196" s="48" t="s">
        <v>1402</v>
      </c>
      <c r="B196" s="49">
        <v>44620</v>
      </c>
      <c r="C196" s="48" t="s">
        <v>1403</v>
      </c>
      <c r="D196" s="48" t="s">
        <v>1404</v>
      </c>
      <c r="E196" s="48" t="s">
        <v>1405</v>
      </c>
      <c r="F196" s="48" t="s">
        <v>73</v>
      </c>
      <c r="G196" s="122">
        <v>50002.33</v>
      </c>
      <c r="H196" s="48" t="s">
        <v>1406</v>
      </c>
      <c r="I196" s="48" t="s">
        <v>73</v>
      </c>
      <c r="J196" s="50">
        <v>50002.33</v>
      </c>
      <c r="K196" s="51">
        <v>100</v>
      </c>
      <c r="L196" s="50">
        <v>50002.33</v>
      </c>
      <c r="M196" s="490">
        <v>50002.33</v>
      </c>
      <c r="N196" s="48" t="s">
        <v>1407</v>
      </c>
      <c r="O196" s="48" t="s">
        <v>68</v>
      </c>
      <c r="P196" s="48" t="s">
        <v>1402</v>
      </c>
      <c r="Q196" s="48" t="s">
        <v>1408</v>
      </c>
      <c r="R196" s="57" t="s">
        <v>145</v>
      </c>
      <c r="S196" s="48" t="str">
        <f t="shared" si="6"/>
        <v>Deposit</v>
      </c>
    </row>
    <row r="197" spans="1:21">
      <c r="A197" s="48" t="s">
        <v>1409</v>
      </c>
      <c r="B197" s="49">
        <v>44620</v>
      </c>
      <c r="C197" s="48" t="s">
        <v>1410</v>
      </c>
      <c r="D197" s="48" t="s">
        <v>1411</v>
      </c>
      <c r="E197" s="48" t="s">
        <v>1412</v>
      </c>
      <c r="F197" s="48" t="s">
        <v>73</v>
      </c>
      <c r="G197" s="122">
        <v>49962.33</v>
      </c>
      <c r="H197" s="48" t="s">
        <v>1413</v>
      </c>
      <c r="I197" s="48" t="s">
        <v>73</v>
      </c>
      <c r="J197" s="50">
        <v>49962.33</v>
      </c>
      <c r="K197" s="51">
        <v>100</v>
      </c>
      <c r="L197" s="50">
        <v>49962.33</v>
      </c>
      <c r="M197" s="490">
        <v>49962.33</v>
      </c>
      <c r="N197" s="48" t="s">
        <v>1407</v>
      </c>
      <c r="O197" s="48" t="s">
        <v>68</v>
      </c>
      <c r="P197" s="48" t="s">
        <v>1409</v>
      </c>
      <c r="Q197" s="48" t="s">
        <v>1414</v>
      </c>
      <c r="R197" s="57" t="s">
        <v>145</v>
      </c>
      <c r="S197" s="48" t="str">
        <f t="shared" si="6"/>
        <v>Deposit</v>
      </c>
    </row>
    <row r="198" spans="1:21">
      <c r="A198" s="48" t="s">
        <v>1377</v>
      </c>
      <c r="B198" s="49">
        <v>44620</v>
      </c>
      <c r="C198" s="48" t="s">
        <v>1378</v>
      </c>
      <c r="D198" s="48" t="s">
        <v>1379</v>
      </c>
      <c r="E198" s="48" t="s">
        <v>1380</v>
      </c>
      <c r="F198" s="48" t="s">
        <v>70</v>
      </c>
      <c r="G198" s="122">
        <v>1909325.53</v>
      </c>
      <c r="H198" s="48" t="s">
        <v>1381</v>
      </c>
      <c r="I198" s="48" t="s">
        <v>70</v>
      </c>
      <c r="J198" s="50">
        <v>58342.15</v>
      </c>
      <c r="K198" s="51">
        <v>100</v>
      </c>
      <c r="L198" s="50">
        <v>1909325.53</v>
      </c>
      <c r="M198" s="490">
        <v>58342.15</v>
      </c>
      <c r="N198" s="48" t="s">
        <v>88</v>
      </c>
      <c r="O198" s="48" t="s">
        <v>68</v>
      </c>
      <c r="P198" s="48" t="s">
        <v>1377</v>
      </c>
      <c r="Q198" s="48" t="s">
        <v>1382</v>
      </c>
      <c r="R198" s="57" t="s">
        <v>145</v>
      </c>
      <c r="S198" s="48" t="str">
        <f t="shared" si="6"/>
        <v>Deposit</v>
      </c>
    </row>
    <row r="199" spans="1:21">
      <c r="A199" s="48" t="s">
        <v>1383</v>
      </c>
      <c r="B199" s="49">
        <v>44620</v>
      </c>
      <c r="C199" s="48" t="s">
        <v>499</v>
      </c>
      <c r="D199" s="48" t="s">
        <v>1384</v>
      </c>
      <c r="E199" s="48" t="s">
        <v>1385</v>
      </c>
      <c r="F199" s="48" t="s">
        <v>70</v>
      </c>
      <c r="G199" s="122">
        <v>64810402.210000001</v>
      </c>
      <c r="H199" s="48" t="s">
        <v>1386</v>
      </c>
      <c r="I199" s="48" t="s">
        <v>70</v>
      </c>
      <c r="J199" s="50">
        <v>1980373.68</v>
      </c>
      <c r="K199" s="51">
        <v>100</v>
      </c>
      <c r="L199" s="50">
        <v>64810402.210000001</v>
      </c>
      <c r="M199" s="490">
        <v>1980373.68</v>
      </c>
      <c r="N199" s="48" t="s">
        <v>88</v>
      </c>
      <c r="O199" s="48" t="s">
        <v>68</v>
      </c>
      <c r="P199" s="48" t="s">
        <v>1383</v>
      </c>
      <c r="Q199" s="48" t="s">
        <v>1387</v>
      </c>
      <c r="R199" s="57" t="s">
        <v>145</v>
      </c>
      <c r="S199" s="48" t="str">
        <f t="shared" si="6"/>
        <v>Deposit</v>
      </c>
      <c r="U199" s="71"/>
    </row>
    <row r="200" spans="1:21">
      <c r="A200" s="48" t="s">
        <v>140</v>
      </c>
      <c r="B200" s="49">
        <v>44620</v>
      </c>
      <c r="C200" s="48" t="s">
        <v>558</v>
      </c>
      <c r="D200" s="48" t="s">
        <v>1228</v>
      </c>
      <c r="E200" s="48" t="s">
        <v>1369</v>
      </c>
      <c r="F200" s="48" t="s">
        <v>73</v>
      </c>
      <c r="G200" s="122">
        <v>201426794.09</v>
      </c>
      <c r="H200" s="48" t="s">
        <v>20</v>
      </c>
      <c r="I200" s="48" t="s">
        <v>73</v>
      </c>
      <c r="J200" s="50">
        <v>201426794.09</v>
      </c>
      <c r="K200" s="51">
        <v>100</v>
      </c>
      <c r="L200" s="50">
        <v>201426794.09</v>
      </c>
      <c r="M200" s="490">
        <v>201426794.09</v>
      </c>
      <c r="N200" s="48" t="s">
        <v>88</v>
      </c>
      <c r="O200" s="48" t="s">
        <v>12</v>
      </c>
      <c r="P200" s="48" t="s">
        <v>140</v>
      </c>
      <c r="Q200" s="48" t="s">
        <v>142</v>
      </c>
      <c r="R200" s="57" t="s">
        <v>559</v>
      </c>
      <c r="S200" s="48" t="str">
        <f t="shared" si="6"/>
        <v>Special saving</v>
      </c>
    </row>
    <row r="201" spans="1:21">
      <c r="A201" s="48" t="s">
        <v>446</v>
      </c>
      <c r="B201" s="49">
        <v>44620</v>
      </c>
      <c r="C201" s="48" t="s">
        <v>1396</v>
      </c>
      <c r="D201" s="48" t="s">
        <v>1397</v>
      </c>
      <c r="E201" s="48" t="s">
        <v>1398</v>
      </c>
      <c r="F201" s="48" t="s">
        <v>73</v>
      </c>
      <c r="G201" s="122">
        <v>174349933.27000001</v>
      </c>
      <c r="H201" s="48" t="s">
        <v>56</v>
      </c>
      <c r="I201" s="48" t="s">
        <v>73</v>
      </c>
      <c r="J201" s="50">
        <v>174349933.27000001</v>
      </c>
      <c r="K201" s="51">
        <v>100</v>
      </c>
      <c r="L201" s="50">
        <v>174349933.27000001</v>
      </c>
      <c r="M201" s="490">
        <v>174349933.27000001</v>
      </c>
      <c r="N201" s="48" t="s">
        <v>88</v>
      </c>
      <c r="O201" s="48" t="s">
        <v>12</v>
      </c>
      <c r="P201" s="48" t="s">
        <v>446</v>
      </c>
      <c r="Q201" s="48" t="s">
        <v>448</v>
      </c>
      <c r="R201" s="57" t="s">
        <v>1399</v>
      </c>
      <c r="S201" s="48" t="str">
        <f t="shared" si="6"/>
        <v>Special saving</v>
      </c>
    </row>
    <row r="202" spans="1:21">
      <c r="B202" s="49"/>
      <c r="G202" s="122"/>
      <c r="J202" s="50"/>
      <c r="K202" s="51"/>
      <c r="L202" s="50"/>
      <c r="M202" s="490"/>
    </row>
    <row r="203" spans="1:21">
      <c r="B203" s="49"/>
      <c r="G203" s="122"/>
      <c r="J203" s="50"/>
      <c r="K203" s="51"/>
      <c r="L203" s="50"/>
      <c r="M203" s="490"/>
    </row>
    <row r="204" spans="1:21">
      <c r="B204" s="49"/>
      <c r="G204" s="122"/>
      <c r="J204" s="50"/>
      <c r="K204" s="51"/>
      <c r="L204" s="50"/>
      <c r="M204" s="490"/>
    </row>
    <row r="205" spans="1:21">
      <c r="B205" s="49"/>
      <c r="G205" s="122"/>
      <c r="J205" s="50"/>
      <c r="K205" s="51"/>
      <c r="L205" s="50"/>
      <c r="M205" s="490"/>
    </row>
    <row r="206" spans="1:21">
      <c r="B206" s="49"/>
      <c r="G206" s="122"/>
      <c r="J206" s="50"/>
      <c r="K206" s="51"/>
      <c r="L206" s="50"/>
      <c r="M206" s="489"/>
    </row>
    <row r="207" spans="1:21">
      <c r="B207" s="254"/>
      <c r="G207" s="283"/>
      <c r="J207" s="119"/>
      <c r="K207" s="256"/>
      <c r="L207" s="119"/>
      <c r="T207" s="302"/>
    </row>
    <row r="208" spans="1:21">
      <c r="J208" s="54"/>
      <c r="L208" s="54"/>
    </row>
    <row r="209" spans="10:21">
      <c r="J209" s="54"/>
      <c r="L209" s="54"/>
    </row>
    <row r="210" spans="10:21">
      <c r="J210" s="54"/>
      <c r="L210" s="54"/>
    </row>
    <row r="211" spans="10:21">
      <c r="J211" s="54"/>
      <c r="L211" s="54"/>
    </row>
    <row r="212" spans="10:21">
      <c r="J212" s="54"/>
      <c r="L212" s="54"/>
      <c r="S212" s="68"/>
    </row>
    <row r="213" spans="10:21">
      <c r="J213" s="54"/>
      <c r="L213" s="54"/>
      <c r="S213" s="68"/>
      <c r="T213" s="68"/>
      <c r="U213" s="297"/>
    </row>
    <row r="214" spans="10:21">
      <c r="L214" s="54"/>
      <c r="S214" s="68"/>
      <c r="T214" s="68"/>
      <c r="U214" s="297"/>
    </row>
    <row r="215" spans="10:21">
      <c r="L215" s="54"/>
      <c r="S215" s="68"/>
      <c r="T215" s="68"/>
      <c r="U215" s="297"/>
    </row>
    <row r="216" spans="10:21">
      <c r="L216" s="54"/>
      <c r="S216" s="68"/>
      <c r="T216" s="68"/>
      <c r="U216" s="297"/>
    </row>
    <row r="217" spans="10:21">
      <c r="L217" s="54"/>
      <c r="O217" s="119"/>
      <c r="U217" s="68"/>
    </row>
    <row r="218" spans="10:21">
      <c r="O218" s="119"/>
    </row>
    <row r="221" spans="10:21">
      <c r="O221" s="119"/>
      <c r="P221" s="71"/>
    </row>
    <row r="222" spans="10:21">
      <c r="O222" s="119"/>
    </row>
  </sheetData>
  <autoFilter ref="A2:U207" xr:uid="{AED1CCAD-9A22-4959-A1A9-C945310CD19E}">
    <sortState xmlns:xlrd2="http://schemas.microsoft.com/office/spreadsheetml/2017/richdata2" ref="A4:U200">
      <sortCondition descending="1" ref="M2:M207"/>
    </sortState>
  </autoFilter>
  <phoneticPr fontId="38" type="noConversion"/>
  <pageMargins left="0.75" right="0.75" top="1" bottom="1" header="0.5" footer="0.5"/>
  <pageSetup paperSize="9"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BA53-AA7C-4874-BEFA-C242F723BD5B}">
  <sheetPr>
    <tabColor rgb="FF00B050"/>
  </sheetPr>
  <dimension ref="A1:V42"/>
  <sheetViews>
    <sheetView zoomScale="90" zoomScaleNormal="90" workbookViewId="0">
      <selection activeCell="D5" sqref="D5"/>
    </sheetView>
  </sheetViews>
  <sheetFormatPr baseColWidth="10" defaultColWidth="9" defaultRowHeight="13"/>
  <cols>
    <col min="1" max="1" width="20.6640625" style="48" customWidth="1"/>
    <col min="2" max="2" width="22.83203125" style="48" customWidth="1"/>
    <col min="3" max="3" width="15" style="48" bestFit="1" customWidth="1"/>
    <col min="4" max="4" width="18" style="48" bestFit="1" customWidth="1"/>
    <col min="5" max="5" width="14" style="48" bestFit="1" customWidth="1"/>
    <col min="6" max="6" width="19" style="48" bestFit="1" customWidth="1"/>
    <col min="7" max="7" width="16" style="48" bestFit="1" customWidth="1"/>
    <col min="8" max="8" width="12" style="48" bestFit="1" customWidth="1"/>
    <col min="9" max="9" width="17.33203125" style="48" bestFit="1" customWidth="1"/>
    <col min="10" max="10" width="13.83203125" style="48" bestFit="1" customWidth="1"/>
    <col min="11" max="11" width="14.83203125" style="48" customWidth="1"/>
    <col min="12" max="12" width="14.6640625" style="48" bestFit="1" customWidth="1"/>
    <col min="13" max="13" width="14.6640625" style="48" customWidth="1"/>
    <col min="14" max="14" width="14.6640625" style="257" bestFit="1" customWidth="1"/>
    <col min="15" max="15" width="18" style="48" bestFit="1" customWidth="1"/>
    <col min="16" max="16" width="14" style="48" bestFit="1" customWidth="1"/>
    <col min="17" max="17" width="13" style="48" bestFit="1" customWidth="1"/>
    <col min="18" max="18" width="15" style="48" bestFit="1" customWidth="1"/>
    <col min="19" max="19" width="15" style="48" customWidth="1"/>
    <col min="20" max="20" width="9" style="48"/>
    <col min="21" max="21" width="12.1640625" style="48" customWidth="1"/>
    <col min="22" max="16384" width="9" style="48"/>
  </cols>
  <sheetData>
    <row r="1" spans="1:22">
      <c r="A1" s="60" t="s">
        <v>623</v>
      </c>
      <c r="N1" s="311"/>
    </row>
    <row r="2" spans="1:22">
      <c r="C2" s="483" t="s">
        <v>626</v>
      </c>
      <c r="D2" s="483"/>
      <c r="E2" s="483" t="s">
        <v>113</v>
      </c>
      <c r="F2" s="483" t="s">
        <v>588</v>
      </c>
      <c r="G2" s="483" t="s">
        <v>625</v>
      </c>
      <c r="N2" s="311"/>
    </row>
    <row r="3" spans="1:22">
      <c r="A3" s="48" t="s">
        <v>613</v>
      </c>
      <c r="B3" s="48" t="str">
        <f>A3&amp;" "&amp;"0.01%"</f>
        <v>Money market fund 0.01%</v>
      </c>
      <c r="C3" s="48" t="s">
        <v>73</v>
      </c>
      <c r="D3" s="56">
        <f>SUMIF($F$11:$F$22,A3,$M$11:$M$22)/10^6</f>
        <v>0.17928833999999999</v>
      </c>
      <c r="E3" s="234">
        <f>SUMIF(F11:F22,A3,N11:N22)/10^6</f>
        <v>0.17928833999999999</v>
      </c>
      <c r="F3" s="234">
        <f>SUMIF($F$12:$F$21,A3,$V$11:$V$21)/10^6</f>
        <v>9.3635359999999995E-6</v>
      </c>
      <c r="G3" s="68">
        <f>F3/E3</f>
        <v>5.2226129150395393E-5</v>
      </c>
      <c r="N3" s="311"/>
    </row>
    <row r="4" spans="1:22">
      <c r="A4" s="48" t="s">
        <v>624</v>
      </c>
      <c r="B4" s="48" t="str">
        <f>A4&amp;" 0.28%"</f>
        <v>Special saving 0.28%</v>
      </c>
      <c r="C4" s="48" t="s">
        <v>73</v>
      </c>
      <c r="D4" s="56">
        <f>C36</f>
        <v>491.30195689999999</v>
      </c>
      <c r="E4" s="56">
        <f>C36</f>
        <v>491.30195689999999</v>
      </c>
      <c r="F4" s="234">
        <f>E4*G4</f>
        <v>1.392038878201</v>
      </c>
      <c r="G4" s="323">
        <f>D36</f>
        <v>2.8333672574488377E-3</v>
      </c>
      <c r="N4" s="311"/>
    </row>
    <row r="5" spans="1:22" ht="14" thickBot="1">
      <c r="D5" s="76">
        <f>SUM(D3:D4)</f>
        <v>491.48124524000002</v>
      </c>
      <c r="E5" s="76">
        <f>SUM(E3:E4)</f>
        <v>491.48124524000002</v>
      </c>
      <c r="F5" s="236">
        <f>SUM(F3:F4)</f>
        <v>1.3920482417369999</v>
      </c>
      <c r="G5" s="237">
        <f>F5/E5</f>
        <v>2.8323527199033511E-3</v>
      </c>
      <c r="I5" s="68"/>
      <c r="N5" s="311"/>
    </row>
    <row r="6" spans="1:22">
      <c r="A6" s="48" t="s">
        <v>577</v>
      </c>
      <c r="B6" s="48" t="s">
        <v>649</v>
      </c>
      <c r="C6" s="48" t="s">
        <v>70</v>
      </c>
      <c r="D6" s="56">
        <f>SUMIF(Investment!D:D,'Working Cap'!A6,Investment!Q:Q)/10^6</f>
        <v>0</v>
      </c>
      <c r="E6" s="56">
        <f>Investment!C4</f>
        <v>0</v>
      </c>
      <c r="F6" s="62">
        <v>0</v>
      </c>
      <c r="G6" s="71">
        <v>0</v>
      </c>
      <c r="I6" s="48" t="str">
        <f>B6&amp;" "&amp;"0.42%"</f>
        <v>Treasury Bill 0.42%</v>
      </c>
      <c r="N6" s="311"/>
    </row>
    <row r="7" spans="1:22">
      <c r="A7" s="48" t="s">
        <v>624</v>
      </c>
      <c r="B7" s="48" t="str">
        <f>A7&amp;" "&amp;"0.40%"</f>
        <v>Special saving 0.40%</v>
      </c>
      <c r="C7" s="48" t="s">
        <v>70</v>
      </c>
      <c r="D7" s="56">
        <f>(SUMIFS(Deposit!$L$3:$L$207,Deposit!$S$3:$S$207,'Working Cap'!A$7,Deposit!$I$3:$I$207,'Working Cap'!C$7))/10^6</f>
        <v>1.9366027400000001</v>
      </c>
      <c r="E7" s="66">
        <f>C40</f>
        <v>0.1</v>
      </c>
      <c r="F7" s="234">
        <f>E7*G7</f>
        <v>4.0000000000000002E-4</v>
      </c>
      <c r="G7" s="71">
        <f>D40</f>
        <v>4.0000000000000001E-3</v>
      </c>
      <c r="I7" s="48" t="str">
        <f>"Special saving"&amp;" "&amp;"0.40%"</f>
        <v>Special saving 0.40%</v>
      </c>
      <c r="N7" s="311"/>
    </row>
    <row r="8" spans="1:22">
      <c r="A8" s="48" t="s">
        <v>709</v>
      </c>
      <c r="B8" s="48" t="s">
        <v>618</v>
      </c>
      <c r="C8" s="48" t="s">
        <v>70</v>
      </c>
      <c r="D8" s="48">
        <f>SUMIFS(M12:M18,G12:G18,$A$8)/10^6</f>
        <v>0</v>
      </c>
      <c r="E8" s="62">
        <f>SUMIFS(N12:N18,G12:G18,$A$8)/10^6</f>
        <v>0</v>
      </c>
      <c r="F8" s="62">
        <f>E8*G8</f>
        <v>0</v>
      </c>
      <c r="G8" s="71">
        <v>3.8E-3</v>
      </c>
      <c r="I8" s="48" t="str">
        <f>B8&amp;" "&amp;"0.38%"</f>
        <v>Mutual Funds 0.38%</v>
      </c>
      <c r="N8" s="311"/>
    </row>
    <row r="9" spans="1:22" ht="14" thickBot="1">
      <c r="D9" s="76">
        <f>SUM(D6:D8)</f>
        <v>1.9366027400000001</v>
      </c>
      <c r="E9" s="76">
        <f>SUM(E6:E8)</f>
        <v>0.1</v>
      </c>
      <c r="F9" s="236">
        <f>SUM(F6:F8)</f>
        <v>4.0000000000000002E-4</v>
      </c>
      <c r="G9" s="432">
        <f>F9/E9</f>
        <v>4.0000000000000001E-3</v>
      </c>
      <c r="N9" s="311"/>
    </row>
    <row r="10" spans="1:22">
      <c r="N10" s="311">
        <f>SUBTOTAL(9,N11:N22)</f>
        <v>375610.45</v>
      </c>
    </row>
    <row r="11" spans="1:22" ht="56">
      <c r="A11" s="46" t="s">
        <v>122</v>
      </c>
      <c r="B11" s="46" t="s">
        <v>138</v>
      </c>
      <c r="C11" s="46" t="s">
        <v>137</v>
      </c>
      <c r="D11" s="46" t="s">
        <v>564</v>
      </c>
      <c r="E11" s="46" t="s">
        <v>602</v>
      </c>
      <c r="F11" s="46" t="s">
        <v>562</v>
      </c>
      <c r="G11" s="46" t="s">
        <v>603</v>
      </c>
      <c r="H11" s="47" t="s">
        <v>127</v>
      </c>
      <c r="I11" s="46" t="s">
        <v>604</v>
      </c>
      <c r="J11" s="46" t="s">
        <v>605</v>
      </c>
      <c r="K11" s="46" t="s">
        <v>606</v>
      </c>
      <c r="L11" s="47" t="s">
        <v>607</v>
      </c>
      <c r="M11" s="47" t="s">
        <v>608</v>
      </c>
      <c r="N11" s="295" t="s">
        <v>609</v>
      </c>
      <c r="O11" s="46" t="s">
        <v>610</v>
      </c>
      <c r="P11" s="46" t="s">
        <v>136</v>
      </c>
      <c r="Q11" s="47" t="s">
        <v>130</v>
      </c>
      <c r="R11" s="46" t="s">
        <v>9</v>
      </c>
      <c r="S11" s="58" t="s">
        <v>588</v>
      </c>
      <c r="T11" s="58" t="s">
        <v>103</v>
      </c>
      <c r="U11" s="58" t="s">
        <v>571</v>
      </c>
      <c r="V11" s="58" t="s">
        <v>589</v>
      </c>
    </row>
    <row r="12" spans="1:22">
      <c r="A12" s="48" t="s">
        <v>140</v>
      </c>
      <c r="B12" s="48" t="s">
        <v>142</v>
      </c>
      <c r="C12" s="48" t="s">
        <v>140</v>
      </c>
      <c r="D12" s="48" t="s">
        <v>611</v>
      </c>
      <c r="E12" s="48" t="s">
        <v>612</v>
      </c>
      <c r="F12" s="48" t="s">
        <v>613</v>
      </c>
      <c r="G12" s="48" t="s">
        <v>614</v>
      </c>
      <c r="H12" s="48" t="s">
        <v>73</v>
      </c>
      <c r="I12" s="51">
        <v>85649.01</v>
      </c>
      <c r="J12" s="50">
        <v>1</v>
      </c>
      <c r="K12" s="50">
        <v>85649.01</v>
      </c>
      <c r="L12" s="122">
        <v>85649.01</v>
      </c>
      <c r="M12" s="122">
        <v>85649.01</v>
      </c>
      <c r="N12" s="500">
        <v>85649.01</v>
      </c>
      <c r="O12" s="51">
        <v>100</v>
      </c>
      <c r="P12" s="48" t="s">
        <v>12</v>
      </c>
      <c r="Q12" s="48" t="s">
        <v>73</v>
      </c>
      <c r="R12" s="48" t="s">
        <v>583</v>
      </c>
      <c r="S12" s="54">
        <f>IF(G12="GS_LRF",K12*0%,0)</f>
        <v>0</v>
      </c>
      <c r="T12" s="48" t="str">
        <f>Q12</f>
        <v>USD</v>
      </c>
      <c r="U12" s="62">
        <f>S12*R12</f>
        <v>0</v>
      </c>
      <c r="V12" s="63">
        <f>U12*O12/100</f>
        <v>0</v>
      </c>
    </row>
    <row r="13" spans="1:22">
      <c r="A13" s="48" t="s">
        <v>140</v>
      </c>
      <c r="B13" s="48" t="s">
        <v>142</v>
      </c>
      <c r="C13" s="48" t="s">
        <v>140</v>
      </c>
      <c r="D13" s="48" t="s">
        <v>1420</v>
      </c>
      <c r="E13" s="48" t="s">
        <v>612</v>
      </c>
      <c r="F13" s="48" t="s">
        <v>613</v>
      </c>
      <c r="G13" s="48" t="s">
        <v>615</v>
      </c>
      <c r="H13" s="48" t="s">
        <v>73</v>
      </c>
      <c r="I13" s="51">
        <v>93635.36</v>
      </c>
      <c r="J13" s="50">
        <v>1</v>
      </c>
      <c r="K13" s="50">
        <v>93635.36</v>
      </c>
      <c r="L13" s="122">
        <v>93635.36</v>
      </c>
      <c r="M13" s="122">
        <v>93635.36</v>
      </c>
      <c r="N13" s="501">
        <v>93635.36</v>
      </c>
      <c r="O13" s="51">
        <v>100</v>
      </c>
      <c r="P13" s="48" t="s">
        <v>12</v>
      </c>
      <c r="Q13" s="48" t="s">
        <v>73</v>
      </c>
      <c r="R13" s="48" t="s">
        <v>583</v>
      </c>
      <c r="S13" s="54">
        <f>IF(G13="HSBCLF_01C",K13*0.01%,0)</f>
        <v>9.3635359999999999</v>
      </c>
      <c r="T13" s="48" t="str">
        <f t="shared" ref="T13:T18" si="0">Q13</f>
        <v>USD</v>
      </c>
      <c r="U13" s="62">
        <f>S13*R13</f>
        <v>9.3635359999999999</v>
      </c>
      <c r="V13" s="63">
        <f>U13*O13/100</f>
        <v>9.3635359999999999</v>
      </c>
    </row>
    <row r="14" spans="1:22">
      <c r="A14" s="48" t="s">
        <v>140</v>
      </c>
      <c r="B14" s="48" t="s">
        <v>142</v>
      </c>
      <c r="C14" s="48" t="s">
        <v>140</v>
      </c>
      <c r="D14" s="48" t="s">
        <v>1420</v>
      </c>
      <c r="E14" s="48" t="s">
        <v>612</v>
      </c>
      <c r="F14" s="48" t="s">
        <v>613</v>
      </c>
      <c r="G14" s="48" t="s">
        <v>615</v>
      </c>
      <c r="H14" s="48" t="s">
        <v>73</v>
      </c>
      <c r="I14" s="51">
        <v>3.97</v>
      </c>
      <c r="J14" s="50">
        <v>1</v>
      </c>
      <c r="K14" s="50">
        <v>3.97</v>
      </c>
      <c r="L14" s="122">
        <v>3.97</v>
      </c>
      <c r="M14" s="122">
        <v>3.97</v>
      </c>
      <c r="N14" s="500">
        <v>3.97</v>
      </c>
      <c r="O14" s="51">
        <v>100</v>
      </c>
      <c r="P14" s="48" t="s">
        <v>12</v>
      </c>
      <c r="Q14" s="48" t="s">
        <v>73</v>
      </c>
      <c r="R14" s="48" t="s">
        <v>583</v>
      </c>
      <c r="S14" s="54">
        <f>IF(G14="HSBCLF_01C",K14*0.01%,0)</f>
        <v>3.9700000000000005E-4</v>
      </c>
      <c r="T14" s="48" t="str">
        <f t="shared" si="0"/>
        <v>USD</v>
      </c>
      <c r="U14" s="62">
        <f>S14*R14</f>
        <v>3.9700000000000005E-4</v>
      </c>
      <c r="V14" s="63">
        <f>U14*O14/100</f>
        <v>3.9700000000000005E-4</v>
      </c>
    </row>
    <row r="15" spans="1:22">
      <c r="A15" s="48" t="s">
        <v>140</v>
      </c>
      <c r="B15" s="48" t="s">
        <v>142</v>
      </c>
      <c r="C15" s="48" t="s">
        <v>140</v>
      </c>
      <c r="D15" s="48" t="s">
        <v>616</v>
      </c>
      <c r="E15" s="48" t="s">
        <v>617</v>
      </c>
      <c r="F15" s="48" t="s">
        <v>618</v>
      </c>
      <c r="G15" s="48" t="s">
        <v>619</v>
      </c>
      <c r="H15" s="48" t="s">
        <v>70</v>
      </c>
      <c r="I15" s="51">
        <v>128883.9722</v>
      </c>
      <c r="J15" s="50">
        <v>47.86</v>
      </c>
      <c r="K15" s="50">
        <v>6167910.04</v>
      </c>
      <c r="L15" s="122">
        <v>188469.23</v>
      </c>
      <c r="M15" s="122">
        <v>6167910.04</v>
      </c>
      <c r="N15" s="500">
        <v>188469.23</v>
      </c>
      <c r="O15" s="51">
        <v>100</v>
      </c>
      <c r="P15" s="48" t="s">
        <v>12</v>
      </c>
      <c r="Q15" s="48" t="s">
        <v>70</v>
      </c>
      <c r="R15" s="48" t="s">
        <v>1591</v>
      </c>
      <c r="S15" s="54"/>
      <c r="U15" s="62"/>
      <c r="V15" s="63"/>
    </row>
    <row r="16" spans="1:22">
      <c r="A16" s="48" t="s">
        <v>186</v>
      </c>
      <c r="B16" s="48" t="s">
        <v>188</v>
      </c>
      <c r="C16" s="48" t="s">
        <v>186</v>
      </c>
      <c r="D16" s="48" t="s">
        <v>616</v>
      </c>
      <c r="E16" s="48" t="s">
        <v>617</v>
      </c>
      <c r="F16" s="48" t="s">
        <v>618</v>
      </c>
      <c r="G16" s="48" t="s">
        <v>619</v>
      </c>
      <c r="H16" s="48" t="s">
        <v>70</v>
      </c>
      <c r="I16" s="51">
        <v>2685.0828000000001</v>
      </c>
      <c r="J16" s="50">
        <v>47.86</v>
      </c>
      <c r="K16" s="50">
        <v>128498.13</v>
      </c>
      <c r="L16" s="122">
        <v>3926.44</v>
      </c>
      <c r="M16" s="122">
        <v>128498.13</v>
      </c>
      <c r="N16" s="500">
        <v>3926.44</v>
      </c>
      <c r="O16" s="51">
        <v>100</v>
      </c>
      <c r="P16" s="48" t="s">
        <v>68</v>
      </c>
      <c r="Q16" s="48" t="s">
        <v>70</v>
      </c>
      <c r="R16" s="48" t="s">
        <v>1591</v>
      </c>
      <c r="S16" s="54"/>
      <c r="U16" s="62"/>
      <c r="V16" s="63"/>
    </row>
    <row r="17" spans="1:22">
      <c r="A17" s="48" t="s">
        <v>262</v>
      </c>
      <c r="B17" s="48" t="s">
        <v>264</v>
      </c>
      <c r="C17" s="48" t="s">
        <v>262</v>
      </c>
      <c r="D17" s="48" t="s">
        <v>616</v>
      </c>
      <c r="E17" s="48" t="s">
        <v>617</v>
      </c>
      <c r="F17" s="48" t="s">
        <v>618</v>
      </c>
      <c r="G17" s="48" t="s">
        <v>619</v>
      </c>
      <c r="H17" s="48" t="s">
        <v>70</v>
      </c>
      <c r="I17" s="51">
        <v>2685.0828000000001</v>
      </c>
      <c r="J17" s="50">
        <v>47.86</v>
      </c>
      <c r="K17" s="50">
        <v>128498.13</v>
      </c>
      <c r="L17" s="122">
        <v>3926.44</v>
      </c>
      <c r="M17" s="122">
        <v>128498.13</v>
      </c>
      <c r="N17" s="500">
        <v>3926.44</v>
      </c>
      <c r="O17" s="51">
        <v>100</v>
      </c>
      <c r="P17" s="48" t="s">
        <v>68</v>
      </c>
      <c r="Q17" s="48" t="s">
        <v>70</v>
      </c>
      <c r="R17" s="48" t="s">
        <v>1591</v>
      </c>
      <c r="S17" s="54"/>
      <c r="U17" s="62"/>
    </row>
    <row r="18" spans="1:22" s="271" customFormat="1">
      <c r="I18" s="272"/>
      <c r="J18" s="273"/>
      <c r="K18" s="273"/>
      <c r="L18" s="274"/>
      <c r="M18" s="274"/>
      <c r="N18" s="274"/>
      <c r="O18" s="272"/>
      <c r="S18" s="274">
        <f>IF(G18="KFSPLUS",K18*0.38%,0)</f>
        <v>0</v>
      </c>
      <c r="T18" s="271">
        <f t="shared" si="0"/>
        <v>0</v>
      </c>
      <c r="U18" s="275">
        <f>S18*R18</f>
        <v>0</v>
      </c>
      <c r="V18" s="276">
        <f>U18*O18/100</f>
        <v>0</v>
      </c>
    </row>
    <row r="19" spans="1:22">
      <c r="L19" s="54"/>
      <c r="M19" s="54"/>
    </row>
    <row r="20" spans="1:22">
      <c r="L20" s="54"/>
      <c r="M20" s="54"/>
    </row>
    <row r="21" spans="1:22">
      <c r="I21" s="119"/>
    </row>
    <row r="22" spans="1:22">
      <c r="D22" s="235"/>
    </row>
    <row r="24" spans="1:22">
      <c r="Q24" s="71"/>
    </row>
    <row r="25" spans="1:22" s="319" customFormat="1">
      <c r="B25" s="320" t="s">
        <v>968</v>
      </c>
      <c r="N25" s="321"/>
      <c r="Q25" s="322"/>
    </row>
    <row r="26" spans="1:22" s="312" customFormat="1" ht="36.5" customHeight="1">
      <c r="A26" s="312" t="s">
        <v>122</v>
      </c>
      <c r="B26" s="312" t="s">
        <v>124</v>
      </c>
      <c r="C26" s="317" t="s">
        <v>134</v>
      </c>
      <c r="D26" s="312" t="s">
        <v>588</v>
      </c>
      <c r="E26" s="331" t="s">
        <v>970</v>
      </c>
      <c r="F26" s="313"/>
      <c r="L26" s="314"/>
      <c r="M26" s="315"/>
      <c r="N26" s="316"/>
    </row>
    <row r="27" spans="1:22" s="362" customFormat="1" ht="18.75" customHeight="1">
      <c r="A27" s="362" t="s">
        <v>73</v>
      </c>
      <c r="C27" s="363"/>
      <c r="E27" s="364"/>
      <c r="F27" s="365"/>
      <c r="L27" s="366"/>
      <c r="M27" s="367"/>
      <c r="N27" s="368"/>
    </row>
    <row r="28" spans="1:22" s="304" customFormat="1">
      <c r="A28" s="580" t="s">
        <v>446</v>
      </c>
      <c r="B28" s="580" t="s">
        <v>457</v>
      </c>
      <c r="C28" s="581">
        <f>VLOOKUP(B28,Deposit!$C$2:$M$207,11,FALSE)/10^6</f>
        <v>115.33029558</v>
      </c>
      <c r="D28" s="582">
        <f>VLOOKUP(B28,Deposit!T:U,2,0)</f>
        <v>3.0000000000000001E-3</v>
      </c>
      <c r="E28" s="580"/>
      <c r="F28" s="583" t="s">
        <v>1608</v>
      </c>
      <c r="I28" s="307"/>
      <c r="J28" s="308"/>
      <c r="K28" s="307"/>
      <c r="L28" s="305"/>
      <c r="M28" s="306"/>
      <c r="N28" s="257"/>
      <c r="P28" s="309"/>
      <c r="S28" s="310"/>
    </row>
    <row r="29" spans="1:22" s="304" customFormat="1">
      <c r="A29" s="304" t="s">
        <v>446</v>
      </c>
      <c r="C29" s="311">
        <f>IF(C28&gt;100,100,0)</f>
        <v>100</v>
      </c>
      <c r="D29" s="323">
        <v>3.0000000000000001E-3</v>
      </c>
      <c r="E29" s="332"/>
      <c r="F29" s="307"/>
      <c r="I29" s="307"/>
      <c r="J29" s="308"/>
      <c r="K29" s="307"/>
      <c r="L29" s="305"/>
      <c r="M29" s="306"/>
      <c r="N29" s="257"/>
      <c r="P29" s="309"/>
      <c r="S29" s="310"/>
    </row>
    <row r="30" spans="1:22" s="304" customFormat="1">
      <c r="A30" s="304" t="s">
        <v>446</v>
      </c>
      <c r="C30" s="311">
        <f>IF(C28&gt;100,C28-100,0)</f>
        <v>15.330295579999998</v>
      </c>
      <c r="D30" s="323">
        <v>2.5000000000000001E-3</v>
      </c>
      <c r="E30" s="332"/>
      <c r="F30" s="307"/>
      <c r="I30" s="307"/>
      <c r="J30" s="308"/>
      <c r="K30" s="307"/>
      <c r="L30" s="305"/>
      <c r="M30" s="306"/>
      <c r="N30" s="257"/>
      <c r="P30" s="309"/>
      <c r="S30" s="310"/>
    </row>
    <row r="31" spans="1:22" s="304" customFormat="1">
      <c r="A31" s="304" t="s">
        <v>446</v>
      </c>
      <c r="B31" s="304" t="s">
        <v>452</v>
      </c>
      <c r="C31" s="311">
        <f>VLOOKUP(B31,Deposit!$C$2:$M$207,11,FALSE)/10^6</f>
        <v>0.19493395999999999</v>
      </c>
      <c r="D31" s="323">
        <f>VLOOKUP(B31,Deposit!T:U,2,0)</f>
        <v>1E-4</v>
      </c>
      <c r="E31" s="332"/>
      <c r="F31" s="307"/>
      <c r="I31" s="307"/>
      <c r="J31" s="308"/>
      <c r="K31" s="307"/>
      <c r="L31" s="305"/>
      <c r="M31" s="306"/>
      <c r="N31" s="257"/>
      <c r="S31" s="310"/>
    </row>
    <row r="32" spans="1:22" s="304" customFormat="1">
      <c r="A32" s="304" t="s">
        <v>140</v>
      </c>
      <c r="B32" s="304" t="s">
        <v>558</v>
      </c>
      <c r="C32" s="311">
        <f>VLOOKUP(B32,Deposit!$C$2:$M$207,11,FALSE)/10^6</f>
        <v>201.42679409000002</v>
      </c>
      <c r="D32" s="323">
        <f>VLOOKUP(B32,Deposit!T:U,2,0)</f>
        <v>3.5000000000000001E-3</v>
      </c>
      <c r="E32" s="332">
        <v>200</v>
      </c>
      <c r="F32" s="307" t="s">
        <v>974</v>
      </c>
      <c r="I32" s="307"/>
      <c r="J32" s="308"/>
      <c r="K32" s="307"/>
      <c r="N32" s="257"/>
      <c r="S32" s="310"/>
    </row>
    <row r="33" spans="1:19" s="304" customFormat="1">
      <c r="A33" s="475">
        <v>1086</v>
      </c>
      <c r="B33" s="474" t="s">
        <v>1396</v>
      </c>
      <c r="C33" s="311">
        <f>VLOOKUP(B33,Deposit!$C$2:$M$207,11,FALSE)/10^6</f>
        <v>174.34993327000001</v>
      </c>
      <c r="D33" s="323">
        <v>2E-3</v>
      </c>
      <c r="E33" s="332"/>
      <c r="F33" s="307"/>
      <c r="I33" s="307"/>
      <c r="J33" s="308"/>
      <c r="K33" s="307"/>
      <c r="N33" s="257"/>
      <c r="S33" s="310"/>
    </row>
    <row r="34" spans="1:19">
      <c r="B34" s="48" t="s">
        <v>167</v>
      </c>
      <c r="D34" s="71">
        <v>1E-3</v>
      </c>
      <c r="E34" s="332"/>
    </row>
    <row r="36" spans="1:19" ht="14" thickBot="1">
      <c r="C36" s="318">
        <f>SUM(C29:C33)</f>
        <v>491.30195689999999</v>
      </c>
      <c r="D36" s="330">
        <f>SUMPRODUCT(C29:C33,D29:D33)/C36</f>
        <v>2.8333672574488377E-3</v>
      </c>
    </row>
    <row r="37" spans="1:19" s="362" customFormat="1">
      <c r="A37" s="362" t="s">
        <v>70</v>
      </c>
      <c r="N37" s="368"/>
    </row>
    <row r="40" spans="1:19">
      <c r="A40" s="304" t="s">
        <v>446</v>
      </c>
      <c r="B40" s="304" t="s">
        <v>459</v>
      </c>
      <c r="C40" s="311">
        <f>ROUNDUP(VLOOKUP(B40,Deposit!$C$2:$M$207,11,FALSE)/10^6,1)</f>
        <v>0.1</v>
      </c>
      <c r="D40" s="323">
        <f>VLOOKUP(B40,Deposit!T:U,2,0)</f>
        <v>4.0000000000000001E-3</v>
      </c>
      <c r="E40" s="332">
        <v>100</v>
      </c>
      <c r="F40" s="307" t="s">
        <v>975</v>
      </c>
    </row>
    <row r="42" spans="1:19">
      <c r="C42" s="62"/>
    </row>
  </sheetData>
  <autoFilter ref="A11:V18" xr:uid="{5D70BA53-AA7C-4874-BEFA-C242F723BD5B}"/>
  <pageMargins left="0.75" right="0.75" top="1" bottom="1" header="0.5" footer="0.5"/>
  <headerFooter alignWithMargins="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7302B-E3C0-4328-A5C5-672224086DB8}">
  <sheetPr filterMode="1">
    <tabColor rgb="FF00B050"/>
  </sheetPr>
  <dimension ref="A1:AB40"/>
  <sheetViews>
    <sheetView zoomScale="85" zoomScaleNormal="85" workbookViewId="0">
      <selection activeCell="E5" sqref="E5"/>
    </sheetView>
  </sheetViews>
  <sheetFormatPr baseColWidth="10" defaultColWidth="9" defaultRowHeight="13"/>
  <cols>
    <col min="1" max="1" width="13.5" style="48" customWidth="1"/>
    <col min="2" max="2" width="20" style="48" customWidth="1"/>
    <col min="3" max="3" width="8" style="48" customWidth="1"/>
    <col min="4" max="4" width="21.33203125" style="48" customWidth="1"/>
    <col min="5" max="5" width="11" style="48" bestFit="1" customWidth="1"/>
    <col min="6" max="6" width="13.33203125" style="48" customWidth="1"/>
    <col min="7" max="7" width="7.83203125" style="48" customWidth="1"/>
    <col min="8" max="8" width="14.83203125" style="48" bestFit="1" customWidth="1"/>
    <col min="9" max="9" width="16.83203125" style="48" customWidth="1"/>
    <col min="10" max="10" width="13" style="48" bestFit="1" customWidth="1"/>
    <col min="11" max="11" width="15" style="48" bestFit="1" customWidth="1"/>
    <col min="12" max="12" width="7" style="48" customWidth="1"/>
    <col min="13" max="13" width="14.6640625" style="48" bestFit="1" customWidth="1"/>
    <col min="14" max="14" width="12.6640625" style="48" customWidth="1"/>
    <col min="15" max="15" width="16.1640625" style="48" bestFit="1" customWidth="1"/>
    <col min="16" max="16" width="15" style="48" bestFit="1" customWidth="1"/>
    <col min="17" max="17" width="17" style="54" bestFit="1" customWidth="1"/>
    <col min="18" max="18" width="18.1640625" style="257" customWidth="1"/>
    <col min="19" max="19" width="14" style="48" bestFit="1" customWidth="1"/>
    <col min="20" max="20" width="14.6640625" style="48" bestFit="1" customWidth="1"/>
    <col min="21" max="21" width="15" style="48" bestFit="1" customWidth="1"/>
    <col min="22" max="22" width="25" style="48" bestFit="1" customWidth="1"/>
    <col min="23" max="23" width="15" style="48" bestFit="1" customWidth="1"/>
    <col min="24" max="24" width="14.6640625" style="48" bestFit="1" customWidth="1"/>
    <col min="25" max="25" width="9" style="48"/>
    <col min="26" max="26" width="14.6640625" style="48" customWidth="1"/>
    <col min="27" max="27" width="14" style="48" bestFit="1" customWidth="1"/>
    <col min="28" max="16384" width="9" style="48"/>
  </cols>
  <sheetData>
    <row r="1" spans="1:28">
      <c r="A1" s="60" t="s">
        <v>586</v>
      </c>
    </row>
    <row r="2" spans="1:28">
      <c r="C2" s="61" t="s">
        <v>113</v>
      </c>
      <c r="G2" s="48" t="s">
        <v>596</v>
      </c>
      <c r="H2" s="48" t="s">
        <v>597</v>
      </c>
      <c r="I2" s="48" t="s">
        <v>598</v>
      </c>
    </row>
    <row r="3" spans="1:28" ht="15">
      <c r="A3" s="69" t="s">
        <v>587</v>
      </c>
      <c r="B3" s="69"/>
      <c r="C3" s="69" t="s">
        <v>590</v>
      </c>
      <c r="D3" s="69" t="s">
        <v>588</v>
      </c>
      <c r="E3" s="69" t="s">
        <v>591</v>
      </c>
      <c r="G3" s="48" t="s">
        <v>592</v>
      </c>
      <c r="H3" s="64">
        <f>C5</f>
        <v>894.07760838999991</v>
      </c>
      <c r="I3" s="71">
        <f>E5</f>
        <v>4.3848293172652373E-3</v>
      </c>
      <c r="K3" s="74" t="s">
        <v>621</v>
      </c>
    </row>
    <row r="4" spans="1:28">
      <c r="A4" s="48" t="s">
        <v>578</v>
      </c>
      <c r="B4" s="48" t="s">
        <v>577</v>
      </c>
      <c r="C4" s="56">
        <f>SUMIFS($R$10:$R$25,$E$10:$E$25,$A$4,$AB$10:$AB$25,$B$4)/10^6</f>
        <v>0</v>
      </c>
      <c r="D4" s="66">
        <f>SUMIF($AB$10:$AB$24,B4,$AA$10:$AA$24)/10^6</f>
        <v>0</v>
      </c>
      <c r="E4" s="68" t="e">
        <f>D4/C4</f>
        <v>#DIV/0!</v>
      </c>
      <c r="G4" s="48" t="s">
        <v>593</v>
      </c>
      <c r="H4" s="48">
        <v>0</v>
      </c>
      <c r="I4" s="67"/>
    </row>
    <row r="5" spans="1:28">
      <c r="A5" s="48" t="s">
        <v>578</v>
      </c>
      <c r="B5" s="48" t="s">
        <v>581</v>
      </c>
      <c r="C5" s="56">
        <f>SUMIFS($R$10:$R$27,$E$10:$E$27,A5,$AB$10:$AB$27,B5)/10^6</f>
        <v>894.07760838999991</v>
      </c>
      <c r="D5" s="66">
        <f>SUMIF($AB$9:$AB$27,B5,$AA$9:$AA$27)/10^6</f>
        <v>3.9203777091788594</v>
      </c>
      <c r="E5" s="68">
        <f>D5/C5</f>
        <v>4.3848293172652373E-3</v>
      </c>
      <c r="G5" s="48" t="s">
        <v>594</v>
      </c>
      <c r="H5" s="48">
        <v>0</v>
      </c>
      <c r="I5" s="67"/>
    </row>
    <row r="6" spans="1:28" ht="14" thickBot="1">
      <c r="C6" s="65">
        <f>SUM(C4:C5)</f>
        <v>894.07760838999991</v>
      </c>
      <c r="D6" s="65">
        <f>SUM(D4:D5)</f>
        <v>3.9203777091788594</v>
      </c>
      <c r="E6" s="70">
        <f>D6/C6</f>
        <v>4.3848293172652373E-3</v>
      </c>
      <c r="G6" s="48" t="s">
        <v>595</v>
      </c>
      <c r="H6" s="48">
        <v>0</v>
      </c>
      <c r="I6" s="67"/>
    </row>
    <row r="7" spans="1:28" ht="12.75" customHeight="1">
      <c r="X7" s="593" t="s">
        <v>973</v>
      </c>
      <c r="Y7" s="593"/>
      <c r="Z7" s="593"/>
      <c r="AA7" s="593"/>
    </row>
    <row r="8" spans="1:28">
      <c r="O8" s="257">
        <f>SUBTOTAL(9,O9:O31)</f>
        <v>715157147.57999992</v>
      </c>
      <c r="R8" s="257">
        <f>SUBTOTAL(9,R9:R33)</f>
        <v>715157147.57999992</v>
      </c>
      <c r="Z8" s="341">
        <f>SUBTOTAL(9,Z9:Z22)</f>
        <v>1610551.0748549998</v>
      </c>
      <c r="AA8" s="341">
        <f>SUBTOTAL(9,AA9:AA22)</f>
        <v>1610551.0748549998</v>
      </c>
    </row>
    <row r="9" spans="1:28" ht="42">
      <c r="A9" s="46" t="s">
        <v>122</v>
      </c>
      <c r="B9" s="47" t="s">
        <v>127</v>
      </c>
      <c r="C9" s="46" t="s">
        <v>561</v>
      </c>
      <c r="D9" s="46" t="s">
        <v>562</v>
      </c>
      <c r="E9" s="46" t="s">
        <v>563</v>
      </c>
      <c r="F9" s="46" t="s">
        <v>564</v>
      </c>
      <c r="G9" s="47" t="s">
        <v>565</v>
      </c>
      <c r="H9" s="46" t="s">
        <v>566</v>
      </c>
      <c r="I9" s="46" t="s">
        <v>567</v>
      </c>
      <c r="J9" s="46" t="s">
        <v>568</v>
      </c>
      <c r="K9" s="46" t="s">
        <v>138</v>
      </c>
      <c r="L9" s="46" t="s">
        <v>137</v>
      </c>
      <c r="M9" s="47" t="s">
        <v>569</v>
      </c>
      <c r="N9" s="46" t="s">
        <v>570</v>
      </c>
      <c r="O9" s="46" t="s">
        <v>571</v>
      </c>
      <c r="P9" s="46" t="s">
        <v>572</v>
      </c>
      <c r="Q9" s="296" t="s">
        <v>573</v>
      </c>
      <c r="R9" s="295" t="s">
        <v>574</v>
      </c>
      <c r="S9" s="46" t="s">
        <v>136</v>
      </c>
      <c r="T9" s="47" t="s">
        <v>130</v>
      </c>
      <c r="U9" s="46" t="s">
        <v>575</v>
      </c>
      <c r="V9" s="46" t="s">
        <v>576</v>
      </c>
      <c r="W9" s="46" t="s">
        <v>9</v>
      </c>
      <c r="X9" s="58" t="s">
        <v>588</v>
      </c>
      <c r="Y9" s="58" t="s">
        <v>103</v>
      </c>
      <c r="Z9" s="58" t="s">
        <v>571</v>
      </c>
      <c r="AA9" s="58" t="s">
        <v>589</v>
      </c>
    </row>
    <row r="10" spans="1:28">
      <c r="A10" s="48" t="s">
        <v>140</v>
      </c>
      <c r="B10" s="48" t="s">
        <v>73</v>
      </c>
      <c r="C10" s="48" t="s">
        <v>580</v>
      </c>
      <c r="D10" s="48" t="s">
        <v>581</v>
      </c>
      <c r="E10" s="48" t="s">
        <v>578</v>
      </c>
      <c r="F10" s="48" t="s">
        <v>1230</v>
      </c>
      <c r="G10" s="253">
        <v>2</v>
      </c>
      <c r="H10" s="254">
        <v>44596</v>
      </c>
      <c r="I10" s="254">
        <v>44656</v>
      </c>
      <c r="J10" s="254">
        <v>44596</v>
      </c>
      <c r="K10" s="48" t="s">
        <v>142</v>
      </c>
      <c r="L10" s="48" t="s">
        <v>140</v>
      </c>
      <c r="M10" s="119">
        <v>100114533.25</v>
      </c>
      <c r="N10" s="255">
        <v>0.36</v>
      </c>
      <c r="O10" s="283">
        <v>100114533.25</v>
      </c>
      <c r="P10" s="256">
        <v>100</v>
      </c>
      <c r="Q10" s="283">
        <v>100114533.25</v>
      </c>
      <c r="R10" s="574">
        <v>100114533.25</v>
      </c>
      <c r="S10" s="48" t="s">
        <v>12</v>
      </c>
      <c r="T10" s="48" t="s">
        <v>73</v>
      </c>
      <c r="U10" s="48" t="s">
        <v>1500</v>
      </c>
      <c r="V10" s="48" t="s">
        <v>0</v>
      </c>
      <c r="W10" s="48" t="s">
        <v>583</v>
      </c>
      <c r="X10" s="54">
        <f t="shared" ref="X10:X26" si="0">M10*N10/100</f>
        <v>360412.31969999999</v>
      </c>
      <c r="Y10" s="48" t="str">
        <f t="shared" ref="Y10:Y26" si="1">B10</f>
        <v>USD</v>
      </c>
      <c r="Z10" s="62">
        <f t="shared" ref="Z10:Z26" si="2">X10*W10</f>
        <v>360412.31969999999</v>
      </c>
      <c r="AA10" s="63">
        <f t="shared" ref="AA10:AA26" si="3">Z10*P10/100</f>
        <v>360412.31969999999</v>
      </c>
      <c r="AB10" s="48" t="str">
        <f t="shared" ref="AB10:AB26" si="4">IF(D10=$B$5,$B$5,$B$4)</f>
        <v>Fixed-Term Deposit</v>
      </c>
    </row>
    <row r="11" spans="1:28">
      <c r="A11" s="48" t="s">
        <v>446</v>
      </c>
      <c r="B11" s="48" t="s">
        <v>73</v>
      </c>
      <c r="C11" s="48" t="s">
        <v>580</v>
      </c>
      <c r="D11" s="48" t="s">
        <v>581</v>
      </c>
      <c r="E11" s="48" t="s">
        <v>578</v>
      </c>
      <c r="F11" s="48" t="s">
        <v>1501</v>
      </c>
      <c r="G11" s="52">
        <v>2</v>
      </c>
      <c r="H11" s="49">
        <v>44593</v>
      </c>
      <c r="I11" s="49">
        <v>44655</v>
      </c>
      <c r="J11" s="49">
        <v>44593</v>
      </c>
      <c r="K11" s="48" t="s">
        <v>448</v>
      </c>
      <c r="L11" s="48" t="s">
        <v>446</v>
      </c>
      <c r="M11" s="122">
        <v>100000000</v>
      </c>
      <c r="N11" s="325">
        <v>0.35</v>
      </c>
      <c r="O11" s="50">
        <v>100000000</v>
      </c>
      <c r="P11" s="51">
        <v>100</v>
      </c>
      <c r="Q11" s="122">
        <v>100000000</v>
      </c>
      <c r="R11" s="575">
        <v>100000000</v>
      </c>
      <c r="S11" s="48" t="s">
        <v>12</v>
      </c>
      <c r="T11" s="48" t="s">
        <v>73</v>
      </c>
      <c r="U11" s="48" t="s">
        <v>1502</v>
      </c>
      <c r="V11" s="48" t="s">
        <v>0</v>
      </c>
      <c r="W11" s="48" t="s">
        <v>583</v>
      </c>
      <c r="X11" s="54">
        <f t="shared" si="0"/>
        <v>350000</v>
      </c>
      <c r="Y11" s="48" t="str">
        <f t="shared" si="1"/>
        <v>USD</v>
      </c>
      <c r="Z11" s="62">
        <f t="shared" si="2"/>
        <v>350000</v>
      </c>
      <c r="AA11" s="63">
        <f t="shared" si="3"/>
        <v>350000</v>
      </c>
      <c r="AB11" s="48" t="str">
        <f t="shared" si="4"/>
        <v>Fixed-Term Deposit</v>
      </c>
    </row>
    <row r="12" spans="1:28" s="304" customFormat="1">
      <c r="A12" s="48" t="s">
        <v>140</v>
      </c>
      <c r="B12" s="48" t="s">
        <v>73</v>
      </c>
      <c r="C12" s="48" t="s">
        <v>580</v>
      </c>
      <c r="D12" s="48" t="s">
        <v>581</v>
      </c>
      <c r="E12" s="48" t="s">
        <v>578</v>
      </c>
      <c r="F12" s="48" t="s">
        <v>723</v>
      </c>
      <c r="G12" s="253">
        <v>3</v>
      </c>
      <c r="H12" s="254">
        <v>44560</v>
      </c>
      <c r="I12" s="254">
        <v>44651</v>
      </c>
      <c r="J12" s="254">
        <v>44560</v>
      </c>
      <c r="K12" s="48" t="s">
        <v>142</v>
      </c>
      <c r="L12" s="48" t="s">
        <v>140</v>
      </c>
      <c r="M12" s="119">
        <v>100000000</v>
      </c>
      <c r="N12" s="255">
        <v>0.5</v>
      </c>
      <c r="O12" s="283">
        <v>100000000</v>
      </c>
      <c r="P12" s="256">
        <v>100</v>
      </c>
      <c r="Q12" s="283">
        <v>100000000</v>
      </c>
      <c r="R12" s="341">
        <v>100000000</v>
      </c>
      <c r="S12" s="48" t="s">
        <v>12</v>
      </c>
      <c r="T12" s="48" t="s">
        <v>73</v>
      </c>
      <c r="U12" s="48" t="s">
        <v>1417</v>
      </c>
      <c r="V12" s="48" t="s">
        <v>0</v>
      </c>
      <c r="W12" s="48" t="s">
        <v>583</v>
      </c>
      <c r="X12" s="54">
        <f t="shared" si="0"/>
        <v>500000</v>
      </c>
      <c r="Y12" s="48" t="str">
        <f t="shared" si="1"/>
        <v>USD</v>
      </c>
      <c r="Z12" s="62">
        <f t="shared" si="2"/>
        <v>500000</v>
      </c>
      <c r="AA12" s="63">
        <f t="shared" si="3"/>
        <v>500000</v>
      </c>
      <c r="AB12" s="48" t="str">
        <f t="shared" si="4"/>
        <v>Fixed-Term Deposit</v>
      </c>
    </row>
    <row r="13" spans="1:28">
      <c r="A13" s="48" t="s">
        <v>446</v>
      </c>
      <c r="B13" s="48" t="s">
        <v>73</v>
      </c>
      <c r="C13" s="48" t="s">
        <v>580</v>
      </c>
      <c r="D13" s="48" t="s">
        <v>581</v>
      </c>
      <c r="E13" s="48" t="s">
        <v>578</v>
      </c>
      <c r="F13" s="48" t="s">
        <v>727</v>
      </c>
      <c r="G13" s="52">
        <v>3</v>
      </c>
      <c r="H13" s="49">
        <v>44560</v>
      </c>
      <c r="I13" s="49">
        <v>44651</v>
      </c>
      <c r="J13" s="49">
        <v>44560</v>
      </c>
      <c r="K13" s="48" t="s">
        <v>448</v>
      </c>
      <c r="L13" s="48" t="s">
        <v>446</v>
      </c>
      <c r="M13" s="122">
        <v>10000000</v>
      </c>
      <c r="N13" s="59">
        <v>0.5</v>
      </c>
      <c r="O13" s="122">
        <v>10000000</v>
      </c>
      <c r="P13" s="51">
        <v>100</v>
      </c>
      <c r="Q13" s="122">
        <v>10000000</v>
      </c>
      <c r="R13" s="575">
        <v>10000000</v>
      </c>
      <c r="S13" s="48" t="s">
        <v>12</v>
      </c>
      <c r="T13" s="48" t="s">
        <v>73</v>
      </c>
      <c r="U13" s="48" t="s">
        <v>1419</v>
      </c>
      <c r="V13" s="48" t="s">
        <v>0</v>
      </c>
      <c r="W13" s="48" t="s">
        <v>583</v>
      </c>
      <c r="X13" s="54">
        <f t="shared" si="0"/>
        <v>50000</v>
      </c>
      <c r="Y13" s="48" t="str">
        <f t="shared" si="1"/>
        <v>USD</v>
      </c>
      <c r="Z13" s="62">
        <f t="shared" si="2"/>
        <v>50000</v>
      </c>
      <c r="AA13" s="63">
        <f t="shared" si="3"/>
        <v>50000</v>
      </c>
      <c r="AB13" s="48" t="str">
        <f t="shared" si="4"/>
        <v>Fixed-Term Deposit</v>
      </c>
    </row>
    <row r="14" spans="1:28" hidden="1">
      <c r="A14" s="48" t="s">
        <v>277</v>
      </c>
      <c r="B14" s="48" t="s">
        <v>73</v>
      </c>
      <c r="C14" s="48" t="s">
        <v>580</v>
      </c>
      <c r="D14" s="48" t="s">
        <v>581</v>
      </c>
      <c r="E14" s="48" t="s">
        <v>578</v>
      </c>
      <c r="F14" s="48" t="s">
        <v>1389</v>
      </c>
      <c r="G14" s="253">
        <v>3</v>
      </c>
      <c r="H14" s="254">
        <v>44530</v>
      </c>
      <c r="I14" s="254">
        <v>44622</v>
      </c>
      <c r="J14" s="254">
        <v>44530</v>
      </c>
      <c r="K14" s="48" t="s">
        <v>279</v>
      </c>
      <c r="L14" s="48" t="s">
        <v>277</v>
      </c>
      <c r="M14" s="119">
        <v>20000000</v>
      </c>
      <c r="N14" s="255">
        <v>0.45</v>
      </c>
      <c r="O14" s="283">
        <v>20000000</v>
      </c>
      <c r="P14" s="256">
        <v>53.949599999999997</v>
      </c>
      <c r="Q14" s="283">
        <v>10789920</v>
      </c>
      <c r="R14" s="518">
        <v>10789920</v>
      </c>
      <c r="S14" s="48" t="s">
        <v>14</v>
      </c>
      <c r="T14" s="48" t="s">
        <v>73</v>
      </c>
      <c r="U14" s="48" t="s">
        <v>1390</v>
      </c>
      <c r="V14" s="48" t="s">
        <v>0</v>
      </c>
      <c r="W14" s="48" t="s">
        <v>583</v>
      </c>
      <c r="X14" s="54">
        <f t="shared" si="0"/>
        <v>90000</v>
      </c>
      <c r="Y14" s="48" t="str">
        <f t="shared" si="1"/>
        <v>USD</v>
      </c>
      <c r="Z14" s="62">
        <f t="shared" si="2"/>
        <v>90000</v>
      </c>
      <c r="AA14" s="63">
        <f t="shared" si="3"/>
        <v>48554.64</v>
      </c>
      <c r="AB14" s="48" t="str">
        <f t="shared" si="4"/>
        <v>Fixed-Term Deposit</v>
      </c>
    </row>
    <row r="15" spans="1:28" hidden="1">
      <c r="A15" s="48" t="s">
        <v>277</v>
      </c>
      <c r="B15" s="48" t="s">
        <v>73</v>
      </c>
      <c r="C15" s="48" t="s">
        <v>580</v>
      </c>
      <c r="D15" s="48" t="s">
        <v>581</v>
      </c>
      <c r="E15" s="48" t="s">
        <v>578</v>
      </c>
      <c r="F15" s="48" t="s">
        <v>1389</v>
      </c>
      <c r="G15" s="52">
        <v>3</v>
      </c>
      <c r="H15" s="49">
        <v>44588</v>
      </c>
      <c r="I15" s="49">
        <v>44678</v>
      </c>
      <c r="J15" s="49">
        <v>44588</v>
      </c>
      <c r="K15" s="48" t="s">
        <v>279</v>
      </c>
      <c r="L15" s="48" t="s">
        <v>277</v>
      </c>
      <c r="M15" s="122">
        <v>25062851.07</v>
      </c>
      <c r="N15" s="325">
        <v>0.43</v>
      </c>
      <c r="O15" s="122">
        <v>25062851.07</v>
      </c>
      <c r="P15" s="51">
        <v>53.949599999999997</v>
      </c>
      <c r="Q15" s="122">
        <v>13521307.9</v>
      </c>
      <c r="R15" s="500">
        <v>13521307.9</v>
      </c>
      <c r="S15" s="48" t="s">
        <v>14</v>
      </c>
      <c r="T15" s="48" t="s">
        <v>73</v>
      </c>
      <c r="U15" s="48" t="s">
        <v>1493</v>
      </c>
      <c r="V15" s="48" t="s">
        <v>0</v>
      </c>
      <c r="W15" s="48" t="s">
        <v>583</v>
      </c>
      <c r="X15" s="54">
        <f t="shared" si="0"/>
        <v>107770.25960100001</v>
      </c>
      <c r="Y15" s="48" t="str">
        <f t="shared" si="1"/>
        <v>USD</v>
      </c>
      <c r="Z15" s="62">
        <f t="shared" si="2"/>
        <v>107770.25960100001</v>
      </c>
      <c r="AA15" s="63">
        <f t="shared" si="3"/>
        <v>58141.623973701106</v>
      </c>
      <c r="AB15" s="48" t="str">
        <f t="shared" si="4"/>
        <v>Fixed-Term Deposit</v>
      </c>
    </row>
    <row r="16" spans="1:28" hidden="1">
      <c r="A16" s="48" t="s">
        <v>277</v>
      </c>
      <c r="B16" s="48" t="s">
        <v>73</v>
      </c>
      <c r="C16" s="48" t="s">
        <v>580</v>
      </c>
      <c r="D16" s="48" t="s">
        <v>581</v>
      </c>
      <c r="E16" s="48" t="s">
        <v>578</v>
      </c>
      <c r="F16" s="48" t="s">
        <v>582</v>
      </c>
      <c r="G16" s="52">
        <v>3</v>
      </c>
      <c r="H16" s="49">
        <v>44599</v>
      </c>
      <c r="I16" s="49">
        <v>44690</v>
      </c>
      <c r="J16" s="49">
        <v>44599</v>
      </c>
      <c r="K16" s="48" t="s">
        <v>279</v>
      </c>
      <c r="L16" s="48" t="s">
        <v>277</v>
      </c>
      <c r="M16" s="122">
        <v>45146700.439999998</v>
      </c>
      <c r="N16" s="325">
        <v>0.49</v>
      </c>
      <c r="O16" s="122">
        <v>45146700.439999998</v>
      </c>
      <c r="P16" s="51">
        <v>53.949599999999997</v>
      </c>
      <c r="Q16" s="122">
        <v>24356464.300000001</v>
      </c>
      <c r="R16" s="500">
        <v>24356464.300000001</v>
      </c>
      <c r="S16" s="48" t="s">
        <v>14</v>
      </c>
      <c r="T16" s="48" t="s">
        <v>73</v>
      </c>
      <c r="U16" s="48" t="s">
        <v>1574</v>
      </c>
      <c r="V16" s="48" t="s">
        <v>0</v>
      </c>
      <c r="W16" s="48" t="s">
        <v>583</v>
      </c>
      <c r="X16" s="54">
        <f t="shared" si="0"/>
        <v>221218.83215599999</v>
      </c>
      <c r="Y16" s="48" t="str">
        <f t="shared" si="1"/>
        <v>USD</v>
      </c>
      <c r="Z16" s="62">
        <f t="shared" si="2"/>
        <v>221218.83215599999</v>
      </c>
      <c r="AA16" s="63">
        <f t="shared" si="3"/>
        <v>119346.67507283336</v>
      </c>
      <c r="AB16" s="48" t="str">
        <f t="shared" si="4"/>
        <v>Fixed-Term Deposit</v>
      </c>
    </row>
    <row r="17" spans="1:28" hidden="1">
      <c r="A17" s="48" t="s">
        <v>277</v>
      </c>
      <c r="B17" s="48" t="s">
        <v>73</v>
      </c>
      <c r="C17" s="48" t="s">
        <v>580</v>
      </c>
      <c r="D17" s="48" t="s">
        <v>581</v>
      </c>
      <c r="E17" s="48" t="s">
        <v>578</v>
      </c>
      <c r="F17" s="48" t="s">
        <v>582</v>
      </c>
      <c r="G17" s="253">
        <v>3</v>
      </c>
      <c r="H17" s="49">
        <v>44599</v>
      </c>
      <c r="I17" s="49">
        <v>44690</v>
      </c>
      <c r="J17" s="254">
        <v>44599</v>
      </c>
      <c r="K17" s="48" t="s">
        <v>279</v>
      </c>
      <c r="L17" s="48" t="s">
        <v>277</v>
      </c>
      <c r="M17" s="119">
        <v>195610978.99000001</v>
      </c>
      <c r="N17" s="255">
        <v>0.49</v>
      </c>
      <c r="O17" s="283">
        <v>195610978.99000001</v>
      </c>
      <c r="P17" s="256">
        <v>53.949599999999997</v>
      </c>
      <c r="Q17" s="283">
        <v>105531340.72</v>
      </c>
      <c r="R17" s="518">
        <v>105531340.72</v>
      </c>
      <c r="S17" s="48" t="s">
        <v>14</v>
      </c>
      <c r="T17" s="48" t="s">
        <v>73</v>
      </c>
      <c r="U17" s="48" t="s">
        <v>1575</v>
      </c>
      <c r="V17" s="48" t="s">
        <v>0</v>
      </c>
      <c r="W17" s="48" t="s">
        <v>583</v>
      </c>
      <c r="X17" s="54">
        <f t="shared" si="0"/>
        <v>958493.79705099994</v>
      </c>
      <c r="Y17" s="48" t="str">
        <f t="shared" si="1"/>
        <v>USD</v>
      </c>
      <c r="Z17" s="62">
        <f t="shared" si="2"/>
        <v>958493.79705099994</v>
      </c>
      <c r="AA17" s="63">
        <f t="shared" si="3"/>
        <v>517103.56953382626</v>
      </c>
      <c r="AB17" s="48" t="str">
        <f t="shared" si="4"/>
        <v>Fixed-Term Deposit</v>
      </c>
    </row>
    <row r="18" spans="1:28" hidden="1">
      <c r="A18" s="48" t="s">
        <v>277</v>
      </c>
      <c r="B18" s="48" t="s">
        <v>73</v>
      </c>
      <c r="C18" s="48" t="s">
        <v>580</v>
      </c>
      <c r="D18" s="48" t="s">
        <v>581</v>
      </c>
      <c r="E18" s="48" t="s">
        <v>578</v>
      </c>
      <c r="F18" s="48" t="s">
        <v>582</v>
      </c>
      <c r="G18" s="52">
        <v>3</v>
      </c>
      <c r="H18" s="49">
        <v>44599</v>
      </c>
      <c r="I18" s="49">
        <v>44690</v>
      </c>
      <c r="J18" s="49">
        <v>44599</v>
      </c>
      <c r="K18" s="48" t="s">
        <v>279</v>
      </c>
      <c r="L18" s="48" t="s">
        <v>277</v>
      </c>
      <c r="M18" s="122">
        <v>10022457.369999999</v>
      </c>
      <c r="N18" s="325">
        <v>0.49</v>
      </c>
      <c r="O18" s="122">
        <v>10022457.369999999</v>
      </c>
      <c r="P18" s="51">
        <v>53.949599999999997</v>
      </c>
      <c r="Q18" s="122">
        <v>5407075.6600000001</v>
      </c>
      <c r="R18" s="500">
        <v>5407075.6600000001</v>
      </c>
      <c r="S18" s="48" t="s">
        <v>14</v>
      </c>
      <c r="T18" s="48" t="s">
        <v>73</v>
      </c>
      <c r="U18" s="48" t="s">
        <v>1576</v>
      </c>
      <c r="V18" s="48" t="s">
        <v>0</v>
      </c>
      <c r="W18" s="48" t="s">
        <v>583</v>
      </c>
      <c r="X18" s="54">
        <f t="shared" si="0"/>
        <v>49110.041112999992</v>
      </c>
      <c r="Y18" s="48" t="str">
        <f t="shared" si="1"/>
        <v>USD</v>
      </c>
      <c r="Z18" s="62">
        <f t="shared" si="2"/>
        <v>49110.041112999992</v>
      </c>
      <c r="AA18" s="63">
        <f t="shared" si="3"/>
        <v>26494.670740299043</v>
      </c>
      <c r="AB18" s="48" t="str">
        <f t="shared" si="4"/>
        <v>Fixed-Term Deposit</v>
      </c>
    </row>
    <row r="19" spans="1:28" hidden="1">
      <c r="A19" s="48" t="s">
        <v>413</v>
      </c>
      <c r="B19" s="48" t="s">
        <v>415</v>
      </c>
      <c r="C19" s="48" t="s">
        <v>580</v>
      </c>
      <c r="D19" s="48" t="s">
        <v>581</v>
      </c>
      <c r="E19" s="48" t="s">
        <v>578</v>
      </c>
      <c r="F19" s="48" t="s">
        <v>584</v>
      </c>
      <c r="G19" s="253">
        <v>3</v>
      </c>
      <c r="H19" s="254">
        <v>44551</v>
      </c>
      <c r="I19" s="254">
        <v>44641</v>
      </c>
      <c r="J19" s="254">
        <v>44551</v>
      </c>
      <c r="K19" s="48" t="s">
        <v>418</v>
      </c>
      <c r="L19" s="48" t="s">
        <v>413</v>
      </c>
      <c r="M19" s="119">
        <v>22000000</v>
      </c>
      <c r="N19" s="439">
        <v>6.0475123999999996</v>
      </c>
      <c r="O19" s="283">
        <v>4249303.7</v>
      </c>
      <c r="P19" s="445">
        <v>100</v>
      </c>
      <c r="Q19" s="283">
        <v>22000000</v>
      </c>
      <c r="R19" s="518">
        <v>4249303.7</v>
      </c>
      <c r="S19" s="48" t="s">
        <v>68</v>
      </c>
      <c r="T19" s="48" t="s">
        <v>18</v>
      </c>
      <c r="U19" s="48" t="s">
        <v>1416</v>
      </c>
      <c r="V19" s="48" t="s">
        <v>0</v>
      </c>
      <c r="W19" s="48" t="s">
        <v>1590</v>
      </c>
      <c r="X19" s="54">
        <f t="shared" si="0"/>
        <v>1330452.7279999999</v>
      </c>
      <c r="Y19" s="48" t="str">
        <f t="shared" si="1"/>
        <v>BRL</v>
      </c>
      <c r="Z19" s="62">
        <f t="shared" si="2"/>
        <v>256976.94441319996</v>
      </c>
      <c r="AA19" s="63">
        <f t="shared" si="3"/>
        <v>256976.94441319993</v>
      </c>
      <c r="AB19" s="48" t="str">
        <f t="shared" si="4"/>
        <v>Fixed-Term Deposit</v>
      </c>
    </row>
    <row r="20" spans="1:28" hidden="1">
      <c r="A20" s="48" t="s">
        <v>431</v>
      </c>
      <c r="B20" s="48" t="s">
        <v>73</v>
      </c>
      <c r="C20" s="48" t="s">
        <v>580</v>
      </c>
      <c r="D20" s="48" t="s">
        <v>581</v>
      </c>
      <c r="E20" s="48" t="s">
        <v>578</v>
      </c>
      <c r="F20" s="48" t="s">
        <v>585</v>
      </c>
      <c r="G20" s="253">
        <v>3</v>
      </c>
      <c r="H20" s="254">
        <v>44557</v>
      </c>
      <c r="I20" s="254">
        <v>44648</v>
      </c>
      <c r="J20" s="254">
        <v>44557</v>
      </c>
      <c r="K20" s="48" t="s">
        <v>434</v>
      </c>
      <c r="L20" s="48" t="s">
        <v>431</v>
      </c>
      <c r="M20" s="119">
        <v>15065048.529999999</v>
      </c>
      <c r="N20" s="255">
        <v>0.3</v>
      </c>
      <c r="O20" s="119">
        <v>15065048.529999999</v>
      </c>
      <c r="P20" s="256">
        <v>100</v>
      </c>
      <c r="Q20" s="283">
        <v>15065048.529999999</v>
      </c>
      <c r="R20" s="518">
        <v>15065048.529999999</v>
      </c>
      <c r="S20" s="48" t="s">
        <v>68</v>
      </c>
      <c r="T20" s="48" t="s">
        <v>73</v>
      </c>
      <c r="U20" s="48" t="s">
        <v>1418</v>
      </c>
      <c r="V20" s="48" t="s">
        <v>0</v>
      </c>
      <c r="W20" s="48" t="s">
        <v>583</v>
      </c>
      <c r="X20" s="54">
        <f t="shared" si="0"/>
        <v>45195.145589999993</v>
      </c>
      <c r="Y20" s="48" t="str">
        <f t="shared" si="1"/>
        <v>USD</v>
      </c>
      <c r="Z20" s="62">
        <f t="shared" si="2"/>
        <v>45195.145589999993</v>
      </c>
      <c r="AA20" s="63">
        <f t="shared" si="3"/>
        <v>45195.145589999993</v>
      </c>
      <c r="AB20" s="48" t="str">
        <f t="shared" si="4"/>
        <v>Fixed-Term Deposit</v>
      </c>
    </row>
    <row r="21" spans="1:28">
      <c r="A21" s="48" t="s">
        <v>446</v>
      </c>
      <c r="B21" s="48" t="s">
        <v>73</v>
      </c>
      <c r="C21" s="48" t="s">
        <v>580</v>
      </c>
      <c r="D21" s="48" t="s">
        <v>581</v>
      </c>
      <c r="E21" s="48" t="s">
        <v>578</v>
      </c>
      <c r="F21" s="48" t="s">
        <v>1389</v>
      </c>
      <c r="G21" s="253">
        <v>1</v>
      </c>
      <c r="H21" s="254">
        <v>44610</v>
      </c>
      <c r="I21" s="254">
        <v>44641</v>
      </c>
      <c r="J21" s="254">
        <v>44610</v>
      </c>
      <c r="K21" s="48" t="s">
        <v>448</v>
      </c>
      <c r="L21" s="48" t="s">
        <v>446</v>
      </c>
      <c r="M21" s="119">
        <v>40039644.329999998</v>
      </c>
      <c r="N21" s="439">
        <v>0.35</v>
      </c>
      <c r="O21" s="283">
        <v>40039644.329999998</v>
      </c>
      <c r="P21" s="256">
        <v>100</v>
      </c>
      <c r="Q21" s="283">
        <v>40039644.329999998</v>
      </c>
      <c r="R21" s="257">
        <v>40039644.329999998</v>
      </c>
      <c r="S21" s="48" t="s">
        <v>12</v>
      </c>
      <c r="T21" s="48" t="s">
        <v>73</v>
      </c>
      <c r="U21" s="48" t="s">
        <v>1583</v>
      </c>
      <c r="V21" s="48" t="s">
        <v>0</v>
      </c>
      <c r="W21" s="48" t="s">
        <v>583</v>
      </c>
      <c r="X21" s="54">
        <f t="shared" si="0"/>
        <v>140138.75515499999</v>
      </c>
      <c r="Y21" s="48" t="str">
        <f t="shared" si="1"/>
        <v>USD</v>
      </c>
      <c r="Z21" s="62">
        <f t="shared" si="2"/>
        <v>140138.75515499999</v>
      </c>
      <c r="AA21" s="63">
        <f t="shared" si="3"/>
        <v>140138.75515499999</v>
      </c>
      <c r="AB21" s="48" t="str">
        <f t="shared" si="4"/>
        <v>Fixed-Term Deposit</v>
      </c>
    </row>
    <row r="22" spans="1:28">
      <c r="A22" s="48" t="s">
        <v>140</v>
      </c>
      <c r="B22" s="48" t="s">
        <v>73</v>
      </c>
      <c r="C22" s="48" t="s">
        <v>580</v>
      </c>
      <c r="D22" s="48" t="s">
        <v>581</v>
      </c>
      <c r="E22" s="48" t="s">
        <v>578</v>
      </c>
      <c r="F22" s="48" t="s">
        <v>723</v>
      </c>
      <c r="G22" s="253">
        <v>1</v>
      </c>
      <c r="H22" s="254">
        <v>44607</v>
      </c>
      <c r="I22" s="254">
        <v>44637</v>
      </c>
      <c r="J22" s="254">
        <v>44607</v>
      </c>
      <c r="K22" s="48" t="s">
        <v>142</v>
      </c>
      <c r="L22" s="48" t="s">
        <v>140</v>
      </c>
      <c r="M22" s="119">
        <v>70000000</v>
      </c>
      <c r="N22" s="439">
        <v>0.3</v>
      </c>
      <c r="O22" s="283">
        <v>70000000</v>
      </c>
      <c r="P22" s="445">
        <v>100</v>
      </c>
      <c r="Q22" s="283">
        <v>70000000</v>
      </c>
      <c r="R22" s="574">
        <v>70000000</v>
      </c>
      <c r="S22" s="48" t="s">
        <v>12</v>
      </c>
      <c r="T22" s="48" t="s">
        <v>73</v>
      </c>
      <c r="U22" s="48" t="s">
        <v>1581</v>
      </c>
      <c r="V22" s="48" t="s">
        <v>0</v>
      </c>
      <c r="W22" s="48" t="s">
        <v>583</v>
      </c>
      <c r="X22" s="54">
        <f t="shared" si="0"/>
        <v>210000</v>
      </c>
      <c r="Y22" s="48" t="str">
        <f t="shared" si="1"/>
        <v>USD</v>
      </c>
      <c r="Z22" s="62">
        <f t="shared" si="2"/>
        <v>210000</v>
      </c>
      <c r="AA22" s="63">
        <f t="shared" si="3"/>
        <v>210000</v>
      </c>
      <c r="AB22" s="48" t="str">
        <f t="shared" si="4"/>
        <v>Fixed-Term Deposit</v>
      </c>
    </row>
    <row r="23" spans="1:28">
      <c r="A23" s="375" t="s">
        <v>446</v>
      </c>
      <c r="B23" s="48" t="s">
        <v>73</v>
      </c>
      <c r="C23" s="48" t="s">
        <v>580</v>
      </c>
      <c r="D23" s="48" t="s">
        <v>581</v>
      </c>
      <c r="E23" s="48" t="s">
        <v>578</v>
      </c>
      <c r="F23" s="48" t="s">
        <v>727</v>
      </c>
      <c r="G23" s="52">
        <v>1</v>
      </c>
      <c r="H23" s="49">
        <v>44607</v>
      </c>
      <c r="I23" s="49">
        <v>44637</v>
      </c>
      <c r="J23" s="49">
        <v>44607</v>
      </c>
      <c r="K23" s="48" t="s">
        <v>448</v>
      </c>
      <c r="L23" s="48" t="s">
        <v>446</v>
      </c>
      <c r="M23" s="122">
        <v>25000000</v>
      </c>
      <c r="N23" s="59">
        <v>0.3</v>
      </c>
      <c r="O23" s="122">
        <v>25000000</v>
      </c>
      <c r="P23" s="51">
        <v>100</v>
      </c>
      <c r="Q23" s="122">
        <v>25000000</v>
      </c>
      <c r="R23" s="575">
        <v>25000000</v>
      </c>
      <c r="S23" s="48" t="s">
        <v>12</v>
      </c>
      <c r="T23" s="48" t="s">
        <v>73</v>
      </c>
      <c r="U23" s="48" t="s">
        <v>1582</v>
      </c>
      <c r="V23" s="48" t="s">
        <v>0</v>
      </c>
      <c r="W23" s="48" t="s">
        <v>583</v>
      </c>
      <c r="X23" s="54">
        <f t="shared" si="0"/>
        <v>75000</v>
      </c>
      <c r="Y23" s="48" t="str">
        <f t="shared" si="1"/>
        <v>USD</v>
      </c>
      <c r="Z23" s="62">
        <f t="shared" si="2"/>
        <v>75000</v>
      </c>
      <c r="AA23" s="63">
        <f t="shared" si="3"/>
        <v>75000</v>
      </c>
      <c r="AB23" s="48" t="str">
        <f t="shared" si="4"/>
        <v>Fixed-Term Deposit</v>
      </c>
    </row>
    <row r="24" spans="1:28">
      <c r="A24" s="48" t="s">
        <v>446</v>
      </c>
      <c r="B24" s="48" t="s">
        <v>73</v>
      </c>
      <c r="C24" s="48" t="s">
        <v>580</v>
      </c>
      <c r="D24" s="48" t="s">
        <v>581</v>
      </c>
      <c r="E24" s="48" t="s">
        <v>578</v>
      </c>
      <c r="F24" s="48" t="s">
        <v>1389</v>
      </c>
      <c r="G24" s="253">
        <v>3</v>
      </c>
      <c r="H24" s="254">
        <v>44545</v>
      </c>
      <c r="I24" s="254">
        <v>44636</v>
      </c>
      <c r="J24" s="254">
        <v>44545</v>
      </c>
      <c r="K24" s="48" t="s">
        <v>448</v>
      </c>
      <c r="L24" s="48" t="s">
        <v>446</v>
      </c>
      <c r="M24" s="119">
        <v>30002970</v>
      </c>
      <c r="N24" s="439">
        <v>0.45</v>
      </c>
      <c r="O24" s="283">
        <v>30002970</v>
      </c>
      <c r="P24" s="445">
        <v>100</v>
      </c>
      <c r="Q24" s="283">
        <v>30002970</v>
      </c>
      <c r="R24" s="574">
        <v>30002970</v>
      </c>
      <c r="S24" s="48" t="s">
        <v>12</v>
      </c>
      <c r="T24" s="48" t="s">
        <v>73</v>
      </c>
      <c r="U24" s="48" t="s">
        <v>1415</v>
      </c>
      <c r="V24" s="48" t="s">
        <v>0</v>
      </c>
      <c r="W24" s="48" t="s">
        <v>583</v>
      </c>
      <c r="X24" s="54">
        <f t="shared" si="0"/>
        <v>135013.36499999999</v>
      </c>
      <c r="Y24" s="48" t="str">
        <f t="shared" si="1"/>
        <v>USD</v>
      </c>
      <c r="Z24" s="62">
        <f t="shared" si="2"/>
        <v>135013.36499999999</v>
      </c>
      <c r="AA24" s="63">
        <f t="shared" si="3"/>
        <v>135013.36499999999</v>
      </c>
      <c r="AB24" s="48" t="str">
        <f t="shared" si="4"/>
        <v>Fixed-Term Deposit</v>
      </c>
    </row>
    <row r="25" spans="1:28">
      <c r="A25" s="48" t="s">
        <v>446</v>
      </c>
      <c r="B25" s="48" t="s">
        <v>73</v>
      </c>
      <c r="C25" s="48" t="s">
        <v>580</v>
      </c>
      <c r="D25" s="48" t="s">
        <v>581</v>
      </c>
      <c r="E25" s="48" t="s">
        <v>578</v>
      </c>
      <c r="F25" s="48" t="s">
        <v>1389</v>
      </c>
      <c r="G25" s="253">
        <v>1</v>
      </c>
      <c r="H25" s="254">
        <v>44592</v>
      </c>
      <c r="I25" s="254">
        <v>44623</v>
      </c>
      <c r="J25" s="254">
        <v>44592</v>
      </c>
      <c r="K25" s="48" t="s">
        <v>448</v>
      </c>
      <c r="L25" s="48" t="s">
        <v>446</v>
      </c>
      <c r="M25" s="119">
        <v>100000000</v>
      </c>
      <c r="N25" s="439">
        <v>0.3</v>
      </c>
      <c r="O25" s="283">
        <v>100000000</v>
      </c>
      <c r="P25" s="445">
        <v>100</v>
      </c>
      <c r="Q25" s="283">
        <v>100000000</v>
      </c>
      <c r="R25" s="574">
        <v>100000000</v>
      </c>
      <c r="S25" s="48" t="s">
        <v>12</v>
      </c>
      <c r="T25" s="48" t="s">
        <v>73</v>
      </c>
      <c r="U25" s="48" t="s">
        <v>1494</v>
      </c>
      <c r="V25" s="48" t="s">
        <v>0</v>
      </c>
      <c r="W25" s="48" t="s">
        <v>583</v>
      </c>
      <c r="X25" s="54">
        <f t="shared" si="0"/>
        <v>300000</v>
      </c>
      <c r="Y25" s="48" t="str">
        <f t="shared" si="1"/>
        <v>USD</v>
      </c>
      <c r="Z25" s="62">
        <f t="shared" si="2"/>
        <v>300000</v>
      </c>
      <c r="AA25" s="63">
        <f t="shared" si="3"/>
        <v>300000</v>
      </c>
      <c r="AB25" s="48" t="str">
        <f t="shared" si="4"/>
        <v>Fixed-Term Deposit</v>
      </c>
    </row>
    <row r="26" spans="1:28">
      <c r="A26" s="304" t="s">
        <v>140</v>
      </c>
      <c r="B26" s="304" t="s">
        <v>73</v>
      </c>
      <c r="C26" s="304" t="s">
        <v>580</v>
      </c>
      <c r="D26" s="304" t="s">
        <v>581</v>
      </c>
      <c r="E26" s="304" t="s">
        <v>578</v>
      </c>
      <c r="F26" s="304" t="s">
        <v>1230</v>
      </c>
      <c r="G26" s="476">
        <v>3</v>
      </c>
      <c r="H26" s="477">
        <v>44530</v>
      </c>
      <c r="I26" s="477">
        <v>44622</v>
      </c>
      <c r="J26" s="477">
        <v>44530</v>
      </c>
      <c r="K26" s="304" t="s">
        <v>142</v>
      </c>
      <c r="L26" s="304" t="s">
        <v>140</v>
      </c>
      <c r="M26" s="478">
        <v>140000000</v>
      </c>
      <c r="N26" s="325">
        <v>0.52</v>
      </c>
      <c r="O26" s="479">
        <v>140000000</v>
      </c>
      <c r="P26" s="480">
        <v>100</v>
      </c>
      <c r="Q26" s="478">
        <v>140000000</v>
      </c>
      <c r="R26" s="573">
        <v>140000000</v>
      </c>
      <c r="S26" s="304" t="s">
        <v>12</v>
      </c>
      <c r="T26" s="304" t="s">
        <v>73</v>
      </c>
      <c r="U26" s="304" t="s">
        <v>1388</v>
      </c>
      <c r="V26" s="304" t="s">
        <v>0</v>
      </c>
      <c r="W26" s="304" t="s">
        <v>583</v>
      </c>
      <c r="X26" s="311">
        <f t="shared" si="0"/>
        <v>728000</v>
      </c>
      <c r="Y26" s="304" t="str">
        <f t="shared" si="1"/>
        <v>USD</v>
      </c>
      <c r="Z26" s="305">
        <f t="shared" si="2"/>
        <v>728000</v>
      </c>
      <c r="AA26" s="481">
        <f t="shared" si="3"/>
        <v>728000</v>
      </c>
      <c r="AB26" s="304" t="str">
        <f t="shared" si="4"/>
        <v>Fixed-Term Deposit</v>
      </c>
    </row>
    <row r="27" spans="1:28">
      <c r="M27" s="54"/>
      <c r="N27" s="303"/>
      <c r="O27" s="54"/>
      <c r="P27" s="62"/>
    </row>
    <row r="28" spans="1:28">
      <c r="L28" s="119"/>
      <c r="M28" s="54"/>
      <c r="N28" s="303"/>
      <c r="O28" s="54"/>
      <c r="P28" s="62"/>
    </row>
    <row r="29" spans="1:28">
      <c r="L29" s="119"/>
      <c r="M29" s="119"/>
      <c r="N29" s="303"/>
      <c r="O29" s="54"/>
      <c r="T29" s="62"/>
    </row>
    <row r="30" spans="1:28">
      <c r="L30" s="119"/>
      <c r="N30" s="303"/>
    </row>
    <row r="31" spans="1:28">
      <c r="N31" s="303"/>
    </row>
    <row r="32" spans="1:28">
      <c r="N32" s="303"/>
    </row>
    <row r="33" spans="6:14">
      <c r="H33" s="54"/>
      <c r="N33" s="303"/>
    </row>
    <row r="34" spans="6:14">
      <c r="H34" s="54"/>
      <c r="N34" s="303"/>
    </row>
    <row r="35" spans="6:14">
      <c r="H35" s="54"/>
    </row>
    <row r="36" spans="6:14">
      <c r="F36" s="579"/>
      <c r="H36" s="54"/>
    </row>
    <row r="37" spans="6:14" ht="15">
      <c r="F37"/>
    </row>
    <row r="38" spans="6:14" ht="15">
      <c r="F38"/>
    </row>
    <row r="39" spans="6:14" ht="15">
      <c r="F39"/>
    </row>
    <row r="40" spans="6:14" ht="15">
      <c r="F40"/>
    </row>
  </sheetData>
  <autoFilter ref="A9:AB26" xr:uid="{0D78224A-CD6C-4010-8061-A7D8BC9ED877}">
    <filterColumn colId="18">
      <filters>
        <filter val="HO"/>
      </filters>
    </filterColumn>
    <sortState xmlns:xlrd2="http://schemas.microsoft.com/office/spreadsheetml/2017/richdata2" ref="A10:AB26">
      <sortCondition descending="1" ref="I9:I26"/>
    </sortState>
  </autoFilter>
  <mergeCells count="1">
    <mergeCell ref="X7:AA7"/>
  </mergeCell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B636-C3BE-41AD-86C1-52D5245B401E}">
  <dimension ref="A1:W35"/>
  <sheetViews>
    <sheetView workbookViewId="0">
      <selection activeCell="F11" sqref="F11"/>
    </sheetView>
  </sheetViews>
  <sheetFormatPr baseColWidth="10" defaultColWidth="8.83203125" defaultRowHeight="15"/>
  <cols>
    <col min="1" max="1" width="16.33203125" customWidth="1"/>
    <col min="2" max="3" width="15.33203125" customWidth="1"/>
    <col min="4" max="4" width="12" customWidth="1"/>
    <col min="5" max="9" width="15.33203125" customWidth="1"/>
    <col min="10" max="10" width="11.6640625" customWidth="1"/>
    <col min="13" max="17" width="14.33203125" customWidth="1"/>
    <col min="18" max="18" width="19.33203125" customWidth="1"/>
    <col min="19" max="24" width="14.33203125" customWidth="1"/>
  </cols>
  <sheetData>
    <row r="1" spans="1:23" ht="16" thickBot="1">
      <c r="A1" t="s">
        <v>1578</v>
      </c>
      <c r="R1" s="555">
        <f>SUBTOTAL(9,R3:R10)</f>
        <v>650117503.25</v>
      </c>
      <c r="S1" s="126">
        <f t="array" ref="S1">SUM(SUMIFS(Investment!R10:R24,Investment!A10:A24,{"1001","1086"}))</f>
        <v>475157147.57999998</v>
      </c>
      <c r="T1" s="131" t="s">
        <v>1577</v>
      </c>
      <c r="U1" s="554">
        <f>R1-S1</f>
        <v>174960355.67000002</v>
      </c>
    </row>
    <row r="2" spans="1:23" s="333" customFormat="1">
      <c r="A2" s="556" t="s">
        <v>122</v>
      </c>
      <c r="B2" s="557" t="s">
        <v>127</v>
      </c>
      <c r="C2" s="557" t="s">
        <v>561</v>
      </c>
      <c r="D2" s="557" t="s">
        <v>562</v>
      </c>
      <c r="E2" s="557" t="s">
        <v>563</v>
      </c>
      <c r="F2" s="557" t="s">
        <v>564</v>
      </c>
      <c r="G2" s="557" t="s">
        <v>565</v>
      </c>
      <c r="H2" s="557" t="s">
        <v>566</v>
      </c>
      <c r="I2" s="557" t="s">
        <v>567</v>
      </c>
      <c r="J2" s="557" t="s">
        <v>568</v>
      </c>
      <c r="K2" s="557" t="s">
        <v>138</v>
      </c>
      <c r="L2" s="557" t="s">
        <v>137</v>
      </c>
      <c r="M2" s="557" t="s">
        <v>569</v>
      </c>
      <c r="N2" s="557" t="s">
        <v>570</v>
      </c>
      <c r="O2" s="557" t="s">
        <v>571</v>
      </c>
      <c r="P2" s="557" t="s">
        <v>572</v>
      </c>
      <c r="Q2" s="558" t="s">
        <v>573</v>
      </c>
      <c r="R2" s="558" t="s">
        <v>574</v>
      </c>
      <c r="S2" s="557" t="s">
        <v>136</v>
      </c>
      <c r="T2" s="557" t="s">
        <v>130</v>
      </c>
      <c r="U2" s="557" t="s">
        <v>575</v>
      </c>
      <c r="V2" s="557" t="s">
        <v>576</v>
      </c>
      <c r="W2" s="559" t="s">
        <v>9</v>
      </c>
    </row>
    <row r="3" spans="1:23">
      <c r="A3" s="560" t="s">
        <v>140</v>
      </c>
      <c r="B3" s="369" t="s">
        <v>73</v>
      </c>
      <c r="C3" s="369" t="s">
        <v>580</v>
      </c>
      <c r="D3" s="369" t="s">
        <v>581</v>
      </c>
      <c r="E3" s="369" t="s">
        <v>578</v>
      </c>
      <c r="F3" s="369" t="s">
        <v>1230</v>
      </c>
      <c r="G3" s="371">
        <v>3</v>
      </c>
      <c r="H3" s="550">
        <v>44530</v>
      </c>
      <c r="I3" s="550">
        <v>44622</v>
      </c>
      <c r="J3" s="550">
        <v>44530</v>
      </c>
      <c r="K3" s="369" t="s">
        <v>142</v>
      </c>
      <c r="L3" s="369" t="s">
        <v>140</v>
      </c>
      <c r="M3" s="551">
        <v>140000000</v>
      </c>
      <c r="N3" s="552">
        <v>0.52</v>
      </c>
      <c r="O3" s="551">
        <v>140000000</v>
      </c>
      <c r="P3" s="553">
        <v>100</v>
      </c>
      <c r="Q3" s="551">
        <v>140000000</v>
      </c>
      <c r="R3" s="551">
        <v>140000000</v>
      </c>
      <c r="S3" s="369" t="s">
        <v>12</v>
      </c>
      <c r="T3" s="369" t="s">
        <v>73</v>
      </c>
      <c r="U3" s="369" t="s">
        <v>1388</v>
      </c>
      <c r="V3" s="369" t="s">
        <v>0</v>
      </c>
      <c r="W3" s="561" t="s">
        <v>583</v>
      </c>
    </row>
    <row r="4" spans="1:23">
      <c r="A4" s="560" t="s">
        <v>140</v>
      </c>
      <c r="B4" s="369" t="s">
        <v>73</v>
      </c>
      <c r="C4" s="369" t="s">
        <v>580</v>
      </c>
      <c r="D4" s="369" t="s">
        <v>581</v>
      </c>
      <c r="E4" s="369" t="s">
        <v>578</v>
      </c>
      <c r="F4" s="369" t="s">
        <v>723</v>
      </c>
      <c r="G4" s="371">
        <v>3</v>
      </c>
      <c r="H4" s="550">
        <v>44560</v>
      </c>
      <c r="I4" s="550">
        <v>44651</v>
      </c>
      <c r="J4" s="550">
        <v>44560</v>
      </c>
      <c r="K4" s="369" t="s">
        <v>142</v>
      </c>
      <c r="L4" s="369" t="s">
        <v>140</v>
      </c>
      <c r="M4" s="551">
        <v>100000000</v>
      </c>
      <c r="N4" s="552">
        <v>0.5</v>
      </c>
      <c r="O4" s="551">
        <v>100000000</v>
      </c>
      <c r="P4" s="553">
        <v>100</v>
      </c>
      <c r="Q4" s="551">
        <v>100000000</v>
      </c>
      <c r="R4" s="551">
        <v>100000000</v>
      </c>
      <c r="S4" s="369" t="s">
        <v>12</v>
      </c>
      <c r="T4" s="369" t="s">
        <v>73</v>
      </c>
      <c r="U4" s="369" t="s">
        <v>1417</v>
      </c>
      <c r="V4" s="369" t="s">
        <v>0</v>
      </c>
      <c r="W4" s="561" t="s">
        <v>583</v>
      </c>
    </row>
    <row r="5" spans="1:23">
      <c r="A5" s="560" t="s">
        <v>140</v>
      </c>
      <c r="B5" s="369" t="s">
        <v>73</v>
      </c>
      <c r="C5" s="369" t="s">
        <v>580</v>
      </c>
      <c r="D5" s="369" t="s">
        <v>581</v>
      </c>
      <c r="E5" s="369" t="s">
        <v>578</v>
      </c>
      <c r="F5" s="369" t="s">
        <v>1230</v>
      </c>
      <c r="G5" s="371">
        <v>2</v>
      </c>
      <c r="H5" s="550">
        <v>44596</v>
      </c>
      <c r="I5" s="550">
        <v>44656</v>
      </c>
      <c r="J5" s="550">
        <v>44596</v>
      </c>
      <c r="K5" s="369" t="s">
        <v>142</v>
      </c>
      <c r="L5" s="369" t="s">
        <v>140</v>
      </c>
      <c r="M5" s="551">
        <v>100114533.25</v>
      </c>
      <c r="N5" s="552">
        <v>0.36</v>
      </c>
      <c r="O5" s="551">
        <v>100114533.25</v>
      </c>
      <c r="P5" s="553">
        <v>100</v>
      </c>
      <c r="Q5" s="551">
        <v>100114533.25</v>
      </c>
      <c r="R5" s="551">
        <v>100114533.25</v>
      </c>
      <c r="S5" s="369" t="s">
        <v>12</v>
      </c>
      <c r="T5" s="369" t="s">
        <v>73</v>
      </c>
      <c r="U5" s="369" t="s">
        <v>1500</v>
      </c>
      <c r="V5" s="369" t="s">
        <v>0</v>
      </c>
      <c r="W5" s="561" t="s">
        <v>583</v>
      </c>
    </row>
    <row r="6" spans="1:23">
      <c r="A6" s="560" t="s">
        <v>140</v>
      </c>
      <c r="B6" s="369" t="s">
        <v>73</v>
      </c>
      <c r="C6" s="369" t="s">
        <v>580</v>
      </c>
      <c r="D6" s="369" t="s">
        <v>581</v>
      </c>
      <c r="E6" s="369" t="s">
        <v>578</v>
      </c>
      <c r="F6" s="369" t="s">
        <v>723</v>
      </c>
      <c r="G6" s="371">
        <v>1</v>
      </c>
      <c r="H6" s="550">
        <v>44607</v>
      </c>
      <c r="I6" s="550">
        <v>44637</v>
      </c>
      <c r="J6" s="550">
        <v>44607</v>
      </c>
      <c r="K6" s="369" t="s">
        <v>142</v>
      </c>
      <c r="L6" s="369" t="s">
        <v>140</v>
      </c>
      <c r="M6" s="551">
        <v>70000000</v>
      </c>
      <c r="N6" s="552">
        <v>0.3</v>
      </c>
      <c r="O6" s="551">
        <v>70000000</v>
      </c>
      <c r="P6" s="553">
        <v>100</v>
      </c>
      <c r="Q6" s="551">
        <v>70000000</v>
      </c>
      <c r="R6" s="551">
        <v>70000000</v>
      </c>
      <c r="S6" s="369" t="s">
        <v>12</v>
      </c>
      <c r="T6" s="369" t="s">
        <v>73</v>
      </c>
      <c r="U6" s="369" t="s">
        <v>1581</v>
      </c>
      <c r="V6" s="369" t="s">
        <v>0</v>
      </c>
      <c r="W6" s="561" t="s">
        <v>583</v>
      </c>
    </row>
    <row r="7" spans="1:23">
      <c r="A7" s="560" t="s">
        <v>446</v>
      </c>
      <c r="B7" s="369" t="s">
        <v>73</v>
      </c>
      <c r="C7" s="369" t="s">
        <v>580</v>
      </c>
      <c r="D7" s="369" t="s">
        <v>581</v>
      </c>
      <c r="E7" s="369" t="s">
        <v>578</v>
      </c>
      <c r="F7" s="369" t="s">
        <v>1389</v>
      </c>
      <c r="G7" s="371">
        <v>3</v>
      </c>
      <c r="H7" s="550">
        <v>44545</v>
      </c>
      <c r="I7" s="550">
        <v>44636</v>
      </c>
      <c r="J7" s="550">
        <v>44545</v>
      </c>
      <c r="K7" s="369" t="s">
        <v>448</v>
      </c>
      <c r="L7" s="369" t="s">
        <v>446</v>
      </c>
      <c r="M7" s="551">
        <v>30002970</v>
      </c>
      <c r="N7" s="552">
        <v>0.45</v>
      </c>
      <c r="O7" s="551">
        <v>30002970</v>
      </c>
      <c r="P7" s="553">
        <v>100</v>
      </c>
      <c r="Q7" s="551">
        <v>30002970</v>
      </c>
      <c r="R7" s="551">
        <v>30002970</v>
      </c>
      <c r="S7" s="369" t="s">
        <v>12</v>
      </c>
      <c r="T7" s="369" t="s">
        <v>73</v>
      </c>
      <c r="U7" s="369" t="s">
        <v>1415</v>
      </c>
      <c r="V7" s="369" t="s">
        <v>0</v>
      </c>
      <c r="W7" s="561" t="s">
        <v>583</v>
      </c>
    </row>
    <row r="8" spans="1:23">
      <c r="A8" s="560" t="s">
        <v>446</v>
      </c>
      <c r="B8" s="369" t="s">
        <v>73</v>
      </c>
      <c r="C8" s="369" t="s">
        <v>580</v>
      </c>
      <c r="D8" s="369" t="s">
        <v>581</v>
      </c>
      <c r="E8" s="369" t="s">
        <v>578</v>
      </c>
      <c r="F8" s="369" t="s">
        <v>727</v>
      </c>
      <c r="G8" s="371">
        <v>3</v>
      </c>
      <c r="H8" s="550">
        <v>44560</v>
      </c>
      <c r="I8" s="550">
        <v>44651</v>
      </c>
      <c r="J8" s="550">
        <v>44560</v>
      </c>
      <c r="K8" s="369" t="s">
        <v>448</v>
      </c>
      <c r="L8" s="369" t="s">
        <v>446</v>
      </c>
      <c r="M8" s="551">
        <v>10000000</v>
      </c>
      <c r="N8" s="552">
        <v>0.5</v>
      </c>
      <c r="O8" s="551">
        <v>10000000</v>
      </c>
      <c r="P8" s="553">
        <v>100</v>
      </c>
      <c r="Q8" s="551">
        <v>10000000</v>
      </c>
      <c r="R8" s="551">
        <v>10000000</v>
      </c>
      <c r="S8" s="369" t="s">
        <v>12</v>
      </c>
      <c r="T8" s="369" t="s">
        <v>73</v>
      </c>
      <c r="U8" s="369" t="s">
        <v>1419</v>
      </c>
      <c r="V8" s="369" t="s">
        <v>0</v>
      </c>
      <c r="W8" s="561" t="s">
        <v>583</v>
      </c>
    </row>
    <row r="9" spans="1:23">
      <c r="A9" s="560" t="s">
        <v>446</v>
      </c>
      <c r="B9" s="369" t="s">
        <v>73</v>
      </c>
      <c r="C9" s="369" t="s">
        <v>580</v>
      </c>
      <c r="D9" s="369" t="s">
        <v>581</v>
      </c>
      <c r="E9" s="369" t="s">
        <v>578</v>
      </c>
      <c r="F9" s="369" t="s">
        <v>1389</v>
      </c>
      <c r="G9" s="371">
        <v>1</v>
      </c>
      <c r="H9" s="550">
        <v>44592</v>
      </c>
      <c r="I9" s="550">
        <v>44623</v>
      </c>
      <c r="J9" s="550">
        <v>44592</v>
      </c>
      <c r="K9" s="369" t="s">
        <v>448</v>
      </c>
      <c r="L9" s="369" t="s">
        <v>446</v>
      </c>
      <c r="M9" s="551">
        <v>100000000</v>
      </c>
      <c r="N9" s="552">
        <v>0.3</v>
      </c>
      <c r="O9" s="551">
        <v>100000000</v>
      </c>
      <c r="P9" s="553">
        <v>100</v>
      </c>
      <c r="Q9" s="551">
        <v>100000000</v>
      </c>
      <c r="R9" s="551">
        <v>100000000</v>
      </c>
      <c r="S9" s="369" t="s">
        <v>12</v>
      </c>
      <c r="T9" s="369" t="s">
        <v>73</v>
      </c>
      <c r="U9" s="369" t="s">
        <v>1494</v>
      </c>
      <c r="V9" s="369" t="s">
        <v>0</v>
      </c>
      <c r="W9" s="561" t="s">
        <v>583</v>
      </c>
    </row>
    <row r="10" spans="1:23">
      <c r="A10" s="560" t="s">
        <v>446</v>
      </c>
      <c r="B10" s="369" t="s">
        <v>73</v>
      </c>
      <c r="C10" s="369" t="s">
        <v>580</v>
      </c>
      <c r="D10" s="369" t="s">
        <v>581</v>
      </c>
      <c r="E10" s="369" t="s">
        <v>578</v>
      </c>
      <c r="F10" s="369" t="s">
        <v>1399</v>
      </c>
      <c r="G10" s="371">
        <v>2</v>
      </c>
      <c r="H10" s="550">
        <v>44593</v>
      </c>
      <c r="I10" s="550">
        <v>44655</v>
      </c>
      <c r="J10" s="550">
        <v>44593</v>
      </c>
      <c r="K10" s="369" t="s">
        <v>448</v>
      </c>
      <c r="L10" s="369" t="s">
        <v>446</v>
      </c>
      <c r="M10" s="551">
        <v>100000000</v>
      </c>
      <c r="N10" s="552">
        <v>0.35</v>
      </c>
      <c r="O10" s="551">
        <v>100000000</v>
      </c>
      <c r="P10" s="553">
        <v>100</v>
      </c>
      <c r="Q10" s="551">
        <v>100000000</v>
      </c>
      <c r="R10" s="551">
        <v>100000000</v>
      </c>
      <c r="S10" s="369" t="s">
        <v>12</v>
      </c>
      <c r="T10" s="369" t="s">
        <v>73</v>
      </c>
      <c r="U10" s="369" t="s">
        <v>1502</v>
      </c>
      <c r="V10" s="369" t="s">
        <v>0</v>
      </c>
      <c r="W10" s="561" t="s">
        <v>583</v>
      </c>
    </row>
    <row r="11" spans="1:23">
      <c r="A11" s="560" t="s">
        <v>446</v>
      </c>
      <c r="B11" s="369" t="s">
        <v>73</v>
      </c>
      <c r="C11" s="369" t="s">
        <v>580</v>
      </c>
      <c r="D11" s="369" t="s">
        <v>581</v>
      </c>
      <c r="E11" s="369" t="s">
        <v>578</v>
      </c>
      <c r="F11" s="369" t="s">
        <v>727</v>
      </c>
      <c r="G11" s="371">
        <v>1</v>
      </c>
      <c r="H11" s="550">
        <v>44607</v>
      </c>
      <c r="I11" s="550">
        <v>44637</v>
      </c>
      <c r="J11" s="550">
        <v>44607</v>
      </c>
      <c r="K11" s="369" t="s">
        <v>448</v>
      </c>
      <c r="L11" s="369" t="s">
        <v>446</v>
      </c>
      <c r="M11" s="551">
        <v>25000000</v>
      </c>
      <c r="N11" s="552">
        <v>0.3</v>
      </c>
      <c r="O11" s="551">
        <v>25000000</v>
      </c>
      <c r="P11" s="553">
        <v>100</v>
      </c>
      <c r="Q11" s="551">
        <v>25000000</v>
      </c>
      <c r="R11" s="551">
        <v>25000000</v>
      </c>
      <c r="S11" s="369" t="s">
        <v>12</v>
      </c>
      <c r="T11" s="369" t="s">
        <v>73</v>
      </c>
      <c r="U11" s="369" t="s">
        <v>1582</v>
      </c>
      <c r="V11" s="369" t="s">
        <v>0</v>
      </c>
      <c r="W11" s="561" t="s">
        <v>583</v>
      </c>
    </row>
    <row r="12" spans="1:23">
      <c r="A12" s="560" t="s">
        <v>446</v>
      </c>
      <c r="B12" s="369" t="s">
        <v>73</v>
      </c>
      <c r="C12" s="369" t="s">
        <v>580</v>
      </c>
      <c r="D12" s="369" t="s">
        <v>581</v>
      </c>
      <c r="E12" s="369" t="s">
        <v>578</v>
      </c>
      <c r="F12" s="369" t="s">
        <v>1389</v>
      </c>
      <c r="G12" s="371">
        <v>1</v>
      </c>
      <c r="H12" s="550">
        <v>44610</v>
      </c>
      <c r="I12" s="550">
        <v>44641</v>
      </c>
      <c r="J12" s="550">
        <v>44610</v>
      </c>
      <c r="K12" s="369" t="s">
        <v>448</v>
      </c>
      <c r="L12" s="369" t="s">
        <v>446</v>
      </c>
      <c r="M12" s="551">
        <v>40039644.329999998</v>
      </c>
      <c r="N12" s="552">
        <v>0.35</v>
      </c>
      <c r="O12" s="551">
        <v>40039644.329999998</v>
      </c>
      <c r="P12" s="553">
        <v>100</v>
      </c>
      <c r="Q12" s="551">
        <v>40039644.329999998</v>
      </c>
      <c r="R12" s="551">
        <v>40039644.329999998</v>
      </c>
      <c r="S12" s="369" t="s">
        <v>12</v>
      </c>
      <c r="T12" s="369" t="s">
        <v>73</v>
      </c>
      <c r="U12" s="369" t="s">
        <v>1583</v>
      </c>
      <c r="V12" s="369" t="s">
        <v>0</v>
      </c>
      <c r="W12" s="561" t="s">
        <v>583</v>
      </c>
    </row>
    <row r="13" spans="1:23" ht="16" thickBot="1">
      <c r="A13" s="562"/>
      <c r="B13" s="563"/>
      <c r="C13" s="563"/>
      <c r="D13" s="563"/>
      <c r="E13" s="563"/>
      <c r="F13" s="563"/>
      <c r="G13" s="563"/>
      <c r="H13" s="563"/>
      <c r="I13" s="563"/>
      <c r="J13" s="563"/>
      <c r="K13" s="563"/>
      <c r="L13" s="563"/>
      <c r="M13" s="563"/>
      <c r="N13" s="563"/>
      <c r="O13" s="563"/>
      <c r="P13" s="563"/>
      <c r="Q13" s="563"/>
      <c r="R13" s="563"/>
      <c r="S13" s="563"/>
      <c r="T13" s="563"/>
      <c r="U13" s="563"/>
      <c r="V13" s="563"/>
      <c r="W13" s="564"/>
    </row>
    <row r="15" spans="1:23">
      <c r="A15" t="s">
        <v>822</v>
      </c>
      <c r="B15" s="220">
        <v>44610</v>
      </c>
    </row>
    <row r="18" spans="1:9" ht="27.75" customHeight="1">
      <c r="A18" s="333" t="s">
        <v>122</v>
      </c>
      <c r="B18" s="333" t="s">
        <v>781</v>
      </c>
      <c r="C18" s="333" t="s">
        <v>823</v>
      </c>
      <c r="D18" s="333" t="s">
        <v>816</v>
      </c>
      <c r="E18" s="333" t="s">
        <v>817</v>
      </c>
      <c r="F18" s="333" t="s">
        <v>818</v>
      </c>
      <c r="G18" s="333" t="s">
        <v>819</v>
      </c>
      <c r="H18" s="333" t="s">
        <v>820</v>
      </c>
      <c r="I18" s="333" t="s">
        <v>821</v>
      </c>
    </row>
    <row r="19" spans="1:9">
      <c r="A19">
        <v>1001</v>
      </c>
      <c r="B19" t="s">
        <v>559</v>
      </c>
      <c r="C19" s="220">
        <f>B15</f>
        <v>44610</v>
      </c>
      <c r="D19" s="14">
        <f>SUMIFS(Deposit!M:M,Deposit!R:R,"NAT",Deposit!A:A,"1001")/10^6</f>
        <v>201.42679409000002</v>
      </c>
      <c r="E19" s="14">
        <f t="shared" ref="E19:E24" si="0">D19</f>
        <v>201.42679409000002</v>
      </c>
      <c r="F19" s="221">
        <f t="shared" ref="F19:F24" si="1">C19-$B$15</f>
        <v>0</v>
      </c>
      <c r="G19" s="222">
        <f t="shared" ref="G19:G24" si="2">ROUNDUP(F19/30,0)</f>
        <v>0</v>
      </c>
      <c r="H19" s="223" t="str">
        <f t="shared" ref="H19:H24" si="3">"T+"&amp;G19</f>
        <v>T+0</v>
      </c>
      <c r="I19" t="str">
        <f t="shared" ref="I19:I24" si="4">UPPER(TEXT(C19,"MMM-YY"))</f>
        <v>FEB-22</v>
      </c>
    </row>
    <row r="20" spans="1:9">
      <c r="A20">
        <v>1086</v>
      </c>
      <c r="B20" t="s">
        <v>1399</v>
      </c>
      <c r="C20" s="220">
        <f>B15</f>
        <v>44610</v>
      </c>
      <c r="D20" s="14">
        <f>SUMIFS(Deposit!M:M,Deposit!R:R,"ANZ",Deposit!A:A,"1086")/10^6</f>
        <v>174.34993327000001</v>
      </c>
      <c r="E20" s="14">
        <f t="shared" si="0"/>
        <v>174.34993327000001</v>
      </c>
      <c r="F20" s="221">
        <f t="shared" si="1"/>
        <v>0</v>
      </c>
      <c r="G20" s="222">
        <f t="shared" si="2"/>
        <v>0</v>
      </c>
      <c r="H20" s="223" t="str">
        <f t="shared" si="3"/>
        <v>T+0</v>
      </c>
      <c r="I20" t="str">
        <f t="shared" si="4"/>
        <v>FEB-22</v>
      </c>
    </row>
    <row r="21" spans="1:9">
      <c r="A21">
        <v>1086</v>
      </c>
      <c r="B21" t="s">
        <v>458</v>
      </c>
      <c r="C21" s="220">
        <f>B15</f>
        <v>44610</v>
      </c>
      <c r="D21" s="14">
        <f>SUMIFS(Deposit!M:M,Deposit!R:R,"UOB",Deposit!A:A,"1086")/10^6</f>
        <v>115.38947122</v>
      </c>
      <c r="E21" s="14">
        <f t="shared" si="0"/>
        <v>115.38947122</v>
      </c>
      <c r="F21" s="221">
        <f t="shared" si="1"/>
        <v>0</v>
      </c>
      <c r="G21" s="222">
        <f t="shared" si="2"/>
        <v>0</v>
      </c>
      <c r="H21" s="223" t="str">
        <f t="shared" si="3"/>
        <v>T+0</v>
      </c>
      <c r="I21" t="str">
        <f t="shared" si="4"/>
        <v>FEB-22</v>
      </c>
    </row>
    <row r="22" spans="1:9">
      <c r="A22">
        <v>1001</v>
      </c>
      <c r="B22" t="s">
        <v>614</v>
      </c>
      <c r="C22" s="220">
        <f>B15</f>
        <v>44610</v>
      </c>
      <c r="D22" s="284">
        <f>(SUMIFS('Working Cap'!N:N,'Working Cap'!G:G,B22))/10^6</f>
        <v>8.5649009999999998E-2</v>
      </c>
      <c r="E22" s="14">
        <f t="shared" si="0"/>
        <v>8.5649009999999998E-2</v>
      </c>
      <c r="F22" s="221">
        <f t="shared" si="1"/>
        <v>0</v>
      </c>
      <c r="G22" s="222">
        <f t="shared" si="2"/>
        <v>0</v>
      </c>
      <c r="H22" s="223" t="str">
        <f t="shared" si="3"/>
        <v>T+0</v>
      </c>
      <c r="I22" t="str">
        <f t="shared" si="4"/>
        <v>FEB-22</v>
      </c>
    </row>
    <row r="23" spans="1:9">
      <c r="A23">
        <v>1001</v>
      </c>
      <c r="B23" t="s">
        <v>615</v>
      </c>
      <c r="C23" s="220">
        <f>B15</f>
        <v>44610</v>
      </c>
      <c r="D23" s="14">
        <f>(SUMIFS('Working Cap'!N:N,'Working Cap'!G:G,B23))/10^6</f>
        <v>9.3639330000000007E-2</v>
      </c>
      <c r="E23" s="14">
        <f t="shared" si="0"/>
        <v>9.3639330000000007E-2</v>
      </c>
      <c r="F23" s="221">
        <f t="shared" si="1"/>
        <v>0</v>
      </c>
      <c r="G23" s="222">
        <f t="shared" si="2"/>
        <v>0</v>
      </c>
      <c r="H23" s="223" t="str">
        <f t="shared" si="3"/>
        <v>T+0</v>
      </c>
      <c r="I23" t="str">
        <f t="shared" si="4"/>
        <v>FEB-22</v>
      </c>
    </row>
    <row r="24" spans="1:9" s="85" customFormat="1">
      <c r="A24" s="85">
        <v>1086</v>
      </c>
      <c r="B24" s="85" t="s">
        <v>709</v>
      </c>
      <c r="C24" s="446">
        <f>B15</f>
        <v>44610</v>
      </c>
      <c r="D24" s="447">
        <f>(SUMIFS('Working Cap'!N:N,'Working Cap'!G:G,B24))/10^6</f>
        <v>0</v>
      </c>
      <c r="E24" s="447">
        <f t="shared" si="0"/>
        <v>0</v>
      </c>
      <c r="F24" s="448">
        <f t="shared" si="1"/>
        <v>0</v>
      </c>
      <c r="G24" s="449">
        <f t="shared" si="2"/>
        <v>0</v>
      </c>
      <c r="H24" s="450" t="str">
        <f t="shared" si="3"/>
        <v>T+0</v>
      </c>
      <c r="I24" s="85" t="str">
        <f t="shared" si="4"/>
        <v>FEB-22</v>
      </c>
    </row>
    <row r="25" spans="1:9" s="502" customFormat="1">
      <c r="A25" s="509" t="str">
        <f>A3</f>
        <v>1001</v>
      </c>
      <c r="B25" s="502" t="str">
        <f>F3</f>
        <v>AMBANKMY</v>
      </c>
      <c r="C25" s="503">
        <f>I3</f>
        <v>44622</v>
      </c>
      <c r="D25" s="504">
        <f>R3/10^6</f>
        <v>140</v>
      </c>
      <c r="E25" s="505">
        <f>D25</f>
        <v>140</v>
      </c>
      <c r="F25" s="506">
        <f t="shared" ref="F25" si="5">C25-$B$15</f>
        <v>12</v>
      </c>
      <c r="G25" s="507">
        <f>ROUNDUP(F25/30,0)</f>
        <v>1</v>
      </c>
      <c r="H25" s="508" t="str">
        <f>"T+"&amp;G25</f>
        <v>T+1</v>
      </c>
      <c r="I25" s="502" t="str">
        <f>UPPER(TEXT(C25,"MMM-YY"))</f>
        <v>MAR-22</v>
      </c>
    </row>
    <row r="26" spans="1:9" s="502" customFormat="1">
      <c r="A26" s="509" t="str">
        <f t="shared" ref="A26:A33" si="6">A4</f>
        <v>1001</v>
      </c>
      <c r="B26" s="502" t="str">
        <f t="shared" ref="B26:B34" si="7">F4</f>
        <v>DBSG</v>
      </c>
      <c r="C26" s="503">
        <f t="shared" ref="C26:C34" si="8">I4</f>
        <v>44651</v>
      </c>
      <c r="D26" s="504">
        <f t="shared" ref="D26:D34" si="9">R4/10^6</f>
        <v>100</v>
      </c>
      <c r="E26" s="505">
        <f t="shared" ref="E26:E34" si="10">D26</f>
        <v>100</v>
      </c>
      <c r="F26" s="506">
        <f t="shared" ref="F26" si="11">C26-$B$15</f>
        <v>41</v>
      </c>
      <c r="G26" s="507">
        <f t="shared" ref="G26" si="12">ROUNDUP(F26/30,0)</f>
        <v>2</v>
      </c>
      <c r="H26" s="508" t="str">
        <f t="shared" ref="H26" si="13">"T+"&amp;G26</f>
        <v>T+2</v>
      </c>
      <c r="I26" s="502" t="str">
        <f>UPPER(TEXT(C26,"MMM-YY"))</f>
        <v>MAR-22</v>
      </c>
    </row>
    <row r="27" spans="1:9" s="502" customFormat="1">
      <c r="A27" s="509" t="str">
        <f t="shared" si="6"/>
        <v>1001</v>
      </c>
      <c r="B27" s="502" t="str">
        <f t="shared" si="7"/>
        <v>AMBANKMY</v>
      </c>
      <c r="C27" s="503">
        <f t="shared" si="8"/>
        <v>44656</v>
      </c>
      <c r="D27" s="504">
        <f t="shared" si="9"/>
        <v>100.11453324999999</v>
      </c>
      <c r="E27" s="505">
        <f t="shared" si="10"/>
        <v>100.11453324999999</v>
      </c>
      <c r="F27" s="506">
        <f t="shared" ref="F27" si="14">C27-$B$15</f>
        <v>46</v>
      </c>
      <c r="G27" s="507">
        <f t="shared" ref="G27" si="15">ROUNDUP(F27/30,0)</f>
        <v>2</v>
      </c>
      <c r="H27" s="508" t="str">
        <f t="shared" ref="H27" si="16">"T+"&amp;G27</f>
        <v>T+2</v>
      </c>
      <c r="I27" s="502" t="str">
        <f>UPPER(TEXT(C27,"MMM-YY"))</f>
        <v>APR-22</v>
      </c>
    </row>
    <row r="28" spans="1:9" s="502" customFormat="1">
      <c r="A28" s="509" t="str">
        <f t="shared" si="6"/>
        <v>1001</v>
      </c>
      <c r="B28" s="502" t="str">
        <f t="shared" si="7"/>
        <v>DBSG</v>
      </c>
      <c r="C28" s="503">
        <f t="shared" si="8"/>
        <v>44637</v>
      </c>
      <c r="D28" s="504">
        <f t="shared" si="9"/>
        <v>70</v>
      </c>
      <c r="E28" s="505">
        <f t="shared" si="10"/>
        <v>70</v>
      </c>
      <c r="F28" s="506">
        <f t="shared" ref="F28" si="17">C28-$B$15</f>
        <v>27</v>
      </c>
      <c r="G28" s="507">
        <f t="shared" ref="G28:G29" si="18">ROUNDUP(F28/30,0)</f>
        <v>1</v>
      </c>
      <c r="H28" s="508" t="str">
        <f t="shared" ref="H28:H29" si="19">"T+"&amp;G28</f>
        <v>T+1</v>
      </c>
      <c r="I28" s="502" t="str">
        <f>UPPER(TEXT(C28,"MMM-YY"))</f>
        <v>MAR-22</v>
      </c>
    </row>
    <row r="29" spans="1:9" s="502" customFormat="1">
      <c r="A29" s="509" t="str">
        <f t="shared" si="6"/>
        <v>1086</v>
      </c>
      <c r="B29" s="502" t="str">
        <f t="shared" si="7"/>
        <v>KTBTH</v>
      </c>
      <c r="C29" s="503">
        <f t="shared" si="8"/>
        <v>44636</v>
      </c>
      <c r="D29" s="504">
        <f t="shared" si="9"/>
        <v>30.002970000000001</v>
      </c>
      <c r="E29" s="505">
        <f t="shared" si="10"/>
        <v>30.002970000000001</v>
      </c>
      <c r="F29" s="506">
        <f>C29-$B$15</f>
        <v>26</v>
      </c>
      <c r="G29" s="507">
        <f t="shared" si="18"/>
        <v>1</v>
      </c>
      <c r="H29" s="508" t="str">
        <f t="shared" si="19"/>
        <v>T+1</v>
      </c>
      <c r="I29" s="502" t="str">
        <f t="shared" ref="I29" si="20">UPPER(TEXT(C29,"MMM-YY"))</f>
        <v>MAR-22</v>
      </c>
    </row>
    <row r="30" spans="1:9" s="502" customFormat="1">
      <c r="A30" s="509" t="str">
        <f t="shared" si="6"/>
        <v>1086</v>
      </c>
      <c r="B30" s="502" t="str">
        <f t="shared" si="7"/>
        <v>ICBC</v>
      </c>
      <c r="C30" s="503">
        <f t="shared" si="8"/>
        <v>44651</v>
      </c>
      <c r="D30" s="504">
        <f t="shared" si="9"/>
        <v>10</v>
      </c>
      <c r="E30" s="505">
        <f t="shared" si="10"/>
        <v>10</v>
      </c>
      <c r="F30" s="506">
        <f t="shared" ref="F30:F33" si="21">C30-$B$15</f>
        <v>41</v>
      </c>
      <c r="G30" s="507">
        <f>ROUNDUP(F30/30,0)</f>
        <v>2</v>
      </c>
      <c r="H30" s="508" t="str">
        <f>"T+"&amp;G30</f>
        <v>T+2</v>
      </c>
      <c r="I30" s="502" t="str">
        <f>UPPER(TEXT(C30,"MMM-YY"))</f>
        <v>MAR-22</v>
      </c>
    </row>
    <row r="31" spans="1:9" s="502" customFormat="1">
      <c r="A31" s="509" t="str">
        <f t="shared" si="6"/>
        <v>1086</v>
      </c>
      <c r="B31" s="502" t="str">
        <f t="shared" si="7"/>
        <v>KTBTH</v>
      </c>
      <c r="C31" s="503">
        <f t="shared" si="8"/>
        <v>44623</v>
      </c>
      <c r="D31" s="504">
        <f t="shared" si="9"/>
        <v>100</v>
      </c>
      <c r="E31" s="505">
        <f t="shared" si="10"/>
        <v>100</v>
      </c>
      <c r="F31" s="506">
        <f t="shared" si="21"/>
        <v>13</v>
      </c>
      <c r="G31" s="507">
        <f t="shared" ref="G31:G34" si="22">ROUNDUP(F31/30,0)</f>
        <v>1</v>
      </c>
      <c r="H31" s="508" t="str">
        <f t="shared" ref="H31:H34" si="23">"T+"&amp;G31</f>
        <v>T+1</v>
      </c>
      <c r="I31" s="502" t="str">
        <f>UPPER(TEXT(C31,"MMM-YY"))</f>
        <v>MAR-22</v>
      </c>
    </row>
    <row r="32" spans="1:9">
      <c r="A32" s="509" t="str">
        <f t="shared" si="6"/>
        <v>1086</v>
      </c>
      <c r="B32" s="502" t="str">
        <f t="shared" si="7"/>
        <v>ANZ</v>
      </c>
      <c r="C32" s="503">
        <f t="shared" si="8"/>
        <v>44655</v>
      </c>
      <c r="D32" s="504">
        <f t="shared" si="9"/>
        <v>100</v>
      </c>
      <c r="E32" s="505">
        <f t="shared" si="10"/>
        <v>100</v>
      </c>
      <c r="F32" s="506">
        <f t="shared" si="21"/>
        <v>45</v>
      </c>
      <c r="G32" s="507">
        <f t="shared" si="22"/>
        <v>2</v>
      </c>
      <c r="H32" s="508" t="str">
        <f t="shared" si="23"/>
        <v>T+2</v>
      </c>
      <c r="I32" s="502" t="str">
        <f>UPPER(TEXT(C32,"MMM-YY"))</f>
        <v>APR-22</v>
      </c>
    </row>
    <row r="33" spans="1:9">
      <c r="A33" s="509" t="str">
        <f t="shared" si="6"/>
        <v>1086</v>
      </c>
      <c r="B33" s="502" t="str">
        <f t="shared" si="7"/>
        <v>ICBC</v>
      </c>
      <c r="C33" s="503">
        <f t="shared" si="8"/>
        <v>44637</v>
      </c>
      <c r="D33" s="504">
        <f t="shared" si="9"/>
        <v>25</v>
      </c>
      <c r="E33" s="505">
        <f t="shared" si="10"/>
        <v>25</v>
      </c>
      <c r="F33" s="506">
        <f t="shared" si="21"/>
        <v>27</v>
      </c>
      <c r="G33" s="507">
        <f t="shared" si="22"/>
        <v>1</v>
      </c>
      <c r="H33" s="508" t="str">
        <f t="shared" si="23"/>
        <v>T+1</v>
      </c>
      <c r="I33" s="502" t="str">
        <f>UPPER(TEXT(C33,"MMM-YY"))</f>
        <v>MAR-22</v>
      </c>
    </row>
    <row r="34" spans="1:9">
      <c r="A34" s="509" t="str">
        <f>A12</f>
        <v>1086</v>
      </c>
      <c r="B34" s="502" t="str">
        <f t="shared" si="7"/>
        <v>KTBTH</v>
      </c>
      <c r="C34" s="503">
        <f t="shared" si="8"/>
        <v>44641</v>
      </c>
      <c r="D34" s="504">
        <f t="shared" si="9"/>
        <v>40.039644330000002</v>
      </c>
      <c r="E34" s="505">
        <f t="shared" si="10"/>
        <v>40.039644330000002</v>
      </c>
      <c r="F34" s="506">
        <f>C34-$B$15</f>
        <v>31</v>
      </c>
      <c r="G34" s="507">
        <f t="shared" si="22"/>
        <v>2</v>
      </c>
      <c r="H34" s="508" t="str">
        <f t="shared" si="23"/>
        <v>T+2</v>
      </c>
      <c r="I34" s="502" t="str">
        <f t="shared" ref="I34" si="24">UPPER(TEXT(C34,"MMM-YY"))</f>
        <v>MAR-22</v>
      </c>
    </row>
    <row r="35" spans="1:9">
      <c r="A35" s="509"/>
      <c r="B35" s="502"/>
      <c r="C35" s="503"/>
      <c r="D35" s="504"/>
      <c r="E35" s="505"/>
      <c r="F35" s="506"/>
      <c r="G35" s="507"/>
      <c r="H35" s="508"/>
      <c r="I35" s="502"/>
    </row>
  </sheetData>
  <autoFilter ref="A18:I32" xr:uid="{28FEB636-C3BE-41AD-86C1-52D5245B401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28C4-DEF8-424B-9241-1830E8FF05CF}">
  <dimension ref="A3:AF28"/>
  <sheetViews>
    <sheetView topLeftCell="G1" zoomScale="87" zoomScaleNormal="70" workbookViewId="0">
      <selection activeCell="S4" sqref="S4"/>
    </sheetView>
  </sheetViews>
  <sheetFormatPr baseColWidth="10" defaultColWidth="8.83203125" defaultRowHeight="15"/>
  <cols>
    <col min="1" max="1" width="22.1640625" bestFit="1" customWidth="1"/>
    <col min="2" max="2" width="15.83203125" bestFit="1" customWidth="1"/>
    <col min="3" max="3" width="11.33203125" bestFit="1" customWidth="1"/>
    <col min="4" max="4" width="8" bestFit="1" customWidth="1"/>
    <col min="5" max="6" width="12.33203125" bestFit="1" customWidth="1"/>
    <col min="7" max="7" width="6.6640625" bestFit="1" customWidth="1"/>
    <col min="8" max="8" width="5.33203125" bestFit="1" customWidth="1"/>
    <col min="9" max="9" width="12.33203125" bestFit="1" customWidth="1"/>
    <col min="10" max="10" width="4.6640625" bestFit="1" customWidth="1"/>
    <col min="11" max="15" width="12.33203125" bestFit="1" customWidth="1"/>
    <col min="23" max="23" width="9.5" customWidth="1"/>
    <col min="24" max="24" width="9" customWidth="1"/>
    <col min="26" max="26" width="9" customWidth="1"/>
  </cols>
  <sheetData>
    <row r="3" spans="1:32" ht="16" thickBot="1">
      <c r="R3" s="224"/>
      <c r="S3" s="259"/>
      <c r="T3" s="260"/>
      <c r="U3" s="260"/>
      <c r="V3" s="260"/>
      <c r="W3" s="260"/>
      <c r="X3" s="260"/>
      <c r="Y3" s="260"/>
      <c r="Z3" s="260"/>
      <c r="AA3" s="260"/>
      <c r="AB3" s="260"/>
      <c r="AC3" s="260"/>
      <c r="AD3" s="260"/>
      <c r="AE3" s="261"/>
      <c r="AF3" s="224"/>
    </row>
    <row r="4" spans="1:32" ht="16" thickBot="1">
      <c r="A4" s="197" t="s">
        <v>824</v>
      </c>
      <c r="B4" s="197" t="s">
        <v>809</v>
      </c>
      <c r="R4" s="225" t="s">
        <v>807</v>
      </c>
      <c r="S4" s="268" t="s">
        <v>955</v>
      </c>
      <c r="T4" s="269" t="s">
        <v>956</v>
      </c>
      <c r="U4" s="269" t="s">
        <v>709</v>
      </c>
      <c r="V4" s="269" t="s">
        <v>559</v>
      </c>
      <c r="W4" s="270" t="s">
        <v>458</v>
      </c>
      <c r="X4" s="356" t="s">
        <v>950</v>
      </c>
      <c r="Y4" s="356" t="s">
        <v>723</v>
      </c>
      <c r="Z4" s="356" t="s">
        <v>1399</v>
      </c>
      <c r="AA4" s="356" t="s">
        <v>727</v>
      </c>
      <c r="AB4" s="356" t="s">
        <v>731</v>
      </c>
      <c r="AC4" s="356" t="s">
        <v>173</v>
      </c>
      <c r="AD4" s="356"/>
      <c r="AE4" s="262" t="s">
        <v>808</v>
      </c>
      <c r="AF4" s="224" t="s">
        <v>825</v>
      </c>
    </row>
    <row r="5" spans="1:32">
      <c r="A5" s="197" t="s">
        <v>807</v>
      </c>
      <c r="B5" t="s">
        <v>614</v>
      </c>
      <c r="C5" t="s">
        <v>615</v>
      </c>
      <c r="D5" t="s">
        <v>709</v>
      </c>
      <c r="E5" t="s">
        <v>559</v>
      </c>
      <c r="F5" t="s">
        <v>458</v>
      </c>
      <c r="G5" t="s">
        <v>950</v>
      </c>
      <c r="H5" t="s">
        <v>723</v>
      </c>
      <c r="I5" t="s">
        <v>1399</v>
      </c>
      <c r="J5" t="s">
        <v>727</v>
      </c>
      <c r="K5" t="s">
        <v>1230</v>
      </c>
      <c r="L5" t="s">
        <v>1389</v>
      </c>
      <c r="M5" t="s">
        <v>808</v>
      </c>
      <c r="Q5">
        <v>0</v>
      </c>
      <c r="R5" s="226" t="str">
        <f>A6</f>
        <v>FEB-22</v>
      </c>
      <c r="S5" s="285">
        <v>8.5649009999999998E-2</v>
      </c>
      <c r="T5" s="286">
        <v>9.3639330000000007E-2</v>
      </c>
      <c r="U5" s="286">
        <v>0</v>
      </c>
      <c r="V5" s="286">
        <v>201.42679409000002</v>
      </c>
      <c r="W5" s="287">
        <v>115.38947122</v>
      </c>
      <c r="X5" s="357"/>
      <c r="Y5" s="357"/>
      <c r="Z5" s="199">
        <v>174.34993327000001</v>
      </c>
      <c r="AA5" s="258"/>
      <c r="AB5" s="258"/>
      <c r="AC5" s="357"/>
      <c r="AD5" s="357"/>
      <c r="AE5" s="263">
        <f>SUM(S5:AD5)</f>
        <v>491.34548692000004</v>
      </c>
      <c r="AF5" s="227">
        <f>AE5</f>
        <v>491.34548692000004</v>
      </c>
    </row>
    <row r="6" spans="1:32">
      <c r="A6" s="198" t="s">
        <v>1370</v>
      </c>
      <c r="B6" s="199">
        <v>8.5649009999999998E-2</v>
      </c>
      <c r="C6" s="199">
        <v>9.3639330000000007E-2</v>
      </c>
      <c r="D6" s="199">
        <v>0</v>
      </c>
      <c r="E6" s="199">
        <v>201.42679409000002</v>
      </c>
      <c r="F6" s="199">
        <v>115.38947122</v>
      </c>
      <c r="G6" s="199"/>
      <c r="H6" s="199"/>
      <c r="I6" s="199">
        <v>174.34993327000001</v>
      </c>
      <c r="J6" s="199"/>
      <c r="K6" s="199"/>
      <c r="L6" s="199"/>
      <c r="M6" s="199">
        <v>491.34548692000004</v>
      </c>
      <c r="Q6">
        <v>1</v>
      </c>
      <c r="R6" s="228" t="str">
        <f>UPPER(TEXT(EDATE($R$5,Q6),"MMM-YY"))</f>
        <v>MAR-22</v>
      </c>
      <c r="S6" s="264"/>
      <c r="T6" s="258"/>
      <c r="U6" s="258"/>
      <c r="V6" s="258"/>
      <c r="W6" s="258"/>
      <c r="X6" s="258"/>
      <c r="Y6" s="258">
        <v>170</v>
      </c>
      <c r="Z6" s="258"/>
      <c r="AA6" s="258">
        <v>35</v>
      </c>
      <c r="AB6" s="258">
        <v>140</v>
      </c>
      <c r="AC6" s="258">
        <v>170.04261432999999</v>
      </c>
      <c r="AD6" s="258"/>
      <c r="AE6" s="263">
        <f>SUM(S6:AD6)</f>
        <v>515.04261432999999</v>
      </c>
      <c r="AF6" s="227">
        <f>AF5+AE6</f>
        <v>1006.3881012500001</v>
      </c>
    </row>
    <row r="7" spans="1:32">
      <c r="A7" s="198" t="s">
        <v>950</v>
      </c>
      <c r="B7" s="199"/>
      <c r="C7" s="199"/>
      <c r="D7" s="199"/>
      <c r="E7" s="199"/>
      <c r="F7" s="199"/>
      <c r="G7" s="199"/>
      <c r="H7" s="199"/>
      <c r="I7" s="199"/>
      <c r="J7" s="199"/>
      <c r="K7" s="199"/>
      <c r="L7" s="199"/>
      <c r="M7" s="199"/>
      <c r="Q7">
        <v>2</v>
      </c>
      <c r="R7" s="228" t="str">
        <f>UPPER(TEXT(EDATE($R$5,Q7),"MMM-YY"))</f>
        <v>APR-22</v>
      </c>
      <c r="S7" s="264"/>
      <c r="T7" s="258"/>
      <c r="U7" s="258"/>
      <c r="V7" s="258"/>
      <c r="W7" s="258"/>
      <c r="X7" s="258"/>
      <c r="Y7" s="258"/>
      <c r="Z7" s="199">
        <v>100</v>
      </c>
      <c r="AA7" s="258"/>
      <c r="AB7" s="258">
        <v>100.11453324999999</v>
      </c>
      <c r="AC7" s="258"/>
      <c r="AD7" s="258"/>
      <c r="AE7" s="263">
        <f>SUM(S7:AD7)</f>
        <v>200.11453324999999</v>
      </c>
      <c r="AF7" s="227">
        <f>AF6+AE7</f>
        <v>1206.5026345000001</v>
      </c>
    </row>
    <row r="8" spans="1:32" ht="16" thickBot="1">
      <c r="A8" s="198" t="s">
        <v>1391</v>
      </c>
      <c r="B8" s="199"/>
      <c r="C8" s="199"/>
      <c r="D8" s="199"/>
      <c r="E8" s="199"/>
      <c r="F8" s="199"/>
      <c r="G8" s="199"/>
      <c r="H8" s="199">
        <v>170</v>
      </c>
      <c r="I8" s="199"/>
      <c r="J8" s="199">
        <v>35</v>
      </c>
      <c r="K8" s="199">
        <v>140</v>
      </c>
      <c r="L8" s="199">
        <v>170.04261432999999</v>
      </c>
      <c r="M8" s="199">
        <v>515.04261432999999</v>
      </c>
      <c r="Q8">
        <v>3</v>
      </c>
      <c r="R8" s="228"/>
      <c r="S8" s="265"/>
      <c r="T8" s="229"/>
      <c r="U8" s="229"/>
      <c r="V8" s="229"/>
      <c r="W8" s="258"/>
      <c r="X8" s="258"/>
      <c r="Y8" s="258"/>
      <c r="Z8" s="199"/>
      <c r="AA8" s="258"/>
      <c r="AB8" s="258"/>
      <c r="AC8" s="258"/>
      <c r="AD8" s="258"/>
      <c r="AE8" s="263">
        <f>SUM(S8:AD8)</f>
        <v>0</v>
      </c>
      <c r="AF8" s="227">
        <f>AF7+AE8</f>
        <v>1206.5026345000001</v>
      </c>
    </row>
    <row r="9" spans="1:32">
      <c r="A9" s="198" t="s">
        <v>1503</v>
      </c>
      <c r="B9" s="199"/>
      <c r="C9" s="199"/>
      <c r="D9" s="199"/>
      <c r="E9" s="199"/>
      <c r="F9" s="199"/>
      <c r="G9" s="199"/>
      <c r="H9" s="199"/>
      <c r="I9" s="199">
        <v>100</v>
      </c>
      <c r="J9" s="199"/>
      <c r="K9" s="199">
        <v>100.11453324999999</v>
      </c>
      <c r="L9" s="199"/>
      <c r="M9" s="199">
        <v>200.11453324999999</v>
      </c>
      <c r="R9" s="228"/>
      <c r="S9" s="264"/>
      <c r="T9" s="258"/>
      <c r="U9" s="258"/>
      <c r="V9" s="258"/>
      <c r="W9" s="258"/>
      <c r="X9" s="258"/>
      <c r="Y9" s="258"/>
      <c r="Z9" s="258"/>
      <c r="AA9" s="258"/>
      <c r="AB9" s="258"/>
      <c r="AC9" s="258"/>
      <c r="AD9" s="258"/>
      <c r="AE9" s="263">
        <f>SUM(S9:AB9)</f>
        <v>0</v>
      </c>
      <c r="AF9" s="227">
        <f>AF8+AE9</f>
        <v>1206.5026345000001</v>
      </c>
    </row>
    <row r="10" spans="1:32">
      <c r="A10" s="198" t="s">
        <v>808</v>
      </c>
      <c r="B10" s="199">
        <v>8.5649009999999998E-2</v>
      </c>
      <c r="C10" s="199">
        <v>9.3639330000000007E-2</v>
      </c>
      <c r="D10" s="199">
        <v>0</v>
      </c>
      <c r="E10" s="199">
        <v>201.42679409000002</v>
      </c>
      <c r="F10" s="199">
        <v>115.38947122</v>
      </c>
      <c r="G10" s="199"/>
      <c r="H10" s="199">
        <v>170</v>
      </c>
      <c r="I10" s="199">
        <v>274.34993327000001</v>
      </c>
      <c r="J10" s="199">
        <v>35</v>
      </c>
      <c r="K10" s="199">
        <v>240.11453324999999</v>
      </c>
      <c r="L10" s="199">
        <v>170.04261432999999</v>
      </c>
      <c r="M10" s="199">
        <v>1206.5026345000001</v>
      </c>
    </row>
    <row r="11" spans="1:32">
      <c r="Q11" s="232"/>
      <c r="R11" s="230" t="s">
        <v>808</v>
      </c>
      <c r="S11" s="266">
        <f>SUM(S5:S9)</f>
        <v>8.5649009999999998E-2</v>
      </c>
      <c r="T11" s="267">
        <f>SUM(T5:T9)</f>
        <v>9.3639330000000007E-2</v>
      </c>
      <c r="U11" s="267">
        <f>SUM(U5:U9)</f>
        <v>0</v>
      </c>
      <c r="V11" s="267">
        <f>SUM(V5:V9)</f>
        <v>201.42679409000002</v>
      </c>
      <c r="W11" s="267">
        <f>SUM(W5:W9)</f>
        <v>115.38947122</v>
      </c>
      <c r="X11" s="267"/>
      <c r="Y11" s="267">
        <f t="shared" ref="Y11:AC11" si="0">SUM(Y5:Y9)</f>
        <v>170</v>
      </c>
      <c r="Z11" s="267">
        <f t="shared" si="0"/>
        <v>274.34993327000001</v>
      </c>
      <c r="AA11" s="267">
        <f t="shared" si="0"/>
        <v>35</v>
      </c>
      <c r="AB11" s="267">
        <f t="shared" si="0"/>
        <v>240.11453324999999</v>
      </c>
      <c r="AC11" s="267">
        <f t="shared" si="0"/>
        <v>170.04261432999999</v>
      </c>
      <c r="AD11" s="267"/>
      <c r="AE11" s="267">
        <f>SUM(AE5:AE9)</f>
        <v>1206.5026345000001</v>
      </c>
      <c r="AF11" s="231">
        <f>AF9</f>
        <v>1206.5026345000001</v>
      </c>
    </row>
    <row r="12" spans="1:32">
      <c r="N12" s="199"/>
      <c r="O12" s="232"/>
      <c r="P12" s="232"/>
      <c r="Q12" s="232"/>
      <c r="R12" s="232"/>
      <c r="S12" s="232"/>
      <c r="T12" s="232"/>
      <c r="U12" s="232"/>
      <c r="V12" s="232"/>
      <c r="W12" s="232"/>
      <c r="X12" s="232"/>
      <c r="Y12" s="232"/>
      <c r="Z12" s="232"/>
      <c r="AA12" s="232"/>
      <c r="AB12" s="232"/>
    </row>
    <row r="13" spans="1:32">
      <c r="K13" s="232"/>
      <c r="L13" s="232"/>
      <c r="M13" s="232"/>
      <c r="N13" s="232"/>
      <c r="O13" s="232"/>
      <c r="P13" s="232"/>
      <c r="Q13" s="232"/>
      <c r="R13" s="232"/>
      <c r="S13" s="232"/>
      <c r="T13" s="232"/>
      <c r="U13" s="232"/>
      <c r="V13" s="232"/>
      <c r="W13" s="232"/>
      <c r="X13" s="232"/>
      <c r="Y13" s="232"/>
      <c r="Z13" s="232"/>
      <c r="AA13" s="232"/>
      <c r="AB13" s="232"/>
    </row>
    <row r="14" spans="1:32">
      <c r="K14" s="232"/>
      <c r="L14" s="232"/>
      <c r="M14" s="232"/>
      <c r="N14" s="232"/>
      <c r="O14" s="232"/>
      <c r="P14" s="232"/>
      <c r="Q14" s="232"/>
      <c r="R14" s="232"/>
      <c r="S14" s="232"/>
      <c r="T14" s="232"/>
      <c r="U14" s="232"/>
      <c r="V14" s="232"/>
      <c r="W14" s="232"/>
      <c r="X14" s="232"/>
      <c r="Y14" s="232"/>
      <c r="Z14" s="232"/>
      <c r="AA14" s="232"/>
      <c r="AB14" s="232"/>
    </row>
    <row r="15" spans="1:32">
      <c r="K15" s="232"/>
      <c r="L15" s="232"/>
      <c r="M15" s="232"/>
      <c r="N15" s="232"/>
      <c r="O15" s="232"/>
      <c r="P15" s="232"/>
      <c r="Q15" s="232"/>
      <c r="R15" s="232"/>
      <c r="S15" s="232"/>
      <c r="T15" s="232"/>
      <c r="U15" s="232"/>
      <c r="V15" s="232"/>
      <c r="W15" s="232"/>
      <c r="X15" s="232"/>
      <c r="Y15" s="232"/>
      <c r="Z15" s="232"/>
      <c r="AA15" s="232"/>
      <c r="AB15" s="232"/>
    </row>
    <row r="16" spans="1:32">
      <c r="K16" s="232"/>
      <c r="L16" s="232"/>
      <c r="M16" s="232"/>
      <c r="N16" s="232"/>
      <c r="O16" s="232"/>
      <c r="P16" s="232"/>
      <c r="Q16" s="232"/>
      <c r="R16" s="232"/>
      <c r="S16" s="232"/>
      <c r="T16" s="232"/>
      <c r="U16" s="232"/>
      <c r="V16" s="232"/>
      <c r="W16" s="232"/>
      <c r="X16" s="232"/>
      <c r="Y16" s="232"/>
      <c r="Z16" s="232"/>
      <c r="AA16" s="232"/>
      <c r="AB16" s="232"/>
    </row>
    <row r="17" spans="11:28">
      <c r="K17" s="232"/>
      <c r="L17" s="232"/>
      <c r="M17" s="232"/>
      <c r="N17" s="232"/>
      <c r="O17" s="232"/>
      <c r="P17" s="232"/>
      <c r="Q17" s="232"/>
      <c r="R17" s="232"/>
      <c r="S17" s="232"/>
      <c r="T17" s="232"/>
      <c r="U17" s="232"/>
      <c r="V17" s="232"/>
      <c r="W17" s="232"/>
      <c r="X17" s="232"/>
      <c r="Y17" s="232"/>
      <c r="Z17" s="232"/>
      <c r="AA17" s="232"/>
      <c r="AB17" s="232"/>
    </row>
    <row r="18" spans="11:28">
      <c r="K18" s="232"/>
      <c r="L18" s="232"/>
      <c r="M18" s="232"/>
      <c r="N18" s="232"/>
      <c r="O18" s="232"/>
      <c r="P18" s="232"/>
      <c r="Q18" s="232"/>
      <c r="R18" s="232"/>
      <c r="S18" s="232"/>
      <c r="T18" s="232"/>
      <c r="U18" s="232"/>
      <c r="V18" s="232"/>
      <c r="W18" s="232"/>
      <c r="X18" s="232"/>
      <c r="Y18" s="232"/>
      <c r="Z18" s="232"/>
      <c r="AA18" s="232"/>
      <c r="AB18" s="232"/>
    </row>
    <row r="19" spans="11:28">
      <c r="K19" s="232"/>
      <c r="L19" s="232"/>
      <c r="M19" s="232"/>
      <c r="N19" s="232"/>
      <c r="O19" s="232"/>
      <c r="P19" s="232"/>
      <c r="Q19" s="232"/>
      <c r="R19" s="232"/>
      <c r="S19" s="232"/>
      <c r="T19" s="232"/>
      <c r="U19" s="232"/>
      <c r="V19" s="232"/>
      <c r="W19" s="232"/>
      <c r="X19" s="232"/>
      <c r="Y19" s="232"/>
      <c r="Z19" s="232"/>
      <c r="AA19" s="232"/>
      <c r="AB19" s="232"/>
    </row>
    <row r="20" spans="11:28">
      <c r="K20" s="232"/>
      <c r="L20" s="232"/>
      <c r="M20" s="232"/>
      <c r="N20" s="232"/>
      <c r="O20" s="232"/>
      <c r="P20" s="232"/>
      <c r="Q20" s="232"/>
      <c r="R20" s="232"/>
      <c r="S20" s="232"/>
      <c r="T20" s="232"/>
      <c r="U20" s="232"/>
      <c r="V20" s="232"/>
      <c r="W20" s="232"/>
      <c r="X20" s="232"/>
      <c r="Y20" s="232"/>
      <c r="Z20" s="232"/>
      <c r="AA20" s="232"/>
      <c r="AB20" s="232"/>
    </row>
    <row r="21" spans="11:28">
      <c r="K21" s="232"/>
      <c r="L21" s="232"/>
      <c r="M21" s="232"/>
      <c r="N21" s="232"/>
      <c r="O21" s="232"/>
      <c r="P21" s="232"/>
      <c r="Q21" s="232"/>
      <c r="R21" s="232"/>
      <c r="S21" s="232"/>
      <c r="T21" s="232"/>
      <c r="U21" s="232"/>
      <c r="V21" s="232"/>
      <c r="W21" s="232"/>
      <c r="X21" s="232"/>
      <c r="Y21" s="232"/>
      <c r="Z21" s="232"/>
      <c r="AA21" s="232"/>
      <c r="AB21" s="232"/>
    </row>
    <row r="22" spans="11:28">
      <c r="K22" s="232"/>
      <c r="L22" s="232"/>
      <c r="M22" s="232"/>
      <c r="N22" s="232"/>
      <c r="O22" s="232"/>
      <c r="P22" s="232"/>
      <c r="Q22" s="232"/>
      <c r="R22" s="232"/>
      <c r="S22" s="232"/>
      <c r="T22" s="232"/>
      <c r="U22" s="232"/>
      <c r="V22" s="232"/>
      <c r="W22" s="232"/>
      <c r="X22" s="232"/>
      <c r="Y22" s="232"/>
      <c r="Z22" s="232"/>
      <c r="AA22" s="232"/>
      <c r="AB22" s="232"/>
    </row>
    <row r="23" spans="11:28">
      <c r="K23" s="232"/>
      <c r="L23" s="232"/>
      <c r="M23" s="232"/>
      <c r="N23" s="232"/>
      <c r="O23" s="232"/>
      <c r="P23" s="232"/>
      <c r="Q23" s="232"/>
      <c r="R23" s="232"/>
      <c r="S23" s="232"/>
      <c r="T23" s="232"/>
      <c r="U23" s="232"/>
      <c r="V23" s="232"/>
      <c r="W23" s="232"/>
      <c r="X23" s="232"/>
      <c r="Y23" s="232"/>
      <c r="Z23" s="232"/>
      <c r="AA23" s="232"/>
      <c r="AB23" s="232"/>
    </row>
    <row r="24" spans="11:28">
      <c r="K24" s="232"/>
      <c r="L24" s="232"/>
      <c r="M24" s="232"/>
      <c r="N24" s="232"/>
      <c r="O24" s="232"/>
      <c r="P24" s="232"/>
      <c r="Q24" s="232"/>
      <c r="R24" s="232"/>
      <c r="S24" s="232"/>
      <c r="T24" s="232"/>
      <c r="U24" s="232"/>
      <c r="V24" s="232"/>
      <c r="W24" s="232"/>
      <c r="X24" s="232"/>
      <c r="Y24" s="232"/>
      <c r="Z24" s="232"/>
      <c r="AA24" s="232"/>
      <c r="AB24" s="232"/>
    </row>
    <row r="25" spans="11:28">
      <c r="K25" s="232"/>
      <c r="L25" s="232"/>
      <c r="M25" s="232"/>
      <c r="N25" s="232"/>
      <c r="O25" s="232"/>
      <c r="P25" s="232"/>
      <c r="Q25" s="232"/>
      <c r="R25" s="232"/>
      <c r="S25" s="232"/>
      <c r="T25" s="232"/>
      <c r="U25" s="232"/>
      <c r="V25" s="232"/>
      <c r="W25" s="232"/>
      <c r="X25" s="232"/>
      <c r="Y25" s="232"/>
      <c r="Z25" s="232"/>
      <c r="AA25" s="232"/>
      <c r="AB25" s="232"/>
    </row>
    <row r="26" spans="11:28">
      <c r="K26" s="232"/>
      <c r="L26" s="232"/>
      <c r="M26" s="232"/>
      <c r="N26" s="232"/>
      <c r="O26" s="232"/>
      <c r="P26" s="232"/>
      <c r="Q26" s="232"/>
      <c r="R26" s="232"/>
      <c r="S26" s="232"/>
      <c r="T26" s="232"/>
      <c r="U26" s="232"/>
      <c r="V26" s="232"/>
      <c r="W26" s="232"/>
      <c r="X26" s="232"/>
      <c r="Y26" s="232"/>
      <c r="Z26" s="232"/>
      <c r="AA26" s="232"/>
      <c r="AB26" s="232"/>
    </row>
    <row r="27" spans="11:28">
      <c r="K27" s="232"/>
      <c r="L27" s="232"/>
      <c r="M27" s="232"/>
      <c r="N27" s="232"/>
      <c r="O27" s="232"/>
      <c r="P27" s="232"/>
      <c r="Q27" s="232"/>
      <c r="R27" s="232"/>
      <c r="S27" s="232"/>
      <c r="T27" s="232"/>
      <c r="U27" s="232"/>
      <c r="V27" s="232"/>
      <c r="W27" s="232"/>
      <c r="X27" s="232"/>
      <c r="Y27" s="232"/>
      <c r="Z27" s="232"/>
      <c r="AA27" s="232"/>
      <c r="AB27" s="232"/>
    </row>
    <row r="28" spans="11:28">
      <c r="K28" s="232"/>
      <c r="L28" s="232"/>
      <c r="M28" s="232"/>
      <c r="N28" s="232"/>
      <c r="O28" s="232"/>
      <c r="P28" s="232"/>
      <c r="Q28" s="232"/>
      <c r="R28" s="232"/>
      <c r="S28" s="232"/>
      <c r="T28" s="232"/>
      <c r="U28" s="232"/>
      <c r="V28" s="232"/>
      <c r="W28" s="232"/>
      <c r="X28" s="232"/>
      <c r="Y28" s="232"/>
      <c r="Z28" s="232"/>
      <c r="AA28" s="232"/>
      <c r="AB28" s="232"/>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6E29D-C7A6-468B-A6FF-2EABFA2AD0BD}">
  <dimension ref="A3:P111"/>
  <sheetViews>
    <sheetView topLeftCell="A46" zoomScaleNormal="70" workbookViewId="0">
      <selection activeCell="F64" sqref="F64"/>
    </sheetView>
  </sheetViews>
  <sheetFormatPr baseColWidth="10" defaultColWidth="8.83203125" defaultRowHeight="15"/>
  <cols>
    <col min="1" max="1" width="15.83203125" customWidth="1"/>
    <col min="2" max="2" width="14.6640625" customWidth="1"/>
    <col min="3" max="3" width="14.83203125" customWidth="1"/>
    <col min="5" max="5" width="17.33203125" customWidth="1"/>
    <col min="6" max="6" width="16.6640625" customWidth="1"/>
    <col min="7" max="7" width="13.1640625" style="123" customWidth="1"/>
    <col min="8" max="8" width="16.33203125" customWidth="1"/>
    <col min="9" max="9" width="14.83203125" customWidth="1"/>
  </cols>
  <sheetData>
    <row r="3" spans="1:16">
      <c r="I3" s="158">
        <f>25%*Dashboard!$D$4</f>
        <v>688.35651987185429</v>
      </c>
      <c r="J3" t="s">
        <v>762</v>
      </c>
    </row>
    <row r="4" spans="1:16">
      <c r="N4" s="77"/>
      <c r="O4" s="77"/>
      <c r="P4" s="77"/>
    </row>
    <row r="5" spans="1:16" s="128" customFormat="1" ht="25.25" customHeight="1">
      <c r="A5" s="128" t="s">
        <v>139</v>
      </c>
      <c r="B5" s="128" t="s">
        <v>781</v>
      </c>
      <c r="C5" s="128" t="s">
        <v>703</v>
      </c>
      <c r="D5" s="128" t="s">
        <v>704</v>
      </c>
      <c r="E5" s="128" t="s">
        <v>705</v>
      </c>
      <c r="F5" s="128" t="s">
        <v>768</v>
      </c>
      <c r="G5" s="128" t="s">
        <v>763</v>
      </c>
      <c r="H5" s="128" t="s">
        <v>764</v>
      </c>
      <c r="I5" s="128" t="s">
        <v>765</v>
      </c>
      <c r="J5" s="128" t="s">
        <v>766</v>
      </c>
      <c r="N5" s="129"/>
      <c r="O5" s="129"/>
      <c r="P5" s="129"/>
    </row>
    <row r="6" spans="1:16">
      <c r="A6" t="s">
        <v>706</v>
      </c>
      <c r="B6" t="s">
        <v>706</v>
      </c>
      <c r="C6" t="s">
        <v>706</v>
      </c>
      <c r="D6" t="s">
        <v>73</v>
      </c>
      <c r="E6" s="541">
        <v>450</v>
      </c>
      <c r="F6" s="77">
        <f>IF(E6&gt;$I$3,$I$3,E6)</f>
        <v>450</v>
      </c>
      <c r="G6" s="123">
        <f>SUMIF(Deposit!$R:$R,'Counterparty Limit'!$B6,Deposit!$M:$M)/10^6</f>
        <v>0</v>
      </c>
      <c r="I6" s="130">
        <f t="shared" ref="I6:I51" si="0">G6+H6</f>
        <v>0</v>
      </c>
      <c r="J6" s="130">
        <f t="shared" ref="J6:J51" si="1">F6-I6</f>
        <v>450</v>
      </c>
      <c r="N6" s="77"/>
      <c r="O6" s="77"/>
      <c r="P6" s="77"/>
    </row>
    <row r="7" spans="1:16">
      <c r="A7" t="s">
        <v>707</v>
      </c>
      <c r="B7" t="s">
        <v>707</v>
      </c>
      <c r="C7" t="s">
        <v>707</v>
      </c>
      <c r="D7" t="s">
        <v>73</v>
      </c>
      <c r="E7" s="541">
        <v>110</v>
      </c>
      <c r="F7" s="77">
        <f>IF(E7&gt;$I$3,$I$3,E7)</f>
        <v>110</v>
      </c>
      <c r="G7" s="123">
        <f>SUMIF(Deposit!$R:$R,'Counterparty Limit'!$B7,Deposit!$M:$M)/10^6</f>
        <v>0</v>
      </c>
      <c r="I7" s="130">
        <f t="shared" si="0"/>
        <v>0</v>
      </c>
      <c r="J7" s="130">
        <f t="shared" si="1"/>
        <v>110</v>
      </c>
      <c r="N7" s="77"/>
      <c r="O7" s="77"/>
      <c r="P7" s="77"/>
    </row>
    <row r="8" spans="1:16">
      <c r="A8" t="s">
        <v>708</v>
      </c>
      <c r="B8" t="s">
        <v>708</v>
      </c>
      <c r="C8" t="s">
        <v>709</v>
      </c>
      <c r="D8" t="s">
        <v>73</v>
      </c>
      <c r="E8" s="541">
        <v>450</v>
      </c>
      <c r="F8" s="77">
        <f t="shared" ref="F8:F43" si="2">IF(E8&gt;$I$3,$I$3,E8)</f>
        <v>450</v>
      </c>
      <c r="G8" s="123">
        <f>SUMIF(Deposit!$R:$R,'Counterparty Limit'!$B8,Deposit!$M:$M)/10^6</f>
        <v>0</v>
      </c>
      <c r="H8" s="156">
        <f>SUMIF('Working Cap'!$G:$G,'Counterparty Limit'!$C8,'Working Cap'!$N:$N)/10^6</f>
        <v>0</v>
      </c>
      <c r="I8" s="195">
        <f t="shared" si="0"/>
        <v>0</v>
      </c>
      <c r="J8" s="130">
        <f t="shared" si="1"/>
        <v>450</v>
      </c>
      <c r="N8" s="77"/>
      <c r="O8" s="77"/>
      <c r="P8" s="77"/>
    </row>
    <row r="9" spans="1:16">
      <c r="A9" t="s">
        <v>710</v>
      </c>
      <c r="B9" t="s">
        <v>710</v>
      </c>
      <c r="C9" t="s">
        <v>711</v>
      </c>
      <c r="D9" t="s">
        <v>73</v>
      </c>
      <c r="E9" s="541">
        <v>420</v>
      </c>
      <c r="F9" s="77">
        <f t="shared" si="2"/>
        <v>420</v>
      </c>
      <c r="G9" s="123">
        <f>SUMIF(Deposit!$R:$R,'Counterparty Limit'!$B9,Deposit!$M:$M)/10^6</f>
        <v>0</v>
      </c>
      <c r="H9" s="85"/>
      <c r="I9" s="130">
        <f t="shared" si="0"/>
        <v>0</v>
      </c>
      <c r="J9" s="130">
        <f t="shared" si="1"/>
        <v>420</v>
      </c>
      <c r="N9" s="77"/>
      <c r="O9" s="77"/>
      <c r="P9" s="77"/>
    </row>
    <row r="10" spans="1:16">
      <c r="A10" t="s">
        <v>712</v>
      </c>
      <c r="B10" t="s">
        <v>712</v>
      </c>
      <c r="C10" t="s">
        <v>713</v>
      </c>
      <c r="D10" t="s">
        <v>73</v>
      </c>
      <c r="E10" s="541">
        <v>900</v>
      </c>
      <c r="F10" s="77">
        <f t="shared" si="2"/>
        <v>688.35651987185429</v>
      </c>
      <c r="G10" s="123">
        <f>SUMIF(Deposit!$R:$R,'Counterparty Limit'!$B10,Deposit!$M:$M)/10^6</f>
        <v>0</v>
      </c>
      <c r="H10" s="85"/>
      <c r="I10" s="130">
        <f t="shared" si="0"/>
        <v>0</v>
      </c>
      <c r="J10" s="130">
        <f t="shared" si="1"/>
        <v>688.35651987185429</v>
      </c>
      <c r="N10" s="77"/>
      <c r="O10" s="77"/>
      <c r="P10" s="77"/>
    </row>
    <row r="11" spans="1:16">
      <c r="A11" t="s">
        <v>714</v>
      </c>
      <c r="B11" t="s">
        <v>714</v>
      </c>
      <c r="C11" t="s">
        <v>715</v>
      </c>
      <c r="D11" t="s">
        <v>73</v>
      </c>
      <c r="E11" s="541">
        <v>900</v>
      </c>
      <c r="F11" s="77">
        <f t="shared" si="2"/>
        <v>688.35651987185429</v>
      </c>
      <c r="G11" s="123">
        <f>SUMIF(Deposit!R:R,'Counterparty Limit'!B11,Deposit!M:M)/10^6</f>
        <v>0</v>
      </c>
      <c r="H11" s="85"/>
      <c r="I11" s="130">
        <f t="shared" si="0"/>
        <v>0</v>
      </c>
      <c r="J11" s="130">
        <f t="shared" si="1"/>
        <v>688.35651987185429</v>
      </c>
      <c r="N11" s="77"/>
      <c r="O11" s="77"/>
      <c r="P11" s="77"/>
    </row>
    <row r="12" spans="1:16">
      <c r="A12" t="s">
        <v>716</v>
      </c>
      <c r="B12" t="s">
        <v>716</v>
      </c>
      <c r="C12" t="s">
        <v>717</v>
      </c>
      <c r="D12" t="s">
        <v>73</v>
      </c>
      <c r="E12">
        <f>I3</f>
        <v>688.35651987185429</v>
      </c>
      <c r="F12" s="77">
        <f t="shared" si="2"/>
        <v>688.35651987185429</v>
      </c>
      <c r="G12" s="123">
        <f>SUMIF(Deposit!R:R,'Counterparty Limit'!B12,Deposit!M:M)/10^6</f>
        <v>0</v>
      </c>
      <c r="H12" s="85"/>
      <c r="I12" s="130">
        <f t="shared" si="0"/>
        <v>0</v>
      </c>
      <c r="J12" s="130">
        <f t="shared" si="1"/>
        <v>688.35651987185429</v>
      </c>
      <c r="N12" s="77"/>
      <c r="O12" s="77"/>
      <c r="P12" s="77"/>
    </row>
    <row r="13" spans="1:16" ht="14.75" customHeight="1">
      <c r="A13" t="s">
        <v>718</v>
      </c>
      <c r="B13" t="s">
        <v>718</v>
      </c>
      <c r="C13" t="s">
        <v>719</v>
      </c>
      <c r="D13" t="s">
        <v>73</v>
      </c>
      <c r="E13">
        <v>1714.06</v>
      </c>
      <c r="F13" s="77">
        <f t="shared" si="2"/>
        <v>688.35651987185429</v>
      </c>
      <c r="G13" s="123">
        <f>SUMIF(Deposit!R:R,'Counterparty Limit'!B13,Deposit!M:M)/10^6</f>
        <v>0</v>
      </c>
      <c r="H13" s="85"/>
      <c r="I13" s="130">
        <f t="shared" si="0"/>
        <v>0</v>
      </c>
      <c r="J13" s="130">
        <f t="shared" si="1"/>
        <v>688.35651987185429</v>
      </c>
      <c r="N13" s="77"/>
      <c r="O13" s="77"/>
      <c r="P13" s="77"/>
    </row>
    <row r="14" spans="1:16">
      <c r="A14" t="s">
        <v>453</v>
      </c>
      <c r="B14" t="s">
        <v>453</v>
      </c>
      <c r="C14" t="s">
        <v>453</v>
      </c>
      <c r="D14" t="s">
        <v>73</v>
      </c>
      <c r="E14" s="541">
        <v>670</v>
      </c>
      <c r="F14" s="77">
        <f t="shared" si="2"/>
        <v>670</v>
      </c>
      <c r="G14" s="123">
        <f>(SUMIF(Deposit!$R:$R,'Counterparty Limit'!$B14,Deposit!$M:$M)/10^6)+((('SKO&amp; SBO'!$E$47))/10^3)-G33</f>
        <v>241.12394392000002</v>
      </c>
      <c r="H14" s="85"/>
      <c r="I14" s="195">
        <f t="shared" si="0"/>
        <v>241.12394392000002</v>
      </c>
      <c r="J14" s="130">
        <f t="shared" si="1"/>
        <v>428.87605608000001</v>
      </c>
      <c r="N14" s="77"/>
      <c r="O14" s="77"/>
      <c r="P14" s="77"/>
    </row>
    <row r="15" spans="1:16">
      <c r="A15" t="s">
        <v>180</v>
      </c>
      <c r="B15" t="s">
        <v>180</v>
      </c>
      <c r="C15" t="s">
        <v>720</v>
      </c>
      <c r="D15" t="s">
        <v>73</v>
      </c>
      <c r="E15" s="541">
        <v>420</v>
      </c>
      <c r="F15" s="77">
        <f t="shared" si="2"/>
        <v>420</v>
      </c>
      <c r="G15" s="123">
        <f>SUMIF(Deposit!$R:$R,'Counterparty Limit'!$B15,Deposit!$M:$M)/10^6</f>
        <v>5.3630199999999996E-3</v>
      </c>
      <c r="H15" s="85"/>
      <c r="I15" s="195">
        <f t="shared" si="0"/>
        <v>5.3630199999999996E-3</v>
      </c>
      <c r="J15" s="130">
        <f t="shared" si="1"/>
        <v>419.99463698</v>
      </c>
      <c r="N15" s="77"/>
      <c r="O15" s="77"/>
      <c r="P15" s="77"/>
    </row>
    <row r="16" spans="1:16">
      <c r="A16" t="s">
        <v>721</v>
      </c>
      <c r="B16" t="s">
        <v>721</v>
      </c>
      <c r="C16" t="s">
        <v>722</v>
      </c>
      <c r="D16" t="s">
        <v>73</v>
      </c>
      <c r="E16" s="541">
        <v>880</v>
      </c>
      <c r="F16" s="77">
        <f t="shared" si="2"/>
        <v>688.35651987185429</v>
      </c>
      <c r="G16" s="123">
        <f>SUMIF(Deposit!$R:$R,'Counterparty Limit'!$B16,Deposit!$M:$M)/10^6</f>
        <v>0</v>
      </c>
      <c r="H16" s="85"/>
      <c r="I16" s="130">
        <f t="shared" si="0"/>
        <v>0</v>
      </c>
      <c r="J16" s="130">
        <f t="shared" si="1"/>
        <v>688.35651987185429</v>
      </c>
      <c r="N16" s="77"/>
      <c r="O16" s="77"/>
      <c r="P16" s="77"/>
    </row>
    <row r="17" spans="1:16">
      <c r="A17" t="s">
        <v>723</v>
      </c>
      <c r="B17" t="s">
        <v>723</v>
      </c>
      <c r="C17" t="s">
        <v>723</v>
      </c>
      <c r="D17" t="s">
        <v>73</v>
      </c>
      <c r="E17" s="541">
        <v>670</v>
      </c>
      <c r="F17" s="77">
        <f t="shared" si="2"/>
        <v>670</v>
      </c>
      <c r="G17" s="123">
        <f>SUMIF(Deposit!$R:$R,'Counterparty Limit'!$B17,Deposit!$M:$M)/10^6</f>
        <v>0</v>
      </c>
      <c r="H17" s="156">
        <f>SUMIF(Investment!$F:$F,'Counterparty Limit'!$C17,Investment!$R:$R)/10^6</f>
        <v>170</v>
      </c>
      <c r="I17" s="130">
        <f t="shared" si="0"/>
        <v>170</v>
      </c>
      <c r="J17" s="130">
        <f t="shared" si="1"/>
        <v>500</v>
      </c>
      <c r="N17" s="77"/>
      <c r="O17" s="77"/>
      <c r="P17" s="77"/>
    </row>
    <row r="18" spans="1:16">
      <c r="A18" t="s">
        <v>724</v>
      </c>
      <c r="B18" t="s">
        <v>724</v>
      </c>
      <c r="C18" t="s">
        <v>725</v>
      </c>
      <c r="D18" t="s">
        <v>73</v>
      </c>
      <c r="E18">
        <v>1599.22</v>
      </c>
      <c r="F18" s="77">
        <f t="shared" si="2"/>
        <v>688.35651987185429</v>
      </c>
      <c r="G18" s="123">
        <f>SUMIF(Deposit!$R:$R,'Counterparty Limit'!$B18,Deposit!$M:$M)/10^6</f>
        <v>0</v>
      </c>
      <c r="H18" s="85"/>
      <c r="I18" s="130">
        <f t="shared" si="0"/>
        <v>0</v>
      </c>
      <c r="J18" s="130">
        <f t="shared" si="1"/>
        <v>688.35651987185429</v>
      </c>
    </row>
    <row r="19" spans="1:16">
      <c r="A19" t="s">
        <v>726</v>
      </c>
      <c r="B19" t="s">
        <v>726</v>
      </c>
      <c r="C19" t="s">
        <v>727</v>
      </c>
      <c r="D19" t="s">
        <v>73</v>
      </c>
      <c r="E19" s="541">
        <v>900</v>
      </c>
      <c r="F19" s="77">
        <f t="shared" si="2"/>
        <v>688.35651987185429</v>
      </c>
      <c r="G19" s="123">
        <f>SUMIF(Deposit!$R:$R,'Counterparty Limit'!$B19,Deposit!$M:$M)/10^6</f>
        <v>0</v>
      </c>
      <c r="H19" s="156">
        <f>SUMIF(Investment!$F:$F,'Counterparty Limit'!$C19,Investment!$R:$R)/10^6</f>
        <v>35</v>
      </c>
      <c r="I19" s="130">
        <f t="shared" si="0"/>
        <v>35</v>
      </c>
      <c r="J19" s="130">
        <f t="shared" si="1"/>
        <v>653.35651987185429</v>
      </c>
    </row>
    <row r="20" spans="1:16">
      <c r="A20" t="s">
        <v>169</v>
      </c>
      <c r="B20" t="s">
        <v>169</v>
      </c>
      <c r="C20" t="s">
        <v>582</v>
      </c>
      <c r="D20" t="s">
        <v>73</v>
      </c>
      <c r="E20" s="541">
        <v>430</v>
      </c>
      <c r="F20" s="77">
        <f t="shared" si="2"/>
        <v>430</v>
      </c>
      <c r="G20" s="123">
        <f>SUMIF(Deposit!$R:$R,'Counterparty Limit'!$B20,Deposit!$M:$M)/10^6</f>
        <v>0.32008976999999994</v>
      </c>
      <c r="H20" s="156">
        <f>SUMIF(Investment!$F:$F,'Counterparty Limit'!$C20,Investment!$R:$R)/10^6</f>
        <v>135.29488068000001</v>
      </c>
      <c r="I20" s="195">
        <f t="shared" si="0"/>
        <v>135.61497045000002</v>
      </c>
      <c r="J20" s="130">
        <f t="shared" si="1"/>
        <v>294.38502955000001</v>
      </c>
    </row>
    <row r="21" spans="1:16">
      <c r="A21" t="s">
        <v>173</v>
      </c>
      <c r="B21" t="s">
        <v>173</v>
      </c>
      <c r="C21" t="s">
        <v>585</v>
      </c>
      <c r="D21" t="s">
        <v>73</v>
      </c>
      <c r="E21" s="541">
        <v>420</v>
      </c>
      <c r="F21" s="77">
        <f t="shared" si="2"/>
        <v>420</v>
      </c>
      <c r="G21" s="123">
        <f>SUMIF(Deposit!$R:$R,'Counterparty Limit'!$B21,Deposit!$M:$M)/10^6+(ARV!F6/10^6)</f>
        <v>8.4635628294108898</v>
      </c>
      <c r="H21" s="156">
        <f>SUMIF(Investment!$F:$F,"*KTBTH*",Investment!$R:$R)/10^6</f>
        <v>209.41889075999998</v>
      </c>
      <c r="I21" s="195">
        <f t="shared" si="0"/>
        <v>217.88245358941089</v>
      </c>
      <c r="J21" s="130">
        <f t="shared" si="1"/>
        <v>202.11754641058911</v>
      </c>
    </row>
    <row r="22" spans="1:16">
      <c r="A22" t="s">
        <v>728</v>
      </c>
      <c r="B22" t="s">
        <v>728</v>
      </c>
      <c r="C22" t="s">
        <v>728</v>
      </c>
      <c r="D22" t="s">
        <v>73</v>
      </c>
      <c r="E22" s="541">
        <v>710</v>
      </c>
      <c r="F22" s="77">
        <f t="shared" si="2"/>
        <v>688.35651987185429</v>
      </c>
      <c r="G22" s="123">
        <f>SUMIF(Deposit!$R:$R,'Counterparty Limit'!$B22,Deposit!$M:$M)/10^6</f>
        <v>0</v>
      </c>
      <c r="H22" s="156"/>
      <c r="I22" s="130">
        <f t="shared" si="0"/>
        <v>0</v>
      </c>
      <c r="J22" s="130">
        <f t="shared" si="1"/>
        <v>688.35651987185429</v>
      </c>
    </row>
    <row r="23" spans="1:16" ht="15.75" customHeight="1">
      <c r="A23" t="s">
        <v>729</v>
      </c>
      <c r="B23" t="s">
        <v>729</v>
      </c>
      <c r="C23" t="s">
        <v>730</v>
      </c>
      <c r="D23" t="s">
        <v>73</v>
      </c>
      <c r="E23" s="541">
        <v>670</v>
      </c>
      <c r="F23" s="77">
        <f t="shared" si="2"/>
        <v>670</v>
      </c>
      <c r="G23" s="123">
        <f>SUMIF(Deposit!$R:$R,'Counterparty Limit'!$B23,Deposit!$M:$M)/10^6</f>
        <v>0</v>
      </c>
      <c r="H23" s="156"/>
      <c r="I23" s="130">
        <f t="shared" si="0"/>
        <v>0</v>
      </c>
      <c r="J23" s="130">
        <f t="shared" si="1"/>
        <v>670</v>
      </c>
    </row>
    <row r="24" spans="1:16">
      <c r="A24" t="s">
        <v>731</v>
      </c>
      <c r="B24" t="s">
        <v>731</v>
      </c>
      <c r="C24" t="s">
        <v>1230</v>
      </c>
      <c r="D24" t="s">
        <v>73</v>
      </c>
      <c r="E24" s="541">
        <v>530</v>
      </c>
      <c r="F24" s="77">
        <f t="shared" si="2"/>
        <v>530</v>
      </c>
      <c r="G24" s="123">
        <f>SUMIF(Deposit!$R:$R,'Counterparty Limit'!$B24,Deposit!$M:$M)/10^6</f>
        <v>0</v>
      </c>
      <c r="H24" s="156">
        <f>SUMIF(Investment!F:F,'Counterparty Limit'!C24,Investment!R:R)/10^6</f>
        <v>240.11453324999999</v>
      </c>
      <c r="I24" s="130">
        <f t="shared" si="0"/>
        <v>240.11453324999999</v>
      </c>
      <c r="J24" s="130">
        <f t="shared" si="1"/>
        <v>289.88546674999998</v>
      </c>
    </row>
    <row r="25" spans="1:16">
      <c r="A25" t="s">
        <v>732</v>
      </c>
      <c r="B25" t="s">
        <v>732</v>
      </c>
      <c r="C25" t="s">
        <v>732</v>
      </c>
      <c r="D25" t="s">
        <v>73</v>
      </c>
      <c r="E25">
        <v>800</v>
      </c>
      <c r="F25" s="77">
        <f t="shared" si="2"/>
        <v>688.35651987185429</v>
      </c>
      <c r="G25" s="123">
        <f>SUMIF(Deposit!$R:$R,'Counterparty Limit'!$B25,Deposit!$M:$M)/10^6</f>
        <v>0</v>
      </c>
      <c r="H25" s="156"/>
      <c r="I25" s="130">
        <f t="shared" si="0"/>
        <v>0</v>
      </c>
      <c r="J25" s="130">
        <f t="shared" si="1"/>
        <v>688.35651987185429</v>
      </c>
    </row>
    <row r="26" spans="1:16">
      <c r="A26" t="s">
        <v>167</v>
      </c>
      <c r="B26" t="s">
        <v>167</v>
      </c>
      <c r="C26" t="s">
        <v>167</v>
      </c>
      <c r="D26" t="s">
        <v>73</v>
      </c>
      <c r="E26" s="541">
        <v>1110</v>
      </c>
      <c r="F26" s="77">
        <f t="shared" si="2"/>
        <v>688.35651987185429</v>
      </c>
      <c r="G26" s="123">
        <f>SUMIF(Deposit!$R:$R,'Counterparty Limit'!$B26,Deposit!$M:$M)/10^6+('JV &amp; SUB'!E20/10^6)</f>
        <v>84.597367449999993</v>
      </c>
      <c r="H26" s="156"/>
      <c r="I26" s="195">
        <f t="shared" si="0"/>
        <v>84.597367449999993</v>
      </c>
      <c r="J26" s="130">
        <f t="shared" si="1"/>
        <v>603.75915242185431</v>
      </c>
    </row>
    <row r="27" spans="1:16">
      <c r="A27" t="s">
        <v>733</v>
      </c>
      <c r="B27" t="s">
        <v>733</v>
      </c>
      <c r="C27" t="s">
        <v>615</v>
      </c>
      <c r="D27" t="s">
        <v>73</v>
      </c>
      <c r="E27" s="541">
        <v>2870</v>
      </c>
      <c r="F27" s="77">
        <f t="shared" si="2"/>
        <v>688.35651987185429</v>
      </c>
      <c r="G27" s="123">
        <f>SUMIF(Deposit!$R:$R,'Counterparty Limit'!$B27,Deposit!$M:$M)/10^6</f>
        <v>0</v>
      </c>
      <c r="H27" s="156">
        <f>SUMIF('Working Cap'!$G:$G,'Counterparty Limit'!$C27,'Working Cap'!$N:$N)/10^6</f>
        <v>9.3639330000000007E-2</v>
      </c>
      <c r="I27" s="195">
        <f t="shared" si="0"/>
        <v>9.3639330000000007E-2</v>
      </c>
      <c r="J27" s="130">
        <f t="shared" si="1"/>
        <v>688.26288054185432</v>
      </c>
    </row>
    <row r="28" spans="1:16">
      <c r="A28" t="s">
        <v>734</v>
      </c>
      <c r="B28" t="s">
        <v>734</v>
      </c>
      <c r="C28" t="s">
        <v>614</v>
      </c>
      <c r="D28" t="s">
        <v>73</v>
      </c>
      <c r="E28" s="541">
        <v>2870</v>
      </c>
      <c r="F28" s="77">
        <f t="shared" si="2"/>
        <v>688.35651987185429</v>
      </c>
      <c r="G28" s="123">
        <f>SUMIF(Deposit!$R:$R,'Counterparty Limit'!$B28,Deposit!$M:$M)/10^6</f>
        <v>0</v>
      </c>
      <c r="H28" s="156">
        <f>SUMIF('Working Cap'!$G:$G,'Counterparty Limit'!$C28,'Working Cap'!$N:$N)/10^6</f>
        <v>8.5649009999999998E-2</v>
      </c>
      <c r="I28" s="342">
        <f t="shared" si="0"/>
        <v>8.5649009999999998E-2</v>
      </c>
      <c r="J28" s="130">
        <f t="shared" si="1"/>
        <v>688.27087086185429</v>
      </c>
    </row>
    <row r="29" spans="1:16">
      <c r="A29" t="s">
        <v>735</v>
      </c>
      <c r="B29" t="s">
        <v>559</v>
      </c>
      <c r="C29" t="s">
        <v>735</v>
      </c>
      <c r="D29" t="s">
        <v>73</v>
      </c>
      <c r="E29" s="541">
        <v>880</v>
      </c>
      <c r="F29" s="77">
        <f t="shared" si="2"/>
        <v>688.35651987185429</v>
      </c>
      <c r="H29" s="157">
        <f>SUMIF(Deposit!$R:$R,'Counterparty Limit'!$B29,Deposit!$M:$M)/10^6</f>
        <v>201.42679409000002</v>
      </c>
      <c r="I29" s="195">
        <f t="shared" si="0"/>
        <v>201.42679409000002</v>
      </c>
      <c r="J29" s="130">
        <f t="shared" si="1"/>
        <v>486.92972578185424</v>
      </c>
    </row>
    <row r="30" spans="1:16">
      <c r="A30" t="s">
        <v>736</v>
      </c>
      <c r="B30" t="s">
        <v>736</v>
      </c>
      <c r="C30" t="s">
        <v>737</v>
      </c>
      <c r="D30" t="s">
        <v>73</v>
      </c>
      <c r="E30">
        <v>800</v>
      </c>
      <c r="F30" s="77">
        <f t="shared" si="2"/>
        <v>688.35651987185429</v>
      </c>
      <c r="G30" s="123">
        <f>SUMIF(Deposit!$R:$R,'Counterparty Limit'!$B30,Deposit!$M:$M)/10^6</f>
        <v>0</v>
      </c>
      <c r="H30" s="85"/>
      <c r="I30" s="130">
        <f t="shared" si="0"/>
        <v>0</v>
      </c>
      <c r="J30" s="130">
        <f t="shared" si="1"/>
        <v>688.35651987185429</v>
      </c>
    </row>
    <row r="31" spans="1:16">
      <c r="A31" t="s">
        <v>738</v>
      </c>
      <c r="B31" t="s">
        <v>738</v>
      </c>
      <c r="C31" t="s">
        <v>739</v>
      </c>
      <c r="D31" t="s">
        <v>73</v>
      </c>
      <c r="E31">
        <v>800</v>
      </c>
      <c r="F31" s="77">
        <f t="shared" si="2"/>
        <v>688.35651987185429</v>
      </c>
      <c r="G31" s="123">
        <f>SUMIF(Deposit!$R:$R,'Counterparty Limit'!$B31,Deposit!$M:$M)/10^6</f>
        <v>0</v>
      </c>
      <c r="H31" s="85"/>
      <c r="I31" s="130">
        <f t="shared" si="0"/>
        <v>0</v>
      </c>
      <c r="J31" s="130">
        <f t="shared" si="1"/>
        <v>688.35651987185429</v>
      </c>
    </row>
    <row r="32" spans="1:16">
      <c r="A32" t="s">
        <v>740</v>
      </c>
      <c r="B32" t="s">
        <v>740</v>
      </c>
      <c r="C32" t="s">
        <v>740</v>
      </c>
      <c r="D32" t="s">
        <v>73</v>
      </c>
      <c r="E32">
        <v>800</v>
      </c>
      <c r="F32" s="77">
        <f t="shared" si="2"/>
        <v>688.35651987185429</v>
      </c>
      <c r="G32" s="123">
        <f>SUMIF(Deposit!$R:$R,'Counterparty Limit'!$B32,Deposit!$M:$M)/10^6</f>
        <v>0</v>
      </c>
      <c r="H32" s="85"/>
      <c r="I32" s="130">
        <f t="shared" si="0"/>
        <v>0</v>
      </c>
      <c r="J32" s="130">
        <f t="shared" si="1"/>
        <v>688.35651987185429</v>
      </c>
    </row>
    <row r="33" spans="1:10" s="85" customFormat="1">
      <c r="A33" s="85" t="s">
        <v>741</v>
      </c>
      <c r="B33" s="85" t="s">
        <v>741</v>
      </c>
      <c r="C33" s="85" t="s">
        <v>741</v>
      </c>
      <c r="D33" s="85" t="s">
        <v>73</v>
      </c>
      <c r="E33" s="541">
        <v>690</v>
      </c>
      <c r="F33" s="125">
        <f t="shared" si="2"/>
        <v>688.35651987185429</v>
      </c>
      <c r="G33" s="123">
        <f>('SKO&amp; SBO'!$E$24+'SKO&amp; SBO'!$E$42)/1000</f>
        <v>5.9681000000000006</v>
      </c>
      <c r="I33" s="282">
        <f t="shared" si="0"/>
        <v>5.9681000000000006</v>
      </c>
      <c r="J33" s="282">
        <f t="shared" si="1"/>
        <v>682.38841987185424</v>
      </c>
    </row>
    <row r="34" spans="1:10">
      <c r="A34" t="s">
        <v>742</v>
      </c>
      <c r="B34" t="s">
        <v>742</v>
      </c>
      <c r="C34" t="s">
        <v>743</v>
      </c>
      <c r="D34" t="s">
        <v>73</v>
      </c>
      <c r="E34" s="541">
        <v>880</v>
      </c>
      <c r="F34" s="77">
        <f t="shared" si="2"/>
        <v>688.35651987185429</v>
      </c>
      <c r="G34" s="123">
        <f>SUMIF(Deposit!$R:$R,'Counterparty Limit'!$B34,Deposit!$M:$M)/10^6</f>
        <v>0</v>
      </c>
      <c r="H34" s="85"/>
      <c r="I34" s="130">
        <f t="shared" si="0"/>
        <v>0</v>
      </c>
      <c r="J34" s="130">
        <f t="shared" si="1"/>
        <v>688.35651987185429</v>
      </c>
    </row>
    <row r="35" spans="1:10">
      <c r="A35" t="s">
        <v>213</v>
      </c>
      <c r="B35" t="s">
        <v>213</v>
      </c>
      <c r="C35" t="s">
        <v>744</v>
      </c>
      <c r="D35" t="s">
        <v>73</v>
      </c>
      <c r="E35" s="541">
        <v>1790</v>
      </c>
      <c r="F35" s="77">
        <f t="shared" si="2"/>
        <v>688.35651987185429</v>
      </c>
      <c r="G35" s="123">
        <f>SUMIF(Deposit!$R:$R,'Counterparty Limit'!$B35,Deposit!$M:$M)/10^6</f>
        <v>233.97400543000001</v>
      </c>
      <c r="H35" s="85"/>
      <c r="I35" s="195">
        <f t="shared" si="0"/>
        <v>233.97400543000001</v>
      </c>
      <c r="J35" s="130">
        <f t="shared" si="1"/>
        <v>454.38251444185425</v>
      </c>
    </row>
    <row r="36" spans="1:10">
      <c r="A36" t="s">
        <v>458</v>
      </c>
      <c r="B36" t="s">
        <v>458</v>
      </c>
      <c r="C36" t="s">
        <v>745</v>
      </c>
      <c r="D36" t="s">
        <v>73</v>
      </c>
      <c r="E36" s="541">
        <v>510</v>
      </c>
      <c r="F36" s="77">
        <f t="shared" si="2"/>
        <v>510</v>
      </c>
      <c r="G36" s="123">
        <f>SUMIF(Deposit!$R:$R,'Counterparty Limit'!$B36,Deposit!$M:$M)/10^6</f>
        <v>115.38947122</v>
      </c>
      <c r="H36" s="85"/>
      <c r="I36" s="195">
        <f t="shared" si="0"/>
        <v>115.38947122</v>
      </c>
      <c r="J36" s="130">
        <f t="shared" si="1"/>
        <v>394.61052877999998</v>
      </c>
    </row>
    <row r="37" spans="1:10">
      <c r="A37" t="s">
        <v>746</v>
      </c>
      <c r="B37" t="s">
        <v>746</v>
      </c>
      <c r="C37" t="s">
        <v>747</v>
      </c>
      <c r="D37" t="s">
        <v>73</v>
      </c>
      <c r="E37" s="84">
        <v>900</v>
      </c>
      <c r="F37" s="77">
        <f>IF(E37&gt;$I$3,$I$3,E37)</f>
        <v>688.35651987185429</v>
      </c>
      <c r="G37" s="123">
        <f>SUMIF(Deposit!R:R,'Counterparty Limit'!B37,Deposit!M:M)/10^6</f>
        <v>0</v>
      </c>
      <c r="H37" s="85"/>
      <c r="I37" s="130">
        <f t="shared" si="0"/>
        <v>0</v>
      </c>
      <c r="J37" s="130">
        <f t="shared" si="1"/>
        <v>688.35651987185429</v>
      </c>
    </row>
    <row r="38" spans="1:10">
      <c r="A38" t="s">
        <v>748</v>
      </c>
      <c r="B38" t="s">
        <v>748</v>
      </c>
      <c r="C38" t="s">
        <v>749</v>
      </c>
      <c r="D38" t="s">
        <v>73</v>
      </c>
      <c r="E38" s="541">
        <v>1100</v>
      </c>
      <c r="F38" s="77">
        <f t="shared" si="2"/>
        <v>688.35651987185429</v>
      </c>
      <c r="G38" s="123">
        <f>SUMIF(Deposit!R:R,'Counterparty Limit'!B38,Deposit!M:M)/10^6</f>
        <v>0</v>
      </c>
      <c r="H38" s="85"/>
      <c r="I38" s="130">
        <f t="shared" si="0"/>
        <v>0</v>
      </c>
      <c r="J38" s="130">
        <f t="shared" si="1"/>
        <v>688.35651987185429</v>
      </c>
    </row>
    <row r="39" spans="1:10">
      <c r="A39" t="s">
        <v>750</v>
      </c>
      <c r="B39" t="s">
        <v>750</v>
      </c>
      <c r="C39" t="s">
        <v>751</v>
      </c>
      <c r="D39" t="s">
        <v>73</v>
      </c>
      <c r="E39" s="541">
        <v>900</v>
      </c>
      <c r="F39" s="77">
        <f t="shared" si="2"/>
        <v>688.35651987185429</v>
      </c>
      <c r="G39" s="123">
        <f>SUMIF(Deposit!R:R,'Counterparty Limit'!B39,Deposit!M:M)/10^6</f>
        <v>0</v>
      </c>
      <c r="H39" s="85"/>
      <c r="I39" s="130">
        <f t="shared" si="0"/>
        <v>0</v>
      </c>
      <c r="J39" s="130">
        <f t="shared" si="1"/>
        <v>688.35651987185429</v>
      </c>
    </row>
    <row r="40" spans="1:10">
      <c r="A40" t="s">
        <v>143</v>
      </c>
      <c r="B40" t="s">
        <v>143</v>
      </c>
      <c r="C40" t="s">
        <v>579</v>
      </c>
      <c r="D40" t="s">
        <v>73</v>
      </c>
      <c r="E40" s="541">
        <v>430</v>
      </c>
      <c r="F40" s="77">
        <f t="shared" si="2"/>
        <v>430</v>
      </c>
      <c r="G40" s="123">
        <f>SUMIF(Deposit!R:R,'Counterparty Limit'!B40,Deposit!M:M)/10^6</f>
        <v>2.04193991</v>
      </c>
      <c r="H40" s="85"/>
      <c r="I40" s="195">
        <f t="shared" si="0"/>
        <v>2.04193991</v>
      </c>
      <c r="J40" s="130">
        <f t="shared" si="1"/>
        <v>427.95806009</v>
      </c>
    </row>
    <row r="41" spans="1:10">
      <c r="A41" t="s">
        <v>145</v>
      </c>
      <c r="B41" t="s">
        <v>145</v>
      </c>
      <c r="C41" t="s">
        <v>752</v>
      </c>
      <c r="D41" t="s">
        <v>73</v>
      </c>
      <c r="E41" s="541">
        <v>1380</v>
      </c>
      <c r="F41" s="77">
        <f t="shared" si="2"/>
        <v>688.35651987185429</v>
      </c>
      <c r="G41" s="123">
        <f>SUMIF(Deposit!$R:$R,'Counterparty Limit'!$B41,Deposit!$M:$M)/10^6+('JV &amp; SUB'!$E$19/10^6)+(ARV!F4/10^6)</f>
        <v>615.72239407999996</v>
      </c>
      <c r="H41" s="85"/>
      <c r="I41" s="195">
        <f t="shared" si="0"/>
        <v>615.72239407999996</v>
      </c>
      <c r="J41" s="130">
        <f t="shared" si="1"/>
        <v>72.634125791854331</v>
      </c>
    </row>
    <row r="42" spans="1:10">
      <c r="A42" t="s">
        <v>774</v>
      </c>
      <c r="B42" t="s">
        <v>774</v>
      </c>
      <c r="C42" t="s">
        <v>774</v>
      </c>
      <c r="D42" t="s">
        <v>73</v>
      </c>
      <c r="E42" s="541">
        <v>430</v>
      </c>
      <c r="F42" s="77">
        <f t="shared" si="2"/>
        <v>430</v>
      </c>
      <c r="G42" s="123">
        <f>SUMIF(Deposit!$R:$R,'Counterparty Limit'!$B42,Deposit!$M:$M)/10^6+(ARV!F14/10^6)</f>
        <v>1.3725657380062244</v>
      </c>
      <c r="H42" s="85"/>
      <c r="I42" s="195">
        <f t="shared" si="0"/>
        <v>1.3725657380062244</v>
      </c>
      <c r="J42" s="130"/>
    </row>
    <row r="43" spans="1:10">
      <c r="A43" s="369" t="s">
        <v>753</v>
      </c>
      <c r="B43" s="369" t="s">
        <v>753</v>
      </c>
      <c r="C43" s="369" t="s">
        <v>753</v>
      </c>
      <c r="D43" s="369" t="s">
        <v>73</v>
      </c>
      <c r="E43" s="542">
        <v>1140</v>
      </c>
      <c r="F43" s="371">
        <f t="shared" si="2"/>
        <v>688.35651987185429</v>
      </c>
      <c r="G43" s="370">
        <f>SUMIF(Deposit!R:R,'Counterparty Limit'!B43,Deposit!M:M)/10^6</f>
        <v>0</v>
      </c>
      <c r="H43" s="26"/>
      <c r="I43" s="372">
        <f t="shared" si="0"/>
        <v>0</v>
      </c>
      <c r="J43" s="372">
        <f t="shared" si="1"/>
        <v>688.35651987185429</v>
      </c>
    </row>
    <row r="44" spans="1:10" s="85" customFormat="1">
      <c r="A44" s="85" t="s">
        <v>424</v>
      </c>
      <c r="B44" s="85" t="s">
        <v>424</v>
      </c>
      <c r="C44" s="85" t="s">
        <v>424</v>
      </c>
      <c r="D44" s="85" t="s">
        <v>73</v>
      </c>
      <c r="E44" s="541">
        <v>70</v>
      </c>
      <c r="F44" s="125">
        <f>I3</f>
        <v>688.35651987185429</v>
      </c>
      <c r="G44" s="123">
        <f>SUMIF(Deposit!R:R,'Counterparty Limit'!B44,Deposit!M:M)/10^6</f>
        <v>2.0884085400000001</v>
      </c>
      <c r="I44" s="195">
        <f t="shared" si="0"/>
        <v>2.0884085400000001</v>
      </c>
      <c r="J44" s="130">
        <f t="shared" si="1"/>
        <v>686.26811133185424</v>
      </c>
    </row>
    <row r="45" spans="1:10" s="85" customFormat="1">
      <c r="A45" s="85" t="s">
        <v>223</v>
      </c>
      <c r="B45" s="85" t="s">
        <v>223</v>
      </c>
      <c r="D45" s="85" t="s">
        <v>73</v>
      </c>
      <c r="E45" s="85">
        <f>I3</f>
        <v>688.35651987185429</v>
      </c>
      <c r="F45" s="125">
        <f>I3</f>
        <v>688.35651987185429</v>
      </c>
      <c r="G45" s="123">
        <f>SUMIF(Deposit!R:R,'Counterparty Limit'!B45,Deposit!M:M)/10^6</f>
        <v>6.5599999999999999E-6</v>
      </c>
      <c r="I45" s="130">
        <f t="shared" si="0"/>
        <v>6.5599999999999999E-6</v>
      </c>
      <c r="J45" s="130">
        <f t="shared" si="1"/>
        <v>688.35651331185431</v>
      </c>
    </row>
    <row r="46" spans="1:10">
      <c r="A46" t="s">
        <v>184</v>
      </c>
      <c r="B46" t="s">
        <v>184</v>
      </c>
      <c r="C46" t="s">
        <v>754</v>
      </c>
      <c r="D46" t="s">
        <v>73</v>
      </c>
      <c r="E46" s="541">
        <v>430</v>
      </c>
      <c r="F46" s="77">
        <f t="shared" ref="F46:F50" si="3">IF(E46&gt;$I$3,$I$3,E46)</f>
        <v>430</v>
      </c>
      <c r="G46" s="123">
        <f>SUMIF(Deposit!R:R,'Counterparty Limit'!B46,Deposit!M:M)/10^6</f>
        <v>2.9841769900000004</v>
      </c>
      <c r="H46" s="85"/>
      <c r="I46" s="130">
        <f t="shared" si="0"/>
        <v>2.9841769900000004</v>
      </c>
      <c r="J46" s="130">
        <f t="shared" si="1"/>
        <v>427.01582301000002</v>
      </c>
    </row>
    <row r="47" spans="1:10">
      <c r="A47" t="s">
        <v>755</v>
      </c>
      <c r="B47" t="s">
        <v>755</v>
      </c>
      <c r="C47" t="s">
        <v>756</v>
      </c>
      <c r="D47" t="s">
        <v>73</v>
      </c>
      <c r="E47" s="541">
        <v>990</v>
      </c>
      <c r="F47" s="77">
        <f t="shared" si="3"/>
        <v>688.35651987185429</v>
      </c>
      <c r="G47" s="123">
        <f>SUMIF(Deposit!R:R,'Counterparty Limit'!B47,Deposit!M:M)/10^6</f>
        <v>0</v>
      </c>
      <c r="H47" s="85"/>
      <c r="I47" s="130">
        <f t="shared" si="0"/>
        <v>0</v>
      </c>
      <c r="J47" s="130">
        <f t="shared" si="1"/>
        <v>688.35651987185429</v>
      </c>
    </row>
    <row r="48" spans="1:10">
      <c r="A48" t="s">
        <v>341</v>
      </c>
      <c r="B48" t="s">
        <v>341</v>
      </c>
      <c r="C48" t="s">
        <v>584</v>
      </c>
      <c r="D48" t="s">
        <v>73</v>
      </c>
      <c r="E48" s="541">
        <v>490</v>
      </c>
      <c r="F48" s="77">
        <f t="shared" si="3"/>
        <v>490</v>
      </c>
      <c r="G48" s="123">
        <f>SUMIF(Deposit!R:R,'Counterparty Limit'!B48,Deposit!M:M)/10^6</f>
        <v>22.191841549999996</v>
      </c>
      <c r="H48" s="156">
        <f>SUMIF(Investment!F:F,'Counterparty Limit'!C48,Investment!R:R)/10^6</f>
        <v>4.2493037000000005</v>
      </c>
      <c r="I48" s="130">
        <f t="shared" si="0"/>
        <v>26.441145249999998</v>
      </c>
      <c r="J48" s="130">
        <f t="shared" si="1"/>
        <v>463.55885475000002</v>
      </c>
    </row>
    <row r="49" spans="1:10">
      <c r="A49" t="s">
        <v>757</v>
      </c>
      <c r="B49" t="s">
        <v>577</v>
      </c>
      <c r="C49" t="s">
        <v>758</v>
      </c>
      <c r="D49" t="s">
        <v>73</v>
      </c>
      <c r="E49">
        <f>I3</f>
        <v>688.35651987185429</v>
      </c>
      <c r="F49" s="116">
        <f t="shared" si="3"/>
        <v>688.35651987185429</v>
      </c>
      <c r="G49" s="123">
        <f>SUMIF(Deposit!R:R,'Counterparty Limit'!B49,Deposit!M:M)/10^6</f>
        <v>0</v>
      </c>
      <c r="H49" s="116">
        <f>SUMIF(Investment!D:D,'Counterparty Limit'!B49,Investment!R:R)/10^6</f>
        <v>0</v>
      </c>
      <c r="I49" s="130">
        <f t="shared" si="0"/>
        <v>0</v>
      </c>
      <c r="J49" s="130">
        <f>F49-I49</f>
        <v>688.35651987185429</v>
      </c>
    </row>
    <row r="50" spans="1:10">
      <c r="A50" t="s">
        <v>759</v>
      </c>
      <c r="B50" t="s">
        <v>759</v>
      </c>
      <c r="C50" t="s">
        <v>760</v>
      </c>
      <c r="D50" t="s">
        <v>73</v>
      </c>
      <c r="E50">
        <v>0</v>
      </c>
      <c r="F50" s="77">
        <f t="shared" si="3"/>
        <v>0</v>
      </c>
      <c r="G50" s="123">
        <f>SUM('JV &amp; SUB'!$F$8:$F$16)/10^6+(SUMIF('Working Cap'!$G:$G,"VAYUPAK1",'Working Cap'!$N:$N)/10^6)</f>
        <v>147.14921839000002</v>
      </c>
      <c r="I50" s="130">
        <f t="shared" si="0"/>
        <v>147.14921839000002</v>
      </c>
      <c r="J50" s="130">
        <f t="shared" si="1"/>
        <v>-147.14921839000002</v>
      </c>
    </row>
    <row r="51" spans="1:10">
      <c r="A51" t="s">
        <v>1501</v>
      </c>
      <c r="B51" t="s">
        <v>1399</v>
      </c>
      <c r="C51" t="s">
        <v>761</v>
      </c>
      <c r="D51" t="s">
        <v>73</v>
      </c>
      <c r="E51" s="541">
        <v>1120</v>
      </c>
      <c r="F51" s="77">
        <f>IF(E51&gt;$I$3,$I$3,E51)</f>
        <v>688.35651987185429</v>
      </c>
      <c r="G51" s="123">
        <f>SUMIF(Deposit!$R:$R,'Counterparty Limit'!$B51,Deposit!$M:$M)/10^6</f>
        <v>174.34993327000001</v>
      </c>
      <c r="H51" s="156">
        <f>SUMIF(Investment!F:F,'Counterparty Limit'!A51,Investment!R:R)/10^6</f>
        <v>100</v>
      </c>
      <c r="I51" s="130">
        <f t="shared" si="0"/>
        <v>274.34993327000001</v>
      </c>
      <c r="J51" s="130">
        <f t="shared" si="1"/>
        <v>414.00658660185428</v>
      </c>
    </row>
    <row r="52" spans="1:10" s="115" customFormat="1" ht="16" thickBot="1">
      <c r="C52" s="115" t="s">
        <v>71</v>
      </c>
      <c r="D52" s="115" t="s">
        <v>73</v>
      </c>
      <c r="G52" s="124">
        <f>SUM(G6:G51)</f>
        <v>1657.7423886674169</v>
      </c>
      <c r="H52" s="117">
        <f>SUM(H6:H51)</f>
        <v>1095.68369082</v>
      </c>
      <c r="I52" s="472">
        <f>SUM(I6:I51)</f>
        <v>2753.4260794874172</v>
      </c>
    </row>
    <row r="53" spans="1:10">
      <c r="H53" s="118">
        <f>H52-H29</f>
        <v>894.25689672999999</v>
      </c>
    </row>
    <row r="54" spans="1:10">
      <c r="H54" s="118"/>
      <c r="I54" s="14">
        <f>I52</f>
        <v>2753.4260794874172</v>
      </c>
    </row>
    <row r="55" spans="1:10">
      <c r="I55" s="14">
        <f>Dashboard!D4</f>
        <v>2753.4260794874172</v>
      </c>
      <c r="J55" t="s">
        <v>767</v>
      </c>
    </row>
    <row r="56" spans="1:10">
      <c r="H56" s="131" t="s">
        <v>701</v>
      </c>
      <c r="I56" s="442">
        <f>ROUNDDOWN(I54-I55,0)</f>
        <v>0</v>
      </c>
    </row>
    <row r="57" spans="1:10">
      <c r="I57" s="126"/>
    </row>
    <row r="64" spans="1:10">
      <c r="A64" t="s">
        <v>139</v>
      </c>
      <c r="B64" t="s">
        <v>781</v>
      </c>
      <c r="C64" t="s">
        <v>703</v>
      </c>
      <c r="D64" t="s">
        <v>704</v>
      </c>
      <c r="E64" t="s">
        <v>705</v>
      </c>
      <c r="F64" t="s">
        <v>768</v>
      </c>
      <c r="G64" s="373" t="s">
        <v>763</v>
      </c>
      <c r="H64" t="s">
        <v>764</v>
      </c>
      <c r="I64" t="s">
        <v>765</v>
      </c>
      <c r="J64" t="s">
        <v>766</v>
      </c>
    </row>
    <row r="65" spans="1:10">
      <c r="A65" t="s">
        <v>145</v>
      </c>
      <c r="B65" t="s">
        <v>145</v>
      </c>
      <c r="C65" t="s">
        <v>752</v>
      </c>
      <c r="D65" t="s">
        <v>73</v>
      </c>
      <c r="E65">
        <v>1380</v>
      </c>
      <c r="F65" s="77">
        <v>688.35651987185429</v>
      </c>
      <c r="G65" s="123">
        <v>615.72239407999996</v>
      </c>
      <c r="I65" s="130">
        <v>615.72239407999996</v>
      </c>
      <c r="J65" s="130">
        <v>72.634125791854331</v>
      </c>
    </row>
    <row r="66" spans="1:10">
      <c r="A66" t="s">
        <v>1501</v>
      </c>
      <c r="B66" t="s">
        <v>1399</v>
      </c>
      <c r="C66" t="s">
        <v>761</v>
      </c>
      <c r="D66" t="s">
        <v>73</v>
      </c>
      <c r="E66">
        <v>1120</v>
      </c>
      <c r="F66" s="77">
        <v>688.35651987185429</v>
      </c>
      <c r="G66" s="123">
        <v>174.34993327000001</v>
      </c>
      <c r="H66" s="279">
        <v>100</v>
      </c>
      <c r="I66" s="130">
        <v>274.34993327000001</v>
      </c>
      <c r="J66" s="130">
        <v>414.00658660185428</v>
      </c>
    </row>
    <row r="67" spans="1:10">
      <c r="A67" t="s">
        <v>453</v>
      </c>
      <c r="B67" t="s">
        <v>453</v>
      </c>
      <c r="C67" t="s">
        <v>453</v>
      </c>
      <c r="D67" t="s">
        <v>73</v>
      </c>
      <c r="E67">
        <v>670</v>
      </c>
      <c r="F67" s="77">
        <v>670</v>
      </c>
      <c r="G67" s="123">
        <v>241.12394392000002</v>
      </c>
      <c r="I67" s="130">
        <v>241.12394392000002</v>
      </c>
      <c r="J67" s="130">
        <v>428.87605608000001</v>
      </c>
    </row>
    <row r="68" spans="1:10">
      <c r="A68" t="s">
        <v>731</v>
      </c>
      <c r="B68" t="s">
        <v>731</v>
      </c>
      <c r="C68" t="s">
        <v>1230</v>
      </c>
      <c r="D68" t="s">
        <v>73</v>
      </c>
      <c r="E68">
        <v>530</v>
      </c>
      <c r="F68" s="77">
        <v>530</v>
      </c>
      <c r="G68" s="123">
        <v>0</v>
      </c>
      <c r="H68" s="116">
        <v>240.11453324999999</v>
      </c>
      <c r="I68" s="130">
        <v>240.11453324999999</v>
      </c>
      <c r="J68" s="130">
        <v>289.88546674999998</v>
      </c>
    </row>
    <row r="69" spans="1:10">
      <c r="A69" t="s">
        <v>213</v>
      </c>
      <c r="B69" t="s">
        <v>213</v>
      </c>
      <c r="C69" t="s">
        <v>744</v>
      </c>
      <c r="D69" t="s">
        <v>73</v>
      </c>
      <c r="E69">
        <v>1790</v>
      </c>
      <c r="F69" s="77">
        <v>688.35651987185429</v>
      </c>
      <c r="G69" s="123">
        <v>233.97400543000001</v>
      </c>
      <c r="H69" s="279"/>
      <c r="I69" s="130">
        <v>233.97400543000001</v>
      </c>
      <c r="J69" s="130">
        <v>454.38251444185425</v>
      </c>
    </row>
    <row r="70" spans="1:10">
      <c r="A70" t="s">
        <v>173</v>
      </c>
      <c r="B70" t="s">
        <v>173</v>
      </c>
      <c r="C70" t="s">
        <v>585</v>
      </c>
      <c r="D70" t="s">
        <v>73</v>
      </c>
      <c r="E70">
        <v>420</v>
      </c>
      <c r="F70" s="77">
        <v>420</v>
      </c>
      <c r="G70" s="123">
        <v>8.4635628294108898</v>
      </c>
      <c r="H70" s="279">
        <v>209.41889075999998</v>
      </c>
      <c r="I70" s="130">
        <v>217.88245358941089</v>
      </c>
      <c r="J70" s="130">
        <v>202.11754641058911</v>
      </c>
    </row>
    <row r="71" spans="1:10">
      <c r="A71" t="s">
        <v>735</v>
      </c>
      <c r="B71" t="s">
        <v>559</v>
      </c>
      <c r="C71" t="s">
        <v>735</v>
      </c>
      <c r="D71" t="s">
        <v>73</v>
      </c>
      <c r="E71">
        <v>880</v>
      </c>
      <c r="F71" s="77">
        <v>688.35651987185429</v>
      </c>
      <c r="H71">
        <v>201.42679409000002</v>
      </c>
      <c r="I71" s="130">
        <v>201.42679409000002</v>
      </c>
      <c r="J71" s="130">
        <v>486.92972578185424</v>
      </c>
    </row>
    <row r="72" spans="1:10">
      <c r="A72" t="s">
        <v>723</v>
      </c>
      <c r="B72" t="s">
        <v>723</v>
      </c>
      <c r="C72" t="s">
        <v>723</v>
      </c>
      <c r="D72" t="s">
        <v>73</v>
      </c>
      <c r="E72">
        <v>670</v>
      </c>
      <c r="F72" s="77">
        <v>670</v>
      </c>
      <c r="G72" s="123">
        <v>0</v>
      </c>
      <c r="H72">
        <v>170</v>
      </c>
      <c r="I72" s="130">
        <v>170</v>
      </c>
      <c r="J72" s="130">
        <v>500</v>
      </c>
    </row>
    <row r="73" spans="1:10">
      <c r="A73" t="s">
        <v>759</v>
      </c>
      <c r="B73" t="s">
        <v>759</v>
      </c>
      <c r="C73" t="s">
        <v>760</v>
      </c>
      <c r="D73" t="s">
        <v>73</v>
      </c>
      <c r="E73">
        <v>0</v>
      </c>
      <c r="F73" s="77">
        <v>0</v>
      </c>
      <c r="G73" s="123">
        <v>147.14921839000002</v>
      </c>
      <c r="I73" s="130">
        <v>147.14921839000002</v>
      </c>
      <c r="J73" s="130">
        <v>-147.14921839000002</v>
      </c>
    </row>
    <row r="74" spans="1:10">
      <c r="A74" t="s">
        <v>169</v>
      </c>
      <c r="B74" t="s">
        <v>169</v>
      </c>
      <c r="C74" t="s">
        <v>582</v>
      </c>
      <c r="D74" t="s">
        <v>73</v>
      </c>
      <c r="E74">
        <v>430</v>
      </c>
      <c r="F74" s="77">
        <v>430</v>
      </c>
      <c r="G74" s="123">
        <v>0.32008976999999994</v>
      </c>
      <c r="H74">
        <v>135.29488068000001</v>
      </c>
      <c r="I74" s="130">
        <v>135.61497045000002</v>
      </c>
      <c r="J74" s="130">
        <v>294.38502955000001</v>
      </c>
    </row>
    <row r="75" spans="1:10">
      <c r="A75" t="s">
        <v>458</v>
      </c>
      <c r="B75" t="s">
        <v>458</v>
      </c>
      <c r="C75" t="s">
        <v>745</v>
      </c>
      <c r="D75" t="s">
        <v>73</v>
      </c>
      <c r="E75">
        <v>510</v>
      </c>
      <c r="F75" s="77">
        <v>510</v>
      </c>
      <c r="G75" s="123">
        <v>115.38947122</v>
      </c>
      <c r="H75" s="279"/>
      <c r="I75" s="130">
        <v>115.38947122</v>
      </c>
      <c r="J75" s="130">
        <v>394.61052877999998</v>
      </c>
    </row>
    <row r="76" spans="1:10">
      <c r="A76" t="s">
        <v>167</v>
      </c>
      <c r="B76" t="s">
        <v>167</v>
      </c>
      <c r="C76" t="s">
        <v>167</v>
      </c>
      <c r="D76" t="s">
        <v>73</v>
      </c>
      <c r="E76">
        <v>1110</v>
      </c>
      <c r="F76" s="77">
        <v>688.35651987185429</v>
      </c>
      <c r="G76" s="123">
        <v>84.597367449999993</v>
      </c>
      <c r="H76" s="279"/>
      <c r="I76" s="130">
        <v>84.597367449999993</v>
      </c>
      <c r="J76" s="130">
        <v>603.75915242185431</v>
      </c>
    </row>
    <row r="77" spans="1:10">
      <c r="A77" t="s">
        <v>726</v>
      </c>
      <c r="B77" t="s">
        <v>726</v>
      </c>
      <c r="C77" t="s">
        <v>727</v>
      </c>
      <c r="D77" t="s">
        <v>73</v>
      </c>
      <c r="E77">
        <v>900</v>
      </c>
      <c r="F77" s="77">
        <v>688.35651987185429</v>
      </c>
      <c r="G77" s="123">
        <v>0</v>
      </c>
      <c r="H77" s="279">
        <v>35</v>
      </c>
      <c r="I77" s="130">
        <v>35</v>
      </c>
      <c r="J77" s="130">
        <v>653.35651987185429</v>
      </c>
    </row>
    <row r="78" spans="1:10">
      <c r="A78" t="s">
        <v>341</v>
      </c>
      <c r="B78" t="s">
        <v>341</v>
      </c>
      <c r="C78" t="s">
        <v>584</v>
      </c>
      <c r="D78" t="s">
        <v>73</v>
      </c>
      <c r="E78">
        <v>490</v>
      </c>
      <c r="F78" s="77">
        <v>490</v>
      </c>
      <c r="G78" s="123">
        <v>22.191841549999996</v>
      </c>
      <c r="H78" s="279">
        <v>4.2493037000000005</v>
      </c>
      <c r="I78" s="130">
        <v>26.441145249999998</v>
      </c>
      <c r="J78" s="130">
        <v>463.55885475000002</v>
      </c>
    </row>
    <row r="79" spans="1:10">
      <c r="A79" t="s">
        <v>741</v>
      </c>
      <c r="B79" t="s">
        <v>741</v>
      </c>
      <c r="C79" t="s">
        <v>741</v>
      </c>
      <c r="D79" t="s">
        <v>73</v>
      </c>
      <c r="E79">
        <v>690</v>
      </c>
      <c r="F79" s="77">
        <v>688.35651987185429</v>
      </c>
      <c r="G79" s="123">
        <v>5.9681000000000006</v>
      </c>
      <c r="I79" s="130">
        <v>5.9681000000000006</v>
      </c>
      <c r="J79" s="130">
        <v>682.38841987185424</v>
      </c>
    </row>
    <row r="80" spans="1:10">
      <c r="A80" t="s">
        <v>184</v>
      </c>
      <c r="B80" t="s">
        <v>184</v>
      </c>
      <c r="C80" t="s">
        <v>754</v>
      </c>
      <c r="D80" t="s">
        <v>73</v>
      </c>
      <c r="E80">
        <v>430</v>
      </c>
      <c r="F80" s="77">
        <v>430</v>
      </c>
      <c r="G80" s="123">
        <v>2.9841769900000004</v>
      </c>
      <c r="I80" s="130">
        <v>2.9841769900000004</v>
      </c>
      <c r="J80" s="130">
        <v>427.01582301000002</v>
      </c>
    </row>
    <row r="81" spans="1:10">
      <c r="A81" t="s">
        <v>424</v>
      </c>
      <c r="B81" t="s">
        <v>424</v>
      </c>
      <c r="C81" t="s">
        <v>424</v>
      </c>
      <c r="D81" t="s">
        <v>73</v>
      </c>
      <c r="E81">
        <v>70</v>
      </c>
      <c r="F81" s="77">
        <v>688.35651987185429</v>
      </c>
      <c r="G81" s="123">
        <v>2.0884085400000001</v>
      </c>
      <c r="I81" s="130">
        <v>2.0884085400000001</v>
      </c>
      <c r="J81" s="130">
        <v>686.26811133185424</v>
      </c>
    </row>
    <row r="82" spans="1:10">
      <c r="A82" t="s">
        <v>143</v>
      </c>
      <c r="B82" t="s">
        <v>143</v>
      </c>
      <c r="C82" t="s">
        <v>579</v>
      </c>
      <c r="D82" t="s">
        <v>73</v>
      </c>
      <c r="E82">
        <v>430</v>
      </c>
      <c r="F82" s="77">
        <v>430</v>
      </c>
      <c r="G82" s="123">
        <v>2.04193991</v>
      </c>
      <c r="I82" s="130">
        <v>2.04193991</v>
      </c>
      <c r="J82" s="130">
        <v>427.95806009</v>
      </c>
    </row>
    <row r="83" spans="1:10">
      <c r="A83" t="s">
        <v>774</v>
      </c>
      <c r="B83" t="s">
        <v>774</v>
      </c>
      <c r="C83" t="s">
        <v>774</v>
      </c>
      <c r="D83" t="s">
        <v>73</v>
      </c>
      <c r="E83">
        <v>430</v>
      </c>
      <c r="F83" s="77">
        <v>430</v>
      </c>
      <c r="G83" s="123">
        <v>1.3725657380062244</v>
      </c>
      <c r="H83" s="279"/>
      <c r="I83" s="130">
        <v>1.3725657380062244</v>
      </c>
      <c r="J83" s="130"/>
    </row>
    <row r="84" spans="1:10">
      <c r="A84" t="s">
        <v>733</v>
      </c>
      <c r="B84" t="s">
        <v>733</v>
      </c>
      <c r="C84" t="s">
        <v>615</v>
      </c>
      <c r="D84" t="s">
        <v>73</v>
      </c>
      <c r="E84">
        <v>2870</v>
      </c>
      <c r="F84" s="77">
        <v>688.35651987185429</v>
      </c>
      <c r="G84" s="123">
        <v>0</v>
      </c>
      <c r="H84" s="279">
        <v>9.3639330000000007E-2</v>
      </c>
      <c r="I84" s="459">
        <v>9.3639330000000007E-2</v>
      </c>
      <c r="J84" s="130">
        <v>688.26288054185432</v>
      </c>
    </row>
    <row r="85" spans="1:10">
      <c r="A85" t="s">
        <v>734</v>
      </c>
      <c r="B85" t="s">
        <v>734</v>
      </c>
      <c r="C85" t="s">
        <v>614</v>
      </c>
      <c r="D85" t="s">
        <v>73</v>
      </c>
      <c r="E85">
        <v>2870</v>
      </c>
      <c r="F85" s="77">
        <v>688.35651987185429</v>
      </c>
      <c r="G85" s="123">
        <v>0</v>
      </c>
      <c r="H85">
        <v>8.5649009999999998E-2</v>
      </c>
      <c r="I85" s="130">
        <v>8.5649009999999998E-2</v>
      </c>
      <c r="J85" s="130">
        <v>688.27087086185429</v>
      </c>
    </row>
    <row r="86" spans="1:10">
      <c r="A86" t="s">
        <v>180</v>
      </c>
      <c r="B86" t="s">
        <v>180</v>
      </c>
      <c r="C86" t="s">
        <v>720</v>
      </c>
      <c r="D86" t="s">
        <v>73</v>
      </c>
      <c r="E86">
        <v>420</v>
      </c>
      <c r="F86" s="77">
        <v>420</v>
      </c>
      <c r="G86" s="123">
        <v>5.3630199999999996E-3</v>
      </c>
      <c r="I86" s="130">
        <v>5.3630199999999996E-3</v>
      </c>
      <c r="J86" s="130">
        <v>419.99463698</v>
      </c>
    </row>
    <row r="87" spans="1:10">
      <c r="A87" t="s">
        <v>223</v>
      </c>
      <c r="B87" t="s">
        <v>223</v>
      </c>
      <c r="D87" t="s">
        <v>73</v>
      </c>
      <c r="E87">
        <v>688.35651987185429</v>
      </c>
      <c r="F87" s="77">
        <v>688.35651987185429</v>
      </c>
      <c r="G87" s="123">
        <v>6.5599999999999999E-6</v>
      </c>
      <c r="I87" s="130">
        <v>6.5599999999999999E-6</v>
      </c>
      <c r="J87" s="130">
        <v>688.35651331185431</v>
      </c>
    </row>
    <row r="88" spans="1:10">
      <c r="A88" t="s">
        <v>706</v>
      </c>
      <c r="B88" t="s">
        <v>706</v>
      </c>
      <c r="C88" t="s">
        <v>706</v>
      </c>
      <c r="D88" t="s">
        <v>73</v>
      </c>
      <c r="E88">
        <v>450</v>
      </c>
      <c r="F88" s="77">
        <v>450</v>
      </c>
      <c r="G88" s="123">
        <v>0</v>
      </c>
      <c r="I88" s="130">
        <v>0</v>
      </c>
      <c r="J88" s="130">
        <v>450</v>
      </c>
    </row>
    <row r="89" spans="1:10">
      <c r="A89" t="s">
        <v>707</v>
      </c>
      <c r="B89" t="s">
        <v>707</v>
      </c>
      <c r="C89" t="s">
        <v>707</v>
      </c>
      <c r="D89" t="s">
        <v>73</v>
      </c>
      <c r="E89">
        <v>110</v>
      </c>
      <c r="F89" s="77">
        <v>110</v>
      </c>
      <c r="G89" s="123">
        <v>0</v>
      </c>
      <c r="H89" s="279"/>
      <c r="I89" s="130">
        <v>0</v>
      </c>
      <c r="J89" s="130">
        <v>110</v>
      </c>
    </row>
    <row r="90" spans="1:10">
      <c r="A90" t="s">
        <v>708</v>
      </c>
      <c r="B90" t="s">
        <v>708</v>
      </c>
      <c r="C90" t="s">
        <v>709</v>
      </c>
      <c r="D90" t="s">
        <v>73</v>
      </c>
      <c r="E90">
        <v>450</v>
      </c>
      <c r="F90" s="77">
        <v>450</v>
      </c>
      <c r="G90" s="123">
        <v>0</v>
      </c>
      <c r="H90">
        <v>0</v>
      </c>
      <c r="I90" s="130">
        <v>0</v>
      </c>
      <c r="J90" s="130">
        <v>450</v>
      </c>
    </row>
    <row r="91" spans="1:10">
      <c r="A91" t="s">
        <v>710</v>
      </c>
      <c r="B91" t="s">
        <v>710</v>
      </c>
      <c r="C91" t="s">
        <v>711</v>
      </c>
      <c r="D91" t="s">
        <v>73</v>
      </c>
      <c r="E91">
        <v>420</v>
      </c>
      <c r="F91" s="77">
        <v>420</v>
      </c>
      <c r="G91" s="123">
        <v>0</v>
      </c>
      <c r="I91" s="130">
        <v>0</v>
      </c>
      <c r="J91" s="130">
        <v>420</v>
      </c>
    </row>
    <row r="92" spans="1:10">
      <c r="A92" t="s">
        <v>712</v>
      </c>
      <c r="B92" t="s">
        <v>712</v>
      </c>
      <c r="C92" t="s">
        <v>713</v>
      </c>
      <c r="D92" t="s">
        <v>73</v>
      </c>
      <c r="E92">
        <v>900</v>
      </c>
      <c r="F92" s="77">
        <v>688.35651987185429</v>
      </c>
      <c r="G92" s="123">
        <v>0</v>
      </c>
      <c r="I92" s="130">
        <v>0</v>
      </c>
      <c r="J92" s="130">
        <v>688.35651987185429</v>
      </c>
    </row>
    <row r="93" spans="1:10">
      <c r="A93" t="s">
        <v>714</v>
      </c>
      <c r="B93" t="s">
        <v>714</v>
      </c>
      <c r="C93" t="s">
        <v>715</v>
      </c>
      <c r="D93" t="s">
        <v>73</v>
      </c>
      <c r="E93">
        <v>900</v>
      </c>
      <c r="F93" s="77">
        <v>688.35651987185429</v>
      </c>
      <c r="G93" s="123">
        <v>0</v>
      </c>
      <c r="I93" s="130">
        <v>0</v>
      </c>
      <c r="J93" s="130">
        <v>688.35651987185429</v>
      </c>
    </row>
    <row r="94" spans="1:10">
      <c r="A94" t="s">
        <v>716</v>
      </c>
      <c r="B94" t="s">
        <v>716</v>
      </c>
      <c r="C94" t="s">
        <v>717</v>
      </c>
      <c r="D94" t="s">
        <v>73</v>
      </c>
      <c r="E94">
        <v>688.35651987185429</v>
      </c>
      <c r="F94" s="77">
        <v>688.35651987185429</v>
      </c>
      <c r="G94" s="123">
        <v>0</v>
      </c>
      <c r="I94" s="130">
        <v>0</v>
      </c>
      <c r="J94" s="130">
        <v>688.35651987185429</v>
      </c>
    </row>
    <row r="95" spans="1:10">
      <c r="A95" t="s">
        <v>718</v>
      </c>
      <c r="B95" t="s">
        <v>718</v>
      </c>
      <c r="C95" t="s">
        <v>719</v>
      </c>
      <c r="D95" t="s">
        <v>73</v>
      </c>
      <c r="E95">
        <v>1714.06</v>
      </c>
      <c r="F95" s="77">
        <v>688.35651987185429</v>
      </c>
      <c r="G95" s="123">
        <v>0</v>
      </c>
      <c r="I95" s="130">
        <v>0</v>
      </c>
      <c r="J95" s="130">
        <v>688.35651987185429</v>
      </c>
    </row>
    <row r="96" spans="1:10">
      <c r="A96" t="s">
        <v>721</v>
      </c>
      <c r="B96" t="s">
        <v>721</v>
      </c>
      <c r="C96" t="s">
        <v>722</v>
      </c>
      <c r="D96" t="s">
        <v>73</v>
      </c>
      <c r="E96">
        <v>880</v>
      </c>
      <c r="F96" s="77">
        <v>688.35651987185429</v>
      </c>
      <c r="G96" s="123">
        <v>0</v>
      </c>
      <c r="I96" s="130">
        <v>0</v>
      </c>
      <c r="J96" s="130">
        <v>688.35651987185429</v>
      </c>
    </row>
    <row r="97" spans="1:10">
      <c r="A97" t="s">
        <v>724</v>
      </c>
      <c r="B97" t="s">
        <v>724</v>
      </c>
      <c r="C97" t="s">
        <v>725</v>
      </c>
      <c r="D97" t="s">
        <v>73</v>
      </c>
      <c r="E97">
        <v>1599.22</v>
      </c>
      <c r="F97" s="77">
        <v>688.35651987185429</v>
      </c>
      <c r="G97" s="123">
        <v>0</v>
      </c>
      <c r="H97" s="279"/>
      <c r="I97" s="130">
        <v>0</v>
      </c>
      <c r="J97" s="130">
        <v>688.35651987185429</v>
      </c>
    </row>
    <row r="98" spans="1:10">
      <c r="A98" t="s">
        <v>728</v>
      </c>
      <c r="B98" t="s">
        <v>728</v>
      </c>
      <c r="C98" t="s">
        <v>728</v>
      </c>
      <c r="D98" t="s">
        <v>73</v>
      </c>
      <c r="E98">
        <v>710</v>
      </c>
      <c r="F98" s="77">
        <v>688.35651987185429</v>
      </c>
      <c r="G98" s="123">
        <v>0</v>
      </c>
      <c r="H98" s="279"/>
      <c r="I98" s="130">
        <v>0</v>
      </c>
      <c r="J98" s="130">
        <v>688.35651987185429</v>
      </c>
    </row>
    <row r="99" spans="1:10">
      <c r="A99" t="s">
        <v>729</v>
      </c>
      <c r="B99" t="s">
        <v>729</v>
      </c>
      <c r="C99" t="s">
        <v>730</v>
      </c>
      <c r="D99" t="s">
        <v>73</v>
      </c>
      <c r="E99">
        <v>670</v>
      </c>
      <c r="F99" s="77">
        <v>670</v>
      </c>
      <c r="G99" s="123">
        <v>0</v>
      </c>
      <c r="H99" s="279"/>
      <c r="I99" s="130">
        <v>0</v>
      </c>
      <c r="J99" s="130">
        <v>670</v>
      </c>
    </row>
    <row r="100" spans="1:10">
      <c r="A100" t="s">
        <v>732</v>
      </c>
      <c r="B100" t="s">
        <v>732</v>
      </c>
      <c r="C100" t="s">
        <v>732</v>
      </c>
      <c r="D100" t="s">
        <v>73</v>
      </c>
      <c r="E100">
        <v>800</v>
      </c>
      <c r="F100" s="77">
        <v>688.35651987185429</v>
      </c>
      <c r="G100" s="123">
        <v>0</v>
      </c>
      <c r="I100" s="130">
        <v>0</v>
      </c>
      <c r="J100" s="130">
        <v>688.35651987185429</v>
      </c>
    </row>
    <row r="101" spans="1:10">
      <c r="A101" t="s">
        <v>736</v>
      </c>
      <c r="B101" t="s">
        <v>736</v>
      </c>
      <c r="C101" t="s">
        <v>737</v>
      </c>
      <c r="D101" t="s">
        <v>73</v>
      </c>
      <c r="E101">
        <v>800</v>
      </c>
      <c r="F101" s="77">
        <v>688.35651987185429</v>
      </c>
      <c r="G101" s="123">
        <v>0</v>
      </c>
      <c r="I101" s="130">
        <v>0</v>
      </c>
      <c r="J101" s="130">
        <v>688.35651987185429</v>
      </c>
    </row>
    <row r="102" spans="1:10">
      <c r="A102" t="s">
        <v>738</v>
      </c>
      <c r="B102" t="s">
        <v>738</v>
      </c>
      <c r="C102" t="s">
        <v>739</v>
      </c>
      <c r="D102" t="s">
        <v>73</v>
      </c>
      <c r="E102">
        <v>800</v>
      </c>
      <c r="F102" s="77">
        <v>688.35651987185429</v>
      </c>
      <c r="G102" s="123">
        <v>0</v>
      </c>
      <c r="I102" s="130">
        <v>0</v>
      </c>
      <c r="J102" s="130">
        <v>688.35651987185429</v>
      </c>
    </row>
    <row r="103" spans="1:10">
      <c r="A103" t="s">
        <v>740</v>
      </c>
      <c r="B103" t="s">
        <v>740</v>
      </c>
      <c r="C103" t="s">
        <v>740</v>
      </c>
      <c r="D103" t="s">
        <v>73</v>
      </c>
      <c r="E103">
        <v>800</v>
      </c>
      <c r="F103" s="77">
        <v>688.35651987185429</v>
      </c>
      <c r="G103" s="123">
        <v>0</v>
      </c>
      <c r="I103" s="130">
        <v>0</v>
      </c>
      <c r="J103" s="130">
        <v>688.35651987185429</v>
      </c>
    </row>
    <row r="104" spans="1:10">
      <c r="A104" t="s">
        <v>742</v>
      </c>
      <c r="B104" t="s">
        <v>742</v>
      </c>
      <c r="C104" t="s">
        <v>743</v>
      </c>
      <c r="D104" t="s">
        <v>73</v>
      </c>
      <c r="E104">
        <v>880</v>
      </c>
      <c r="F104" s="77">
        <v>688.35651987185429</v>
      </c>
      <c r="G104" s="123">
        <v>0</v>
      </c>
      <c r="I104" s="130">
        <v>0</v>
      </c>
      <c r="J104" s="130">
        <v>688.35651987185429</v>
      </c>
    </row>
    <row r="105" spans="1:10">
      <c r="A105" t="s">
        <v>746</v>
      </c>
      <c r="B105" t="s">
        <v>746</v>
      </c>
      <c r="C105" t="s">
        <v>747</v>
      </c>
      <c r="D105" t="s">
        <v>73</v>
      </c>
      <c r="E105">
        <v>900</v>
      </c>
      <c r="F105" s="77">
        <v>688.35651987185429</v>
      </c>
      <c r="G105" s="123">
        <v>0</v>
      </c>
      <c r="I105" s="130">
        <v>0</v>
      </c>
      <c r="J105" s="130">
        <v>688.35651987185429</v>
      </c>
    </row>
    <row r="106" spans="1:10">
      <c r="A106" t="s">
        <v>748</v>
      </c>
      <c r="B106" t="s">
        <v>748</v>
      </c>
      <c r="C106" t="s">
        <v>749</v>
      </c>
      <c r="D106" t="s">
        <v>73</v>
      </c>
      <c r="E106">
        <v>1100</v>
      </c>
      <c r="F106" s="77">
        <v>688.35651987185429</v>
      </c>
      <c r="G106" s="123">
        <v>0</v>
      </c>
      <c r="I106" s="130">
        <v>0</v>
      </c>
      <c r="J106" s="130">
        <v>688.35651987185429</v>
      </c>
    </row>
    <row r="107" spans="1:10">
      <c r="A107" t="s">
        <v>750</v>
      </c>
      <c r="B107" t="s">
        <v>750</v>
      </c>
      <c r="C107" t="s">
        <v>751</v>
      </c>
      <c r="D107" t="s">
        <v>73</v>
      </c>
      <c r="E107">
        <v>900</v>
      </c>
      <c r="F107" s="77">
        <v>688.35651987185429</v>
      </c>
      <c r="G107" s="123">
        <v>0</v>
      </c>
      <c r="I107" s="130">
        <v>0</v>
      </c>
      <c r="J107" s="130">
        <v>688.35651987185429</v>
      </c>
    </row>
    <row r="108" spans="1:10">
      <c r="A108" t="s">
        <v>753</v>
      </c>
      <c r="B108" t="s">
        <v>753</v>
      </c>
      <c r="C108" t="s">
        <v>753</v>
      </c>
      <c r="D108" t="s">
        <v>73</v>
      </c>
      <c r="E108">
        <v>1140</v>
      </c>
      <c r="F108" s="77">
        <v>688.35651987185429</v>
      </c>
      <c r="G108" s="123">
        <v>0</v>
      </c>
      <c r="I108" s="130">
        <v>0</v>
      </c>
      <c r="J108" s="130">
        <v>688.35651987185429</v>
      </c>
    </row>
    <row r="109" spans="1:10">
      <c r="A109" t="s">
        <v>755</v>
      </c>
      <c r="B109" t="s">
        <v>755</v>
      </c>
      <c r="C109" t="s">
        <v>756</v>
      </c>
      <c r="D109" t="s">
        <v>73</v>
      </c>
      <c r="E109">
        <v>990</v>
      </c>
      <c r="F109" s="116">
        <v>688.35651987185429</v>
      </c>
      <c r="G109" s="123">
        <v>0</v>
      </c>
      <c r="H109" s="116"/>
      <c r="I109" s="130">
        <v>0</v>
      </c>
      <c r="J109" s="130">
        <v>688.35651987185429</v>
      </c>
    </row>
    <row r="110" spans="1:10">
      <c r="A110" t="s">
        <v>757</v>
      </c>
      <c r="B110" t="s">
        <v>577</v>
      </c>
      <c r="C110" t="s">
        <v>758</v>
      </c>
      <c r="D110" t="s">
        <v>73</v>
      </c>
      <c r="E110">
        <v>688.35651987185429</v>
      </c>
      <c r="F110" s="77">
        <v>688.35651987185429</v>
      </c>
      <c r="G110" s="123">
        <v>0</v>
      </c>
      <c r="H110">
        <v>0</v>
      </c>
      <c r="I110" s="130">
        <v>0</v>
      </c>
      <c r="J110" s="130">
        <v>688.35651987185429</v>
      </c>
    </row>
    <row r="111" spans="1:10" ht="16" thickBot="1">
      <c r="A111" s="115"/>
      <c r="B111" s="115"/>
      <c r="C111" s="115" t="s">
        <v>71</v>
      </c>
      <c r="D111" s="115" t="s">
        <v>73</v>
      </c>
      <c r="E111" s="115"/>
      <c r="F111" s="115"/>
      <c r="G111" s="124">
        <f>SUM(G65:G110)</f>
        <v>1657.7423886674173</v>
      </c>
      <c r="H111" s="117">
        <f>SUM(H65:H110)</f>
        <v>1095.68369082</v>
      </c>
      <c r="I111" s="472">
        <f>SUM(I65:I110)</f>
        <v>2753.4260794874172</v>
      </c>
      <c r="J111" s="115"/>
    </row>
  </sheetData>
  <autoFilter ref="A5:P5" xr:uid="{6ACECB5E-4684-4E6C-80EE-4F3C8E8D0C0E}"/>
  <sortState xmlns:xlrd2="http://schemas.microsoft.com/office/spreadsheetml/2017/richdata2" ref="A65:J109">
    <sortCondition descending="1" ref="I65:I109"/>
  </sortState>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9902-2522-4B4B-9059-89BFCD9D3DA2}">
  <dimension ref="B2:K48"/>
  <sheetViews>
    <sheetView workbookViewId="0">
      <selection activeCell="B3" sqref="B3:K48"/>
    </sheetView>
  </sheetViews>
  <sheetFormatPr baseColWidth="10" defaultColWidth="8.83203125" defaultRowHeight="15"/>
  <sheetData>
    <row r="2" spans="2:11">
      <c r="B2" t="s">
        <v>139</v>
      </c>
      <c r="C2" t="s">
        <v>781</v>
      </c>
      <c r="D2" t="s">
        <v>703</v>
      </c>
      <c r="E2" t="s">
        <v>704</v>
      </c>
      <c r="F2" t="s">
        <v>705</v>
      </c>
      <c r="G2" t="s">
        <v>768</v>
      </c>
      <c r="H2" t="s">
        <v>763</v>
      </c>
      <c r="I2" t="s">
        <v>764</v>
      </c>
      <c r="J2" t="s">
        <v>765</v>
      </c>
      <c r="K2" t="s">
        <v>766</v>
      </c>
    </row>
    <row r="3" spans="2:11">
      <c r="B3" t="s">
        <v>145</v>
      </c>
      <c r="C3" t="s">
        <v>145</v>
      </c>
      <c r="D3" t="s">
        <v>752</v>
      </c>
      <c r="E3" t="s">
        <v>73</v>
      </c>
      <c r="F3">
        <v>1380</v>
      </c>
      <c r="G3" s="77">
        <v>688.35651987185429</v>
      </c>
      <c r="H3" s="458">
        <v>615.72239407999996</v>
      </c>
      <c r="J3" s="130">
        <v>615.72239407999996</v>
      </c>
      <c r="K3" s="130">
        <v>72.634125791854331</v>
      </c>
    </row>
    <row r="4" spans="2:11">
      <c r="B4" t="s">
        <v>1501</v>
      </c>
      <c r="C4" t="s">
        <v>1399</v>
      </c>
      <c r="D4" t="s">
        <v>761</v>
      </c>
      <c r="E4" t="s">
        <v>73</v>
      </c>
      <c r="F4">
        <v>1120</v>
      </c>
      <c r="G4" s="77">
        <v>688.35651987185429</v>
      </c>
      <c r="H4" s="458">
        <v>174.34993327000001</v>
      </c>
      <c r="I4">
        <v>100</v>
      </c>
      <c r="J4" s="130">
        <v>274.34993327000001</v>
      </c>
      <c r="K4" s="130">
        <v>414.00658660185428</v>
      </c>
    </row>
    <row r="5" spans="2:11">
      <c r="B5" t="s">
        <v>453</v>
      </c>
      <c r="C5" t="s">
        <v>453</v>
      </c>
      <c r="D5" t="s">
        <v>453</v>
      </c>
      <c r="E5" t="s">
        <v>73</v>
      </c>
      <c r="F5">
        <v>670</v>
      </c>
      <c r="G5" s="77">
        <v>670</v>
      </c>
      <c r="H5" s="458">
        <v>241.12394392000002</v>
      </c>
      <c r="J5" s="130">
        <v>241.12394392000002</v>
      </c>
      <c r="K5" s="130">
        <v>428.87605608000001</v>
      </c>
    </row>
    <row r="6" spans="2:11">
      <c r="B6" t="s">
        <v>731</v>
      </c>
      <c r="C6" t="s">
        <v>731</v>
      </c>
      <c r="D6" t="s">
        <v>1230</v>
      </c>
      <c r="E6" t="s">
        <v>73</v>
      </c>
      <c r="F6">
        <v>530</v>
      </c>
      <c r="G6" s="77">
        <v>530</v>
      </c>
      <c r="H6" s="458">
        <v>0</v>
      </c>
      <c r="I6" s="279">
        <v>240.11453324999999</v>
      </c>
      <c r="J6" s="130">
        <v>240.11453324999999</v>
      </c>
      <c r="K6" s="130">
        <v>289.88546674999998</v>
      </c>
    </row>
    <row r="7" spans="2:11">
      <c r="B7" t="s">
        <v>213</v>
      </c>
      <c r="C7" t="s">
        <v>213</v>
      </c>
      <c r="D7" t="s">
        <v>744</v>
      </c>
      <c r="E7" t="s">
        <v>73</v>
      </c>
      <c r="F7">
        <v>1790</v>
      </c>
      <c r="G7" s="77">
        <v>688.35651987185429</v>
      </c>
      <c r="H7" s="458">
        <v>233.97400543000001</v>
      </c>
      <c r="J7" s="130">
        <v>233.97400543000001</v>
      </c>
      <c r="K7" s="130">
        <v>454.38251444185425</v>
      </c>
    </row>
    <row r="8" spans="2:11">
      <c r="B8" t="s">
        <v>173</v>
      </c>
      <c r="C8" t="s">
        <v>173</v>
      </c>
      <c r="D8" t="s">
        <v>585</v>
      </c>
      <c r="E8" t="s">
        <v>73</v>
      </c>
      <c r="F8">
        <v>420</v>
      </c>
      <c r="G8" s="77">
        <v>420</v>
      </c>
      <c r="H8" s="458">
        <v>8.4635628294108898</v>
      </c>
      <c r="I8">
        <v>209.41889075999998</v>
      </c>
      <c r="J8" s="130">
        <v>217.88245358941089</v>
      </c>
      <c r="K8" s="130">
        <v>202.11754641058911</v>
      </c>
    </row>
    <row r="9" spans="2:11">
      <c r="B9" t="s">
        <v>735</v>
      </c>
      <c r="C9" t="s">
        <v>559</v>
      </c>
      <c r="D9" t="s">
        <v>735</v>
      </c>
      <c r="E9" t="s">
        <v>73</v>
      </c>
      <c r="F9">
        <v>880</v>
      </c>
      <c r="G9" s="77">
        <v>688.35651987185429</v>
      </c>
      <c r="H9" s="458"/>
      <c r="I9" s="279">
        <v>201.42679409000002</v>
      </c>
      <c r="J9" s="130">
        <v>201.42679409000002</v>
      </c>
      <c r="K9" s="130">
        <v>486.92972578185424</v>
      </c>
    </row>
    <row r="10" spans="2:11">
      <c r="B10" t="s">
        <v>723</v>
      </c>
      <c r="C10" t="s">
        <v>723</v>
      </c>
      <c r="D10" t="s">
        <v>723</v>
      </c>
      <c r="E10" t="s">
        <v>73</v>
      </c>
      <c r="F10">
        <v>670</v>
      </c>
      <c r="G10" s="77">
        <v>670</v>
      </c>
      <c r="H10" s="458">
        <v>0</v>
      </c>
      <c r="I10">
        <v>170</v>
      </c>
      <c r="J10" s="130">
        <v>170</v>
      </c>
      <c r="K10" s="130">
        <v>500</v>
      </c>
    </row>
    <row r="11" spans="2:11">
      <c r="B11" t="s">
        <v>759</v>
      </c>
      <c r="C11" t="s">
        <v>759</v>
      </c>
      <c r="D11" t="s">
        <v>760</v>
      </c>
      <c r="E11" t="s">
        <v>73</v>
      </c>
      <c r="F11">
        <v>0</v>
      </c>
      <c r="G11" s="77">
        <v>0</v>
      </c>
      <c r="H11" s="458">
        <v>147.14921839000002</v>
      </c>
      <c r="J11" s="130">
        <v>147.14921839000002</v>
      </c>
      <c r="K11" s="130">
        <v>-147.14921839000002</v>
      </c>
    </row>
    <row r="12" spans="2:11">
      <c r="B12" t="s">
        <v>169</v>
      </c>
      <c r="C12" t="s">
        <v>169</v>
      </c>
      <c r="D12" t="s">
        <v>582</v>
      </c>
      <c r="E12" t="s">
        <v>73</v>
      </c>
      <c r="F12">
        <v>430</v>
      </c>
      <c r="G12" s="77">
        <v>430</v>
      </c>
      <c r="H12" s="458">
        <v>0.32008976999999994</v>
      </c>
      <c r="I12">
        <v>135.29488068000001</v>
      </c>
      <c r="J12" s="130">
        <v>135.61497045000002</v>
      </c>
      <c r="K12" s="130">
        <v>294.38502955000001</v>
      </c>
    </row>
    <row r="13" spans="2:11">
      <c r="B13" t="s">
        <v>458</v>
      </c>
      <c r="C13" t="s">
        <v>458</v>
      </c>
      <c r="D13" t="s">
        <v>745</v>
      </c>
      <c r="E13" t="s">
        <v>73</v>
      </c>
      <c r="F13">
        <v>510</v>
      </c>
      <c r="G13" s="77">
        <v>510</v>
      </c>
      <c r="H13" s="458">
        <v>115.38947122</v>
      </c>
      <c r="J13" s="130">
        <v>115.38947122</v>
      </c>
      <c r="K13" s="130">
        <v>394.61052877999998</v>
      </c>
    </row>
    <row r="14" spans="2:11">
      <c r="B14" t="s">
        <v>167</v>
      </c>
      <c r="C14" t="s">
        <v>167</v>
      </c>
      <c r="D14" t="s">
        <v>167</v>
      </c>
      <c r="E14" t="s">
        <v>73</v>
      </c>
      <c r="F14">
        <v>1110</v>
      </c>
      <c r="G14" s="116">
        <v>688.35651987185429</v>
      </c>
      <c r="H14" s="458">
        <v>84.597367449999993</v>
      </c>
      <c r="I14" s="116"/>
      <c r="J14" s="130">
        <v>84.597367449999993</v>
      </c>
      <c r="K14" s="130">
        <v>603.75915242185431</v>
      </c>
    </row>
    <row r="15" spans="2:11">
      <c r="B15" t="s">
        <v>726</v>
      </c>
      <c r="C15" t="s">
        <v>726</v>
      </c>
      <c r="D15" t="s">
        <v>727</v>
      </c>
      <c r="E15" t="s">
        <v>73</v>
      </c>
      <c r="F15">
        <v>900</v>
      </c>
      <c r="G15" s="77">
        <v>688.35651987185429</v>
      </c>
      <c r="H15" s="458">
        <v>0</v>
      </c>
      <c r="I15">
        <v>35</v>
      </c>
      <c r="J15" s="130">
        <v>35</v>
      </c>
      <c r="K15" s="130">
        <v>653.35651987185429</v>
      </c>
    </row>
    <row r="16" spans="2:11">
      <c r="B16" t="s">
        <v>341</v>
      </c>
      <c r="C16" t="s">
        <v>341</v>
      </c>
      <c r="D16" t="s">
        <v>584</v>
      </c>
      <c r="E16" t="s">
        <v>73</v>
      </c>
      <c r="F16">
        <v>490</v>
      </c>
      <c r="G16" s="77">
        <v>490</v>
      </c>
      <c r="H16" s="458">
        <v>22.191841549999996</v>
      </c>
      <c r="I16" s="279">
        <v>4.2493037000000005</v>
      </c>
      <c r="J16" s="130">
        <v>26.441145249999998</v>
      </c>
      <c r="K16" s="130">
        <v>463.55885475000002</v>
      </c>
    </row>
    <row r="17" spans="2:11">
      <c r="B17" t="s">
        <v>741</v>
      </c>
      <c r="C17" t="s">
        <v>741</v>
      </c>
      <c r="D17" t="s">
        <v>741</v>
      </c>
      <c r="E17" t="s">
        <v>73</v>
      </c>
      <c r="F17">
        <v>690</v>
      </c>
      <c r="G17" s="77">
        <v>688.35651987185429</v>
      </c>
      <c r="H17" s="458">
        <v>5.9681000000000006</v>
      </c>
      <c r="J17" s="130">
        <v>5.9681000000000006</v>
      </c>
      <c r="K17" s="130">
        <v>682.38841987185424</v>
      </c>
    </row>
    <row r="18" spans="2:11">
      <c r="B18" t="s">
        <v>184</v>
      </c>
      <c r="C18" t="s">
        <v>184</v>
      </c>
      <c r="D18" t="s">
        <v>754</v>
      </c>
      <c r="E18" t="s">
        <v>73</v>
      </c>
      <c r="F18">
        <v>430</v>
      </c>
      <c r="G18" s="77">
        <v>430</v>
      </c>
      <c r="H18" s="458">
        <v>2.9841769900000004</v>
      </c>
      <c r="J18" s="130">
        <v>2.9841769900000004</v>
      </c>
      <c r="K18" s="130">
        <v>427.01582301000002</v>
      </c>
    </row>
    <row r="19" spans="2:11">
      <c r="B19" t="s">
        <v>424</v>
      </c>
      <c r="C19" t="s">
        <v>424</v>
      </c>
      <c r="D19" t="s">
        <v>424</v>
      </c>
      <c r="E19" t="s">
        <v>73</v>
      </c>
      <c r="F19">
        <v>70</v>
      </c>
      <c r="G19" s="77">
        <v>688.35651987185429</v>
      </c>
      <c r="H19" s="458">
        <v>2.0884085400000001</v>
      </c>
      <c r="I19" s="116"/>
      <c r="J19" s="130">
        <v>2.0884085400000001</v>
      </c>
      <c r="K19" s="130">
        <v>686.26811133185424</v>
      </c>
    </row>
    <row r="20" spans="2:11">
      <c r="B20" t="s">
        <v>143</v>
      </c>
      <c r="C20" t="s">
        <v>143</v>
      </c>
      <c r="D20" t="s">
        <v>579</v>
      </c>
      <c r="E20" t="s">
        <v>73</v>
      </c>
      <c r="F20">
        <v>430</v>
      </c>
      <c r="G20" s="77">
        <v>430</v>
      </c>
      <c r="H20" s="458">
        <v>2.04193991</v>
      </c>
      <c r="J20" s="130">
        <v>2.04193991</v>
      </c>
      <c r="K20" s="130">
        <v>427.95806009</v>
      </c>
    </row>
    <row r="21" spans="2:11">
      <c r="B21" t="s">
        <v>774</v>
      </c>
      <c r="C21" t="s">
        <v>774</v>
      </c>
      <c r="D21" t="s">
        <v>774</v>
      </c>
      <c r="E21" t="s">
        <v>73</v>
      </c>
      <c r="F21">
        <v>430</v>
      </c>
      <c r="G21" s="77">
        <v>430</v>
      </c>
      <c r="H21" s="458">
        <v>1.3725657380062244</v>
      </c>
      <c r="J21" s="130">
        <v>1.3725657380062244</v>
      </c>
      <c r="K21" s="130"/>
    </row>
    <row r="22" spans="2:11">
      <c r="B22" t="s">
        <v>733</v>
      </c>
      <c r="C22" t="s">
        <v>733</v>
      </c>
      <c r="D22" t="s">
        <v>615</v>
      </c>
      <c r="E22" t="s">
        <v>73</v>
      </c>
      <c r="F22">
        <v>2870</v>
      </c>
      <c r="G22" s="77">
        <v>688.35651987185429</v>
      </c>
      <c r="H22" s="458">
        <v>0</v>
      </c>
      <c r="I22">
        <v>9.3639330000000007E-2</v>
      </c>
      <c r="J22" s="130">
        <v>9.3639330000000007E-2</v>
      </c>
      <c r="K22" s="130">
        <v>688.26288054185432</v>
      </c>
    </row>
    <row r="23" spans="2:11">
      <c r="B23" t="s">
        <v>734</v>
      </c>
      <c r="C23" t="s">
        <v>734</v>
      </c>
      <c r="D23" t="s">
        <v>614</v>
      </c>
      <c r="E23" t="s">
        <v>73</v>
      </c>
      <c r="F23">
        <v>2870</v>
      </c>
      <c r="G23" s="77">
        <v>688.35651987185429</v>
      </c>
      <c r="H23" s="458">
        <v>0</v>
      </c>
      <c r="I23" s="279">
        <v>8.5649009999999998E-2</v>
      </c>
      <c r="J23" s="130">
        <v>8.5649009999999998E-2</v>
      </c>
      <c r="K23" s="130">
        <v>688.27087086185429</v>
      </c>
    </row>
    <row r="24" spans="2:11">
      <c r="B24" t="s">
        <v>180</v>
      </c>
      <c r="C24" t="s">
        <v>180</v>
      </c>
      <c r="D24" t="s">
        <v>720</v>
      </c>
      <c r="E24" t="s">
        <v>73</v>
      </c>
      <c r="F24">
        <v>420</v>
      </c>
      <c r="G24" s="77">
        <v>420</v>
      </c>
      <c r="H24" s="458">
        <v>5.3630199999999996E-3</v>
      </c>
      <c r="I24" s="279"/>
      <c r="J24" s="130">
        <v>5.3630199999999996E-3</v>
      </c>
      <c r="K24" s="130">
        <v>419.99463698</v>
      </c>
    </row>
    <row r="25" spans="2:11">
      <c r="B25" t="s">
        <v>223</v>
      </c>
      <c r="C25" t="s">
        <v>223</v>
      </c>
      <c r="E25" t="s">
        <v>73</v>
      </c>
      <c r="F25">
        <v>688.35651987185429</v>
      </c>
      <c r="G25" s="77">
        <v>688.35651987185429</v>
      </c>
      <c r="H25" s="458">
        <v>6.5599999999999999E-6</v>
      </c>
      <c r="J25" s="130">
        <v>6.5599999999999999E-6</v>
      </c>
      <c r="K25" s="130">
        <v>688.35651331185431</v>
      </c>
    </row>
    <row r="26" spans="2:11">
      <c r="B26" t="s">
        <v>706</v>
      </c>
      <c r="C26" t="s">
        <v>706</v>
      </c>
      <c r="D26" t="s">
        <v>706</v>
      </c>
      <c r="E26" t="s">
        <v>73</v>
      </c>
      <c r="F26">
        <v>450</v>
      </c>
      <c r="G26" s="77">
        <v>450</v>
      </c>
      <c r="H26" s="458">
        <v>0</v>
      </c>
      <c r="J26" s="130">
        <v>0</v>
      </c>
      <c r="K26" s="130">
        <v>450</v>
      </c>
    </row>
    <row r="27" spans="2:11">
      <c r="B27" t="s">
        <v>707</v>
      </c>
      <c r="C27" t="s">
        <v>707</v>
      </c>
      <c r="D27" t="s">
        <v>707</v>
      </c>
      <c r="E27" t="s">
        <v>73</v>
      </c>
      <c r="F27">
        <v>110</v>
      </c>
      <c r="G27" s="77">
        <v>110</v>
      </c>
      <c r="H27" s="458">
        <v>0</v>
      </c>
      <c r="J27" s="130">
        <v>0</v>
      </c>
      <c r="K27" s="130">
        <v>110</v>
      </c>
    </row>
    <row r="28" spans="2:11">
      <c r="B28" t="s">
        <v>708</v>
      </c>
      <c r="C28" t="s">
        <v>708</v>
      </c>
      <c r="D28" t="s">
        <v>709</v>
      </c>
      <c r="E28" t="s">
        <v>73</v>
      </c>
      <c r="F28">
        <v>450</v>
      </c>
      <c r="G28" s="77">
        <v>450</v>
      </c>
      <c r="H28" s="458">
        <v>0</v>
      </c>
      <c r="I28" s="279">
        <v>0</v>
      </c>
      <c r="J28" s="130">
        <v>0</v>
      </c>
      <c r="K28" s="130">
        <v>450</v>
      </c>
    </row>
    <row r="29" spans="2:11">
      <c r="B29" t="s">
        <v>710</v>
      </c>
      <c r="C29" t="s">
        <v>710</v>
      </c>
      <c r="D29" t="s">
        <v>711</v>
      </c>
      <c r="E29" t="s">
        <v>73</v>
      </c>
      <c r="F29">
        <v>420</v>
      </c>
      <c r="G29" s="77">
        <v>420</v>
      </c>
      <c r="H29" s="458">
        <v>0</v>
      </c>
      <c r="J29" s="130">
        <v>0</v>
      </c>
      <c r="K29" s="130">
        <v>420</v>
      </c>
    </row>
    <row r="30" spans="2:11">
      <c r="B30" t="s">
        <v>712</v>
      </c>
      <c r="C30" t="s">
        <v>712</v>
      </c>
      <c r="D30" t="s">
        <v>713</v>
      </c>
      <c r="E30" t="s">
        <v>73</v>
      </c>
      <c r="F30">
        <v>900</v>
      </c>
      <c r="G30" s="77">
        <v>688.35651987185429</v>
      </c>
      <c r="H30" s="458">
        <v>0</v>
      </c>
      <c r="J30" s="130">
        <v>0</v>
      </c>
      <c r="K30" s="130">
        <v>688.35651987185429</v>
      </c>
    </row>
    <row r="31" spans="2:11">
      <c r="B31" t="s">
        <v>714</v>
      </c>
      <c r="C31" t="s">
        <v>714</v>
      </c>
      <c r="D31" t="s">
        <v>715</v>
      </c>
      <c r="E31" t="s">
        <v>73</v>
      </c>
      <c r="F31">
        <v>900</v>
      </c>
      <c r="G31" s="77">
        <v>688.35651987185429</v>
      </c>
      <c r="H31" s="458">
        <v>0</v>
      </c>
      <c r="J31" s="130">
        <v>0</v>
      </c>
      <c r="K31" s="130">
        <v>688.35651987185429</v>
      </c>
    </row>
    <row r="32" spans="2:11">
      <c r="B32" t="s">
        <v>716</v>
      </c>
      <c r="C32" t="s">
        <v>716</v>
      </c>
      <c r="D32" t="s">
        <v>717</v>
      </c>
      <c r="E32" t="s">
        <v>73</v>
      </c>
      <c r="F32">
        <v>688.35651987185429</v>
      </c>
      <c r="G32" s="77">
        <v>688.35651987185429</v>
      </c>
      <c r="H32" s="458">
        <v>0</v>
      </c>
      <c r="J32" s="130">
        <v>0</v>
      </c>
      <c r="K32" s="130">
        <v>688.35651987185429</v>
      </c>
    </row>
    <row r="33" spans="2:11">
      <c r="B33" t="s">
        <v>718</v>
      </c>
      <c r="C33" t="s">
        <v>718</v>
      </c>
      <c r="D33" t="s">
        <v>719</v>
      </c>
      <c r="E33" t="s">
        <v>73</v>
      </c>
      <c r="F33">
        <v>1714.06</v>
      </c>
      <c r="G33" s="77">
        <v>688.35651987185429</v>
      </c>
      <c r="H33" s="458">
        <v>0</v>
      </c>
      <c r="J33" s="130">
        <v>0</v>
      </c>
      <c r="K33" s="130">
        <v>688.35651987185429</v>
      </c>
    </row>
    <row r="34" spans="2:11">
      <c r="B34" t="s">
        <v>721</v>
      </c>
      <c r="C34" t="s">
        <v>721</v>
      </c>
      <c r="D34" t="s">
        <v>722</v>
      </c>
      <c r="E34" t="s">
        <v>73</v>
      </c>
      <c r="F34">
        <v>880</v>
      </c>
      <c r="G34" s="77">
        <v>688.35651987185429</v>
      </c>
      <c r="H34" s="458">
        <v>0</v>
      </c>
      <c r="J34" s="130">
        <v>0</v>
      </c>
      <c r="K34" s="130">
        <v>688.35651987185429</v>
      </c>
    </row>
    <row r="35" spans="2:11">
      <c r="B35" t="s">
        <v>724</v>
      </c>
      <c r="C35" t="s">
        <v>724</v>
      </c>
      <c r="D35" t="s">
        <v>725</v>
      </c>
      <c r="E35" t="s">
        <v>73</v>
      </c>
      <c r="F35">
        <v>1599.22</v>
      </c>
      <c r="G35" s="77">
        <v>688.35651987185429</v>
      </c>
      <c r="H35" s="458">
        <v>0</v>
      </c>
      <c r="J35" s="130">
        <v>0</v>
      </c>
      <c r="K35" s="130">
        <v>688.35651987185429</v>
      </c>
    </row>
    <row r="36" spans="2:11">
      <c r="B36" t="s">
        <v>728</v>
      </c>
      <c r="C36" t="s">
        <v>728</v>
      </c>
      <c r="D36" t="s">
        <v>728</v>
      </c>
      <c r="E36" t="s">
        <v>73</v>
      </c>
      <c r="F36">
        <v>710</v>
      </c>
      <c r="G36" s="77">
        <v>688.35651987185429</v>
      </c>
      <c r="H36" s="458">
        <v>0</v>
      </c>
      <c r="J36" s="130">
        <v>0</v>
      </c>
      <c r="K36" s="130">
        <v>688.35651987185429</v>
      </c>
    </row>
    <row r="37" spans="2:11">
      <c r="B37" t="s">
        <v>729</v>
      </c>
      <c r="C37" t="s">
        <v>729</v>
      </c>
      <c r="D37" t="s">
        <v>730</v>
      </c>
      <c r="E37" t="s">
        <v>73</v>
      </c>
      <c r="F37">
        <v>670</v>
      </c>
      <c r="G37" s="77">
        <v>670</v>
      </c>
      <c r="H37" s="458">
        <v>0</v>
      </c>
      <c r="J37" s="130">
        <v>0</v>
      </c>
      <c r="K37" s="130">
        <v>670</v>
      </c>
    </row>
    <row r="38" spans="2:11">
      <c r="B38" t="s">
        <v>732</v>
      </c>
      <c r="C38" t="s">
        <v>732</v>
      </c>
      <c r="D38" t="s">
        <v>732</v>
      </c>
      <c r="E38" t="s">
        <v>73</v>
      </c>
      <c r="F38">
        <v>800</v>
      </c>
      <c r="G38" s="77">
        <v>688.35651987185429</v>
      </c>
      <c r="H38" s="458">
        <v>0</v>
      </c>
      <c r="I38" s="279"/>
      <c r="J38" s="130">
        <v>0</v>
      </c>
      <c r="K38" s="130">
        <v>688.35651987185429</v>
      </c>
    </row>
    <row r="39" spans="2:11">
      <c r="B39" t="s">
        <v>736</v>
      </c>
      <c r="C39" t="s">
        <v>736</v>
      </c>
      <c r="D39" t="s">
        <v>737</v>
      </c>
      <c r="E39" t="s">
        <v>73</v>
      </c>
      <c r="F39">
        <v>800</v>
      </c>
      <c r="G39" s="77">
        <v>688.35651987185429</v>
      </c>
      <c r="H39" s="458">
        <v>0</v>
      </c>
      <c r="I39" s="279"/>
      <c r="J39" s="130">
        <v>0</v>
      </c>
      <c r="K39" s="130">
        <v>688.35651987185429</v>
      </c>
    </row>
    <row r="40" spans="2:11">
      <c r="B40" t="s">
        <v>738</v>
      </c>
      <c r="C40" t="s">
        <v>738</v>
      </c>
      <c r="D40" t="s">
        <v>739</v>
      </c>
      <c r="E40" t="s">
        <v>73</v>
      </c>
      <c r="F40">
        <v>800</v>
      </c>
      <c r="G40">
        <v>688.35651987185429</v>
      </c>
      <c r="H40">
        <v>0</v>
      </c>
      <c r="J40">
        <v>0</v>
      </c>
      <c r="K40">
        <v>688.35651987185429</v>
      </c>
    </row>
    <row r="41" spans="2:11">
      <c r="B41" t="s">
        <v>740</v>
      </c>
      <c r="C41" t="s">
        <v>740</v>
      </c>
      <c r="D41" t="s">
        <v>740</v>
      </c>
      <c r="E41" t="s">
        <v>73</v>
      </c>
      <c r="F41">
        <v>800</v>
      </c>
      <c r="G41" s="77">
        <v>688.35651987185429</v>
      </c>
      <c r="H41" s="458">
        <v>0</v>
      </c>
      <c r="I41" s="279"/>
      <c r="J41" s="130">
        <v>0</v>
      </c>
      <c r="K41" s="130">
        <v>688.35651987185429</v>
      </c>
    </row>
    <row r="42" spans="2:11">
      <c r="B42" t="s">
        <v>742</v>
      </c>
      <c r="C42" t="s">
        <v>742</v>
      </c>
      <c r="D42" t="s">
        <v>743</v>
      </c>
      <c r="E42" t="s">
        <v>73</v>
      </c>
      <c r="F42">
        <v>880</v>
      </c>
      <c r="G42" s="77">
        <v>688.35651987185429</v>
      </c>
      <c r="H42" s="458">
        <v>0</v>
      </c>
      <c r="J42" s="130">
        <v>0</v>
      </c>
      <c r="K42" s="130">
        <v>688.35651987185429</v>
      </c>
    </row>
    <row r="43" spans="2:11">
      <c r="B43" t="s">
        <v>746</v>
      </c>
      <c r="C43" t="s">
        <v>746</v>
      </c>
      <c r="D43" t="s">
        <v>747</v>
      </c>
      <c r="E43" t="s">
        <v>73</v>
      </c>
      <c r="F43">
        <v>900</v>
      </c>
      <c r="G43" s="77">
        <v>688.35651987185429</v>
      </c>
      <c r="H43" s="458">
        <v>0</v>
      </c>
      <c r="I43" s="279"/>
      <c r="J43" s="130">
        <v>0</v>
      </c>
      <c r="K43" s="130">
        <v>688.35651987185429</v>
      </c>
    </row>
    <row r="44" spans="2:11">
      <c r="B44" t="s">
        <v>748</v>
      </c>
      <c r="C44" t="s">
        <v>748</v>
      </c>
      <c r="D44" t="s">
        <v>749</v>
      </c>
      <c r="E44" t="s">
        <v>73</v>
      </c>
      <c r="F44">
        <v>1100</v>
      </c>
      <c r="G44" s="77">
        <v>688.35651987185429</v>
      </c>
      <c r="H44" s="458">
        <v>0</v>
      </c>
      <c r="I44" s="279"/>
      <c r="J44" s="130">
        <v>0</v>
      </c>
      <c r="K44" s="130">
        <v>688.35651987185429</v>
      </c>
    </row>
    <row r="45" spans="2:11">
      <c r="B45" t="s">
        <v>750</v>
      </c>
      <c r="C45" t="s">
        <v>750</v>
      </c>
      <c r="D45" t="s">
        <v>751</v>
      </c>
      <c r="E45" t="s">
        <v>73</v>
      </c>
      <c r="F45">
        <v>900</v>
      </c>
      <c r="G45" s="77">
        <v>688.35651987185429</v>
      </c>
      <c r="H45" s="458">
        <v>0</v>
      </c>
      <c r="I45" s="279"/>
      <c r="J45" s="459">
        <v>0</v>
      </c>
      <c r="K45" s="130">
        <v>688.35651987185429</v>
      </c>
    </row>
    <row r="46" spans="2:11">
      <c r="B46" t="s">
        <v>753</v>
      </c>
      <c r="C46" t="s">
        <v>753</v>
      </c>
      <c r="D46" t="s">
        <v>753</v>
      </c>
      <c r="E46" t="s">
        <v>73</v>
      </c>
      <c r="F46">
        <v>1140</v>
      </c>
      <c r="G46" s="77">
        <v>688.35651987185429</v>
      </c>
      <c r="H46" s="458">
        <v>0</v>
      </c>
      <c r="I46" s="279"/>
      <c r="J46" s="130">
        <v>0</v>
      </c>
      <c r="K46" s="130">
        <v>688.35651987185429</v>
      </c>
    </row>
    <row r="47" spans="2:11">
      <c r="B47" t="s">
        <v>755</v>
      </c>
      <c r="C47" t="s">
        <v>755</v>
      </c>
      <c r="D47" t="s">
        <v>756</v>
      </c>
      <c r="E47" t="s">
        <v>73</v>
      </c>
      <c r="F47">
        <v>990</v>
      </c>
      <c r="G47" s="77">
        <v>688.35651987185429</v>
      </c>
      <c r="H47" s="458">
        <v>0</v>
      </c>
      <c r="J47" s="130">
        <v>0</v>
      </c>
      <c r="K47" s="130">
        <v>688.35651987185429</v>
      </c>
    </row>
    <row r="48" spans="2:11">
      <c r="B48" t="s">
        <v>757</v>
      </c>
      <c r="C48" t="s">
        <v>577</v>
      </c>
      <c r="D48" t="s">
        <v>758</v>
      </c>
      <c r="E48" t="s">
        <v>73</v>
      </c>
      <c r="F48">
        <v>688.35651987185429</v>
      </c>
      <c r="G48" s="77">
        <v>688.35651987185429</v>
      </c>
      <c r="H48" s="458">
        <v>0</v>
      </c>
      <c r="I48">
        <v>0</v>
      </c>
      <c r="J48" s="130">
        <v>0</v>
      </c>
      <c r="K48" s="130">
        <v>688.35651987185429</v>
      </c>
    </row>
  </sheetData>
  <autoFilter ref="B2:K2" xr:uid="{F2AA9902-2522-4B4B-9059-89BFCD9D3DA2}">
    <sortState xmlns:xlrd2="http://schemas.microsoft.com/office/spreadsheetml/2017/richdata2" ref="B3:K48">
      <sortCondition descending="1" ref="J2"/>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3714C-6FCA-48AC-B9F6-A1A6541B679F}">
  <dimension ref="A1:K65"/>
  <sheetViews>
    <sheetView topLeftCell="A16" zoomScale="80" zoomScaleNormal="80" workbookViewId="0">
      <selection sqref="A1:XFD1048576"/>
    </sheetView>
  </sheetViews>
  <sheetFormatPr baseColWidth="10" defaultColWidth="8.83203125" defaultRowHeight="15"/>
  <cols>
    <col min="1" max="1" width="27.5" customWidth="1"/>
    <col min="2" max="2" width="22" customWidth="1"/>
    <col min="3" max="3" width="16" style="376" customWidth="1"/>
    <col min="4" max="4" width="15.83203125" style="376" customWidth="1"/>
    <col min="5" max="5" width="16" style="377" customWidth="1"/>
    <col min="7" max="7" width="14.1640625" style="451" customWidth="1"/>
    <col min="8" max="8" width="13.83203125" style="451" bestFit="1" customWidth="1"/>
    <col min="9" max="9" width="6.6640625" style="451" customWidth="1"/>
    <col min="10" max="10" width="12.83203125" style="451" bestFit="1" customWidth="1"/>
    <col min="257" max="257" width="27.5" customWidth="1"/>
    <col min="258" max="258" width="22" customWidth="1"/>
    <col min="259" max="259" width="16" customWidth="1"/>
    <col min="260" max="260" width="15.83203125" customWidth="1"/>
    <col min="261" max="261" width="16" customWidth="1"/>
    <col min="263" max="263" width="14.1640625" customWidth="1"/>
    <col min="264" max="264" width="13.83203125" bestFit="1" customWidth="1"/>
    <col min="265" max="265" width="6.6640625" customWidth="1"/>
    <col min="266" max="266" width="12.83203125" bestFit="1" customWidth="1"/>
    <col min="513" max="513" width="27.5" customWidth="1"/>
    <col min="514" max="514" width="22" customWidth="1"/>
    <col min="515" max="515" width="16" customWidth="1"/>
    <col min="516" max="516" width="15.83203125" customWidth="1"/>
    <col min="517" max="517" width="16" customWidth="1"/>
    <col min="519" max="519" width="14.1640625" customWidth="1"/>
    <col min="520" max="520" width="13.83203125" bestFit="1" customWidth="1"/>
    <col min="521" max="521" width="6.6640625" customWidth="1"/>
    <col min="522" max="522" width="12.83203125" bestFit="1" customWidth="1"/>
    <col min="769" max="769" width="27.5" customWidth="1"/>
    <col min="770" max="770" width="22" customWidth="1"/>
    <col min="771" max="771" width="16" customWidth="1"/>
    <col min="772" max="772" width="15.83203125" customWidth="1"/>
    <col min="773" max="773" width="16" customWidth="1"/>
    <col min="775" max="775" width="14.1640625" customWidth="1"/>
    <col min="776" max="776" width="13.83203125" bestFit="1" customWidth="1"/>
    <col min="777" max="777" width="6.6640625" customWidth="1"/>
    <col min="778" max="778" width="12.83203125" bestFit="1" customWidth="1"/>
    <col min="1025" max="1025" width="27.5" customWidth="1"/>
    <col min="1026" max="1026" width="22" customWidth="1"/>
    <col min="1027" max="1027" width="16" customWidth="1"/>
    <col min="1028" max="1028" width="15.83203125" customWidth="1"/>
    <col min="1029" max="1029" width="16" customWidth="1"/>
    <col min="1031" max="1031" width="14.1640625" customWidth="1"/>
    <col min="1032" max="1032" width="13.83203125" bestFit="1" customWidth="1"/>
    <col min="1033" max="1033" width="6.6640625" customWidth="1"/>
    <col min="1034" max="1034" width="12.83203125" bestFit="1" customWidth="1"/>
    <col min="1281" max="1281" width="27.5" customWidth="1"/>
    <col min="1282" max="1282" width="22" customWidth="1"/>
    <col min="1283" max="1283" width="16" customWidth="1"/>
    <col min="1284" max="1284" width="15.83203125" customWidth="1"/>
    <col min="1285" max="1285" width="16" customWidth="1"/>
    <col min="1287" max="1287" width="14.1640625" customWidth="1"/>
    <col min="1288" max="1288" width="13.83203125" bestFit="1" customWidth="1"/>
    <col min="1289" max="1289" width="6.6640625" customWidth="1"/>
    <col min="1290" max="1290" width="12.83203125" bestFit="1" customWidth="1"/>
    <col min="1537" max="1537" width="27.5" customWidth="1"/>
    <col min="1538" max="1538" width="22" customWidth="1"/>
    <col min="1539" max="1539" width="16" customWidth="1"/>
    <col min="1540" max="1540" width="15.83203125" customWidth="1"/>
    <col min="1541" max="1541" width="16" customWidth="1"/>
    <col min="1543" max="1543" width="14.1640625" customWidth="1"/>
    <col min="1544" max="1544" width="13.83203125" bestFit="1" customWidth="1"/>
    <col min="1545" max="1545" width="6.6640625" customWidth="1"/>
    <col min="1546" max="1546" width="12.83203125" bestFit="1" customWidth="1"/>
    <col min="1793" max="1793" width="27.5" customWidth="1"/>
    <col min="1794" max="1794" width="22" customWidth="1"/>
    <col min="1795" max="1795" width="16" customWidth="1"/>
    <col min="1796" max="1796" width="15.83203125" customWidth="1"/>
    <col min="1797" max="1797" width="16" customWidth="1"/>
    <col min="1799" max="1799" width="14.1640625" customWidth="1"/>
    <col min="1800" max="1800" width="13.83203125" bestFit="1" customWidth="1"/>
    <col min="1801" max="1801" width="6.6640625" customWidth="1"/>
    <col min="1802" max="1802" width="12.83203125" bestFit="1" customWidth="1"/>
    <col min="2049" max="2049" width="27.5" customWidth="1"/>
    <col min="2050" max="2050" width="22" customWidth="1"/>
    <col min="2051" max="2051" width="16" customWidth="1"/>
    <col min="2052" max="2052" width="15.83203125" customWidth="1"/>
    <col min="2053" max="2053" width="16" customWidth="1"/>
    <col min="2055" max="2055" width="14.1640625" customWidth="1"/>
    <col min="2056" max="2056" width="13.83203125" bestFit="1" customWidth="1"/>
    <col min="2057" max="2057" width="6.6640625" customWidth="1"/>
    <col min="2058" max="2058" width="12.83203125" bestFit="1" customWidth="1"/>
    <col min="2305" max="2305" width="27.5" customWidth="1"/>
    <col min="2306" max="2306" width="22" customWidth="1"/>
    <col min="2307" max="2307" width="16" customWidth="1"/>
    <col min="2308" max="2308" width="15.83203125" customWidth="1"/>
    <col min="2309" max="2309" width="16" customWidth="1"/>
    <col min="2311" max="2311" width="14.1640625" customWidth="1"/>
    <col min="2312" max="2312" width="13.83203125" bestFit="1" customWidth="1"/>
    <col min="2313" max="2313" width="6.6640625" customWidth="1"/>
    <col min="2314" max="2314" width="12.83203125" bestFit="1" customWidth="1"/>
    <col min="2561" max="2561" width="27.5" customWidth="1"/>
    <col min="2562" max="2562" width="22" customWidth="1"/>
    <col min="2563" max="2563" width="16" customWidth="1"/>
    <col min="2564" max="2564" width="15.83203125" customWidth="1"/>
    <col min="2565" max="2565" width="16" customWidth="1"/>
    <col min="2567" max="2567" width="14.1640625" customWidth="1"/>
    <col min="2568" max="2568" width="13.83203125" bestFit="1" customWidth="1"/>
    <col min="2569" max="2569" width="6.6640625" customWidth="1"/>
    <col min="2570" max="2570" width="12.83203125" bestFit="1" customWidth="1"/>
    <col min="2817" max="2817" width="27.5" customWidth="1"/>
    <col min="2818" max="2818" width="22" customWidth="1"/>
    <col min="2819" max="2819" width="16" customWidth="1"/>
    <col min="2820" max="2820" width="15.83203125" customWidth="1"/>
    <col min="2821" max="2821" width="16" customWidth="1"/>
    <col min="2823" max="2823" width="14.1640625" customWidth="1"/>
    <col min="2824" max="2824" width="13.83203125" bestFit="1" customWidth="1"/>
    <col min="2825" max="2825" width="6.6640625" customWidth="1"/>
    <col min="2826" max="2826" width="12.83203125" bestFit="1" customWidth="1"/>
    <col min="3073" max="3073" width="27.5" customWidth="1"/>
    <col min="3074" max="3074" width="22" customWidth="1"/>
    <col min="3075" max="3075" width="16" customWidth="1"/>
    <col min="3076" max="3076" width="15.83203125" customWidth="1"/>
    <col min="3077" max="3077" width="16" customWidth="1"/>
    <col min="3079" max="3079" width="14.1640625" customWidth="1"/>
    <col min="3080" max="3080" width="13.83203125" bestFit="1" customWidth="1"/>
    <col min="3081" max="3081" width="6.6640625" customWidth="1"/>
    <col min="3082" max="3082" width="12.83203125" bestFit="1" customWidth="1"/>
    <col min="3329" max="3329" width="27.5" customWidth="1"/>
    <col min="3330" max="3330" width="22" customWidth="1"/>
    <col min="3331" max="3331" width="16" customWidth="1"/>
    <col min="3332" max="3332" width="15.83203125" customWidth="1"/>
    <col min="3333" max="3333" width="16" customWidth="1"/>
    <col min="3335" max="3335" width="14.1640625" customWidth="1"/>
    <col min="3336" max="3336" width="13.83203125" bestFit="1" customWidth="1"/>
    <col min="3337" max="3337" width="6.6640625" customWidth="1"/>
    <col min="3338" max="3338" width="12.83203125" bestFit="1" customWidth="1"/>
    <col min="3585" max="3585" width="27.5" customWidth="1"/>
    <col min="3586" max="3586" width="22" customWidth="1"/>
    <col min="3587" max="3587" width="16" customWidth="1"/>
    <col min="3588" max="3588" width="15.83203125" customWidth="1"/>
    <col min="3589" max="3589" width="16" customWidth="1"/>
    <col min="3591" max="3591" width="14.1640625" customWidth="1"/>
    <col min="3592" max="3592" width="13.83203125" bestFit="1" customWidth="1"/>
    <col min="3593" max="3593" width="6.6640625" customWidth="1"/>
    <col min="3594" max="3594" width="12.83203125" bestFit="1" customWidth="1"/>
    <col min="3841" max="3841" width="27.5" customWidth="1"/>
    <col min="3842" max="3842" width="22" customWidth="1"/>
    <col min="3843" max="3843" width="16" customWidth="1"/>
    <col min="3844" max="3844" width="15.83203125" customWidth="1"/>
    <col min="3845" max="3845" width="16" customWidth="1"/>
    <col min="3847" max="3847" width="14.1640625" customWidth="1"/>
    <col min="3848" max="3848" width="13.83203125" bestFit="1" customWidth="1"/>
    <col min="3849" max="3849" width="6.6640625" customWidth="1"/>
    <col min="3850" max="3850" width="12.83203125" bestFit="1" customWidth="1"/>
    <col min="4097" max="4097" width="27.5" customWidth="1"/>
    <col min="4098" max="4098" width="22" customWidth="1"/>
    <col min="4099" max="4099" width="16" customWidth="1"/>
    <col min="4100" max="4100" width="15.83203125" customWidth="1"/>
    <col min="4101" max="4101" width="16" customWidth="1"/>
    <col min="4103" max="4103" width="14.1640625" customWidth="1"/>
    <col min="4104" max="4104" width="13.83203125" bestFit="1" customWidth="1"/>
    <col min="4105" max="4105" width="6.6640625" customWidth="1"/>
    <col min="4106" max="4106" width="12.83203125" bestFit="1" customWidth="1"/>
    <col min="4353" max="4353" width="27.5" customWidth="1"/>
    <col min="4354" max="4354" width="22" customWidth="1"/>
    <col min="4355" max="4355" width="16" customWidth="1"/>
    <col min="4356" max="4356" width="15.83203125" customWidth="1"/>
    <col min="4357" max="4357" width="16" customWidth="1"/>
    <col min="4359" max="4359" width="14.1640625" customWidth="1"/>
    <col min="4360" max="4360" width="13.83203125" bestFit="1" customWidth="1"/>
    <col min="4361" max="4361" width="6.6640625" customWidth="1"/>
    <col min="4362" max="4362" width="12.83203125" bestFit="1" customWidth="1"/>
    <col min="4609" max="4609" width="27.5" customWidth="1"/>
    <col min="4610" max="4610" width="22" customWidth="1"/>
    <col min="4611" max="4611" width="16" customWidth="1"/>
    <col min="4612" max="4612" width="15.83203125" customWidth="1"/>
    <col min="4613" max="4613" width="16" customWidth="1"/>
    <col min="4615" max="4615" width="14.1640625" customWidth="1"/>
    <col min="4616" max="4616" width="13.83203125" bestFit="1" customWidth="1"/>
    <col min="4617" max="4617" width="6.6640625" customWidth="1"/>
    <col min="4618" max="4618" width="12.83203125" bestFit="1" customWidth="1"/>
    <col min="4865" max="4865" width="27.5" customWidth="1"/>
    <col min="4866" max="4866" width="22" customWidth="1"/>
    <col min="4867" max="4867" width="16" customWidth="1"/>
    <col min="4868" max="4868" width="15.83203125" customWidth="1"/>
    <col min="4869" max="4869" width="16" customWidth="1"/>
    <col min="4871" max="4871" width="14.1640625" customWidth="1"/>
    <col min="4872" max="4872" width="13.83203125" bestFit="1" customWidth="1"/>
    <col min="4873" max="4873" width="6.6640625" customWidth="1"/>
    <col min="4874" max="4874" width="12.83203125" bestFit="1" customWidth="1"/>
    <col min="5121" max="5121" width="27.5" customWidth="1"/>
    <col min="5122" max="5122" width="22" customWidth="1"/>
    <col min="5123" max="5123" width="16" customWidth="1"/>
    <col min="5124" max="5124" width="15.83203125" customWidth="1"/>
    <col min="5125" max="5125" width="16" customWidth="1"/>
    <col min="5127" max="5127" width="14.1640625" customWidth="1"/>
    <col min="5128" max="5128" width="13.83203125" bestFit="1" customWidth="1"/>
    <col min="5129" max="5129" width="6.6640625" customWidth="1"/>
    <col min="5130" max="5130" width="12.83203125" bestFit="1" customWidth="1"/>
    <col min="5377" max="5377" width="27.5" customWidth="1"/>
    <col min="5378" max="5378" width="22" customWidth="1"/>
    <col min="5379" max="5379" width="16" customWidth="1"/>
    <col min="5380" max="5380" width="15.83203125" customWidth="1"/>
    <col min="5381" max="5381" width="16" customWidth="1"/>
    <col min="5383" max="5383" width="14.1640625" customWidth="1"/>
    <col min="5384" max="5384" width="13.83203125" bestFit="1" customWidth="1"/>
    <col min="5385" max="5385" width="6.6640625" customWidth="1"/>
    <col min="5386" max="5386" width="12.83203125" bestFit="1" customWidth="1"/>
    <col min="5633" max="5633" width="27.5" customWidth="1"/>
    <col min="5634" max="5634" width="22" customWidth="1"/>
    <col min="5635" max="5635" width="16" customWidth="1"/>
    <col min="5636" max="5636" width="15.83203125" customWidth="1"/>
    <col min="5637" max="5637" width="16" customWidth="1"/>
    <col min="5639" max="5639" width="14.1640625" customWidth="1"/>
    <col min="5640" max="5640" width="13.83203125" bestFit="1" customWidth="1"/>
    <col min="5641" max="5641" width="6.6640625" customWidth="1"/>
    <col min="5642" max="5642" width="12.83203125" bestFit="1" customWidth="1"/>
    <col min="5889" max="5889" width="27.5" customWidth="1"/>
    <col min="5890" max="5890" width="22" customWidth="1"/>
    <col min="5891" max="5891" width="16" customWidth="1"/>
    <col min="5892" max="5892" width="15.83203125" customWidth="1"/>
    <col min="5893" max="5893" width="16" customWidth="1"/>
    <col min="5895" max="5895" width="14.1640625" customWidth="1"/>
    <col min="5896" max="5896" width="13.83203125" bestFit="1" customWidth="1"/>
    <col min="5897" max="5897" width="6.6640625" customWidth="1"/>
    <col min="5898" max="5898" width="12.83203125" bestFit="1" customWidth="1"/>
    <col min="6145" max="6145" width="27.5" customWidth="1"/>
    <col min="6146" max="6146" width="22" customWidth="1"/>
    <col min="6147" max="6147" width="16" customWidth="1"/>
    <col min="6148" max="6148" width="15.83203125" customWidth="1"/>
    <col min="6149" max="6149" width="16" customWidth="1"/>
    <col min="6151" max="6151" width="14.1640625" customWidth="1"/>
    <col min="6152" max="6152" width="13.83203125" bestFit="1" customWidth="1"/>
    <col min="6153" max="6153" width="6.6640625" customWidth="1"/>
    <col min="6154" max="6154" width="12.83203125" bestFit="1" customWidth="1"/>
    <col min="6401" max="6401" width="27.5" customWidth="1"/>
    <col min="6402" max="6402" width="22" customWidth="1"/>
    <col min="6403" max="6403" width="16" customWidth="1"/>
    <col min="6404" max="6404" width="15.83203125" customWidth="1"/>
    <col min="6405" max="6405" width="16" customWidth="1"/>
    <col min="6407" max="6407" width="14.1640625" customWidth="1"/>
    <col min="6408" max="6408" width="13.83203125" bestFit="1" customWidth="1"/>
    <col min="6409" max="6409" width="6.6640625" customWidth="1"/>
    <col min="6410" max="6410" width="12.83203125" bestFit="1" customWidth="1"/>
    <col min="6657" max="6657" width="27.5" customWidth="1"/>
    <col min="6658" max="6658" width="22" customWidth="1"/>
    <col min="6659" max="6659" width="16" customWidth="1"/>
    <col min="6660" max="6660" width="15.83203125" customWidth="1"/>
    <col min="6661" max="6661" width="16" customWidth="1"/>
    <col min="6663" max="6663" width="14.1640625" customWidth="1"/>
    <col min="6664" max="6664" width="13.83203125" bestFit="1" customWidth="1"/>
    <col min="6665" max="6665" width="6.6640625" customWidth="1"/>
    <col min="6666" max="6666" width="12.83203125" bestFit="1" customWidth="1"/>
    <col min="6913" max="6913" width="27.5" customWidth="1"/>
    <col min="6914" max="6914" width="22" customWidth="1"/>
    <col min="6915" max="6915" width="16" customWidth="1"/>
    <col min="6916" max="6916" width="15.83203125" customWidth="1"/>
    <col min="6917" max="6917" width="16" customWidth="1"/>
    <col min="6919" max="6919" width="14.1640625" customWidth="1"/>
    <col min="6920" max="6920" width="13.83203125" bestFit="1" customWidth="1"/>
    <col min="6921" max="6921" width="6.6640625" customWidth="1"/>
    <col min="6922" max="6922" width="12.83203125" bestFit="1" customWidth="1"/>
    <col min="7169" max="7169" width="27.5" customWidth="1"/>
    <col min="7170" max="7170" width="22" customWidth="1"/>
    <col min="7171" max="7171" width="16" customWidth="1"/>
    <col min="7172" max="7172" width="15.83203125" customWidth="1"/>
    <col min="7173" max="7173" width="16" customWidth="1"/>
    <col min="7175" max="7175" width="14.1640625" customWidth="1"/>
    <col min="7176" max="7176" width="13.83203125" bestFit="1" customWidth="1"/>
    <col min="7177" max="7177" width="6.6640625" customWidth="1"/>
    <col min="7178" max="7178" width="12.83203125" bestFit="1" customWidth="1"/>
    <col min="7425" max="7425" width="27.5" customWidth="1"/>
    <col min="7426" max="7426" width="22" customWidth="1"/>
    <col min="7427" max="7427" width="16" customWidth="1"/>
    <col min="7428" max="7428" width="15.83203125" customWidth="1"/>
    <col min="7429" max="7429" width="16" customWidth="1"/>
    <col min="7431" max="7431" width="14.1640625" customWidth="1"/>
    <col min="7432" max="7432" width="13.83203125" bestFit="1" customWidth="1"/>
    <col min="7433" max="7433" width="6.6640625" customWidth="1"/>
    <col min="7434" max="7434" width="12.83203125" bestFit="1" customWidth="1"/>
    <col min="7681" max="7681" width="27.5" customWidth="1"/>
    <col min="7682" max="7682" width="22" customWidth="1"/>
    <col min="7683" max="7683" width="16" customWidth="1"/>
    <col min="7684" max="7684" width="15.83203125" customWidth="1"/>
    <col min="7685" max="7685" width="16" customWidth="1"/>
    <col min="7687" max="7687" width="14.1640625" customWidth="1"/>
    <col min="7688" max="7688" width="13.83203125" bestFit="1" customWidth="1"/>
    <col min="7689" max="7689" width="6.6640625" customWidth="1"/>
    <col min="7690" max="7690" width="12.83203125" bestFit="1" customWidth="1"/>
    <col min="7937" max="7937" width="27.5" customWidth="1"/>
    <col min="7938" max="7938" width="22" customWidth="1"/>
    <col min="7939" max="7939" width="16" customWidth="1"/>
    <col min="7940" max="7940" width="15.83203125" customWidth="1"/>
    <col min="7941" max="7941" width="16" customWidth="1"/>
    <col min="7943" max="7943" width="14.1640625" customWidth="1"/>
    <col min="7944" max="7944" width="13.83203125" bestFit="1" customWidth="1"/>
    <col min="7945" max="7945" width="6.6640625" customWidth="1"/>
    <col min="7946" max="7946" width="12.83203125" bestFit="1" customWidth="1"/>
    <col min="8193" max="8193" width="27.5" customWidth="1"/>
    <col min="8194" max="8194" width="22" customWidth="1"/>
    <col min="8195" max="8195" width="16" customWidth="1"/>
    <col min="8196" max="8196" width="15.83203125" customWidth="1"/>
    <col min="8197" max="8197" width="16" customWidth="1"/>
    <col min="8199" max="8199" width="14.1640625" customWidth="1"/>
    <col min="8200" max="8200" width="13.83203125" bestFit="1" customWidth="1"/>
    <col min="8201" max="8201" width="6.6640625" customWidth="1"/>
    <col min="8202" max="8202" width="12.83203125" bestFit="1" customWidth="1"/>
    <col min="8449" max="8449" width="27.5" customWidth="1"/>
    <col min="8450" max="8450" width="22" customWidth="1"/>
    <col min="8451" max="8451" width="16" customWidth="1"/>
    <col min="8452" max="8452" width="15.83203125" customWidth="1"/>
    <col min="8453" max="8453" width="16" customWidth="1"/>
    <col min="8455" max="8455" width="14.1640625" customWidth="1"/>
    <col min="8456" max="8456" width="13.83203125" bestFit="1" customWidth="1"/>
    <col min="8457" max="8457" width="6.6640625" customWidth="1"/>
    <col min="8458" max="8458" width="12.83203125" bestFit="1" customWidth="1"/>
    <col min="8705" max="8705" width="27.5" customWidth="1"/>
    <col min="8706" max="8706" width="22" customWidth="1"/>
    <col min="8707" max="8707" width="16" customWidth="1"/>
    <col min="8708" max="8708" width="15.83203125" customWidth="1"/>
    <col min="8709" max="8709" width="16" customWidth="1"/>
    <col min="8711" max="8711" width="14.1640625" customWidth="1"/>
    <col min="8712" max="8712" width="13.83203125" bestFit="1" customWidth="1"/>
    <col min="8713" max="8713" width="6.6640625" customWidth="1"/>
    <col min="8714" max="8714" width="12.83203125" bestFit="1" customWidth="1"/>
    <col min="8961" max="8961" width="27.5" customWidth="1"/>
    <col min="8962" max="8962" width="22" customWidth="1"/>
    <col min="8963" max="8963" width="16" customWidth="1"/>
    <col min="8964" max="8964" width="15.83203125" customWidth="1"/>
    <col min="8965" max="8965" width="16" customWidth="1"/>
    <col min="8967" max="8967" width="14.1640625" customWidth="1"/>
    <col min="8968" max="8968" width="13.83203125" bestFit="1" customWidth="1"/>
    <col min="8969" max="8969" width="6.6640625" customWidth="1"/>
    <col min="8970" max="8970" width="12.83203125" bestFit="1" customWidth="1"/>
    <col min="9217" max="9217" width="27.5" customWidth="1"/>
    <col min="9218" max="9218" width="22" customWidth="1"/>
    <col min="9219" max="9219" width="16" customWidth="1"/>
    <col min="9220" max="9220" width="15.83203125" customWidth="1"/>
    <col min="9221" max="9221" width="16" customWidth="1"/>
    <col min="9223" max="9223" width="14.1640625" customWidth="1"/>
    <col min="9224" max="9224" width="13.83203125" bestFit="1" customWidth="1"/>
    <col min="9225" max="9225" width="6.6640625" customWidth="1"/>
    <col min="9226" max="9226" width="12.83203125" bestFit="1" customWidth="1"/>
    <col min="9473" max="9473" width="27.5" customWidth="1"/>
    <col min="9474" max="9474" width="22" customWidth="1"/>
    <col min="9475" max="9475" width="16" customWidth="1"/>
    <col min="9476" max="9476" width="15.83203125" customWidth="1"/>
    <col min="9477" max="9477" width="16" customWidth="1"/>
    <col min="9479" max="9479" width="14.1640625" customWidth="1"/>
    <col min="9480" max="9480" width="13.83203125" bestFit="1" customWidth="1"/>
    <col min="9481" max="9481" width="6.6640625" customWidth="1"/>
    <col min="9482" max="9482" width="12.83203125" bestFit="1" customWidth="1"/>
    <col min="9729" max="9729" width="27.5" customWidth="1"/>
    <col min="9730" max="9730" width="22" customWidth="1"/>
    <col min="9731" max="9731" width="16" customWidth="1"/>
    <col min="9732" max="9732" width="15.83203125" customWidth="1"/>
    <col min="9733" max="9733" width="16" customWidth="1"/>
    <col min="9735" max="9735" width="14.1640625" customWidth="1"/>
    <col min="9736" max="9736" width="13.83203125" bestFit="1" customWidth="1"/>
    <col min="9737" max="9737" width="6.6640625" customWidth="1"/>
    <col min="9738" max="9738" width="12.83203125" bestFit="1" customWidth="1"/>
    <col min="9985" max="9985" width="27.5" customWidth="1"/>
    <col min="9986" max="9986" width="22" customWidth="1"/>
    <col min="9987" max="9987" width="16" customWidth="1"/>
    <col min="9988" max="9988" width="15.83203125" customWidth="1"/>
    <col min="9989" max="9989" width="16" customWidth="1"/>
    <col min="9991" max="9991" width="14.1640625" customWidth="1"/>
    <col min="9992" max="9992" width="13.83203125" bestFit="1" customWidth="1"/>
    <col min="9993" max="9993" width="6.6640625" customWidth="1"/>
    <col min="9994" max="9994" width="12.83203125" bestFit="1" customWidth="1"/>
    <col min="10241" max="10241" width="27.5" customWidth="1"/>
    <col min="10242" max="10242" width="22" customWidth="1"/>
    <col min="10243" max="10243" width="16" customWidth="1"/>
    <col min="10244" max="10244" width="15.83203125" customWidth="1"/>
    <col min="10245" max="10245" width="16" customWidth="1"/>
    <col min="10247" max="10247" width="14.1640625" customWidth="1"/>
    <col min="10248" max="10248" width="13.83203125" bestFit="1" customWidth="1"/>
    <col min="10249" max="10249" width="6.6640625" customWidth="1"/>
    <col min="10250" max="10250" width="12.83203125" bestFit="1" customWidth="1"/>
    <col min="10497" max="10497" width="27.5" customWidth="1"/>
    <col min="10498" max="10498" width="22" customWidth="1"/>
    <col min="10499" max="10499" width="16" customWidth="1"/>
    <col min="10500" max="10500" width="15.83203125" customWidth="1"/>
    <col min="10501" max="10501" width="16" customWidth="1"/>
    <col min="10503" max="10503" width="14.1640625" customWidth="1"/>
    <col min="10504" max="10504" width="13.83203125" bestFit="1" customWidth="1"/>
    <col min="10505" max="10505" width="6.6640625" customWidth="1"/>
    <col min="10506" max="10506" width="12.83203125" bestFit="1" customWidth="1"/>
    <col min="10753" max="10753" width="27.5" customWidth="1"/>
    <col min="10754" max="10754" width="22" customWidth="1"/>
    <col min="10755" max="10755" width="16" customWidth="1"/>
    <col min="10756" max="10756" width="15.83203125" customWidth="1"/>
    <col min="10757" max="10757" width="16" customWidth="1"/>
    <col min="10759" max="10759" width="14.1640625" customWidth="1"/>
    <col min="10760" max="10760" width="13.83203125" bestFit="1" customWidth="1"/>
    <col min="10761" max="10761" width="6.6640625" customWidth="1"/>
    <col min="10762" max="10762" width="12.83203125" bestFit="1" customWidth="1"/>
    <col min="11009" max="11009" width="27.5" customWidth="1"/>
    <col min="11010" max="11010" width="22" customWidth="1"/>
    <col min="11011" max="11011" width="16" customWidth="1"/>
    <col min="11012" max="11012" width="15.83203125" customWidth="1"/>
    <col min="11013" max="11013" width="16" customWidth="1"/>
    <col min="11015" max="11015" width="14.1640625" customWidth="1"/>
    <col min="11016" max="11016" width="13.83203125" bestFit="1" customWidth="1"/>
    <col min="11017" max="11017" width="6.6640625" customWidth="1"/>
    <col min="11018" max="11018" width="12.83203125" bestFit="1" customWidth="1"/>
    <col min="11265" max="11265" width="27.5" customWidth="1"/>
    <col min="11266" max="11266" width="22" customWidth="1"/>
    <col min="11267" max="11267" width="16" customWidth="1"/>
    <col min="11268" max="11268" width="15.83203125" customWidth="1"/>
    <col min="11269" max="11269" width="16" customWidth="1"/>
    <col min="11271" max="11271" width="14.1640625" customWidth="1"/>
    <col min="11272" max="11272" width="13.83203125" bestFit="1" customWidth="1"/>
    <col min="11273" max="11273" width="6.6640625" customWidth="1"/>
    <col min="11274" max="11274" width="12.83203125" bestFit="1" customWidth="1"/>
    <col min="11521" max="11521" width="27.5" customWidth="1"/>
    <col min="11522" max="11522" width="22" customWidth="1"/>
    <col min="11523" max="11523" width="16" customWidth="1"/>
    <col min="11524" max="11524" width="15.83203125" customWidth="1"/>
    <col min="11525" max="11525" width="16" customWidth="1"/>
    <col min="11527" max="11527" width="14.1640625" customWidth="1"/>
    <col min="11528" max="11528" width="13.83203125" bestFit="1" customWidth="1"/>
    <col min="11529" max="11529" width="6.6640625" customWidth="1"/>
    <col min="11530" max="11530" width="12.83203125" bestFit="1" customWidth="1"/>
    <col min="11777" max="11777" width="27.5" customWidth="1"/>
    <col min="11778" max="11778" width="22" customWidth="1"/>
    <col min="11779" max="11779" width="16" customWidth="1"/>
    <col min="11780" max="11780" width="15.83203125" customWidth="1"/>
    <col min="11781" max="11781" width="16" customWidth="1"/>
    <col min="11783" max="11783" width="14.1640625" customWidth="1"/>
    <col min="11784" max="11784" width="13.83203125" bestFit="1" customWidth="1"/>
    <col min="11785" max="11785" width="6.6640625" customWidth="1"/>
    <col min="11786" max="11786" width="12.83203125" bestFit="1" customWidth="1"/>
    <col min="12033" max="12033" width="27.5" customWidth="1"/>
    <col min="12034" max="12034" width="22" customWidth="1"/>
    <col min="12035" max="12035" width="16" customWidth="1"/>
    <col min="12036" max="12036" width="15.83203125" customWidth="1"/>
    <col min="12037" max="12037" width="16" customWidth="1"/>
    <col min="12039" max="12039" width="14.1640625" customWidth="1"/>
    <col min="12040" max="12040" width="13.83203125" bestFit="1" customWidth="1"/>
    <col min="12041" max="12041" width="6.6640625" customWidth="1"/>
    <col min="12042" max="12042" width="12.83203125" bestFit="1" customWidth="1"/>
    <col min="12289" max="12289" width="27.5" customWidth="1"/>
    <col min="12290" max="12290" width="22" customWidth="1"/>
    <col min="12291" max="12291" width="16" customWidth="1"/>
    <col min="12292" max="12292" width="15.83203125" customWidth="1"/>
    <col min="12293" max="12293" width="16" customWidth="1"/>
    <col min="12295" max="12295" width="14.1640625" customWidth="1"/>
    <col min="12296" max="12296" width="13.83203125" bestFit="1" customWidth="1"/>
    <col min="12297" max="12297" width="6.6640625" customWidth="1"/>
    <col min="12298" max="12298" width="12.83203125" bestFit="1" customWidth="1"/>
    <col min="12545" max="12545" width="27.5" customWidth="1"/>
    <col min="12546" max="12546" width="22" customWidth="1"/>
    <col min="12547" max="12547" width="16" customWidth="1"/>
    <col min="12548" max="12548" width="15.83203125" customWidth="1"/>
    <col min="12549" max="12549" width="16" customWidth="1"/>
    <col min="12551" max="12551" width="14.1640625" customWidth="1"/>
    <col min="12552" max="12552" width="13.83203125" bestFit="1" customWidth="1"/>
    <col min="12553" max="12553" width="6.6640625" customWidth="1"/>
    <col min="12554" max="12554" width="12.83203125" bestFit="1" customWidth="1"/>
    <col min="12801" max="12801" width="27.5" customWidth="1"/>
    <col min="12802" max="12802" width="22" customWidth="1"/>
    <col min="12803" max="12803" width="16" customWidth="1"/>
    <col min="12804" max="12804" width="15.83203125" customWidth="1"/>
    <col min="12805" max="12805" width="16" customWidth="1"/>
    <col min="12807" max="12807" width="14.1640625" customWidth="1"/>
    <col min="12808" max="12808" width="13.83203125" bestFit="1" customWidth="1"/>
    <col min="12809" max="12809" width="6.6640625" customWidth="1"/>
    <col min="12810" max="12810" width="12.83203125" bestFit="1" customWidth="1"/>
    <col min="13057" max="13057" width="27.5" customWidth="1"/>
    <col min="13058" max="13058" width="22" customWidth="1"/>
    <col min="13059" max="13059" width="16" customWidth="1"/>
    <col min="13060" max="13060" width="15.83203125" customWidth="1"/>
    <col min="13061" max="13061" width="16" customWidth="1"/>
    <col min="13063" max="13063" width="14.1640625" customWidth="1"/>
    <col min="13064" max="13064" width="13.83203125" bestFit="1" customWidth="1"/>
    <col min="13065" max="13065" width="6.6640625" customWidth="1"/>
    <col min="13066" max="13066" width="12.83203125" bestFit="1" customWidth="1"/>
    <col min="13313" max="13313" width="27.5" customWidth="1"/>
    <col min="13314" max="13314" width="22" customWidth="1"/>
    <col min="13315" max="13315" width="16" customWidth="1"/>
    <col min="13316" max="13316" width="15.83203125" customWidth="1"/>
    <col min="13317" max="13317" width="16" customWidth="1"/>
    <col min="13319" max="13319" width="14.1640625" customWidth="1"/>
    <col min="13320" max="13320" width="13.83203125" bestFit="1" customWidth="1"/>
    <col min="13321" max="13321" width="6.6640625" customWidth="1"/>
    <col min="13322" max="13322" width="12.83203125" bestFit="1" customWidth="1"/>
    <col min="13569" max="13569" width="27.5" customWidth="1"/>
    <col min="13570" max="13570" width="22" customWidth="1"/>
    <col min="13571" max="13571" width="16" customWidth="1"/>
    <col min="13572" max="13572" width="15.83203125" customWidth="1"/>
    <col min="13573" max="13573" width="16" customWidth="1"/>
    <col min="13575" max="13575" width="14.1640625" customWidth="1"/>
    <col min="13576" max="13576" width="13.83203125" bestFit="1" customWidth="1"/>
    <col min="13577" max="13577" width="6.6640625" customWidth="1"/>
    <col min="13578" max="13578" width="12.83203125" bestFit="1" customWidth="1"/>
    <col min="13825" max="13825" width="27.5" customWidth="1"/>
    <col min="13826" max="13826" width="22" customWidth="1"/>
    <col min="13827" max="13827" width="16" customWidth="1"/>
    <col min="13828" max="13828" width="15.83203125" customWidth="1"/>
    <col min="13829" max="13829" width="16" customWidth="1"/>
    <col min="13831" max="13831" width="14.1640625" customWidth="1"/>
    <col min="13832" max="13832" width="13.83203125" bestFit="1" customWidth="1"/>
    <col min="13833" max="13833" width="6.6640625" customWidth="1"/>
    <col min="13834" max="13834" width="12.83203125" bestFit="1" customWidth="1"/>
    <col min="14081" max="14081" width="27.5" customWidth="1"/>
    <col min="14082" max="14082" width="22" customWidth="1"/>
    <col min="14083" max="14083" width="16" customWidth="1"/>
    <col min="14084" max="14084" width="15.83203125" customWidth="1"/>
    <col min="14085" max="14085" width="16" customWidth="1"/>
    <col min="14087" max="14087" width="14.1640625" customWidth="1"/>
    <col min="14088" max="14088" width="13.83203125" bestFit="1" customWidth="1"/>
    <col min="14089" max="14089" width="6.6640625" customWidth="1"/>
    <col min="14090" max="14090" width="12.83203125" bestFit="1" customWidth="1"/>
    <col min="14337" max="14337" width="27.5" customWidth="1"/>
    <col min="14338" max="14338" width="22" customWidth="1"/>
    <col min="14339" max="14339" width="16" customWidth="1"/>
    <col min="14340" max="14340" width="15.83203125" customWidth="1"/>
    <col min="14341" max="14341" width="16" customWidth="1"/>
    <col min="14343" max="14343" width="14.1640625" customWidth="1"/>
    <col min="14344" max="14344" width="13.83203125" bestFit="1" customWidth="1"/>
    <col min="14345" max="14345" width="6.6640625" customWidth="1"/>
    <col min="14346" max="14346" width="12.83203125" bestFit="1" customWidth="1"/>
    <col min="14593" max="14593" width="27.5" customWidth="1"/>
    <col min="14594" max="14594" width="22" customWidth="1"/>
    <col min="14595" max="14595" width="16" customWidth="1"/>
    <col min="14596" max="14596" width="15.83203125" customWidth="1"/>
    <col min="14597" max="14597" width="16" customWidth="1"/>
    <col min="14599" max="14599" width="14.1640625" customWidth="1"/>
    <col min="14600" max="14600" width="13.83203125" bestFit="1" customWidth="1"/>
    <col min="14601" max="14601" width="6.6640625" customWidth="1"/>
    <col min="14602" max="14602" width="12.83203125" bestFit="1" customWidth="1"/>
    <col min="14849" max="14849" width="27.5" customWidth="1"/>
    <col min="14850" max="14850" width="22" customWidth="1"/>
    <col min="14851" max="14851" width="16" customWidth="1"/>
    <col min="14852" max="14852" width="15.83203125" customWidth="1"/>
    <col min="14853" max="14853" width="16" customWidth="1"/>
    <col min="14855" max="14855" width="14.1640625" customWidth="1"/>
    <col min="14856" max="14856" width="13.83203125" bestFit="1" customWidth="1"/>
    <col min="14857" max="14857" width="6.6640625" customWidth="1"/>
    <col min="14858" max="14858" width="12.83203125" bestFit="1" customWidth="1"/>
    <col min="15105" max="15105" width="27.5" customWidth="1"/>
    <col min="15106" max="15106" width="22" customWidth="1"/>
    <col min="15107" max="15107" width="16" customWidth="1"/>
    <col min="15108" max="15108" width="15.83203125" customWidth="1"/>
    <col min="15109" max="15109" width="16" customWidth="1"/>
    <col min="15111" max="15111" width="14.1640625" customWidth="1"/>
    <col min="15112" max="15112" width="13.83203125" bestFit="1" customWidth="1"/>
    <col min="15113" max="15113" width="6.6640625" customWidth="1"/>
    <col min="15114" max="15114" width="12.83203125" bestFit="1" customWidth="1"/>
    <col min="15361" max="15361" width="27.5" customWidth="1"/>
    <col min="15362" max="15362" width="22" customWidth="1"/>
    <col min="15363" max="15363" width="16" customWidth="1"/>
    <col min="15364" max="15364" width="15.83203125" customWidth="1"/>
    <col min="15365" max="15365" width="16" customWidth="1"/>
    <col min="15367" max="15367" width="14.1640625" customWidth="1"/>
    <col min="15368" max="15368" width="13.83203125" bestFit="1" customWidth="1"/>
    <col min="15369" max="15369" width="6.6640625" customWidth="1"/>
    <col min="15370" max="15370" width="12.83203125" bestFit="1" customWidth="1"/>
    <col min="15617" max="15617" width="27.5" customWidth="1"/>
    <col min="15618" max="15618" width="22" customWidth="1"/>
    <col min="15619" max="15619" width="16" customWidth="1"/>
    <col min="15620" max="15620" width="15.83203125" customWidth="1"/>
    <col min="15621" max="15621" width="16" customWidth="1"/>
    <col min="15623" max="15623" width="14.1640625" customWidth="1"/>
    <col min="15624" max="15624" width="13.83203125" bestFit="1" customWidth="1"/>
    <col min="15625" max="15625" width="6.6640625" customWidth="1"/>
    <col min="15626" max="15626" width="12.83203125" bestFit="1" customWidth="1"/>
    <col min="15873" max="15873" width="27.5" customWidth="1"/>
    <col min="15874" max="15874" width="22" customWidth="1"/>
    <col min="15875" max="15875" width="16" customWidth="1"/>
    <col min="15876" max="15876" width="15.83203125" customWidth="1"/>
    <col min="15877" max="15877" width="16" customWidth="1"/>
    <col min="15879" max="15879" width="14.1640625" customWidth="1"/>
    <col min="15880" max="15880" width="13.83203125" bestFit="1" customWidth="1"/>
    <col min="15881" max="15881" width="6.6640625" customWidth="1"/>
    <col min="15882" max="15882" width="12.83203125" bestFit="1" customWidth="1"/>
    <col min="16129" max="16129" width="27.5" customWidth="1"/>
    <col min="16130" max="16130" width="22" customWidth="1"/>
    <col min="16131" max="16131" width="16" customWidth="1"/>
    <col min="16132" max="16132" width="15.83203125" customWidth="1"/>
    <col min="16133" max="16133" width="16" customWidth="1"/>
    <col min="16135" max="16135" width="14.1640625" customWidth="1"/>
    <col min="16136" max="16136" width="13.83203125" bestFit="1" customWidth="1"/>
    <col min="16137" max="16137" width="6.6640625" customWidth="1"/>
    <col min="16138" max="16138" width="12.83203125" bestFit="1" customWidth="1"/>
  </cols>
  <sheetData>
    <row r="1" spans="1:11" ht="16">
      <c r="A1" s="594" t="s">
        <v>655</v>
      </c>
      <c r="B1" s="594"/>
      <c r="C1" s="594"/>
      <c r="D1" s="594"/>
      <c r="E1" s="594"/>
      <c r="F1" s="594"/>
    </row>
    <row r="2" spans="1:11" ht="16">
      <c r="A2" s="594" t="s">
        <v>1609</v>
      </c>
      <c r="B2" s="594"/>
      <c r="C2" s="594"/>
      <c r="D2" s="594"/>
      <c r="E2" s="594"/>
      <c r="F2" s="594"/>
    </row>
    <row r="3" spans="1:11" ht="16">
      <c r="A3" s="594" t="s">
        <v>656</v>
      </c>
      <c r="B3" s="594"/>
      <c r="C3" s="594"/>
      <c r="D3" s="594"/>
      <c r="E3" s="594"/>
      <c r="F3" s="594"/>
    </row>
    <row r="6" spans="1:11">
      <c r="A6" s="378" t="s">
        <v>657</v>
      </c>
    </row>
    <row r="7" spans="1:11" ht="16" thickBot="1">
      <c r="C7" s="379" t="s">
        <v>658</v>
      </c>
      <c r="D7" s="380">
        <v>4.2023000000000001</v>
      </c>
      <c r="E7" s="381"/>
    </row>
    <row r="8" spans="1:11" s="378" customFormat="1" ht="13">
      <c r="A8" s="382"/>
      <c r="B8" s="383"/>
      <c r="C8" s="384"/>
      <c r="D8" s="383"/>
      <c r="E8" s="385" t="s">
        <v>659</v>
      </c>
      <c r="G8" s="452"/>
      <c r="H8" s="452"/>
      <c r="I8" s="452"/>
      <c r="J8" s="452"/>
    </row>
    <row r="9" spans="1:11" s="378" customFormat="1" ht="14" thickBot="1">
      <c r="A9" s="386" t="s">
        <v>660</v>
      </c>
      <c r="B9" s="387" t="s">
        <v>661</v>
      </c>
      <c r="C9" s="388" t="s">
        <v>662</v>
      </c>
      <c r="D9" s="388" t="s">
        <v>663</v>
      </c>
      <c r="E9" s="389" t="s">
        <v>664</v>
      </c>
      <c r="G9" s="452"/>
      <c r="H9" s="452"/>
      <c r="I9" s="452"/>
      <c r="J9" s="452"/>
    </row>
    <row r="10" spans="1:11" s="378" customFormat="1" ht="13">
      <c r="A10" s="390"/>
      <c r="B10" s="391"/>
      <c r="C10" s="392"/>
      <c r="D10" s="392"/>
      <c r="E10" s="393"/>
      <c r="G10" s="452"/>
      <c r="H10" s="452"/>
      <c r="I10" s="452"/>
      <c r="J10" s="452"/>
    </row>
    <row r="11" spans="1:11">
      <c r="A11" s="394" t="s">
        <v>665</v>
      </c>
      <c r="B11" s="395" t="s">
        <v>666</v>
      </c>
      <c r="C11" s="396" t="s">
        <v>667</v>
      </c>
      <c r="D11" s="397"/>
      <c r="E11" s="398" t="s">
        <v>667</v>
      </c>
      <c r="G11" s="453"/>
      <c r="H11" s="376"/>
      <c r="I11"/>
      <c r="J11" s="377"/>
      <c r="K11" s="377"/>
    </row>
    <row r="12" spans="1:11">
      <c r="A12" s="394"/>
      <c r="B12" s="399" t="s">
        <v>668</v>
      </c>
      <c r="C12" s="396">
        <v>46151.7</v>
      </c>
      <c r="D12" s="397" t="s">
        <v>667</v>
      </c>
      <c r="E12" s="398">
        <f>C12</f>
        <v>46151.7</v>
      </c>
      <c r="G12" s="453"/>
      <c r="H12" s="376"/>
      <c r="I12"/>
      <c r="J12" s="377"/>
      <c r="K12" s="377"/>
    </row>
    <row r="13" spans="1:11">
      <c r="A13" s="394"/>
      <c r="B13" s="399" t="s">
        <v>669</v>
      </c>
      <c r="C13" s="396">
        <v>88.5</v>
      </c>
      <c r="D13" s="400" t="s">
        <v>667</v>
      </c>
      <c r="E13" s="401">
        <f>C13</f>
        <v>88.5</v>
      </c>
      <c r="G13" s="453"/>
      <c r="H13" s="376"/>
      <c r="I13"/>
      <c r="J13" s="377"/>
      <c r="K13" s="377"/>
    </row>
    <row r="14" spans="1:11">
      <c r="A14" s="394"/>
      <c r="B14" s="399" t="s">
        <v>670</v>
      </c>
      <c r="C14" s="396" t="s">
        <v>667</v>
      </c>
      <c r="D14" s="400">
        <v>49651.6</v>
      </c>
      <c r="E14" s="401">
        <f>ROUND(D14/$D$7,0)</f>
        <v>11815</v>
      </c>
      <c r="G14" s="453"/>
      <c r="H14" s="376"/>
      <c r="I14"/>
      <c r="J14" s="377"/>
      <c r="K14" s="377"/>
    </row>
    <row r="15" spans="1:11">
      <c r="A15" s="394" t="s">
        <v>671</v>
      </c>
      <c r="B15" s="399" t="s">
        <v>1421</v>
      </c>
      <c r="C15" s="396" t="s">
        <v>667</v>
      </c>
      <c r="D15" s="402" t="s">
        <v>667</v>
      </c>
      <c r="E15" s="403" t="s">
        <v>667</v>
      </c>
      <c r="G15" s="453"/>
      <c r="H15" s="376"/>
      <c r="I15"/>
      <c r="J15" s="377"/>
      <c r="K15" s="377"/>
    </row>
    <row r="16" spans="1:11">
      <c r="A16" s="394"/>
      <c r="B16" s="399" t="s">
        <v>672</v>
      </c>
      <c r="C16" s="400"/>
      <c r="D16" s="400">
        <v>14264.5</v>
      </c>
      <c r="E16" s="398">
        <f>ROUND(D16/$D$7,0)</f>
        <v>3394</v>
      </c>
      <c r="G16" s="453"/>
      <c r="H16" s="376"/>
      <c r="I16"/>
      <c r="J16" s="377"/>
      <c r="K16" s="377"/>
    </row>
    <row r="17" spans="1:11">
      <c r="A17" s="394"/>
      <c r="B17" s="399" t="s">
        <v>673</v>
      </c>
      <c r="C17" s="400"/>
      <c r="D17" s="400">
        <v>1714.9</v>
      </c>
      <c r="E17" s="398">
        <f>ROUND(D17/$D$7,0)</f>
        <v>408</v>
      </c>
      <c r="G17" s="453"/>
      <c r="H17" s="376"/>
      <c r="I17"/>
      <c r="J17" s="377"/>
      <c r="K17" s="377"/>
    </row>
    <row r="18" spans="1:11">
      <c r="A18" s="394"/>
      <c r="B18" s="399" t="s">
        <v>674</v>
      </c>
      <c r="C18" s="400"/>
      <c r="D18" s="400">
        <v>648.70000000000005</v>
      </c>
      <c r="E18" s="398">
        <f>ROUND(D18/$D$7,0)</f>
        <v>154</v>
      </c>
      <c r="G18" s="453"/>
      <c r="H18" s="376"/>
      <c r="I18"/>
      <c r="J18" s="377"/>
      <c r="K18" s="377"/>
    </row>
    <row r="19" spans="1:11">
      <c r="A19" s="394"/>
      <c r="B19" s="399" t="s">
        <v>675</v>
      </c>
      <c r="C19" s="396"/>
      <c r="D19" s="400">
        <v>525.6</v>
      </c>
      <c r="E19" s="398">
        <f>ROUND(D19/$D$7,0)</f>
        <v>125</v>
      </c>
      <c r="G19" s="453"/>
      <c r="H19" s="376"/>
      <c r="I19"/>
      <c r="J19" s="377"/>
      <c r="K19" s="377"/>
    </row>
    <row r="20" spans="1:11">
      <c r="A20" s="394"/>
      <c r="B20" s="399" t="s">
        <v>676</v>
      </c>
      <c r="C20" s="396"/>
      <c r="D20" s="400">
        <v>18198.099999999999</v>
      </c>
      <c r="E20" s="398">
        <f>ROUND(D20/$D$7,0)</f>
        <v>4331</v>
      </c>
      <c r="G20" s="453"/>
      <c r="H20" s="376"/>
      <c r="I20"/>
      <c r="J20" s="377"/>
      <c r="K20" s="377"/>
    </row>
    <row r="21" spans="1:11">
      <c r="A21" s="394"/>
      <c r="B21" s="399" t="s">
        <v>677</v>
      </c>
      <c r="C21" s="396">
        <v>861.1</v>
      </c>
      <c r="D21" s="400"/>
      <c r="E21" s="398">
        <f>C21</f>
        <v>861.1</v>
      </c>
      <c r="G21" s="453"/>
      <c r="H21" s="376"/>
      <c r="I21"/>
      <c r="J21" s="377"/>
      <c r="K21" s="377"/>
    </row>
    <row r="22" spans="1:11">
      <c r="A22" s="394"/>
      <c r="B22" s="399"/>
      <c r="C22" s="396"/>
      <c r="D22" s="400"/>
      <c r="E22" s="398"/>
      <c r="G22" s="453"/>
      <c r="H22" s="376"/>
      <c r="I22"/>
      <c r="J22" s="377"/>
      <c r="K22" s="377"/>
    </row>
    <row r="23" spans="1:11">
      <c r="A23" s="394"/>
      <c r="B23" s="395" t="s">
        <v>180</v>
      </c>
      <c r="C23" s="396"/>
      <c r="D23" s="400"/>
      <c r="E23" s="398"/>
      <c r="G23" s="453"/>
      <c r="H23" s="376"/>
      <c r="I23"/>
      <c r="J23" s="377"/>
      <c r="K23" s="377"/>
    </row>
    <row r="24" spans="1:11">
      <c r="A24" s="394"/>
      <c r="B24" s="399" t="s">
        <v>678</v>
      </c>
      <c r="C24" s="396">
        <f>3938.5</f>
        <v>3938.5</v>
      </c>
      <c r="D24" s="400"/>
      <c r="E24" s="398">
        <f>+C24</f>
        <v>3938.5</v>
      </c>
      <c r="G24" s="453"/>
      <c r="H24" s="376"/>
      <c r="I24"/>
      <c r="J24" s="377"/>
      <c r="K24" s="377"/>
    </row>
    <row r="25" spans="1:11">
      <c r="A25" s="394"/>
      <c r="B25" s="399"/>
      <c r="C25" s="396"/>
      <c r="D25" s="400"/>
      <c r="E25" s="398"/>
      <c r="G25" s="453"/>
      <c r="H25" s="376"/>
      <c r="I25"/>
      <c r="J25" s="377"/>
      <c r="K25" s="377"/>
    </row>
    <row r="26" spans="1:11">
      <c r="A26" s="394" t="s">
        <v>665</v>
      </c>
      <c r="B26" s="399" t="s">
        <v>683</v>
      </c>
      <c r="C26" s="396"/>
      <c r="D26" s="400"/>
      <c r="E26" s="398"/>
      <c r="G26" s="453"/>
      <c r="H26" s="376"/>
      <c r="I26"/>
      <c r="J26" s="377"/>
      <c r="K26" s="377"/>
    </row>
    <row r="27" spans="1:11">
      <c r="A27" s="394"/>
      <c r="B27" s="399" t="s">
        <v>684</v>
      </c>
      <c r="C27" s="396">
        <v>0</v>
      </c>
      <c r="D27" s="400"/>
      <c r="E27" s="398">
        <f>C27</f>
        <v>0</v>
      </c>
      <c r="G27" s="453"/>
      <c r="H27" s="376"/>
      <c r="I27"/>
      <c r="J27" s="377"/>
      <c r="K27" s="377"/>
    </row>
    <row r="28" spans="1:11">
      <c r="A28" s="404"/>
      <c r="B28" s="454" t="s">
        <v>667</v>
      </c>
      <c r="C28" s="405" t="s">
        <v>667</v>
      </c>
      <c r="D28" s="406"/>
      <c r="E28" s="455" t="s">
        <v>667</v>
      </c>
      <c r="G28" s="453"/>
      <c r="H28" s="376"/>
      <c r="I28"/>
      <c r="J28" s="377"/>
      <c r="K28" s="377"/>
    </row>
    <row r="29" spans="1:11">
      <c r="A29" s="394"/>
      <c r="B29" s="399"/>
      <c r="C29" s="396"/>
      <c r="D29" s="400" t="s">
        <v>667</v>
      </c>
      <c r="E29" s="398"/>
      <c r="G29" s="453"/>
      <c r="H29" s="376"/>
      <c r="I29"/>
      <c r="J29" s="377"/>
      <c r="K29" s="377"/>
    </row>
    <row r="30" spans="1:11">
      <c r="A30" s="394" t="s">
        <v>679</v>
      </c>
      <c r="B30" s="407" t="s">
        <v>666</v>
      </c>
      <c r="C30" s="396" t="s">
        <v>667</v>
      </c>
      <c r="D30" s="400" t="s">
        <v>667</v>
      </c>
      <c r="E30" s="398" t="s">
        <v>667</v>
      </c>
      <c r="G30" s="453"/>
      <c r="H30" s="376"/>
      <c r="I30"/>
      <c r="J30" s="377"/>
      <c r="K30" s="377"/>
    </row>
    <row r="31" spans="1:11">
      <c r="A31" s="394"/>
      <c r="B31" s="399" t="s">
        <v>668</v>
      </c>
      <c r="C31" s="396">
        <v>20780.599999999999</v>
      </c>
      <c r="D31" s="400"/>
      <c r="E31" s="398">
        <f>C31+ROUND(D31/$D$7,0)</f>
        <v>20780.599999999999</v>
      </c>
      <c r="G31" s="453"/>
      <c r="H31" s="376"/>
      <c r="I31"/>
      <c r="J31" s="377"/>
      <c r="K31" s="377"/>
    </row>
    <row r="32" spans="1:11">
      <c r="A32" s="394"/>
      <c r="B32" s="399" t="s">
        <v>669</v>
      </c>
      <c r="C32" s="396">
        <v>10075.9</v>
      </c>
      <c r="D32" s="400"/>
      <c r="E32" s="398">
        <f>C32+ROUND(D32/$D$7,0)</f>
        <v>10075.9</v>
      </c>
      <c r="G32" s="453"/>
      <c r="H32" s="376"/>
      <c r="I32"/>
      <c r="J32" s="377"/>
      <c r="K32" s="377"/>
    </row>
    <row r="33" spans="1:11">
      <c r="A33" s="394"/>
      <c r="B33" s="399" t="s">
        <v>670</v>
      </c>
      <c r="C33" s="396" t="s">
        <v>667</v>
      </c>
      <c r="D33" s="400">
        <v>225178</v>
      </c>
      <c r="E33" s="398">
        <f>ROUND(D33/$D$7,0)</f>
        <v>53584</v>
      </c>
      <c r="G33" s="453"/>
      <c r="H33" s="376"/>
      <c r="I33"/>
      <c r="J33" s="377"/>
      <c r="K33" s="377"/>
    </row>
    <row r="34" spans="1:11">
      <c r="A34" s="394"/>
      <c r="B34" s="399" t="s">
        <v>1421</v>
      </c>
      <c r="C34" s="396" t="s">
        <v>667</v>
      </c>
      <c r="D34" s="402" t="s">
        <v>667</v>
      </c>
      <c r="E34" s="403" t="s">
        <v>667</v>
      </c>
      <c r="G34" s="453"/>
      <c r="H34" s="376"/>
      <c r="I34"/>
      <c r="J34" s="377"/>
      <c r="K34" s="377"/>
    </row>
    <row r="35" spans="1:11">
      <c r="A35" s="394"/>
      <c r="B35" s="399" t="s">
        <v>680</v>
      </c>
      <c r="C35" s="396"/>
      <c r="D35" s="400">
        <v>25756</v>
      </c>
      <c r="E35" s="398">
        <f>ROUND(D35/$D$7,0)</f>
        <v>6129</v>
      </c>
      <c r="G35" s="453"/>
      <c r="H35" s="376"/>
      <c r="I35"/>
      <c r="J35" s="377"/>
      <c r="K35" s="377"/>
    </row>
    <row r="36" spans="1:11">
      <c r="A36" s="394"/>
      <c r="B36" s="399" t="s">
        <v>681</v>
      </c>
      <c r="C36" s="396"/>
      <c r="D36" s="400">
        <v>13117.9</v>
      </c>
      <c r="E36" s="398">
        <f>ROUND(D36/$D$7,0)</f>
        <v>3122</v>
      </c>
      <c r="G36" s="453"/>
      <c r="H36" s="376"/>
      <c r="I36"/>
      <c r="J36" s="377"/>
      <c r="K36" s="377"/>
    </row>
    <row r="37" spans="1:11">
      <c r="A37" s="394"/>
      <c r="B37" s="399" t="s">
        <v>682</v>
      </c>
      <c r="C37" s="396"/>
      <c r="D37" s="400">
        <v>79742</v>
      </c>
      <c r="E37" s="398">
        <f>ROUND(D37/$D$7,0)</f>
        <v>18976</v>
      </c>
      <c r="G37" s="453"/>
      <c r="H37" s="376"/>
      <c r="I37"/>
      <c r="J37" s="377"/>
      <c r="K37" s="377"/>
    </row>
    <row r="38" spans="1:11">
      <c r="A38" s="394"/>
      <c r="B38" s="399" t="s">
        <v>676</v>
      </c>
      <c r="C38" s="396"/>
      <c r="D38" s="400">
        <v>47238.5</v>
      </c>
      <c r="E38" s="398">
        <f>ROUND(D38/$D$7,0)</f>
        <v>11241</v>
      </c>
      <c r="G38" s="453"/>
      <c r="H38" s="376"/>
      <c r="I38"/>
      <c r="J38" s="377"/>
      <c r="K38" s="377"/>
    </row>
    <row r="39" spans="1:11">
      <c r="A39" s="394"/>
      <c r="B39" s="399" t="s">
        <v>677</v>
      </c>
      <c r="C39" s="396">
        <v>8324</v>
      </c>
      <c r="D39" s="402" t="s">
        <v>667</v>
      </c>
      <c r="E39" s="398">
        <f>C39</f>
        <v>8324</v>
      </c>
      <c r="G39" s="453"/>
      <c r="H39" s="376"/>
      <c r="I39"/>
      <c r="J39" s="377"/>
      <c r="K39" s="377"/>
    </row>
    <row r="40" spans="1:11">
      <c r="A40" s="394"/>
      <c r="B40" s="399" t="s">
        <v>671</v>
      </c>
      <c r="C40" s="396"/>
      <c r="D40" s="400"/>
      <c r="E40" s="398"/>
      <c r="G40" s="453"/>
      <c r="H40" s="376"/>
      <c r="I40"/>
      <c r="J40" s="377"/>
      <c r="K40" s="377"/>
    </row>
    <row r="41" spans="1:11">
      <c r="A41" s="394"/>
      <c r="B41" s="395" t="s">
        <v>180</v>
      </c>
      <c r="C41" s="396"/>
      <c r="D41" s="400"/>
      <c r="E41" s="398"/>
      <c r="G41" s="453"/>
      <c r="H41" s="376"/>
      <c r="I41"/>
      <c r="J41" s="377"/>
      <c r="K41" s="377"/>
    </row>
    <row r="42" spans="1:11">
      <c r="A42" s="394"/>
      <c r="B42" s="399" t="s">
        <v>678</v>
      </c>
      <c r="C42" s="396">
        <f>2029.6</f>
        <v>2029.6</v>
      </c>
      <c r="D42" s="400"/>
      <c r="E42" s="398">
        <f>+C42</f>
        <v>2029.6</v>
      </c>
      <c r="G42" s="453"/>
      <c r="H42" s="376"/>
      <c r="I42"/>
      <c r="J42" s="377"/>
      <c r="K42" s="377"/>
    </row>
    <row r="43" spans="1:11">
      <c r="A43" s="394"/>
      <c r="B43" s="399"/>
      <c r="C43" s="396"/>
      <c r="D43" s="400"/>
      <c r="E43" s="398"/>
      <c r="G43" s="453"/>
      <c r="H43" s="376"/>
      <c r="I43"/>
      <c r="J43" s="377"/>
      <c r="K43" s="377"/>
    </row>
    <row r="44" spans="1:11">
      <c r="A44" s="394" t="s">
        <v>679</v>
      </c>
      <c r="B44" s="395" t="s">
        <v>683</v>
      </c>
      <c r="C44" s="396"/>
      <c r="D44" s="400"/>
      <c r="E44" s="398"/>
      <c r="G44" s="453"/>
      <c r="H44" s="376"/>
      <c r="I44"/>
      <c r="J44" s="377"/>
      <c r="K44" s="377"/>
    </row>
    <row r="45" spans="1:11">
      <c r="A45" s="394"/>
      <c r="B45" s="408" t="s">
        <v>684</v>
      </c>
      <c r="C45" s="396">
        <v>0.98899999999999999</v>
      </c>
      <c r="D45" s="402"/>
      <c r="E45" s="398">
        <f>C45+ROUND(D45/$D$7,0)</f>
        <v>0.98899999999999999</v>
      </c>
      <c r="G45" s="453"/>
      <c r="H45" s="376"/>
      <c r="I45"/>
      <c r="J45" s="377"/>
      <c r="K45" s="377"/>
    </row>
    <row r="46" spans="1:11">
      <c r="A46" s="394"/>
      <c r="B46" s="408" t="s">
        <v>667</v>
      </c>
      <c r="C46" s="396" t="s">
        <v>667</v>
      </c>
      <c r="D46" s="402"/>
      <c r="E46" s="403" t="s">
        <v>667</v>
      </c>
      <c r="G46" s="453"/>
      <c r="H46" s="376"/>
      <c r="I46"/>
      <c r="J46" s="377"/>
      <c r="K46" s="377"/>
    </row>
    <row r="47" spans="1:11" s="412" customFormat="1" ht="19.5" customHeight="1" thickBot="1">
      <c r="A47" s="409" t="s">
        <v>685</v>
      </c>
      <c r="B47" s="410"/>
      <c r="C47" s="411"/>
      <c r="D47" s="411"/>
      <c r="E47" s="539">
        <f>SUM(E12:E46)</f>
        <v>205529.889</v>
      </c>
      <c r="G47" s="456"/>
      <c r="H47" s="456"/>
      <c r="I47" s="456"/>
      <c r="J47" s="456"/>
    </row>
    <row r="48" spans="1:11" s="412" customFormat="1" ht="15.75" customHeight="1">
      <c r="C48" s="413"/>
      <c r="D48" s="413"/>
      <c r="E48" s="414"/>
      <c r="G48" s="456"/>
      <c r="H48" s="456"/>
      <c r="I48" s="456"/>
      <c r="J48" s="456"/>
    </row>
    <row r="49" spans="1:10" s="412" customFormat="1" ht="12.75" customHeight="1">
      <c r="A49" s="415" t="s">
        <v>686</v>
      </c>
      <c r="B49" s="416"/>
      <c r="C49" s="417"/>
      <c r="D49" s="417"/>
      <c r="E49" s="418">
        <f>E12+E31+E24+E42</f>
        <v>72900.399999999994</v>
      </c>
      <c r="G49" s="456"/>
      <c r="H49" s="456"/>
      <c r="I49" s="456"/>
      <c r="J49" s="456"/>
    </row>
    <row r="50" spans="1:10" s="412" customFormat="1" ht="12.75" customHeight="1">
      <c r="A50" s="415" t="s">
        <v>687</v>
      </c>
      <c r="B50" s="416"/>
      <c r="C50" s="417"/>
      <c r="D50" s="417"/>
      <c r="E50" s="418">
        <f>E13+E32</f>
        <v>10164.4</v>
      </c>
      <c r="G50" s="456"/>
      <c r="H50" s="456"/>
      <c r="I50" s="456"/>
      <c r="J50" s="456"/>
    </row>
    <row r="51" spans="1:10" s="378" customFormat="1">
      <c r="A51" s="415" t="s">
        <v>688</v>
      </c>
      <c r="B51" s="419"/>
      <c r="C51" s="417"/>
      <c r="D51" s="417"/>
      <c r="E51" s="418">
        <f>E14+E33</f>
        <v>65399</v>
      </c>
      <c r="G51" s="451"/>
      <c r="H51" s="451"/>
      <c r="I51" s="451"/>
      <c r="J51" s="451"/>
    </row>
    <row r="52" spans="1:10" s="378" customFormat="1">
      <c r="A52" s="415" t="s">
        <v>689</v>
      </c>
      <c r="B52" s="419"/>
      <c r="C52" s="417"/>
      <c r="D52" s="417"/>
      <c r="E52" s="418">
        <f>E16+E17+E18+E19+E20+E21+E35+E36+E37+E38+E39</f>
        <v>57065.1</v>
      </c>
      <c r="G52" s="451"/>
      <c r="H52" s="451"/>
      <c r="I52" s="451"/>
      <c r="J52" s="451"/>
    </row>
    <row r="53" spans="1:10" s="378" customFormat="1">
      <c r="B53" s="420"/>
      <c r="C53" s="421"/>
      <c r="D53" s="421"/>
      <c r="E53" s="422"/>
      <c r="G53" s="451"/>
      <c r="H53" s="451"/>
      <c r="I53" s="451"/>
      <c r="J53" s="451"/>
    </row>
    <row r="54" spans="1:10" s="378" customFormat="1">
      <c r="A54" t="s">
        <v>690</v>
      </c>
      <c r="C54" s="421"/>
      <c r="D54" s="421"/>
      <c r="E54" s="423"/>
      <c r="G54" s="451"/>
      <c r="H54" s="451"/>
    </row>
    <row r="55" spans="1:10">
      <c r="A55" s="424" t="s">
        <v>691</v>
      </c>
      <c r="I55"/>
      <c r="J55"/>
    </row>
    <row r="56" spans="1:10" ht="17">
      <c r="A56" s="425" t="s">
        <v>667</v>
      </c>
      <c r="B56" s="425"/>
      <c r="C56" s="426" t="s">
        <v>692</v>
      </c>
      <c r="D56" s="426" t="s">
        <v>693</v>
      </c>
    </row>
    <row r="57" spans="1:10">
      <c r="A57" s="427" t="s">
        <v>694</v>
      </c>
      <c r="B57" s="425"/>
      <c r="C57" s="428">
        <v>1E-4</v>
      </c>
      <c r="D57" s="428">
        <v>1.5E-3</v>
      </c>
    </row>
    <row r="58" spans="1:10">
      <c r="A58" s="429" t="s">
        <v>695</v>
      </c>
      <c r="B58" s="425"/>
      <c r="C58" s="428">
        <v>1.35E-2</v>
      </c>
      <c r="D58" s="428">
        <v>1.35E-2</v>
      </c>
    </row>
    <row r="59" spans="1:10">
      <c r="A59" s="430" t="s">
        <v>696</v>
      </c>
    </row>
    <row r="60" spans="1:10">
      <c r="A60" s="430" t="s">
        <v>697</v>
      </c>
    </row>
    <row r="62" spans="1:10">
      <c r="A62" s="424" t="s">
        <v>698</v>
      </c>
    </row>
    <row r="63" spans="1:10" ht="17">
      <c r="A63" s="425" t="s">
        <v>667</v>
      </c>
      <c r="B63" s="425"/>
      <c r="C63" s="426" t="s">
        <v>692</v>
      </c>
      <c r="D63" s="426" t="s">
        <v>693</v>
      </c>
    </row>
    <row r="64" spans="1:10">
      <c r="A64" s="427" t="s">
        <v>694</v>
      </c>
      <c r="B64" s="425"/>
      <c r="C64" s="428">
        <v>2E-3</v>
      </c>
      <c r="D64" s="428">
        <v>2E-3</v>
      </c>
    </row>
    <row r="65" spans="1:1">
      <c r="A65" s="430" t="s">
        <v>699</v>
      </c>
    </row>
  </sheetData>
  <mergeCells count="3">
    <mergeCell ref="A1:F1"/>
    <mergeCell ref="A2:F2"/>
    <mergeCell ref="A3:F3"/>
  </mergeCells>
  <dataValidations count="3">
    <dataValidation type="textLength" errorStyle="information" allowBlank="1" showInputMessage="1" error="XLBVal:6=3067.06_x000d__x000a__x000a__x000d_" sqref="G30:G46 JC30:JC46 SY30:SY46 ACU30:ACU46 AMQ30:AMQ46 AWM30:AWM46 BGI30:BGI46 BQE30:BQE46 CAA30:CAA46 CJW30:CJW46 CTS30:CTS46 DDO30:DDO46 DNK30:DNK46 DXG30:DXG46 EHC30:EHC46 EQY30:EQY46 FAU30:FAU46 FKQ30:FKQ46 FUM30:FUM46 GEI30:GEI46 GOE30:GOE46 GYA30:GYA46 HHW30:HHW46 HRS30:HRS46 IBO30:IBO46 ILK30:ILK46 IVG30:IVG46 JFC30:JFC46 JOY30:JOY46 JYU30:JYU46 KIQ30:KIQ46 KSM30:KSM46 LCI30:LCI46 LME30:LME46 LWA30:LWA46 MFW30:MFW46 MPS30:MPS46 MZO30:MZO46 NJK30:NJK46 NTG30:NTG46 ODC30:ODC46 OMY30:OMY46 OWU30:OWU46 PGQ30:PGQ46 PQM30:PQM46 QAI30:QAI46 QKE30:QKE46 QUA30:QUA46 RDW30:RDW46 RNS30:RNS46 RXO30:RXO46 SHK30:SHK46 SRG30:SRG46 TBC30:TBC46 TKY30:TKY46 TUU30:TUU46 UEQ30:UEQ46 UOM30:UOM46 UYI30:UYI46 VIE30:VIE46 VSA30:VSA46 WBW30:WBW46 WLS30:WLS46 WVO30:WVO46 G65566:G65582 JC65566:JC65582 SY65566:SY65582 ACU65566:ACU65582 AMQ65566:AMQ65582 AWM65566:AWM65582 BGI65566:BGI65582 BQE65566:BQE65582 CAA65566:CAA65582 CJW65566:CJW65582 CTS65566:CTS65582 DDO65566:DDO65582 DNK65566:DNK65582 DXG65566:DXG65582 EHC65566:EHC65582 EQY65566:EQY65582 FAU65566:FAU65582 FKQ65566:FKQ65582 FUM65566:FUM65582 GEI65566:GEI65582 GOE65566:GOE65582 GYA65566:GYA65582 HHW65566:HHW65582 HRS65566:HRS65582 IBO65566:IBO65582 ILK65566:ILK65582 IVG65566:IVG65582 JFC65566:JFC65582 JOY65566:JOY65582 JYU65566:JYU65582 KIQ65566:KIQ65582 KSM65566:KSM65582 LCI65566:LCI65582 LME65566:LME65582 LWA65566:LWA65582 MFW65566:MFW65582 MPS65566:MPS65582 MZO65566:MZO65582 NJK65566:NJK65582 NTG65566:NTG65582 ODC65566:ODC65582 OMY65566:OMY65582 OWU65566:OWU65582 PGQ65566:PGQ65582 PQM65566:PQM65582 QAI65566:QAI65582 QKE65566:QKE65582 QUA65566:QUA65582 RDW65566:RDW65582 RNS65566:RNS65582 RXO65566:RXO65582 SHK65566:SHK65582 SRG65566:SRG65582 TBC65566:TBC65582 TKY65566:TKY65582 TUU65566:TUU65582 UEQ65566:UEQ65582 UOM65566:UOM65582 UYI65566:UYI65582 VIE65566:VIE65582 VSA65566:VSA65582 WBW65566:WBW65582 WLS65566:WLS65582 WVO65566:WVO65582 G131102:G131118 JC131102:JC131118 SY131102:SY131118 ACU131102:ACU131118 AMQ131102:AMQ131118 AWM131102:AWM131118 BGI131102:BGI131118 BQE131102:BQE131118 CAA131102:CAA131118 CJW131102:CJW131118 CTS131102:CTS131118 DDO131102:DDO131118 DNK131102:DNK131118 DXG131102:DXG131118 EHC131102:EHC131118 EQY131102:EQY131118 FAU131102:FAU131118 FKQ131102:FKQ131118 FUM131102:FUM131118 GEI131102:GEI131118 GOE131102:GOE131118 GYA131102:GYA131118 HHW131102:HHW131118 HRS131102:HRS131118 IBO131102:IBO131118 ILK131102:ILK131118 IVG131102:IVG131118 JFC131102:JFC131118 JOY131102:JOY131118 JYU131102:JYU131118 KIQ131102:KIQ131118 KSM131102:KSM131118 LCI131102:LCI131118 LME131102:LME131118 LWA131102:LWA131118 MFW131102:MFW131118 MPS131102:MPS131118 MZO131102:MZO131118 NJK131102:NJK131118 NTG131102:NTG131118 ODC131102:ODC131118 OMY131102:OMY131118 OWU131102:OWU131118 PGQ131102:PGQ131118 PQM131102:PQM131118 QAI131102:QAI131118 QKE131102:QKE131118 QUA131102:QUA131118 RDW131102:RDW131118 RNS131102:RNS131118 RXO131102:RXO131118 SHK131102:SHK131118 SRG131102:SRG131118 TBC131102:TBC131118 TKY131102:TKY131118 TUU131102:TUU131118 UEQ131102:UEQ131118 UOM131102:UOM131118 UYI131102:UYI131118 VIE131102:VIE131118 VSA131102:VSA131118 WBW131102:WBW131118 WLS131102:WLS131118 WVO131102:WVO131118 G196638:G196654 JC196638:JC196654 SY196638:SY196654 ACU196638:ACU196654 AMQ196638:AMQ196654 AWM196638:AWM196654 BGI196638:BGI196654 BQE196638:BQE196654 CAA196638:CAA196654 CJW196638:CJW196654 CTS196638:CTS196654 DDO196638:DDO196654 DNK196638:DNK196654 DXG196638:DXG196654 EHC196638:EHC196654 EQY196638:EQY196654 FAU196638:FAU196654 FKQ196638:FKQ196654 FUM196638:FUM196654 GEI196638:GEI196654 GOE196638:GOE196654 GYA196638:GYA196654 HHW196638:HHW196654 HRS196638:HRS196654 IBO196638:IBO196654 ILK196638:ILK196654 IVG196638:IVG196654 JFC196638:JFC196654 JOY196638:JOY196654 JYU196638:JYU196654 KIQ196638:KIQ196654 KSM196638:KSM196654 LCI196638:LCI196654 LME196638:LME196654 LWA196638:LWA196654 MFW196638:MFW196654 MPS196638:MPS196654 MZO196638:MZO196654 NJK196638:NJK196654 NTG196638:NTG196654 ODC196638:ODC196654 OMY196638:OMY196654 OWU196638:OWU196654 PGQ196638:PGQ196654 PQM196638:PQM196654 QAI196638:QAI196654 QKE196638:QKE196654 QUA196638:QUA196654 RDW196638:RDW196654 RNS196638:RNS196654 RXO196638:RXO196654 SHK196638:SHK196654 SRG196638:SRG196654 TBC196638:TBC196654 TKY196638:TKY196654 TUU196638:TUU196654 UEQ196638:UEQ196654 UOM196638:UOM196654 UYI196638:UYI196654 VIE196638:VIE196654 VSA196638:VSA196654 WBW196638:WBW196654 WLS196638:WLS196654 WVO196638:WVO196654 G262174:G262190 JC262174:JC262190 SY262174:SY262190 ACU262174:ACU262190 AMQ262174:AMQ262190 AWM262174:AWM262190 BGI262174:BGI262190 BQE262174:BQE262190 CAA262174:CAA262190 CJW262174:CJW262190 CTS262174:CTS262190 DDO262174:DDO262190 DNK262174:DNK262190 DXG262174:DXG262190 EHC262174:EHC262190 EQY262174:EQY262190 FAU262174:FAU262190 FKQ262174:FKQ262190 FUM262174:FUM262190 GEI262174:GEI262190 GOE262174:GOE262190 GYA262174:GYA262190 HHW262174:HHW262190 HRS262174:HRS262190 IBO262174:IBO262190 ILK262174:ILK262190 IVG262174:IVG262190 JFC262174:JFC262190 JOY262174:JOY262190 JYU262174:JYU262190 KIQ262174:KIQ262190 KSM262174:KSM262190 LCI262174:LCI262190 LME262174:LME262190 LWA262174:LWA262190 MFW262174:MFW262190 MPS262174:MPS262190 MZO262174:MZO262190 NJK262174:NJK262190 NTG262174:NTG262190 ODC262174:ODC262190 OMY262174:OMY262190 OWU262174:OWU262190 PGQ262174:PGQ262190 PQM262174:PQM262190 QAI262174:QAI262190 QKE262174:QKE262190 QUA262174:QUA262190 RDW262174:RDW262190 RNS262174:RNS262190 RXO262174:RXO262190 SHK262174:SHK262190 SRG262174:SRG262190 TBC262174:TBC262190 TKY262174:TKY262190 TUU262174:TUU262190 UEQ262174:UEQ262190 UOM262174:UOM262190 UYI262174:UYI262190 VIE262174:VIE262190 VSA262174:VSA262190 WBW262174:WBW262190 WLS262174:WLS262190 WVO262174:WVO262190 G327710:G327726 JC327710:JC327726 SY327710:SY327726 ACU327710:ACU327726 AMQ327710:AMQ327726 AWM327710:AWM327726 BGI327710:BGI327726 BQE327710:BQE327726 CAA327710:CAA327726 CJW327710:CJW327726 CTS327710:CTS327726 DDO327710:DDO327726 DNK327710:DNK327726 DXG327710:DXG327726 EHC327710:EHC327726 EQY327710:EQY327726 FAU327710:FAU327726 FKQ327710:FKQ327726 FUM327710:FUM327726 GEI327710:GEI327726 GOE327710:GOE327726 GYA327710:GYA327726 HHW327710:HHW327726 HRS327710:HRS327726 IBO327710:IBO327726 ILK327710:ILK327726 IVG327710:IVG327726 JFC327710:JFC327726 JOY327710:JOY327726 JYU327710:JYU327726 KIQ327710:KIQ327726 KSM327710:KSM327726 LCI327710:LCI327726 LME327710:LME327726 LWA327710:LWA327726 MFW327710:MFW327726 MPS327710:MPS327726 MZO327710:MZO327726 NJK327710:NJK327726 NTG327710:NTG327726 ODC327710:ODC327726 OMY327710:OMY327726 OWU327710:OWU327726 PGQ327710:PGQ327726 PQM327710:PQM327726 QAI327710:QAI327726 QKE327710:QKE327726 QUA327710:QUA327726 RDW327710:RDW327726 RNS327710:RNS327726 RXO327710:RXO327726 SHK327710:SHK327726 SRG327710:SRG327726 TBC327710:TBC327726 TKY327710:TKY327726 TUU327710:TUU327726 UEQ327710:UEQ327726 UOM327710:UOM327726 UYI327710:UYI327726 VIE327710:VIE327726 VSA327710:VSA327726 WBW327710:WBW327726 WLS327710:WLS327726 WVO327710:WVO327726 G393246:G393262 JC393246:JC393262 SY393246:SY393262 ACU393246:ACU393262 AMQ393246:AMQ393262 AWM393246:AWM393262 BGI393246:BGI393262 BQE393246:BQE393262 CAA393246:CAA393262 CJW393246:CJW393262 CTS393246:CTS393262 DDO393246:DDO393262 DNK393246:DNK393262 DXG393246:DXG393262 EHC393246:EHC393262 EQY393246:EQY393262 FAU393246:FAU393262 FKQ393246:FKQ393262 FUM393246:FUM393262 GEI393246:GEI393262 GOE393246:GOE393262 GYA393246:GYA393262 HHW393246:HHW393262 HRS393246:HRS393262 IBO393246:IBO393262 ILK393246:ILK393262 IVG393246:IVG393262 JFC393246:JFC393262 JOY393246:JOY393262 JYU393246:JYU393262 KIQ393246:KIQ393262 KSM393246:KSM393262 LCI393246:LCI393262 LME393246:LME393262 LWA393246:LWA393262 MFW393246:MFW393262 MPS393246:MPS393262 MZO393246:MZO393262 NJK393246:NJK393262 NTG393246:NTG393262 ODC393246:ODC393262 OMY393246:OMY393262 OWU393246:OWU393262 PGQ393246:PGQ393262 PQM393246:PQM393262 QAI393246:QAI393262 QKE393246:QKE393262 QUA393246:QUA393262 RDW393246:RDW393262 RNS393246:RNS393262 RXO393246:RXO393262 SHK393246:SHK393262 SRG393246:SRG393262 TBC393246:TBC393262 TKY393246:TKY393262 TUU393246:TUU393262 UEQ393246:UEQ393262 UOM393246:UOM393262 UYI393246:UYI393262 VIE393246:VIE393262 VSA393246:VSA393262 WBW393246:WBW393262 WLS393246:WLS393262 WVO393246:WVO393262 G458782:G458798 JC458782:JC458798 SY458782:SY458798 ACU458782:ACU458798 AMQ458782:AMQ458798 AWM458782:AWM458798 BGI458782:BGI458798 BQE458782:BQE458798 CAA458782:CAA458798 CJW458782:CJW458798 CTS458782:CTS458798 DDO458782:DDO458798 DNK458782:DNK458798 DXG458782:DXG458798 EHC458782:EHC458798 EQY458782:EQY458798 FAU458782:FAU458798 FKQ458782:FKQ458798 FUM458782:FUM458798 GEI458782:GEI458798 GOE458782:GOE458798 GYA458782:GYA458798 HHW458782:HHW458798 HRS458782:HRS458798 IBO458782:IBO458798 ILK458782:ILK458798 IVG458782:IVG458798 JFC458782:JFC458798 JOY458782:JOY458798 JYU458782:JYU458798 KIQ458782:KIQ458798 KSM458782:KSM458798 LCI458782:LCI458798 LME458782:LME458798 LWA458782:LWA458798 MFW458782:MFW458798 MPS458782:MPS458798 MZO458782:MZO458798 NJK458782:NJK458798 NTG458782:NTG458798 ODC458782:ODC458798 OMY458782:OMY458798 OWU458782:OWU458798 PGQ458782:PGQ458798 PQM458782:PQM458798 QAI458782:QAI458798 QKE458782:QKE458798 QUA458782:QUA458798 RDW458782:RDW458798 RNS458782:RNS458798 RXO458782:RXO458798 SHK458782:SHK458798 SRG458782:SRG458798 TBC458782:TBC458798 TKY458782:TKY458798 TUU458782:TUU458798 UEQ458782:UEQ458798 UOM458782:UOM458798 UYI458782:UYI458798 VIE458782:VIE458798 VSA458782:VSA458798 WBW458782:WBW458798 WLS458782:WLS458798 WVO458782:WVO458798 G524318:G524334 JC524318:JC524334 SY524318:SY524334 ACU524318:ACU524334 AMQ524318:AMQ524334 AWM524318:AWM524334 BGI524318:BGI524334 BQE524318:BQE524334 CAA524318:CAA524334 CJW524318:CJW524334 CTS524318:CTS524334 DDO524318:DDO524334 DNK524318:DNK524334 DXG524318:DXG524334 EHC524318:EHC524334 EQY524318:EQY524334 FAU524318:FAU524334 FKQ524318:FKQ524334 FUM524318:FUM524334 GEI524318:GEI524334 GOE524318:GOE524334 GYA524318:GYA524334 HHW524318:HHW524334 HRS524318:HRS524334 IBO524318:IBO524334 ILK524318:ILK524334 IVG524318:IVG524334 JFC524318:JFC524334 JOY524318:JOY524334 JYU524318:JYU524334 KIQ524318:KIQ524334 KSM524318:KSM524334 LCI524318:LCI524334 LME524318:LME524334 LWA524318:LWA524334 MFW524318:MFW524334 MPS524318:MPS524334 MZO524318:MZO524334 NJK524318:NJK524334 NTG524318:NTG524334 ODC524318:ODC524334 OMY524318:OMY524334 OWU524318:OWU524334 PGQ524318:PGQ524334 PQM524318:PQM524334 QAI524318:QAI524334 QKE524318:QKE524334 QUA524318:QUA524334 RDW524318:RDW524334 RNS524318:RNS524334 RXO524318:RXO524334 SHK524318:SHK524334 SRG524318:SRG524334 TBC524318:TBC524334 TKY524318:TKY524334 TUU524318:TUU524334 UEQ524318:UEQ524334 UOM524318:UOM524334 UYI524318:UYI524334 VIE524318:VIE524334 VSA524318:VSA524334 WBW524318:WBW524334 WLS524318:WLS524334 WVO524318:WVO524334 G589854:G589870 JC589854:JC589870 SY589854:SY589870 ACU589854:ACU589870 AMQ589854:AMQ589870 AWM589854:AWM589870 BGI589854:BGI589870 BQE589854:BQE589870 CAA589854:CAA589870 CJW589854:CJW589870 CTS589854:CTS589870 DDO589854:DDO589870 DNK589854:DNK589870 DXG589854:DXG589870 EHC589854:EHC589870 EQY589854:EQY589870 FAU589854:FAU589870 FKQ589854:FKQ589870 FUM589854:FUM589870 GEI589854:GEI589870 GOE589854:GOE589870 GYA589854:GYA589870 HHW589854:HHW589870 HRS589854:HRS589870 IBO589854:IBO589870 ILK589854:ILK589870 IVG589854:IVG589870 JFC589854:JFC589870 JOY589854:JOY589870 JYU589854:JYU589870 KIQ589854:KIQ589870 KSM589854:KSM589870 LCI589854:LCI589870 LME589854:LME589870 LWA589854:LWA589870 MFW589854:MFW589870 MPS589854:MPS589870 MZO589854:MZO589870 NJK589854:NJK589870 NTG589854:NTG589870 ODC589854:ODC589870 OMY589854:OMY589870 OWU589854:OWU589870 PGQ589854:PGQ589870 PQM589854:PQM589870 QAI589854:QAI589870 QKE589854:QKE589870 QUA589854:QUA589870 RDW589854:RDW589870 RNS589854:RNS589870 RXO589854:RXO589870 SHK589854:SHK589870 SRG589854:SRG589870 TBC589854:TBC589870 TKY589854:TKY589870 TUU589854:TUU589870 UEQ589854:UEQ589870 UOM589854:UOM589870 UYI589854:UYI589870 VIE589854:VIE589870 VSA589854:VSA589870 WBW589854:WBW589870 WLS589854:WLS589870 WVO589854:WVO589870 G655390:G655406 JC655390:JC655406 SY655390:SY655406 ACU655390:ACU655406 AMQ655390:AMQ655406 AWM655390:AWM655406 BGI655390:BGI655406 BQE655390:BQE655406 CAA655390:CAA655406 CJW655390:CJW655406 CTS655390:CTS655406 DDO655390:DDO655406 DNK655390:DNK655406 DXG655390:DXG655406 EHC655390:EHC655406 EQY655390:EQY655406 FAU655390:FAU655406 FKQ655390:FKQ655406 FUM655390:FUM655406 GEI655390:GEI655406 GOE655390:GOE655406 GYA655390:GYA655406 HHW655390:HHW655406 HRS655390:HRS655406 IBO655390:IBO655406 ILK655390:ILK655406 IVG655390:IVG655406 JFC655390:JFC655406 JOY655390:JOY655406 JYU655390:JYU655406 KIQ655390:KIQ655406 KSM655390:KSM655406 LCI655390:LCI655406 LME655390:LME655406 LWA655390:LWA655406 MFW655390:MFW655406 MPS655390:MPS655406 MZO655390:MZO655406 NJK655390:NJK655406 NTG655390:NTG655406 ODC655390:ODC655406 OMY655390:OMY655406 OWU655390:OWU655406 PGQ655390:PGQ655406 PQM655390:PQM655406 QAI655390:QAI655406 QKE655390:QKE655406 QUA655390:QUA655406 RDW655390:RDW655406 RNS655390:RNS655406 RXO655390:RXO655406 SHK655390:SHK655406 SRG655390:SRG655406 TBC655390:TBC655406 TKY655390:TKY655406 TUU655390:TUU655406 UEQ655390:UEQ655406 UOM655390:UOM655406 UYI655390:UYI655406 VIE655390:VIE655406 VSA655390:VSA655406 WBW655390:WBW655406 WLS655390:WLS655406 WVO655390:WVO655406 G720926:G720942 JC720926:JC720942 SY720926:SY720942 ACU720926:ACU720942 AMQ720926:AMQ720942 AWM720926:AWM720942 BGI720926:BGI720942 BQE720926:BQE720942 CAA720926:CAA720942 CJW720926:CJW720942 CTS720926:CTS720942 DDO720926:DDO720942 DNK720926:DNK720942 DXG720926:DXG720942 EHC720926:EHC720942 EQY720926:EQY720942 FAU720926:FAU720942 FKQ720926:FKQ720942 FUM720926:FUM720942 GEI720926:GEI720942 GOE720926:GOE720942 GYA720926:GYA720942 HHW720926:HHW720942 HRS720926:HRS720942 IBO720926:IBO720942 ILK720926:ILK720942 IVG720926:IVG720942 JFC720926:JFC720942 JOY720926:JOY720942 JYU720926:JYU720942 KIQ720926:KIQ720942 KSM720926:KSM720942 LCI720926:LCI720942 LME720926:LME720942 LWA720926:LWA720942 MFW720926:MFW720942 MPS720926:MPS720942 MZO720926:MZO720942 NJK720926:NJK720942 NTG720926:NTG720942 ODC720926:ODC720942 OMY720926:OMY720942 OWU720926:OWU720942 PGQ720926:PGQ720942 PQM720926:PQM720942 QAI720926:QAI720942 QKE720926:QKE720942 QUA720926:QUA720942 RDW720926:RDW720942 RNS720926:RNS720942 RXO720926:RXO720942 SHK720926:SHK720942 SRG720926:SRG720942 TBC720926:TBC720942 TKY720926:TKY720942 TUU720926:TUU720942 UEQ720926:UEQ720942 UOM720926:UOM720942 UYI720926:UYI720942 VIE720926:VIE720942 VSA720926:VSA720942 WBW720926:WBW720942 WLS720926:WLS720942 WVO720926:WVO720942 G786462:G786478 JC786462:JC786478 SY786462:SY786478 ACU786462:ACU786478 AMQ786462:AMQ786478 AWM786462:AWM786478 BGI786462:BGI786478 BQE786462:BQE786478 CAA786462:CAA786478 CJW786462:CJW786478 CTS786462:CTS786478 DDO786462:DDO786478 DNK786462:DNK786478 DXG786462:DXG786478 EHC786462:EHC786478 EQY786462:EQY786478 FAU786462:FAU786478 FKQ786462:FKQ786478 FUM786462:FUM786478 GEI786462:GEI786478 GOE786462:GOE786478 GYA786462:GYA786478 HHW786462:HHW786478 HRS786462:HRS786478 IBO786462:IBO786478 ILK786462:ILK786478 IVG786462:IVG786478 JFC786462:JFC786478 JOY786462:JOY786478 JYU786462:JYU786478 KIQ786462:KIQ786478 KSM786462:KSM786478 LCI786462:LCI786478 LME786462:LME786478 LWA786462:LWA786478 MFW786462:MFW786478 MPS786462:MPS786478 MZO786462:MZO786478 NJK786462:NJK786478 NTG786462:NTG786478 ODC786462:ODC786478 OMY786462:OMY786478 OWU786462:OWU786478 PGQ786462:PGQ786478 PQM786462:PQM786478 QAI786462:QAI786478 QKE786462:QKE786478 QUA786462:QUA786478 RDW786462:RDW786478 RNS786462:RNS786478 RXO786462:RXO786478 SHK786462:SHK786478 SRG786462:SRG786478 TBC786462:TBC786478 TKY786462:TKY786478 TUU786462:TUU786478 UEQ786462:UEQ786478 UOM786462:UOM786478 UYI786462:UYI786478 VIE786462:VIE786478 VSA786462:VSA786478 WBW786462:WBW786478 WLS786462:WLS786478 WVO786462:WVO786478 G851998:G852014 JC851998:JC852014 SY851998:SY852014 ACU851998:ACU852014 AMQ851998:AMQ852014 AWM851998:AWM852014 BGI851998:BGI852014 BQE851998:BQE852014 CAA851998:CAA852014 CJW851998:CJW852014 CTS851998:CTS852014 DDO851998:DDO852014 DNK851998:DNK852014 DXG851998:DXG852014 EHC851998:EHC852014 EQY851998:EQY852014 FAU851998:FAU852014 FKQ851998:FKQ852014 FUM851998:FUM852014 GEI851998:GEI852014 GOE851998:GOE852014 GYA851998:GYA852014 HHW851998:HHW852014 HRS851998:HRS852014 IBO851998:IBO852014 ILK851998:ILK852014 IVG851998:IVG852014 JFC851998:JFC852014 JOY851998:JOY852014 JYU851998:JYU852014 KIQ851998:KIQ852014 KSM851998:KSM852014 LCI851998:LCI852014 LME851998:LME852014 LWA851998:LWA852014 MFW851998:MFW852014 MPS851998:MPS852014 MZO851998:MZO852014 NJK851998:NJK852014 NTG851998:NTG852014 ODC851998:ODC852014 OMY851998:OMY852014 OWU851998:OWU852014 PGQ851998:PGQ852014 PQM851998:PQM852014 QAI851998:QAI852014 QKE851998:QKE852014 QUA851998:QUA852014 RDW851998:RDW852014 RNS851998:RNS852014 RXO851998:RXO852014 SHK851998:SHK852014 SRG851998:SRG852014 TBC851998:TBC852014 TKY851998:TKY852014 TUU851998:TUU852014 UEQ851998:UEQ852014 UOM851998:UOM852014 UYI851998:UYI852014 VIE851998:VIE852014 VSA851998:VSA852014 WBW851998:WBW852014 WLS851998:WLS852014 WVO851998:WVO852014 G917534:G917550 JC917534:JC917550 SY917534:SY917550 ACU917534:ACU917550 AMQ917534:AMQ917550 AWM917534:AWM917550 BGI917534:BGI917550 BQE917534:BQE917550 CAA917534:CAA917550 CJW917534:CJW917550 CTS917534:CTS917550 DDO917534:DDO917550 DNK917534:DNK917550 DXG917534:DXG917550 EHC917534:EHC917550 EQY917534:EQY917550 FAU917534:FAU917550 FKQ917534:FKQ917550 FUM917534:FUM917550 GEI917534:GEI917550 GOE917534:GOE917550 GYA917534:GYA917550 HHW917534:HHW917550 HRS917534:HRS917550 IBO917534:IBO917550 ILK917534:ILK917550 IVG917534:IVG917550 JFC917534:JFC917550 JOY917534:JOY917550 JYU917534:JYU917550 KIQ917534:KIQ917550 KSM917534:KSM917550 LCI917534:LCI917550 LME917534:LME917550 LWA917534:LWA917550 MFW917534:MFW917550 MPS917534:MPS917550 MZO917534:MZO917550 NJK917534:NJK917550 NTG917534:NTG917550 ODC917534:ODC917550 OMY917534:OMY917550 OWU917534:OWU917550 PGQ917534:PGQ917550 PQM917534:PQM917550 QAI917534:QAI917550 QKE917534:QKE917550 QUA917534:QUA917550 RDW917534:RDW917550 RNS917534:RNS917550 RXO917534:RXO917550 SHK917534:SHK917550 SRG917534:SRG917550 TBC917534:TBC917550 TKY917534:TKY917550 TUU917534:TUU917550 UEQ917534:UEQ917550 UOM917534:UOM917550 UYI917534:UYI917550 VIE917534:VIE917550 VSA917534:VSA917550 WBW917534:WBW917550 WLS917534:WLS917550 WVO917534:WVO917550 G983070:G983086 JC983070:JC983086 SY983070:SY983086 ACU983070:ACU983086 AMQ983070:AMQ983086 AWM983070:AWM983086 BGI983070:BGI983086 BQE983070:BQE983086 CAA983070:CAA983086 CJW983070:CJW983086 CTS983070:CTS983086 DDO983070:DDO983086 DNK983070:DNK983086 DXG983070:DXG983086 EHC983070:EHC983086 EQY983070:EQY983086 FAU983070:FAU983086 FKQ983070:FKQ983086 FUM983070:FUM983086 GEI983070:GEI983086 GOE983070:GOE983086 GYA983070:GYA983086 HHW983070:HHW983086 HRS983070:HRS983086 IBO983070:IBO983086 ILK983070:ILK983086 IVG983070:IVG983086 JFC983070:JFC983086 JOY983070:JOY983086 JYU983070:JYU983086 KIQ983070:KIQ983086 KSM983070:KSM983086 LCI983070:LCI983086 LME983070:LME983086 LWA983070:LWA983086 MFW983070:MFW983086 MPS983070:MPS983086 MZO983070:MZO983086 NJK983070:NJK983086 NTG983070:NTG983086 ODC983070:ODC983086 OMY983070:OMY983086 OWU983070:OWU983086 PGQ983070:PGQ983086 PQM983070:PQM983086 QAI983070:QAI983086 QKE983070:QKE983086 QUA983070:QUA983086 RDW983070:RDW983086 RNS983070:RNS983086 RXO983070:RXO983086 SHK983070:SHK983086 SRG983070:SRG983086 TBC983070:TBC983086 TKY983070:TKY983086 TUU983070:TUU983086 UEQ983070:UEQ983086 UOM983070:UOM983086 UYI983070:UYI983086 VIE983070:VIE983086 VSA983070:VSA983086 WBW983070:WBW983086 WLS983070:WLS983086 WVO983070:WVO983086 C30:C46 IY30:IY46 SU30:SU46 ACQ30:ACQ46 AMM30:AMM46 AWI30:AWI46 BGE30:BGE46 BQA30:BQA46 BZW30:BZW46 CJS30:CJS46 CTO30:CTO46 DDK30:DDK46 DNG30:DNG46 DXC30:DXC46 EGY30:EGY46 EQU30:EQU46 FAQ30:FAQ46 FKM30:FKM46 FUI30:FUI46 GEE30:GEE46 GOA30:GOA46 GXW30:GXW46 HHS30:HHS46 HRO30:HRO46 IBK30:IBK46 ILG30:ILG46 IVC30:IVC46 JEY30:JEY46 JOU30:JOU46 JYQ30:JYQ46 KIM30:KIM46 KSI30:KSI46 LCE30:LCE46 LMA30:LMA46 LVW30:LVW46 MFS30:MFS46 MPO30:MPO46 MZK30:MZK46 NJG30:NJG46 NTC30:NTC46 OCY30:OCY46 OMU30:OMU46 OWQ30:OWQ46 PGM30:PGM46 PQI30:PQI46 QAE30:QAE46 QKA30:QKA46 QTW30:QTW46 RDS30:RDS46 RNO30:RNO46 RXK30:RXK46 SHG30:SHG46 SRC30:SRC46 TAY30:TAY46 TKU30:TKU46 TUQ30:TUQ46 UEM30:UEM46 UOI30:UOI46 UYE30:UYE46 VIA30:VIA46 VRW30:VRW46 WBS30:WBS46 WLO30:WLO46 WVK30:WVK46 C65566:C65582 IY65566:IY65582 SU65566:SU65582 ACQ65566:ACQ65582 AMM65566:AMM65582 AWI65566:AWI65582 BGE65566:BGE65582 BQA65566:BQA65582 BZW65566:BZW65582 CJS65566:CJS65582 CTO65566:CTO65582 DDK65566:DDK65582 DNG65566:DNG65582 DXC65566:DXC65582 EGY65566:EGY65582 EQU65566:EQU65582 FAQ65566:FAQ65582 FKM65566:FKM65582 FUI65566:FUI65582 GEE65566:GEE65582 GOA65566:GOA65582 GXW65566:GXW65582 HHS65566:HHS65582 HRO65566:HRO65582 IBK65566:IBK65582 ILG65566:ILG65582 IVC65566:IVC65582 JEY65566:JEY65582 JOU65566:JOU65582 JYQ65566:JYQ65582 KIM65566:KIM65582 KSI65566:KSI65582 LCE65566:LCE65582 LMA65566:LMA65582 LVW65566:LVW65582 MFS65566:MFS65582 MPO65566:MPO65582 MZK65566:MZK65582 NJG65566:NJG65582 NTC65566:NTC65582 OCY65566:OCY65582 OMU65566:OMU65582 OWQ65566:OWQ65582 PGM65566:PGM65582 PQI65566:PQI65582 QAE65566:QAE65582 QKA65566:QKA65582 QTW65566:QTW65582 RDS65566:RDS65582 RNO65566:RNO65582 RXK65566:RXK65582 SHG65566:SHG65582 SRC65566:SRC65582 TAY65566:TAY65582 TKU65566:TKU65582 TUQ65566:TUQ65582 UEM65566:UEM65582 UOI65566:UOI65582 UYE65566:UYE65582 VIA65566:VIA65582 VRW65566:VRW65582 WBS65566:WBS65582 WLO65566:WLO65582 WVK65566:WVK65582 C131102:C131118 IY131102:IY131118 SU131102:SU131118 ACQ131102:ACQ131118 AMM131102:AMM131118 AWI131102:AWI131118 BGE131102:BGE131118 BQA131102:BQA131118 BZW131102:BZW131118 CJS131102:CJS131118 CTO131102:CTO131118 DDK131102:DDK131118 DNG131102:DNG131118 DXC131102:DXC131118 EGY131102:EGY131118 EQU131102:EQU131118 FAQ131102:FAQ131118 FKM131102:FKM131118 FUI131102:FUI131118 GEE131102:GEE131118 GOA131102:GOA131118 GXW131102:GXW131118 HHS131102:HHS131118 HRO131102:HRO131118 IBK131102:IBK131118 ILG131102:ILG131118 IVC131102:IVC131118 JEY131102:JEY131118 JOU131102:JOU131118 JYQ131102:JYQ131118 KIM131102:KIM131118 KSI131102:KSI131118 LCE131102:LCE131118 LMA131102:LMA131118 LVW131102:LVW131118 MFS131102:MFS131118 MPO131102:MPO131118 MZK131102:MZK131118 NJG131102:NJG131118 NTC131102:NTC131118 OCY131102:OCY131118 OMU131102:OMU131118 OWQ131102:OWQ131118 PGM131102:PGM131118 PQI131102:PQI131118 QAE131102:QAE131118 QKA131102:QKA131118 QTW131102:QTW131118 RDS131102:RDS131118 RNO131102:RNO131118 RXK131102:RXK131118 SHG131102:SHG131118 SRC131102:SRC131118 TAY131102:TAY131118 TKU131102:TKU131118 TUQ131102:TUQ131118 UEM131102:UEM131118 UOI131102:UOI131118 UYE131102:UYE131118 VIA131102:VIA131118 VRW131102:VRW131118 WBS131102:WBS131118 WLO131102:WLO131118 WVK131102:WVK131118 C196638:C196654 IY196638:IY196654 SU196638:SU196654 ACQ196638:ACQ196654 AMM196638:AMM196654 AWI196638:AWI196654 BGE196638:BGE196654 BQA196638:BQA196654 BZW196638:BZW196654 CJS196638:CJS196654 CTO196638:CTO196654 DDK196638:DDK196654 DNG196638:DNG196654 DXC196638:DXC196654 EGY196638:EGY196654 EQU196638:EQU196654 FAQ196638:FAQ196654 FKM196638:FKM196654 FUI196638:FUI196654 GEE196638:GEE196654 GOA196638:GOA196654 GXW196638:GXW196654 HHS196638:HHS196654 HRO196638:HRO196654 IBK196638:IBK196654 ILG196638:ILG196654 IVC196638:IVC196654 JEY196638:JEY196654 JOU196638:JOU196654 JYQ196638:JYQ196654 KIM196638:KIM196654 KSI196638:KSI196654 LCE196638:LCE196654 LMA196638:LMA196654 LVW196638:LVW196654 MFS196638:MFS196654 MPO196638:MPO196654 MZK196638:MZK196654 NJG196638:NJG196654 NTC196638:NTC196654 OCY196638:OCY196654 OMU196638:OMU196654 OWQ196638:OWQ196654 PGM196638:PGM196654 PQI196638:PQI196654 QAE196638:QAE196654 QKA196638:QKA196654 QTW196638:QTW196654 RDS196638:RDS196654 RNO196638:RNO196654 RXK196638:RXK196654 SHG196638:SHG196654 SRC196638:SRC196654 TAY196638:TAY196654 TKU196638:TKU196654 TUQ196638:TUQ196654 UEM196638:UEM196654 UOI196638:UOI196654 UYE196638:UYE196654 VIA196638:VIA196654 VRW196638:VRW196654 WBS196638:WBS196654 WLO196638:WLO196654 WVK196638:WVK196654 C262174:C262190 IY262174:IY262190 SU262174:SU262190 ACQ262174:ACQ262190 AMM262174:AMM262190 AWI262174:AWI262190 BGE262174:BGE262190 BQA262174:BQA262190 BZW262174:BZW262190 CJS262174:CJS262190 CTO262174:CTO262190 DDK262174:DDK262190 DNG262174:DNG262190 DXC262174:DXC262190 EGY262174:EGY262190 EQU262174:EQU262190 FAQ262174:FAQ262190 FKM262174:FKM262190 FUI262174:FUI262190 GEE262174:GEE262190 GOA262174:GOA262190 GXW262174:GXW262190 HHS262174:HHS262190 HRO262174:HRO262190 IBK262174:IBK262190 ILG262174:ILG262190 IVC262174:IVC262190 JEY262174:JEY262190 JOU262174:JOU262190 JYQ262174:JYQ262190 KIM262174:KIM262190 KSI262174:KSI262190 LCE262174:LCE262190 LMA262174:LMA262190 LVW262174:LVW262190 MFS262174:MFS262190 MPO262174:MPO262190 MZK262174:MZK262190 NJG262174:NJG262190 NTC262174:NTC262190 OCY262174:OCY262190 OMU262174:OMU262190 OWQ262174:OWQ262190 PGM262174:PGM262190 PQI262174:PQI262190 QAE262174:QAE262190 QKA262174:QKA262190 QTW262174:QTW262190 RDS262174:RDS262190 RNO262174:RNO262190 RXK262174:RXK262190 SHG262174:SHG262190 SRC262174:SRC262190 TAY262174:TAY262190 TKU262174:TKU262190 TUQ262174:TUQ262190 UEM262174:UEM262190 UOI262174:UOI262190 UYE262174:UYE262190 VIA262174:VIA262190 VRW262174:VRW262190 WBS262174:WBS262190 WLO262174:WLO262190 WVK262174:WVK262190 C327710:C327726 IY327710:IY327726 SU327710:SU327726 ACQ327710:ACQ327726 AMM327710:AMM327726 AWI327710:AWI327726 BGE327710:BGE327726 BQA327710:BQA327726 BZW327710:BZW327726 CJS327710:CJS327726 CTO327710:CTO327726 DDK327710:DDK327726 DNG327710:DNG327726 DXC327710:DXC327726 EGY327710:EGY327726 EQU327710:EQU327726 FAQ327710:FAQ327726 FKM327710:FKM327726 FUI327710:FUI327726 GEE327710:GEE327726 GOA327710:GOA327726 GXW327710:GXW327726 HHS327710:HHS327726 HRO327710:HRO327726 IBK327710:IBK327726 ILG327710:ILG327726 IVC327710:IVC327726 JEY327710:JEY327726 JOU327710:JOU327726 JYQ327710:JYQ327726 KIM327710:KIM327726 KSI327710:KSI327726 LCE327710:LCE327726 LMA327710:LMA327726 LVW327710:LVW327726 MFS327710:MFS327726 MPO327710:MPO327726 MZK327710:MZK327726 NJG327710:NJG327726 NTC327710:NTC327726 OCY327710:OCY327726 OMU327710:OMU327726 OWQ327710:OWQ327726 PGM327710:PGM327726 PQI327710:PQI327726 QAE327710:QAE327726 QKA327710:QKA327726 QTW327710:QTW327726 RDS327710:RDS327726 RNO327710:RNO327726 RXK327710:RXK327726 SHG327710:SHG327726 SRC327710:SRC327726 TAY327710:TAY327726 TKU327710:TKU327726 TUQ327710:TUQ327726 UEM327710:UEM327726 UOI327710:UOI327726 UYE327710:UYE327726 VIA327710:VIA327726 VRW327710:VRW327726 WBS327710:WBS327726 WLO327710:WLO327726 WVK327710:WVK327726 C393246:C393262 IY393246:IY393262 SU393246:SU393262 ACQ393246:ACQ393262 AMM393246:AMM393262 AWI393246:AWI393262 BGE393246:BGE393262 BQA393246:BQA393262 BZW393246:BZW393262 CJS393246:CJS393262 CTO393246:CTO393262 DDK393246:DDK393262 DNG393246:DNG393262 DXC393246:DXC393262 EGY393246:EGY393262 EQU393246:EQU393262 FAQ393246:FAQ393262 FKM393246:FKM393262 FUI393246:FUI393262 GEE393246:GEE393262 GOA393246:GOA393262 GXW393246:GXW393262 HHS393246:HHS393262 HRO393246:HRO393262 IBK393246:IBK393262 ILG393246:ILG393262 IVC393246:IVC393262 JEY393246:JEY393262 JOU393246:JOU393262 JYQ393246:JYQ393262 KIM393246:KIM393262 KSI393246:KSI393262 LCE393246:LCE393262 LMA393246:LMA393262 LVW393246:LVW393262 MFS393246:MFS393262 MPO393246:MPO393262 MZK393246:MZK393262 NJG393246:NJG393262 NTC393246:NTC393262 OCY393246:OCY393262 OMU393246:OMU393262 OWQ393246:OWQ393262 PGM393246:PGM393262 PQI393246:PQI393262 QAE393246:QAE393262 QKA393246:QKA393262 QTW393246:QTW393262 RDS393246:RDS393262 RNO393246:RNO393262 RXK393246:RXK393262 SHG393246:SHG393262 SRC393246:SRC393262 TAY393246:TAY393262 TKU393246:TKU393262 TUQ393246:TUQ393262 UEM393246:UEM393262 UOI393246:UOI393262 UYE393246:UYE393262 VIA393246:VIA393262 VRW393246:VRW393262 WBS393246:WBS393262 WLO393246:WLO393262 WVK393246:WVK393262 C458782:C458798 IY458782:IY458798 SU458782:SU458798 ACQ458782:ACQ458798 AMM458782:AMM458798 AWI458782:AWI458798 BGE458782:BGE458798 BQA458782:BQA458798 BZW458782:BZW458798 CJS458782:CJS458798 CTO458782:CTO458798 DDK458782:DDK458798 DNG458782:DNG458798 DXC458782:DXC458798 EGY458782:EGY458798 EQU458782:EQU458798 FAQ458782:FAQ458798 FKM458782:FKM458798 FUI458782:FUI458798 GEE458782:GEE458798 GOA458782:GOA458798 GXW458782:GXW458798 HHS458782:HHS458798 HRO458782:HRO458798 IBK458782:IBK458798 ILG458782:ILG458798 IVC458782:IVC458798 JEY458782:JEY458798 JOU458782:JOU458798 JYQ458782:JYQ458798 KIM458782:KIM458798 KSI458782:KSI458798 LCE458782:LCE458798 LMA458782:LMA458798 LVW458782:LVW458798 MFS458782:MFS458798 MPO458782:MPO458798 MZK458782:MZK458798 NJG458782:NJG458798 NTC458782:NTC458798 OCY458782:OCY458798 OMU458782:OMU458798 OWQ458782:OWQ458798 PGM458782:PGM458798 PQI458782:PQI458798 QAE458782:QAE458798 QKA458782:QKA458798 QTW458782:QTW458798 RDS458782:RDS458798 RNO458782:RNO458798 RXK458782:RXK458798 SHG458782:SHG458798 SRC458782:SRC458798 TAY458782:TAY458798 TKU458782:TKU458798 TUQ458782:TUQ458798 UEM458782:UEM458798 UOI458782:UOI458798 UYE458782:UYE458798 VIA458782:VIA458798 VRW458782:VRW458798 WBS458782:WBS458798 WLO458782:WLO458798 WVK458782:WVK458798 C524318:C524334 IY524318:IY524334 SU524318:SU524334 ACQ524318:ACQ524334 AMM524318:AMM524334 AWI524318:AWI524334 BGE524318:BGE524334 BQA524318:BQA524334 BZW524318:BZW524334 CJS524318:CJS524334 CTO524318:CTO524334 DDK524318:DDK524334 DNG524318:DNG524334 DXC524318:DXC524334 EGY524318:EGY524334 EQU524318:EQU524334 FAQ524318:FAQ524334 FKM524318:FKM524334 FUI524318:FUI524334 GEE524318:GEE524334 GOA524318:GOA524334 GXW524318:GXW524334 HHS524318:HHS524334 HRO524318:HRO524334 IBK524318:IBK524334 ILG524318:ILG524334 IVC524318:IVC524334 JEY524318:JEY524334 JOU524318:JOU524334 JYQ524318:JYQ524334 KIM524318:KIM524334 KSI524318:KSI524334 LCE524318:LCE524334 LMA524318:LMA524334 LVW524318:LVW524334 MFS524318:MFS524334 MPO524318:MPO524334 MZK524318:MZK524334 NJG524318:NJG524334 NTC524318:NTC524334 OCY524318:OCY524334 OMU524318:OMU524334 OWQ524318:OWQ524334 PGM524318:PGM524334 PQI524318:PQI524334 QAE524318:QAE524334 QKA524318:QKA524334 QTW524318:QTW524334 RDS524318:RDS524334 RNO524318:RNO524334 RXK524318:RXK524334 SHG524318:SHG524334 SRC524318:SRC524334 TAY524318:TAY524334 TKU524318:TKU524334 TUQ524318:TUQ524334 UEM524318:UEM524334 UOI524318:UOI524334 UYE524318:UYE524334 VIA524318:VIA524334 VRW524318:VRW524334 WBS524318:WBS524334 WLO524318:WLO524334 WVK524318:WVK524334 C589854:C589870 IY589854:IY589870 SU589854:SU589870 ACQ589854:ACQ589870 AMM589854:AMM589870 AWI589854:AWI589870 BGE589854:BGE589870 BQA589854:BQA589870 BZW589854:BZW589870 CJS589854:CJS589870 CTO589854:CTO589870 DDK589854:DDK589870 DNG589854:DNG589870 DXC589854:DXC589870 EGY589854:EGY589870 EQU589854:EQU589870 FAQ589854:FAQ589870 FKM589854:FKM589870 FUI589854:FUI589870 GEE589854:GEE589870 GOA589854:GOA589870 GXW589854:GXW589870 HHS589854:HHS589870 HRO589854:HRO589870 IBK589854:IBK589870 ILG589854:ILG589870 IVC589854:IVC589870 JEY589854:JEY589870 JOU589854:JOU589870 JYQ589854:JYQ589870 KIM589854:KIM589870 KSI589854:KSI589870 LCE589854:LCE589870 LMA589854:LMA589870 LVW589854:LVW589870 MFS589854:MFS589870 MPO589854:MPO589870 MZK589854:MZK589870 NJG589854:NJG589870 NTC589854:NTC589870 OCY589854:OCY589870 OMU589854:OMU589870 OWQ589854:OWQ589870 PGM589854:PGM589870 PQI589854:PQI589870 QAE589854:QAE589870 QKA589854:QKA589870 QTW589854:QTW589870 RDS589854:RDS589870 RNO589854:RNO589870 RXK589854:RXK589870 SHG589854:SHG589870 SRC589854:SRC589870 TAY589854:TAY589870 TKU589854:TKU589870 TUQ589854:TUQ589870 UEM589854:UEM589870 UOI589854:UOI589870 UYE589854:UYE589870 VIA589854:VIA589870 VRW589854:VRW589870 WBS589854:WBS589870 WLO589854:WLO589870 WVK589854:WVK589870 C655390:C655406 IY655390:IY655406 SU655390:SU655406 ACQ655390:ACQ655406 AMM655390:AMM655406 AWI655390:AWI655406 BGE655390:BGE655406 BQA655390:BQA655406 BZW655390:BZW655406 CJS655390:CJS655406 CTO655390:CTO655406 DDK655390:DDK655406 DNG655390:DNG655406 DXC655390:DXC655406 EGY655390:EGY655406 EQU655390:EQU655406 FAQ655390:FAQ655406 FKM655390:FKM655406 FUI655390:FUI655406 GEE655390:GEE655406 GOA655390:GOA655406 GXW655390:GXW655406 HHS655390:HHS655406 HRO655390:HRO655406 IBK655390:IBK655406 ILG655390:ILG655406 IVC655390:IVC655406 JEY655390:JEY655406 JOU655390:JOU655406 JYQ655390:JYQ655406 KIM655390:KIM655406 KSI655390:KSI655406 LCE655390:LCE655406 LMA655390:LMA655406 LVW655390:LVW655406 MFS655390:MFS655406 MPO655390:MPO655406 MZK655390:MZK655406 NJG655390:NJG655406 NTC655390:NTC655406 OCY655390:OCY655406 OMU655390:OMU655406 OWQ655390:OWQ655406 PGM655390:PGM655406 PQI655390:PQI655406 QAE655390:QAE655406 QKA655390:QKA655406 QTW655390:QTW655406 RDS655390:RDS655406 RNO655390:RNO655406 RXK655390:RXK655406 SHG655390:SHG655406 SRC655390:SRC655406 TAY655390:TAY655406 TKU655390:TKU655406 TUQ655390:TUQ655406 UEM655390:UEM655406 UOI655390:UOI655406 UYE655390:UYE655406 VIA655390:VIA655406 VRW655390:VRW655406 WBS655390:WBS655406 WLO655390:WLO655406 WVK655390:WVK655406 C720926:C720942 IY720926:IY720942 SU720926:SU720942 ACQ720926:ACQ720942 AMM720926:AMM720942 AWI720926:AWI720942 BGE720926:BGE720942 BQA720926:BQA720942 BZW720926:BZW720942 CJS720926:CJS720942 CTO720926:CTO720942 DDK720926:DDK720942 DNG720926:DNG720942 DXC720926:DXC720942 EGY720926:EGY720942 EQU720926:EQU720942 FAQ720926:FAQ720942 FKM720926:FKM720942 FUI720926:FUI720942 GEE720926:GEE720942 GOA720926:GOA720942 GXW720926:GXW720942 HHS720926:HHS720942 HRO720926:HRO720942 IBK720926:IBK720942 ILG720926:ILG720942 IVC720926:IVC720942 JEY720926:JEY720942 JOU720926:JOU720942 JYQ720926:JYQ720942 KIM720926:KIM720942 KSI720926:KSI720942 LCE720926:LCE720942 LMA720926:LMA720942 LVW720926:LVW720942 MFS720926:MFS720942 MPO720926:MPO720942 MZK720926:MZK720942 NJG720926:NJG720942 NTC720926:NTC720942 OCY720926:OCY720942 OMU720926:OMU720942 OWQ720926:OWQ720942 PGM720926:PGM720942 PQI720926:PQI720942 QAE720926:QAE720942 QKA720926:QKA720942 QTW720926:QTW720942 RDS720926:RDS720942 RNO720926:RNO720942 RXK720926:RXK720942 SHG720926:SHG720942 SRC720926:SRC720942 TAY720926:TAY720942 TKU720926:TKU720942 TUQ720926:TUQ720942 UEM720926:UEM720942 UOI720926:UOI720942 UYE720926:UYE720942 VIA720926:VIA720942 VRW720926:VRW720942 WBS720926:WBS720942 WLO720926:WLO720942 WVK720926:WVK720942 C786462:C786478 IY786462:IY786478 SU786462:SU786478 ACQ786462:ACQ786478 AMM786462:AMM786478 AWI786462:AWI786478 BGE786462:BGE786478 BQA786462:BQA786478 BZW786462:BZW786478 CJS786462:CJS786478 CTO786462:CTO786478 DDK786462:DDK786478 DNG786462:DNG786478 DXC786462:DXC786478 EGY786462:EGY786478 EQU786462:EQU786478 FAQ786462:FAQ786478 FKM786462:FKM786478 FUI786462:FUI786478 GEE786462:GEE786478 GOA786462:GOA786478 GXW786462:GXW786478 HHS786462:HHS786478 HRO786462:HRO786478 IBK786462:IBK786478 ILG786462:ILG786478 IVC786462:IVC786478 JEY786462:JEY786478 JOU786462:JOU786478 JYQ786462:JYQ786478 KIM786462:KIM786478 KSI786462:KSI786478 LCE786462:LCE786478 LMA786462:LMA786478 LVW786462:LVW786478 MFS786462:MFS786478 MPO786462:MPO786478 MZK786462:MZK786478 NJG786462:NJG786478 NTC786462:NTC786478 OCY786462:OCY786478 OMU786462:OMU786478 OWQ786462:OWQ786478 PGM786462:PGM786478 PQI786462:PQI786478 QAE786462:QAE786478 QKA786462:QKA786478 QTW786462:QTW786478 RDS786462:RDS786478 RNO786462:RNO786478 RXK786462:RXK786478 SHG786462:SHG786478 SRC786462:SRC786478 TAY786462:TAY786478 TKU786462:TKU786478 TUQ786462:TUQ786478 UEM786462:UEM786478 UOI786462:UOI786478 UYE786462:UYE786478 VIA786462:VIA786478 VRW786462:VRW786478 WBS786462:WBS786478 WLO786462:WLO786478 WVK786462:WVK786478 C851998:C852014 IY851998:IY852014 SU851998:SU852014 ACQ851998:ACQ852014 AMM851998:AMM852014 AWI851998:AWI852014 BGE851998:BGE852014 BQA851998:BQA852014 BZW851998:BZW852014 CJS851998:CJS852014 CTO851998:CTO852014 DDK851998:DDK852014 DNG851998:DNG852014 DXC851998:DXC852014 EGY851998:EGY852014 EQU851998:EQU852014 FAQ851998:FAQ852014 FKM851998:FKM852014 FUI851998:FUI852014 GEE851998:GEE852014 GOA851998:GOA852014 GXW851998:GXW852014 HHS851998:HHS852014 HRO851998:HRO852014 IBK851998:IBK852014 ILG851998:ILG852014 IVC851998:IVC852014 JEY851998:JEY852014 JOU851998:JOU852014 JYQ851998:JYQ852014 KIM851998:KIM852014 KSI851998:KSI852014 LCE851998:LCE852014 LMA851998:LMA852014 LVW851998:LVW852014 MFS851998:MFS852014 MPO851998:MPO852014 MZK851998:MZK852014 NJG851998:NJG852014 NTC851998:NTC852014 OCY851998:OCY852014 OMU851998:OMU852014 OWQ851998:OWQ852014 PGM851998:PGM852014 PQI851998:PQI852014 QAE851998:QAE852014 QKA851998:QKA852014 QTW851998:QTW852014 RDS851998:RDS852014 RNO851998:RNO852014 RXK851998:RXK852014 SHG851998:SHG852014 SRC851998:SRC852014 TAY851998:TAY852014 TKU851998:TKU852014 TUQ851998:TUQ852014 UEM851998:UEM852014 UOI851998:UOI852014 UYE851998:UYE852014 VIA851998:VIA852014 VRW851998:VRW852014 WBS851998:WBS852014 WLO851998:WLO852014 WVK851998:WVK852014 C917534:C917550 IY917534:IY917550 SU917534:SU917550 ACQ917534:ACQ917550 AMM917534:AMM917550 AWI917534:AWI917550 BGE917534:BGE917550 BQA917534:BQA917550 BZW917534:BZW917550 CJS917534:CJS917550 CTO917534:CTO917550 DDK917534:DDK917550 DNG917534:DNG917550 DXC917534:DXC917550 EGY917534:EGY917550 EQU917534:EQU917550 FAQ917534:FAQ917550 FKM917534:FKM917550 FUI917534:FUI917550 GEE917534:GEE917550 GOA917534:GOA917550 GXW917534:GXW917550 HHS917534:HHS917550 HRO917534:HRO917550 IBK917534:IBK917550 ILG917534:ILG917550 IVC917534:IVC917550 JEY917534:JEY917550 JOU917534:JOU917550 JYQ917534:JYQ917550 KIM917534:KIM917550 KSI917534:KSI917550 LCE917534:LCE917550 LMA917534:LMA917550 LVW917534:LVW917550 MFS917534:MFS917550 MPO917534:MPO917550 MZK917534:MZK917550 NJG917534:NJG917550 NTC917534:NTC917550 OCY917534:OCY917550 OMU917534:OMU917550 OWQ917534:OWQ917550 PGM917534:PGM917550 PQI917534:PQI917550 QAE917534:QAE917550 QKA917534:QKA917550 QTW917534:QTW917550 RDS917534:RDS917550 RNO917534:RNO917550 RXK917534:RXK917550 SHG917534:SHG917550 SRC917534:SRC917550 TAY917534:TAY917550 TKU917534:TKU917550 TUQ917534:TUQ917550 UEM917534:UEM917550 UOI917534:UOI917550 UYE917534:UYE917550 VIA917534:VIA917550 VRW917534:VRW917550 WBS917534:WBS917550 WLO917534:WLO917550 WVK917534:WVK917550 C983070:C983086 IY983070:IY983086 SU983070:SU983086 ACQ983070:ACQ983086 AMM983070:AMM983086 AWI983070:AWI983086 BGE983070:BGE983086 BQA983070:BQA983086 BZW983070:BZW983086 CJS983070:CJS983086 CTO983070:CTO983086 DDK983070:DDK983086 DNG983070:DNG983086 DXC983070:DXC983086 EGY983070:EGY983086 EQU983070:EQU983086 FAQ983070:FAQ983086 FKM983070:FKM983086 FUI983070:FUI983086 GEE983070:GEE983086 GOA983070:GOA983086 GXW983070:GXW983086 HHS983070:HHS983086 HRO983070:HRO983086 IBK983070:IBK983086 ILG983070:ILG983086 IVC983070:IVC983086 JEY983070:JEY983086 JOU983070:JOU983086 JYQ983070:JYQ983086 KIM983070:KIM983086 KSI983070:KSI983086 LCE983070:LCE983086 LMA983070:LMA983086 LVW983070:LVW983086 MFS983070:MFS983086 MPO983070:MPO983086 MZK983070:MZK983086 NJG983070:NJG983086 NTC983070:NTC983086 OCY983070:OCY983086 OMU983070:OMU983086 OWQ983070:OWQ983086 PGM983070:PGM983086 PQI983070:PQI983086 QAE983070:QAE983086 QKA983070:QKA983086 QTW983070:QTW983086 RDS983070:RDS983086 RNO983070:RNO983086 RXK983070:RXK983086 SHG983070:SHG983086 SRC983070:SRC983086 TAY983070:TAY983086 TKU983070:TKU983086 TUQ983070:TUQ983086 UEM983070:UEM983086 UOI983070:UOI983086 UYE983070:UYE983086 VIA983070:VIA983086 VRW983070:VRW983086 WBS983070:WBS983086 WLO983070:WLO983086 WVK983070:WVK983086" xr:uid="{4479878C-4008-4F76-B36F-DAAF6BD4B404}">
      <formula1>0</formula1>
      <formula2>10000</formula2>
    </dataValidation>
    <dataValidation type="textLength" errorStyle="information" allowBlank="1" showInputMessage="1" error="XLBVal:6=19884.97_x000d__x000a__x000a__x000d_" sqref="H30:H46 JD30:JD46 SZ30:SZ46 ACV30:ACV46 AMR30:AMR46 AWN30:AWN46 BGJ30:BGJ46 BQF30:BQF46 CAB30:CAB46 CJX30:CJX46 CTT30:CTT46 DDP30:DDP46 DNL30:DNL46 DXH30:DXH46 EHD30:EHD46 EQZ30:EQZ46 FAV30:FAV46 FKR30:FKR46 FUN30:FUN46 GEJ30:GEJ46 GOF30:GOF46 GYB30:GYB46 HHX30:HHX46 HRT30:HRT46 IBP30:IBP46 ILL30:ILL46 IVH30:IVH46 JFD30:JFD46 JOZ30:JOZ46 JYV30:JYV46 KIR30:KIR46 KSN30:KSN46 LCJ30:LCJ46 LMF30:LMF46 LWB30:LWB46 MFX30:MFX46 MPT30:MPT46 MZP30:MZP46 NJL30:NJL46 NTH30:NTH46 ODD30:ODD46 OMZ30:OMZ46 OWV30:OWV46 PGR30:PGR46 PQN30:PQN46 QAJ30:QAJ46 QKF30:QKF46 QUB30:QUB46 RDX30:RDX46 RNT30:RNT46 RXP30:RXP46 SHL30:SHL46 SRH30:SRH46 TBD30:TBD46 TKZ30:TKZ46 TUV30:TUV46 UER30:UER46 UON30:UON46 UYJ30:UYJ46 VIF30:VIF46 VSB30:VSB46 WBX30:WBX46 WLT30:WLT46 WVP30:WVP46 H65566:H65582 JD65566:JD65582 SZ65566:SZ65582 ACV65566:ACV65582 AMR65566:AMR65582 AWN65566:AWN65582 BGJ65566:BGJ65582 BQF65566:BQF65582 CAB65566:CAB65582 CJX65566:CJX65582 CTT65566:CTT65582 DDP65566:DDP65582 DNL65566:DNL65582 DXH65566:DXH65582 EHD65566:EHD65582 EQZ65566:EQZ65582 FAV65566:FAV65582 FKR65566:FKR65582 FUN65566:FUN65582 GEJ65566:GEJ65582 GOF65566:GOF65582 GYB65566:GYB65582 HHX65566:HHX65582 HRT65566:HRT65582 IBP65566:IBP65582 ILL65566:ILL65582 IVH65566:IVH65582 JFD65566:JFD65582 JOZ65566:JOZ65582 JYV65566:JYV65582 KIR65566:KIR65582 KSN65566:KSN65582 LCJ65566:LCJ65582 LMF65566:LMF65582 LWB65566:LWB65582 MFX65566:MFX65582 MPT65566:MPT65582 MZP65566:MZP65582 NJL65566:NJL65582 NTH65566:NTH65582 ODD65566:ODD65582 OMZ65566:OMZ65582 OWV65566:OWV65582 PGR65566:PGR65582 PQN65566:PQN65582 QAJ65566:QAJ65582 QKF65566:QKF65582 QUB65566:QUB65582 RDX65566:RDX65582 RNT65566:RNT65582 RXP65566:RXP65582 SHL65566:SHL65582 SRH65566:SRH65582 TBD65566:TBD65582 TKZ65566:TKZ65582 TUV65566:TUV65582 UER65566:UER65582 UON65566:UON65582 UYJ65566:UYJ65582 VIF65566:VIF65582 VSB65566:VSB65582 WBX65566:WBX65582 WLT65566:WLT65582 WVP65566:WVP65582 H131102:H131118 JD131102:JD131118 SZ131102:SZ131118 ACV131102:ACV131118 AMR131102:AMR131118 AWN131102:AWN131118 BGJ131102:BGJ131118 BQF131102:BQF131118 CAB131102:CAB131118 CJX131102:CJX131118 CTT131102:CTT131118 DDP131102:DDP131118 DNL131102:DNL131118 DXH131102:DXH131118 EHD131102:EHD131118 EQZ131102:EQZ131118 FAV131102:FAV131118 FKR131102:FKR131118 FUN131102:FUN131118 GEJ131102:GEJ131118 GOF131102:GOF131118 GYB131102:GYB131118 HHX131102:HHX131118 HRT131102:HRT131118 IBP131102:IBP131118 ILL131102:ILL131118 IVH131102:IVH131118 JFD131102:JFD131118 JOZ131102:JOZ131118 JYV131102:JYV131118 KIR131102:KIR131118 KSN131102:KSN131118 LCJ131102:LCJ131118 LMF131102:LMF131118 LWB131102:LWB131118 MFX131102:MFX131118 MPT131102:MPT131118 MZP131102:MZP131118 NJL131102:NJL131118 NTH131102:NTH131118 ODD131102:ODD131118 OMZ131102:OMZ131118 OWV131102:OWV131118 PGR131102:PGR131118 PQN131102:PQN131118 QAJ131102:QAJ131118 QKF131102:QKF131118 QUB131102:QUB131118 RDX131102:RDX131118 RNT131102:RNT131118 RXP131102:RXP131118 SHL131102:SHL131118 SRH131102:SRH131118 TBD131102:TBD131118 TKZ131102:TKZ131118 TUV131102:TUV131118 UER131102:UER131118 UON131102:UON131118 UYJ131102:UYJ131118 VIF131102:VIF131118 VSB131102:VSB131118 WBX131102:WBX131118 WLT131102:WLT131118 WVP131102:WVP131118 H196638:H196654 JD196638:JD196654 SZ196638:SZ196654 ACV196638:ACV196654 AMR196638:AMR196654 AWN196638:AWN196654 BGJ196638:BGJ196654 BQF196638:BQF196654 CAB196638:CAB196654 CJX196638:CJX196654 CTT196638:CTT196654 DDP196638:DDP196654 DNL196638:DNL196654 DXH196638:DXH196654 EHD196638:EHD196654 EQZ196638:EQZ196654 FAV196638:FAV196654 FKR196638:FKR196654 FUN196638:FUN196654 GEJ196638:GEJ196654 GOF196638:GOF196654 GYB196638:GYB196654 HHX196638:HHX196654 HRT196638:HRT196654 IBP196638:IBP196654 ILL196638:ILL196654 IVH196638:IVH196654 JFD196638:JFD196654 JOZ196638:JOZ196654 JYV196638:JYV196654 KIR196638:KIR196654 KSN196638:KSN196654 LCJ196638:LCJ196654 LMF196638:LMF196654 LWB196638:LWB196654 MFX196638:MFX196654 MPT196638:MPT196654 MZP196638:MZP196654 NJL196638:NJL196654 NTH196638:NTH196654 ODD196638:ODD196654 OMZ196638:OMZ196654 OWV196638:OWV196654 PGR196638:PGR196654 PQN196638:PQN196654 QAJ196638:QAJ196654 QKF196638:QKF196654 QUB196638:QUB196654 RDX196638:RDX196654 RNT196638:RNT196654 RXP196638:RXP196654 SHL196638:SHL196654 SRH196638:SRH196654 TBD196638:TBD196654 TKZ196638:TKZ196654 TUV196638:TUV196654 UER196638:UER196654 UON196638:UON196654 UYJ196638:UYJ196654 VIF196638:VIF196654 VSB196638:VSB196654 WBX196638:WBX196654 WLT196638:WLT196654 WVP196638:WVP196654 H262174:H262190 JD262174:JD262190 SZ262174:SZ262190 ACV262174:ACV262190 AMR262174:AMR262190 AWN262174:AWN262190 BGJ262174:BGJ262190 BQF262174:BQF262190 CAB262174:CAB262190 CJX262174:CJX262190 CTT262174:CTT262190 DDP262174:DDP262190 DNL262174:DNL262190 DXH262174:DXH262190 EHD262174:EHD262190 EQZ262174:EQZ262190 FAV262174:FAV262190 FKR262174:FKR262190 FUN262174:FUN262190 GEJ262174:GEJ262190 GOF262174:GOF262190 GYB262174:GYB262190 HHX262174:HHX262190 HRT262174:HRT262190 IBP262174:IBP262190 ILL262174:ILL262190 IVH262174:IVH262190 JFD262174:JFD262190 JOZ262174:JOZ262190 JYV262174:JYV262190 KIR262174:KIR262190 KSN262174:KSN262190 LCJ262174:LCJ262190 LMF262174:LMF262190 LWB262174:LWB262190 MFX262174:MFX262190 MPT262174:MPT262190 MZP262174:MZP262190 NJL262174:NJL262190 NTH262174:NTH262190 ODD262174:ODD262190 OMZ262174:OMZ262190 OWV262174:OWV262190 PGR262174:PGR262190 PQN262174:PQN262190 QAJ262174:QAJ262190 QKF262174:QKF262190 QUB262174:QUB262190 RDX262174:RDX262190 RNT262174:RNT262190 RXP262174:RXP262190 SHL262174:SHL262190 SRH262174:SRH262190 TBD262174:TBD262190 TKZ262174:TKZ262190 TUV262174:TUV262190 UER262174:UER262190 UON262174:UON262190 UYJ262174:UYJ262190 VIF262174:VIF262190 VSB262174:VSB262190 WBX262174:WBX262190 WLT262174:WLT262190 WVP262174:WVP262190 H327710:H327726 JD327710:JD327726 SZ327710:SZ327726 ACV327710:ACV327726 AMR327710:AMR327726 AWN327710:AWN327726 BGJ327710:BGJ327726 BQF327710:BQF327726 CAB327710:CAB327726 CJX327710:CJX327726 CTT327710:CTT327726 DDP327710:DDP327726 DNL327710:DNL327726 DXH327710:DXH327726 EHD327710:EHD327726 EQZ327710:EQZ327726 FAV327710:FAV327726 FKR327710:FKR327726 FUN327710:FUN327726 GEJ327710:GEJ327726 GOF327710:GOF327726 GYB327710:GYB327726 HHX327710:HHX327726 HRT327710:HRT327726 IBP327710:IBP327726 ILL327710:ILL327726 IVH327710:IVH327726 JFD327710:JFD327726 JOZ327710:JOZ327726 JYV327710:JYV327726 KIR327710:KIR327726 KSN327710:KSN327726 LCJ327710:LCJ327726 LMF327710:LMF327726 LWB327710:LWB327726 MFX327710:MFX327726 MPT327710:MPT327726 MZP327710:MZP327726 NJL327710:NJL327726 NTH327710:NTH327726 ODD327710:ODD327726 OMZ327710:OMZ327726 OWV327710:OWV327726 PGR327710:PGR327726 PQN327710:PQN327726 QAJ327710:QAJ327726 QKF327710:QKF327726 QUB327710:QUB327726 RDX327710:RDX327726 RNT327710:RNT327726 RXP327710:RXP327726 SHL327710:SHL327726 SRH327710:SRH327726 TBD327710:TBD327726 TKZ327710:TKZ327726 TUV327710:TUV327726 UER327710:UER327726 UON327710:UON327726 UYJ327710:UYJ327726 VIF327710:VIF327726 VSB327710:VSB327726 WBX327710:WBX327726 WLT327710:WLT327726 WVP327710:WVP327726 H393246:H393262 JD393246:JD393262 SZ393246:SZ393262 ACV393246:ACV393262 AMR393246:AMR393262 AWN393246:AWN393262 BGJ393246:BGJ393262 BQF393246:BQF393262 CAB393246:CAB393262 CJX393246:CJX393262 CTT393246:CTT393262 DDP393246:DDP393262 DNL393246:DNL393262 DXH393246:DXH393262 EHD393246:EHD393262 EQZ393246:EQZ393262 FAV393246:FAV393262 FKR393246:FKR393262 FUN393246:FUN393262 GEJ393246:GEJ393262 GOF393246:GOF393262 GYB393246:GYB393262 HHX393246:HHX393262 HRT393246:HRT393262 IBP393246:IBP393262 ILL393246:ILL393262 IVH393246:IVH393262 JFD393246:JFD393262 JOZ393246:JOZ393262 JYV393246:JYV393262 KIR393246:KIR393262 KSN393246:KSN393262 LCJ393246:LCJ393262 LMF393246:LMF393262 LWB393246:LWB393262 MFX393246:MFX393262 MPT393246:MPT393262 MZP393246:MZP393262 NJL393246:NJL393262 NTH393246:NTH393262 ODD393246:ODD393262 OMZ393246:OMZ393262 OWV393246:OWV393262 PGR393246:PGR393262 PQN393246:PQN393262 QAJ393246:QAJ393262 QKF393246:QKF393262 QUB393246:QUB393262 RDX393246:RDX393262 RNT393246:RNT393262 RXP393246:RXP393262 SHL393246:SHL393262 SRH393246:SRH393262 TBD393246:TBD393262 TKZ393246:TKZ393262 TUV393246:TUV393262 UER393246:UER393262 UON393246:UON393262 UYJ393246:UYJ393262 VIF393246:VIF393262 VSB393246:VSB393262 WBX393246:WBX393262 WLT393246:WLT393262 WVP393246:WVP393262 H458782:H458798 JD458782:JD458798 SZ458782:SZ458798 ACV458782:ACV458798 AMR458782:AMR458798 AWN458782:AWN458798 BGJ458782:BGJ458798 BQF458782:BQF458798 CAB458782:CAB458798 CJX458782:CJX458798 CTT458782:CTT458798 DDP458782:DDP458798 DNL458782:DNL458798 DXH458782:DXH458798 EHD458782:EHD458798 EQZ458782:EQZ458798 FAV458782:FAV458798 FKR458782:FKR458798 FUN458782:FUN458798 GEJ458782:GEJ458798 GOF458782:GOF458798 GYB458782:GYB458798 HHX458782:HHX458798 HRT458782:HRT458798 IBP458782:IBP458798 ILL458782:ILL458798 IVH458782:IVH458798 JFD458782:JFD458798 JOZ458782:JOZ458798 JYV458782:JYV458798 KIR458782:KIR458798 KSN458782:KSN458798 LCJ458782:LCJ458798 LMF458782:LMF458798 LWB458782:LWB458798 MFX458782:MFX458798 MPT458782:MPT458798 MZP458782:MZP458798 NJL458782:NJL458798 NTH458782:NTH458798 ODD458782:ODD458798 OMZ458782:OMZ458798 OWV458782:OWV458798 PGR458782:PGR458798 PQN458782:PQN458798 QAJ458782:QAJ458798 QKF458782:QKF458798 QUB458782:QUB458798 RDX458782:RDX458798 RNT458782:RNT458798 RXP458782:RXP458798 SHL458782:SHL458798 SRH458782:SRH458798 TBD458782:TBD458798 TKZ458782:TKZ458798 TUV458782:TUV458798 UER458782:UER458798 UON458782:UON458798 UYJ458782:UYJ458798 VIF458782:VIF458798 VSB458782:VSB458798 WBX458782:WBX458798 WLT458782:WLT458798 WVP458782:WVP458798 H524318:H524334 JD524318:JD524334 SZ524318:SZ524334 ACV524318:ACV524334 AMR524318:AMR524334 AWN524318:AWN524334 BGJ524318:BGJ524334 BQF524318:BQF524334 CAB524318:CAB524334 CJX524318:CJX524334 CTT524318:CTT524334 DDP524318:DDP524334 DNL524318:DNL524334 DXH524318:DXH524334 EHD524318:EHD524334 EQZ524318:EQZ524334 FAV524318:FAV524334 FKR524318:FKR524334 FUN524318:FUN524334 GEJ524318:GEJ524334 GOF524318:GOF524334 GYB524318:GYB524334 HHX524318:HHX524334 HRT524318:HRT524334 IBP524318:IBP524334 ILL524318:ILL524334 IVH524318:IVH524334 JFD524318:JFD524334 JOZ524318:JOZ524334 JYV524318:JYV524334 KIR524318:KIR524334 KSN524318:KSN524334 LCJ524318:LCJ524334 LMF524318:LMF524334 LWB524318:LWB524334 MFX524318:MFX524334 MPT524318:MPT524334 MZP524318:MZP524334 NJL524318:NJL524334 NTH524318:NTH524334 ODD524318:ODD524334 OMZ524318:OMZ524334 OWV524318:OWV524334 PGR524318:PGR524334 PQN524318:PQN524334 QAJ524318:QAJ524334 QKF524318:QKF524334 QUB524318:QUB524334 RDX524318:RDX524334 RNT524318:RNT524334 RXP524318:RXP524334 SHL524318:SHL524334 SRH524318:SRH524334 TBD524318:TBD524334 TKZ524318:TKZ524334 TUV524318:TUV524334 UER524318:UER524334 UON524318:UON524334 UYJ524318:UYJ524334 VIF524318:VIF524334 VSB524318:VSB524334 WBX524318:WBX524334 WLT524318:WLT524334 WVP524318:WVP524334 H589854:H589870 JD589854:JD589870 SZ589854:SZ589870 ACV589854:ACV589870 AMR589854:AMR589870 AWN589854:AWN589870 BGJ589854:BGJ589870 BQF589854:BQF589870 CAB589854:CAB589870 CJX589854:CJX589870 CTT589854:CTT589870 DDP589854:DDP589870 DNL589854:DNL589870 DXH589854:DXH589870 EHD589854:EHD589870 EQZ589854:EQZ589870 FAV589854:FAV589870 FKR589854:FKR589870 FUN589854:FUN589870 GEJ589854:GEJ589870 GOF589854:GOF589870 GYB589854:GYB589870 HHX589854:HHX589870 HRT589854:HRT589870 IBP589854:IBP589870 ILL589854:ILL589870 IVH589854:IVH589870 JFD589854:JFD589870 JOZ589854:JOZ589870 JYV589854:JYV589870 KIR589854:KIR589870 KSN589854:KSN589870 LCJ589854:LCJ589870 LMF589854:LMF589870 LWB589854:LWB589870 MFX589854:MFX589870 MPT589854:MPT589870 MZP589854:MZP589870 NJL589854:NJL589870 NTH589854:NTH589870 ODD589854:ODD589870 OMZ589854:OMZ589870 OWV589854:OWV589870 PGR589854:PGR589870 PQN589854:PQN589870 QAJ589854:QAJ589870 QKF589854:QKF589870 QUB589854:QUB589870 RDX589854:RDX589870 RNT589854:RNT589870 RXP589854:RXP589870 SHL589854:SHL589870 SRH589854:SRH589870 TBD589854:TBD589870 TKZ589854:TKZ589870 TUV589854:TUV589870 UER589854:UER589870 UON589854:UON589870 UYJ589854:UYJ589870 VIF589854:VIF589870 VSB589854:VSB589870 WBX589854:WBX589870 WLT589854:WLT589870 WVP589854:WVP589870 H655390:H655406 JD655390:JD655406 SZ655390:SZ655406 ACV655390:ACV655406 AMR655390:AMR655406 AWN655390:AWN655406 BGJ655390:BGJ655406 BQF655390:BQF655406 CAB655390:CAB655406 CJX655390:CJX655406 CTT655390:CTT655406 DDP655390:DDP655406 DNL655390:DNL655406 DXH655390:DXH655406 EHD655390:EHD655406 EQZ655390:EQZ655406 FAV655390:FAV655406 FKR655390:FKR655406 FUN655390:FUN655406 GEJ655390:GEJ655406 GOF655390:GOF655406 GYB655390:GYB655406 HHX655390:HHX655406 HRT655390:HRT655406 IBP655390:IBP655406 ILL655390:ILL655406 IVH655390:IVH655406 JFD655390:JFD655406 JOZ655390:JOZ655406 JYV655390:JYV655406 KIR655390:KIR655406 KSN655390:KSN655406 LCJ655390:LCJ655406 LMF655390:LMF655406 LWB655390:LWB655406 MFX655390:MFX655406 MPT655390:MPT655406 MZP655390:MZP655406 NJL655390:NJL655406 NTH655390:NTH655406 ODD655390:ODD655406 OMZ655390:OMZ655406 OWV655390:OWV655406 PGR655390:PGR655406 PQN655390:PQN655406 QAJ655390:QAJ655406 QKF655390:QKF655406 QUB655390:QUB655406 RDX655390:RDX655406 RNT655390:RNT655406 RXP655390:RXP655406 SHL655390:SHL655406 SRH655390:SRH655406 TBD655390:TBD655406 TKZ655390:TKZ655406 TUV655390:TUV655406 UER655390:UER655406 UON655390:UON655406 UYJ655390:UYJ655406 VIF655390:VIF655406 VSB655390:VSB655406 WBX655390:WBX655406 WLT655390:WLT655406 WVP655390:WVP655406 H720926:H720942 JD720926:JD720942 SZ720926:SZ720942 ACV720926:ACV720942 AMR720926:AMR720942 AWN720926:AWN720942 BGJ720926:BGJ720942 BQF720926:BQF720942 CAB720926:CAB720942 CJX720926:CJX720942 CTT720926:CTT720942 DDP720926:DDP720942 DNL720926:DNL720942 DXH720926:DXH720942 EHD720926:EHD720942 EQZ720926:EQZ720942 FAV720926:FAV720942 FKR720926:FKR720942 FUN720926:FUN720942 GEJ720926:GEJ720942 GOF720926:GOF720942 GYB720926:GYB720942 HHX720926:HHX720942 HRT720926:HRT720942 IBP720926:IBP720942 ILL720926:ILL720942 IVH720926:IVH720942 JFD720926:JFD720942 JOZ720926:JOZ720942 JYV720926:JYV720942 KIR720926:KIR720942 KSN720926:KSN720942 LCJ720926:LCJ720942 LMF720926:LMF720942 LWB720926:LWB720942 MFX720926:MFX720942 MPT720926:MPT720942 MZP720926:MZP720942 NJL720926:NJL720942 NTH720926:NTH720942 ODD720926:ODD720942 OMZ720926:OMZ720942 OWV720926:OWV720942 PGR720926:PGR720942 PQN720926:PQN720942 QAJ720926:QAJ720942 QKF720926:QKF720942 QUB720926:QUB720942 RDX720926:RDX720942 RNT720926:RNT720942 RXP720926:RXP720942 SHL720926:SHL720942 SRH720926:SRH720942 TBD720926:TBD720942 TKZ720926:TKZ720942 TUV720926:TUV720942 UER720926:UER720942 UON720926:UON720942 UYJ720926:UYJ720942 VIF720926:VIF720942 VSB720926:VSB720942 WBX720926:WBX720942 WLT720926:WLT720942 WVP720926:WVP720942 H786462:H786478 JD786462:JD786478 SZ786462:SZ786478 ACV786462:ACV786478 AMR786462:AMR786478 AWN786462:AWN786478 BGJ786462:BGJ786478 BQF786462:BQF786478 CAB786462:CAB786478 CJX786462:CJX786478 CTT786462:CTT786478 DDP786462:DDP786478 DNL786462:DNL786478 DXH786462:DXH786478 EHD786462:EHD786478 EQZ786462:EQZ786478 FAV786462:FAV786478 FKR786462:FKR786478 FUN786462:FUN786478 GEJ786462:GEJ786478 GOF786462:GOF786478 GYB786462:GYB786478 HHX786462:HHX786478 HRT786462:HRT786478 IBP786462:IBP786478 ILL786462:ILL786478 IVH786462:IVH786478 JFD786462:JFD786478 JOZ786462:JOZ786478 JYV786462:JYV786478 KIR786462:KIR786478 KSN786462:KSN786478 LCJ786462:LCJ786478 LMF786462:LMF786478 LWB786462:LWB786478 MFX786462:MFX786478 MPT786462:MPT786478 MZP786462:MZP786478 NJL786462:NJL786478 NTH786462:NTH786478 ODD786462:ODD786478 OMZ786462:OMZ786478 OWV786462:OWV786478 PGR786462:PGR786478 PQN786462:PQN786478 QAJ786462:QAJ786478 QKF786462:QKF786478 QUB786462:QUB786478 RDX786462:RDX786478 RNT786462:RNT786478 RXP786462:RXP786478 SHL786462:SHL786478 SRH786462:SRH786478 TBD786462:TBD786478 TKZ786462:TKZ786478 TUV786462:TUV786478 UER786462:UER786478 UON786462:UON786478 UYJ786462:UYJ786478 VIF786462:VIF786478 VSB786462:VSB786478 WBX786462:WBX786478 WLT786462:WLT786478 WVP786462:WVP786478 H851998:H852014 JD851998:JD852014 SZ851998:SZ852014 ACV851998:ACV852014 AMR851998:AMR852014 AWN851998:AWN852014 BGJ851998:BGJ852014 BQF851998:BQF852014 CAB851998:CAB852014 CJX851998:CJX852014 CTT851998:CTT852014 DDP851998:DDP852014 DNL851998:DNL852014 DXH851998:DXH852014 EHD851998:EHD852014 EQZ851998:EQZ852014 FAV851998:FAV852014 FKR851998:FKR852014 FUN851998:FUN852014 GEJ851998:GEJ852014 GOF851998:GOF852014 GYB851998:GYB852014 HHX851998:HHX852014 HRT851998:HRT852014 IBP851998:IBP852014 ILL851998:ILL852014 IVH851998:IVH852014 JFD851998:JFD852014 JOZ851998:JOZ852014 JYV851998:JYV852014 KIR851998:KIR852014 KSN851998:KSN852014 LCJ851998:LCJ852014 LMF851998:LMF852014 LWB851998:LWB852014 MFX851998:MFX852014 MPT851998:MPT852014 MZP851998:MZP852014 NJL851998:NJL852014 NTH851998:NTH852014 ODD851998:ODD852014 OMZ851998:OMZ852014 OWV851998:OWV852014 PGR851998:PGR852014 PQN851998:PQN852014 QAJ851998:QAJ852014 QKF851998:QKF852014 QUB851998:QUB852014 RDX851998:RDX852014 RNT851998:RNT852014 RXP851998:RXP852014 SHL851998:SHL852014 SRH851998:SRH852014 TBD851998:TBD852014 TKZ851998:TKZ852014 TUV851998:TUV852014 UER851998:UER852014 UON851998:UON852014 UYJ851998:UYJ852014 VIF851998:VIF852014 VSB851998:VSB852014 WBX851998:WBX852014 WLT851998:WLT852014 WVP851998:WVP852014 H917534:H917550 JD917534:JD917550 SZ917534:SZ917550 ACV917534:ACV917550 AMR917534:AMR917550 AWN917534:AWN917550 BGJ917534:BGJ917550 BQF917534:BQF917550 CAB917534:CAB917550 CJX917534:CJX917550 CTT917534:CTT917550 DDP917534:DDP917550 DNL917534:DNL917550 DXH917534:DXH917550 EHD917534:EHD917550 EQZ917534:EQZ917550 FAV917534:FAV917550 FKR917534:FKR917550 FUN917534:FUN917550 GEJ917534:GEJ917550 GOF917534:GOF917550 GYB917534:GYB917550 HHX917534:HHX917550 HRT917534:HRT917550 IBP917534:IBP917550 ILL917534:ILL917550 IVH917534:IVH917550 JFD917534:JFD917550 JOZ917534:JOZ917550 JYV917534:JYV917550 KIR917534:KIR917550 KSN917534:KSN917550 LCJ917534:LCJ917550 LMF917534:LMF917550 LWB917534:LWB917550 MFX917534:MFX917550 MPT917534:MPT917550 MZP917534:MZP917550 NJL917534:NJL917550 NTH917534:NTH917550 ODD917534:ODD917550 OMZ917534:OMZ917550 OWV917534:OWV917550 PGR917534:PGR917550 PQN917534:PQN917550 QAJ917534:QAJ917550 QKF917534:QKF917550 QUB917534:QUB917550 RDX917534:RDX917550 RNT917534:RNT917550 RXP917534:RXP917550 SHL917534:SHL917550 SRH917534:SRH917550 TBD917534:TBD917550 TKZ917534:TKZ917550 TUV917534:TUV917550 UER917534:UER917550 UON917534:UON917550 UYJ917534:UYJ917550 VIF917534:VIF917550 VSB917534:VSB917550 WBX917534:WBX917550 WLT917534:WLT917550 WVP917534:WVP917550 H983070:H983086 JD983070:JD983086 SZ983070:SZ983086 ACV983070:ACV983086 AMR983070:AMR983086 AWN983070:AWN983086 BGJ983070:BGJ983086 BQF983070:BQF983086 CAB983070:CAB983086 CJX983070:CJX983086 CTT983070:CTT983086 DDP983070:DDP983086 DNL983070:DNL983086 DXH983070:DXH983086 EHD983070:EHD983086 EQZ983070:EQZ983086 FAV983070:FAV983086 FKR983070:FKR983086 FUN983070:FUN983086 GEJ983070:GEJ983086 GOF983070:GOF983086 GYB983070:GYB983086 HHX983070:HHX983086 HRT983070:HRT983086 IBP983070:IBP983086 ILL983070:ILL983086 IVH983070:IVH983086 JFD983070:JFD983086 JOZ983070:JOZ983086 JYV983070:JYV983086 KIR983070:KIR983086 KSN983070:KSN983086 LCJ983070:LCJ983086 LMF983070:LMF983086 LWB983070:LWB983086 MFX983070:MFX983086 MPT983070:MPT983086 MZP983070:MZP983086 NJL983070:NJL983086 NTH983070:NTH983086 ODD983070:ODD983086 OMZ983070:OMZ983086 OWV983070:OWV983086 PGR983070:PGR983086 PQN983070:PQN983086 QAJ983070:QAJ983086 QKF983070:QKF983086 QUB983070:QUB983086 RDX983070:RDX983086 RNT983070:RNT983086 RXP983070:RXP983086 SHL983070:SHL983086 SRH983070:SRH983086 TBD983070:TBD983086 TKZ983070:TKZ983086 TUV983070:TUV983086 UER983070:UER983086 UON983070:UON983086 UYJ983070:UYJ983086 VIF983070:VIF983086 VSB983070:VSB983086 WBX983070:WBX983086 WLT983070:WLT983086 WVP983070:WVP983086 D16:D18 IZ16:IZ18 SV16:SV18 ACR16:ACR18 AMN16:AMN18 AWJ16:AWJ18 BGF16:BGF18 BQB16:BQB18 BZX16:BZX18 CJT16:CJT18 CTP16:CTP18 DDL16:DDL18 DNH16:DNH18 DXD16:DXD18 EGZ16:EGZ18 EQV16:EQV18 FAR16:FAR18 FKN16:FKN18 FUJ16:FUJ18 GEF16:GEF18 GOB16:GOB18 GXX16:GXX18 HHT16:HHT18 HRP16:HRP18 IBL16:IBL18 ILH16:ILH18 IVD16:IVD18 JEZ16:JEZ18 JOV16:JOV18 JYR16:JYR18 KIN16:KIN18 KSJ16:KSJ18 LCF16:LCF18 LMB16:LMB18 LVX16:LVX18 MFT16:MFT18 MPP16:MPP18 MZL16:MZL18 NJH16:NJH18 NTD16:NTD18 OCZ16:OCZ18 OMV16:OMV18 OWR16:OWR18 PGN16:PGN18 PQJ16:PQJ18 QAF16:QAF18 QKB16:QKB18 QTX16:QTX18 RDT16:RDT18 RNP16:RNP18 RXL16:RXL18 SHH16:SHH18 SRD16:SRD18 TAZ16:TAZ18 TKV16:TKV18 TUR16:TUR18 UEN16:UEN18 UOJ16:UOJ18 UYF16:UYF18 VIB16:VIB18 VRX16:VRX18 WBT16:WBT18 WLP16:WLP18 WVL16:WVL18 D65552:D65554 IZ65552:IZ65554 SV65552:SV65554 ACR65552:ACR65554 AMN65552:AMN65554 AWJ65552:AWJ65554 BGF65552:BGF65554 BQB65552:BQB65554 BZX65552:BZX65554 CJT65552:CJT65554 CTP65552:CTP65554 DDL65552:DDL65554 DNH65552:DNH65554 DXD65552:DXD65554 EGZ65552:EGZ65554 EQV65552:EQV65554 FAR65552:FAR65554 FKN65552:FKN65554 FUJ65552:FUJ65554 GEF65552:GEF65554 GOB65552:GOB65554 GXX65552:GXX65554 HHT65552:HHT65554 HRP65552:HRP65554 IBL65552:IBL65554 ILH65552:ILH65554 IVD65552:IVD65554 JEZ65552:JEZ65554 JOV65552:JOV65554 JYR65552:JYR65554 KIN65552:KIN65554 KSJ65552:KSJ65554 LCF65552:LCF65554 LMB65552:LMB65554 LVX65552:LVX65554 MFT65552:MFT65554 MPP65552:MPP65554 MZL65552:MZL65554 NJH65552:NJH65554 NTD65552:NTD65554 OCZ65552:OCZ65554 OMV65552:OMV65554 OWR65552:OWR65554 PGN65552:PGN65554 PQJ65552:PQJ65554 QAF65552:QAF65554 QKB65552:QKB65554 QTX65552:QTX65554 RDT65552:RDT65554 RNP65552:RNP65554 RXL65552:RXL65554 SHH65552:SHH65554 SRD65552:SRD65554 TAZ65552:TAZ65554 TKV65552:TKV65554 TUR65552:TUR65554 UEN65552:UEN65554 UOJ65552:UOJ65554 UYF65552:UYF65554 VIB65552:VIB65554 VRX65552:VRX65554 WBT65552:WBT65554 WLP65552:WLP65554 WVL65552:WVL65554 D131088:D131090 IZ131088:IZ131090 SV131088:SV131090 ACR131088:ACR131090 AMN131088:AMN131090 AWJ131088:AWJ131090 BGF131088:BGF131090 BQB131088:BQB131090 BZX131088:BZX131090 CJT131088:CJT131090 CTP131088:CTP131090 DDL131088:DDL131090 DNH131088:DNH131090 DXD131088:DXD131090 EGZ131088:EGZ131090 EQV131088:EQV131090 FAR131088:FAR131090 FKN131088:FKN131090 FUJ131088:FUJ131090 GEF131088:GEF131090 GOB131088:GOB131090 GXX131088:GXX131090 HHT131088:HHT131090 HRP131088:HRP131090 IBL131088:IBL131090 ILH131088:ILH131090 IVD131088:IVD131090 JEZ131088:JEZ131090 JOV131088:JOV131090 JYR131088:JYR131090 KIN131088:KIN131090 KSJ131088:KSJ131090 LCF131088:LCF131090 LMB131088:LMB131090 LVX131088:LVX131090 MFT131088:MFT131090 MPP131088:MPP131090 MZL131088:MZL131090 NJH131088:NJH131090 NTD131088:NTD131090 OCZ131088:OCZ131090 OMV131088:OMV131090 OWR131088:OWR131090 PGN131088:PGN131090 PQJ131088:PQJ131090 QAF131088:QAF131090 QKB131088:QKB131090 QTX131088:QTX131090 RDT131088:RDT131090 RNP131088:RNP131090 RXL131088:RXL131090 SHH131088:SHH131090 SRD131088:SRD131090 TAZ131088:TAZ131090 TKV131088:TKV131090 TUR131088:TUR131090 UEN131088:UEN131090 UOJ131088:UOJ131090 UYF131088:UYF131090 VIB131088:VIB131090 VRX131088:VRX131090 WBT131088:WBT131090 WLP131088:WLP131090 WVL131088:WVL131090 D196624:D196626 IZ196624:IZ196626 SV196624:SV196626 ACR196624:ACR196626 AMN196624:AMN196626 AWJ196624:AWJ196626 BGF196624:BGF196626 BQB196624:BQB196626 BZX196624:BZX196626 CJT196624:CJT196626 CTP196624:CTP196626 DDL196624:DDL196626 DNH196624:DNH196626 DXD196624:DXD196626 EGZ196624:EGZ196626 EQV196624:EQV196626 FAR196624:FAR196626 FKN196624:FKN196626 FUJ196624:FUJ196626 GEF196624:GEF196626 GOB196624:GOB196626 GXX196624:GXX196626 HHT196624:HHT196626 HRP196624:HRP196626 IBL196624:IBL196626 ILH196624:ILH196626 IVD196624:IVD196626 JEZ196624:JEZ196626 JOV196624:JOV196626 JYR196624:JYR196626 KIN196624:KIN196626 KSJ196624:KSJ196626 LCF196624:LCF196626 LMB196624:LMB196626 LVX196624:LVX196626 MFT196624:MFT196626 MPP196624:MPP196626 MZL196624:MZL196626 NJH196624:NJH196626 NTD196624:NTD196626 OCZ196624:OCZ196626 OMV196624:OMV196626 OWR196624:OWR196626 PGN196624:PGN196626 PQJ196624:PQJ196626 QAF196624:QAF196626 QKB196624:QKB196626 QTX196624:QTX196626 RDT196624:RDT196626 RNP196624:RNP196626 RXL196624:RXL196626 SHH196624:SHH196626 SRD196624:SRD196626 TAZ196624:TAZ196626 TKV196624:TKV196626 TUR196624:TUR196626 UEN196624:UEN196626 UOJ196624:UOJ196626 UYF196624:UYF196626 VIB196624:VIB196626 VRX196624:VRX196626 WBT196624:WBT196626 WLP196624:WLP196626 WVL196624:WVL196626 D262160:D262162 IZ262160:IZ262162 SV262160:SV262162 ACR262160:ACR262162 AMN262160:AMN262162 AWJ262160:AWJ262162 BGF262160:BGF262162 BQB262160:BQB262162 BZX262160:BZX262162 CJT262160:CJT262162 CTP262160:CTP262162 DDL262160:DDL262162 DNH262160:DNH262162 DXD262160:DXD262162 EGZ262160:EGZ262162 EQV262160:EQV262162 FAR262160:FAR262162 FKN262160:FKN262162 FUJ262160:FUJ262162 GEF262160:GEF262162 GOB262160:GOB262162 GXX262160:GXX262162 HHT262160:HHT262162 HRP262160:HRP262162 IBL262160:IBL262162 ILH262160:ILH262162 IVD262160:IVD262162 JEZ262160:JEZ262162 JOV262160:JOV262162 JYR262160:JYR262162 KIN262160:KIN262162 KSJ262160:KSJ262162 LCF262160:LCF262162 LMB262160:LMB262162 LVX262160:LVX262162 MFT262160:MFT262162 MPP262160:MPP262162 MZL262160:MZL262162 NJH262160:NJH262162 NTD262160:NTD262162 OCZ262160:OCZ262162 OMV262160:OMV262162 OWR262160:OWR262162 PGN262160:PGN262162 PQJ262160:PQJ262162 QAF262160:QAF262162 QKB262160:QKB262162 QTX262160:QTX262162 RDT262160:RDT262162 RNP262160:RNP262162 RXL262160:RXL262162 SHH262160:SHH262162 SRD262160:SRD262162 TAZ262160:TAZ262162 TKV262160:TKV262162 TUR262160:TUR262162 UEN262160:UEN262162 UOJ262160:UOJ262162 UYF262160:UYF262162 VIB262160:VIB262162 VRX262160:VRX262162 WBT262160:WBT262162 WLP262160:WLP262162 WVL262160:WVL262162 D327696:D327698 IZ327696:IZ327698 SV327696:SV327698 ACR327696:ACR327698 AMN327696:AMN327698 AWJ327696:AWJ327698 BGF327696:BGF327698 BQB327696:BQB327698 BZX327696:BZX327698 CJT327696:CJT327698 CTP327696:CTP327698 DDL327696:DDL327698 DNH327696:DNH327698 DXD327696:DXD327698 EGZ327696:EGZ327698 EQV327696:EQV327698 FAR327696:FAR327698 FKN327696:FKN327698 FUJ327696:FUJ327698 GEF327696:GEF327698 GOB327696:GOB327698 GXX327696:GXX327698 HHT327696:HHT327698 HRP327696:HRP327698 IBL327696:IBL327698 ILH327696:ILH327698 IVD327696:IVD327698 JEZ327696:JEZ327698 JOV327696:JOV327698 JYR327696:JYR327698 KIN327696:KIN327698 KSJ327696:KSJ327698 LCF327696:LCF327698 LMB327696:LMB327698 LVX327696:LVX327698 MFT327696:MFT327698 MPP327696:MPP327698 MZL327696:MZL327698 NJH327696:NJH327698 NTD327696:NTD327698 OCZ327696:OCZ327698 OMV327696:OMV327698 OWR327696:OWR327698 PGN327696:PGN327698 PQJ327696:PQJ327698 QAF327696:QAF327698 QKB327696:QKB327698 QTX327696:QTX327698 RDT327696:RDT327698 RNP327696:RNP327698 RXL327696:RXL327698 SHH327696:SHH327698 SRD327696:SRD327698 TAZ327696:TAZ327698 TKV327696:TKV327698 TUR327696:TUR327698 UEN327696:UEN327698 UOJ327696:UOJ327698 UYF327696:UYF327698 VIB327696:VIB327698 VRX327696:VRX327698 WBT327696:WBT327698 WLP327696:WLP327698 WVL327696:WVL327698 D393232:D393234 IZ393232:IZ393234 SV393232:SV393234 ACR393232:ACR393234 AMN393232:AMN393234 AWJ393232:AWJ393234 BGF393232:BGF393234 BQB393232:BQB393234 BZX393232:BZX393234 CJT393232:CJT393234 CTP393232:CTP393234 DDL393232:DDL393234 DNH393232:DNH393234 DXD393232:DXD393234 EGZ393232:EGZ393234 EQV393232:EQV393234 FAR393232:FAR393234 FKN393232:FKN393234 FUJ393232:FUJ393234 GEF393232:GEF393234 GOB393232:GOB393234 GXX393232:GXX393234 HHT393232:HHT393234 HRP393232:HRP393234 IBL393232:IBL393234 ILH393232:ILH393234 IVD393232:IVD393234 JEZ393232:JEZ393234 JOV393232:JOV393234 JYR393232:JYR393234 KIN393232:KIN393234 KSJ393232:KSJ393234 LCF393232:LCF393234 LMB393232:LMB393234 LVX393232:LVX393234 MFT393232:MFT393234 MPP393232:MPP393234 MZL393232:MZL393234 NJH393232:NJH393234 NTD393232:NTD393234 OCZ393232:OCZ393234 OMV393232:OMV393234 OWR393232:OWR393234 PGN393232:PGN393234 PQJ393232:PQJ393234 QAF393232:QAF393234 QKB393232:QKB393234 QTX393232:QTX393234 RDT393232:RDT393234 RNP393232:RNP393234 RXL393232:RXL393234 SHH393232:SHH393234 SRD393232:SRD393234 TAZ393232:TAZ393234 TKV393232:TKV393234 TUR393232:TUR393234 UEN393232:UEN393234 UOJ393232:UOJ393234 UYF393232:UYF393234 VIB393232:VIB393234 VRX393232:VRX393234 WBT393232:WBT393234 WLP393232:WLP393234 WVL393232:WVL393234 D458768:D458770 IZ458768:IZ458770 SV458768:SV458770 ACR458768:ACR458770 AMN458768:AMN458770 AWJ458768:AWJ458770 BGF458768:BGF458770 BQB458768:BQB458770 BZX458768:BZX458770 CJT458768:CJT458770 CTP458768:CTP458770 DDL458768:DDL458770 DNH458768:DNH458770 DXD458768:DXD458770 EGZ458768:EGZ458770 EQV458768:EQV458770 FAR458768:FAR458770 FKN458768:FKN458770 FUJ458768:FUJ458770 GEF458768:GEF458770 GOB458768:GOB458770 GXX458768:GXX458770 HHT458768:HHT458770 HRP458768:HRP458770 IBL458768:IBL458770 ILH458768:ILH458770 IVD458768:IVD458770 JEZ458768:JEZ458770 JOV458768:JOV458770 JYR458768:JYR458770 KIN458768:KIN458770 KSJ458768:KSJ458770 LCF458768:LCF458770 LMB458768:LMB458770 LVX458768:LVX458770 MFT458768:MFT458770 MPP458768:MPP458770 MZL458768:MZL458770 NJH458768:NJH458770 NTD458768:NTD458770 OCZ458768:OCZ458770 OMV458768:OMV458770 OWR458768:OWR458770 PGN458768:PGN458770 PQJ458768:PQJ458770 QAF458768:QAF458770 QKB458768:QKB458770 QTX458768:QTX458770 RDT458768:RDT458770 RNP458768:RNP458770 RXL458768:RXL458770 SHH458768:SHH458770 SRD458768:SRD458770 TAZ458768:TAZ458770 TKV458768:TKV458770 TUR458768:TUR458770 UEN458768:UEN458770 UOJ458768:UOJ458770 UYF458768:UYF458770 VIB458768:VIB458770 VRX458768:VRX458770 WBT458768:WBT458770 WLP458768:WLP458770 WVL458768:WVL458770 D524304:D524306 IZ524304:IZ524306 SV524304:SV524306 ACR524304:ACR524306 AMN524304:AMN524306 AWJ524304:AWJ524306 BGF524304:BGF524306 BQB524304:BQB524306 BZX524304:BZX524306 CJT524304:CJT524306 CTP524304:CTP524306 DDL524304:DDL524306 DNH524304:DNH524306 DXD524304:DXD524306 EGZ524304:EGZ524306 EQV524304:EQV524306 FAR524304:FAR524306 FKN524304:FKN524306 FUJ524304:FUJ524306 GEF524304:GEF524306 GOB524304:GOB524306 GXX524304:GXX524306 HHT524304:HHT524306 HRP524304:HRP524306 IBL524304:IBL524306 ILH524304:ILH524306 IVD524304:IVD524306 JEZ524304:JEZ524306 JOV524304:JOV524306 JYR524304:JYR524306 KIN524304:KIN524306 KSJ524304:KSJ524306 LCF524304:LCF524306 LMB524304:LMB524306 LVX524304:LVX524306 MFT524304:MFT524306 MPP524304:MPP524306 MZL524304:MZL524306 NJH524304:NJH524306 NTD524304:NTD524306 OCZ524304:OCZ524306 OMV524304:OMV524306 OWR524304:OWR524306 PGN524304:PGN524306 PQJ524304:PQJ524306 QAF524304:QAF524306 QKB524304:QKB524306 QTX524304:QTX524306 RDT524304:RDT524306 RNP524304:RNP524306 RXL524304:RXL524306 SHH524304:SHH524306 SRD524304:SRD524306 TAZ524304:TAZ524306 TKV524304:TKV524306 TUR524304:TUR524306 UEN524304:UEN524306 UOJ524304:UOJ524306 UYF524304:UYF524306 VIB524304:VIB524306 VRX524304:VRX524306 WBT524304:WBT524306 WLP524304:WLP524306 WVL524304:WVL524306 D589840:D589842 IZ589840:IZ589842 SV589840:SV589842 ACR589840:ACR589842 AMN589840:AMN589842 AWJ589840:AWJ589842 BGF589840:BGF589842 BQB589840:BQB589842 BZX589840:BZX589842 CJT589840:CJT589842 CTP589840:CTP589842 DDL589840:DDL589842 DNH589840:DNH589842 DXD589840:DXD589842 EGZ589840:EGZ589842 EQV589840:EQV589842 FAR589840:FAR589842 FKN589840:FKN589842 FUJ589840:FUJ589842 GEF589840:GEF589842 GOB589840:GOB589842 GXX589840:GXX589842 HHT589840:HHT589842 HRP589840:HRP589842 IBL589840:IBL589842 ILH589840:ILH589842 IVD589840:IVD589842 JEZ589840:JEZ589842 JOV589840:JOV589842 JYR589840:JYR589842 KIN589840:KIN589842 KSJ589840:KSJ589842 LCF589840:LCF589842 LMB589840:LMB589842 LVX589840:LVX589842 MFT589840:MFT589842 MPP589840:MPP589842 MZL589840:MZL589842 NJH589840:NJH589842 NTD589840:NTD589842 OCZ589840:OCZ589842 OMV589840:OMV589842 OWR589840:OWR589842 PGN589840:PGN589842 PQJ589840:PQJ589842 QAF589840:QAF589842 QKB589840:QKB589842 QTX589840:QTX589842 RDT589840:RDT589842 RNP589840:RNP589842 RXL589840:RXL589842 SHH589840:SHH589842 SRD589840:SRD589842 TAZ589840:TAZ589842 TKV589840:TKV589842 TUR589840:TUR589842 UEN589840:UEN589842 UOJ589840:UOJ589842 UYF589840:UYF589842 VIB589840:VIB589842 VRX589840:VRX589842 WBT589840:WBT589842 WLP589840:WLP589842 WVL589840:WVL589842 D655376:D655378 IZ655376:IZ655378 SV655376:SV655378 ACR655376:ACR655378 AMN655376:AMN655378 AWJ655376:AWJ655378 BGF655376:BGF655378 BQB655376:BQB655378 BZX655376:BZX655378 CJT655376:CJT655378 CTP655376:CTP655378 DDL655376:DDL655378 DNH655376:DNH655378 DXD655376:DXD655378 EGZ655376:EGZ655378 EQV655376:EQV655378 FAR655376:FAR655378 FKN655376:FKN655378 FUJ655376:FUJ655378 GEF655376:GEF655378 GOB655376:GOB655378 GXX655376:GXX655378 HHT655376:HHT655378 HRP655376:HRP655378 IBL655376:IBL655378 ILH655376:ILH655378 IVD655376:IVD655378 JEZ655376:JEZ655378 JOV655376:JOV655378 JYR655376:JYR655378 KIN655376:KIN655378 KSJ655376:KSJ655378 LCF655376:LCF655378 LMB655376:LMB655378 LVX655376:LVX655378 MFT655376:MFT655378 MPP655376:MPP655378 MZL655376:MZL655378 NJH655376:NJH655378 NTD655376:NTD655378 OCZ655376:OCZ655378 OMV655376:OMV655378 OWR655376:OWR655378 PGN655376:PGN655378 PQJ655376:PQJ655378 QAF655376:QAF655378 QKB655376:QKB655378 QTX655376:QTX655378 RDT655376:RDT655378 RNP655376:RNP655378 RXL655376:RXL655378 SHH655376:SHH655378 SRD655376:SRD655378 TAZ655376:TAZ655378 TKV655376:TKV655378 TUR655376:TUR655378 UEN655376:UEN655378 UOJ655376:UOJ655378 UYF655376:UYF655378 VIB655376:VIB655378 VRX655376:VRX655378 WBT655376:WBT655378 WLP655376:WLP655378 WVL655376:WVL655378 D720912:D720914 IZ720912:IZ720914 SV720912:SV720914 ACR720912:ACR720914 AMN720912:AMN720914 AWJ720912:AWJ720914 BGF720912:BGF720914 BQB720912:BQB720914 BZX720912:BZX720914 CJT720912:CJT720914 CTP720912:CTP720914 DDL720912:DDL720914 DNH720912:DNH720914 DXD720912:DXD720914 EGZ720912:EGZ720914 EQV720912:EQV720914 FAR720912:FAR720914 FKN720912:FKN720914 FUJ720912:FUJ720914 GEF720912:GEF720914 GOB720912:GOB720914 GXX720912:GXX720914 HHT720912:HHT720914 HRP720912:HRP720914 IBL720912:IBL720914 ILH720912:ILH720914 IVD720912:IVD720914 JEZ720912:JEZ720914 JOV720912:JOV720914 JYR720912:JYR720914 KIN720912:KIN720914 KSJ720912:KSJ720914 LCF720912:LCF720914 LMB720912:LMB720914 LVX720912:LVX720914 MFT720912:MFT720914 MPP720912:MPP720914 MZL720912:MZL720914 NJH720912:NJH720914 NTD720912:NTD720914 OCZ720912:OCZ720914 OMV720912:OMV720914 OWR720912:OWR720914 PGN720912:PGN720914 PQJ720912:PQJ720914 QAF720912:QAF720914 QKB720912:QKB720914 QTX720912:QTX720914 RDT720912:RDT720914 RNP720912:RNP720914 RXL720912:RXL720914 SHH720912:SHH720914 SRD720912:SRD720914 TAZ720912:TAZ720914 TKV720912:TKV720914 TUR720912:TUR720914 UEN720912:UEN720914 UOJ720912:UOJ720914 UYF720912:UYF720914 VIB720912:VIB720914 VRX720912:VRX720914 WBT720912:WBT720914 WLP720912:WLP720914 WVL720912:WVL720914 D786448:D786450 IZ786448:IZ786450 SV786448:SV786450 ACR786448:ACR786450 AMN786448:AMN786450 AWJ786448:AWJ786450 BGF786448:BGF786450 BQB786448:BQB786450 BZX786448:BZX786450 CJT786448:CJT786450 CTP786448:CTP786450 DDL786448:DDL786450 DNH786448:DNH786450 DXD786448:DXD786450 EGZ786448:EGZ786450 EQV786448:EQV786450 FAR786448:FAR786450 FKN786448:FKN786450 FUJ786448:FUJ786450 GEF786448:GEF786450 GOB786448:GOB786450 GXX786448:GXX786450 HHT786448:HHT786450 HRP786448:HRP786450 IBL786448:IBL786450 ILH786448:ILH786450 IVD786448:IVD786450 JEZ786448:JEZ786450 JOV786448:JOV786450 JYR786448:JYR786450 KIN786448:KIN786450 KSJ786448:KSJ786450 LCF786448:LCF786450 LMB786448:LMB786450 LVX786448:LVX786450 MFT786448:MFT786450 MPP786448:MPP786450 MZL786448:MZL786450 NJH786448:NJH786450 NTD786448:NTD786450 OCZ786448:OCZ786450 OMV786448:OMV786450 OWR786448:OWR786450 PGN786448:PGN786450 PQJ786448:PQJ786450 QAF786448:QAF786450 QKB786448:QKB786450 QTX786448:QTX786450 RDT786448:RDT786450 RNP786448:RNP786450 RXL786448:RXL786450 SHH786448:SHH786450 SRD786448:SRD786450 TAZ786448:TAZ786450 TKV786448:TKV786450 TUR786448:TUR786450 UEN786448:UEN786450 UOJ786448:UOJ786450 UYF786448:UYF786450 VIB786448:VIB786450 VRX786448:VRX786450 WBT786448:WBT786450 WLP786448:WLP786450 WVL786448:WVL786450 D851984:D851986 IZ851984:IZ851986 SV851984:SV851986 ACR851984:ACR851986 AMN851984:AMN851986 AWJ851984:AWJ851986 BGF851984:BGF851986 BQB851984:BQB851986 BZX851984:BZX851986 CJT851984:CJT851986 CTP851984:CTP851986 DDL851984:DDL851986 DNH851984:DNH851986 DXD851984:DXD851986 EGZ851984:EGZ851986 EQV851984:EQV851986 FAR851984:FAR851986 FKN851984:FKN851986 FUJ851984:FUJ851986 GEF851984:GEF851986 GOB851984:GOB851986 GXX851984:GXX851986 HHT851984:HHT851986 HRP851984:HRP851986 IBL851984:IBL851986 ILH851984:ILH851986 IVD851984:IVD851986 JEZ851984:JEZ851986 JOV851984:JOV851986 JYR851984:JYR851986 KIN851984:KIN851986 KSJ851984:KSJ851986 LCF851984:LCF851986 LMB851984:LMB851986 LVX851984:LVX851986 MFT851984:MFT851986 MPP851984:MPP851986 MZL851984:MZL851986 NJH851984:NJH851986 NTD851984:NTD851986 OCZ851984:OCZ851986 OMV851984:OMV851986 OWR851984:OWR851986 PGN851984:PGN851986 PQJ851984:PQJ851986 QAF851984:QAF851986 QKB851984:QKB851986 QTX851984:QTX851986 RDT851984:RDT851986 RNP851984:RNP851986 RXL851984:RXL851986 SHH851984:SHH851986 SRD851984:SRD851986 TAZ851984:TAZ851986 TKV851984:TKV851986 TUR851984:TUR851986 UEN851984:UEN851986 UOJ851984:UOJ851986 UYF851984:UYF851986 VIB851984:VIB851986 VRX851984:VRX851986 WBT851984:WBT851986 WLP851984:WLP851986 WVL851984:WVL851986 D917520:D917522 IZ917520:IZ917522 SV917520:SV917522 ACR917520:ACR917522 AMN917520:AMN917522 AWJ917520:AWJ917522 BGF917520:BGF917522 BQB917520:BQB917522 BZX917520:BZX917522 CJT917520:CJT917522 CTP917520:CTP917522 DDL917520:DDL917522 DNH917520:DNH917522 DXD917520:DXD917522 EGZ917520:EGZ917522 EQV917520:EQV917522 FAR917520:FAR917522 FKN917520:FKN917522 FUJ917520:FUJ917522 GEF917520:GEF917522 GOB917520:GOB917522 GXX917520:GXX917522 HHT917520:HHT917522 HRP917520:HRP917522 IBL917520:IBL917522 ILH917520:ILH917522 IVD917520:IVD917522 JEZ917520:JEZ917522 JOV917520:JOV917522 JYR917520:JYR917522 KIN917520:KIN917522 KSJ917520:KSJ917522 LCF917520:LCF917522 LMB917520:LMB917522 LVX917520:LVX917522 MFT917520:MFT917522 MPP917520:MPP917522 MZL917520:MZL917522 NJH917520:NJH917522 NTD917520:NTD917522 OCZ917520:OCZ917522 OMV917520:OMV917522 OWR917520:OWR917522 PGN917520:PGN917522 PQJ917520:PQJ917522 QAF917520:QAF917522 QKB917520:QKB917522 QTX917520:QTX917522 RDT917520:RDT917522 RNP917520:RNP917522 RXL917520:RXL917522 SHH917520:SHH917522 SRD917520:SRD917522 TAZ917520:TAZ917522 TKV917520:TKV917522 TUR917520:TUR917522 UEN917520:UEN917522 UOJ917520:UOJ917522 UYF917520:UYF917522 VIB917520:VIB917522 VRX917520:VRX917522 WBT917520:WBT917522 WLP917520:WLP917522 WVL917520:WVL917522 D983056:D983058 IZ983056:IZ983058 SV983056:SV983058 ACR983056:ACR983058 AMN983056:AMN983058 AWJ983056:AWJ983058 BGF983056:BGF983058 BQB983056:BQB983058 BZX983056:BZX983058 CJT983056:CJT983058 CTP983056:CTP983058 DDL983056:DDL983058 DNH983056:DNH983058 DXD983056:DXD983058 EGZ983056:EGZ983058 EQV983056:EQV983058 FAR983056:FAR983058 FKN983056:FKN983058 FUJ983056:FUJ983058 GEF983056:GEF983058 GOB983056:GOB983058 GXX983056:GXX983058 HHT983056:HHT983058 HRP983056:HRP983058 IBL983056:IBL983058 ILH983056:ILH983058 IVD983056:IVD983058 JEZ983056:JEZ983058 JOV983056:JOV983058 JYR983056:JYR983058 KIN983056:KIN983058 KSJ983056:KSJ983058 LCF983056:LCF983058 LMB983056:LMB983058 LVX983056:LVX983058 MFT983056:MFT983058 MPP983056:MPP983058 MZL983056:MZL983058 NJH983056:NJH983058 NTD983056:NTD983058 OCZ983056:OCZ983058 OMV983056:OMV983058 OWR983056:OWR983058 PGN983056:PGN983058 PQJ983056:PQJ983058 QAF983056:QAF983058 QKB983056:QKB983058 QTX983056:QTX983058 RDT983056:RDT983058 RNP983056:RNP983058 RXL983056:RXL983058 SHH983056:SHH983058 SRD983056:SRD983058 TAZ983056:TAZ983058 TKV983056:TKV983058 TUR983056:TUR983058 UEN983056:UEN983058 UOJ983056:UOJ983058 UYF983056:UYF983058 VIB983056:VIB983058 VRX983056:VRX983058 WBT983056:WBT983058 WLP983056:WLP983058 WVL983056:WVL983058 D30:D34 IZ30:IZ34 SV30:SV34 ACR30:ACR34 AMN30:AMN34 AWJ30:AWJ34 BGF30:BGF34 BQB30:BQB34 BZX30:BZX34 CJT30:CJT34 CTP30:CTP34 DDL30:DDL34 DNH30:DNH34 DXD30:DXD34 EGZ30:EGZ34 EQV30:EQV34 FAR30:FAR34 FKN30:FKN34 FUJ30:FUJ34 GEF30:GEF34 GOB30:GOB34 GXX30:GXX34 HHT30:HHT34 HRP30:HRP34 IBL30:IBL34 ILH30:ILH34 IVD30:IVD34 JEZ30:JEZ34 JOV30:JOV34 JYR30:JYR34 KIN30:KIN34 KSJ30:KSJ34 LCF30:LCF34 LMB30:LMB34 LVX30:LVX34 MFT30:MFT34 MPP30:MPP34 MZL30:MZL34 NJH30:NJH34 NTD30:NTD34 OCZ30:OCZ34 OMV30:OMV34 OWR30:OWR34 PGN30:PGN34 PQJ30:PQJ34 QAF30:QAF34 QKB30:QKB34 QTX30:QTX34 RDT30:RDT34 RNP30:RNP34 RXL30:RXL34 SHH30:SHH34 SRD30:SRD34 TAZ30:TAZ34 TKV30:TKV34 TUR30:TUR34 UEN30:UEN34 UOJ30:UOJ34 UYF30:UYF34 VIB30:VIB34 VRX30:VRX34 WBT30:WBT34 WLP30:WLP34 WVL30:WVL34 D65566:D65570 IZ65566:IZ65570 SV65566:SV65570 ACR65566:ACR65570 AMN65566:AMN65570 AWJ65566:AWJ65570 BGF65566:BGF65570 BQB65566:BQB65570 BZX65566:BZX65570 CJT65566:CJT65570 CTP65566:CTP65570 DDL65566:DDL65570 DNH65566:DNH65570 DXD65566:DXD65570 EGZ65566:EGZ65570 EQV65566:EQV65570 FAR65566:FAR65570 FKN65566:FKN65570 FUJ65566:FUJ65570 GEF65566:GEF65570 GOB65566:GOB65570 GXX65566:GXX65570 HHT65566:HHT65570 HRP65566:HRP65570 IBL65566:IBL65570 ILH65566:ILH65570 IVD65566:IVD65570 JEZ65566:JEZ65570 JOV65566:JOV65570 JYR65566:JYR65570 KIN65566:KIN65570 KSJ65566:KSJ65570 LCF65566:LCF65570 LMB65566:LMB65570 LVX65566:LVX65570 MFT65566:MFT65570 MPP65566:MPP65570 MZL65566:MZL65570 NJH65566:NJH65570 NTD65566:NTD65570 OCZ65566:OCZ65570 OMV65566:OMV65570 OWR65566:OWR65570 PGN65566:PGN65570 PQJ65566:PQJ65570 QAF65566:QAF65570 QKB65566:QKB65570 QTX65566:QTX65570 RDT65566:RDT65570 RNP65566:RNP65570 RXL65566:RXL65570 SHH65566:SHH65570 SRD65566:SRD65570 TAZ65566:TAZ65570 TKV65566:TKV65570 TUR65566:TUR65570 UEN65566:UEN65570 UOJ65566:UOJ65570 UYF65566:UYF65570 VIB65566:VIB65570 VRX65566:VRX65570 WBT65566:WBT65570 WLP65566:WLP65570 WVL65566:WVL65570 D131102:D131106 IZ131102:IZ131106 SV131102:SV131106 ACR131102:ACR131106 AMN131102:AMN131106 AWJ131102:AWJ131106 BGF131102:BGF131106 BQB131102:BQB131106 BZX131102:BZX131106 CJT131102:CJT131106 CTP131102:CTP131106 DDL131102:DDL131106 DNH131102:DNH131106 DXD131102:DXD131106 EGZ131102:EGZ131106 EQV131102:EQV131106 FAR131102:FAR131106 FKN131102:FKN131106 FUJ131102:FUJ131106 GEF131102:GEF131106 GOB131102:GOB131106 GXX131102:GXX131106 HHT131102:HHT131106 HRP131102:HRP131106 IBL131102:IBL131106 ILH131102:ILH131106 IVD131102:IVD131106 JEZ131102:JEZ131106 JOV131102:JOV131106 JYR131102:JYR131106 KIN131102:KIN131106 KSJ131102:KSJ131106 LCF131102:LCF131106 LMB131102:LMB131106 LVX131102:LVX131106 MFT131102:MFT131106 MPP131102:MPP131106 MZL131102:MZL131106 NJH131102:NJH131106 NTD131102:NTD131106 OCZ131102:OCZ131106 OMV131102:OMV131106 OWR131102:OWR131106 PGN131102:PGN131106 PQJ131102:PQJ131106 QAF131102:QAF131106 QKB131102:QKB131106 QTX131102:QTX131106 RDT131102:RDT131106 RNP131102:RNP131106 RXL131102:RXL131106 SHH131102:SHH131106 SRD131102:SRD131106 TAZ131102:TAZ131106 TKV131102:TKV131106 TUR131102:TUR131106 UEN131102:UEN131106 UOJ131102:UOJ131106 UYF131102:UYF131106 VIB131102:VIB131106 VRX131102:VRX131106 WBT131102:WBT131106 WLP131102:WLP131106 WVL131102:WVL131106 D196638:D196642 IZ196638:IZ196642 SV196638:SV196642 ACR196638:ACR196642 AMN196638:AMN196642 AWJ196638:AWJ196642 BGF196638:BGF196642 BQB196638:BQB196642 BZX196638:BZX196642 CJT196638:CJT196642 CTP196638:CTP196642 DDL196638:DDL196642 DNH196638:DNH196642 DXD196638:DXD196642 EGZ196638:EGZ196642 EQV196638:EQV196642 FAR196638:FAR196642 FKN196638:FKN196642 FUJ196638:FUJ196642 GEF196638:GEF196642 GOB196638:GOB196642 GXX196638:GXX196642 HHT196638:HHT196642 HRP196638:HRP196642 IBL196638:IBL196642 ILH196638:ILH196642 IVD196638:IVD196642 JEZ196638:JEZ196642 JOV196638:JOV196642 JYR196638:JYR196642 KIN196638:KIN196642 KSJ196638:KSJ196642 LCF196638:LCF196642 LMB196638:LMB196642 LVX196638:LVX196642 MFT196638:MFT196642 MPP196638:MPP196642 MZL196638:MZL196642 NJH196638:NJH196642 NTD196638:NTD196642 OCZ196638:OCZ196642 OMV196638:OMV196642 OWR196638:OWR196642 PGN196638:PGN196642 PQJ196638:PQJ196642 QAF196638:QAF196642 QKB196638:QKB196642 QTX196638:QTX196642 RDT196638:RDT196642 RNP196638:RNP196642 RXL196638:RXL196642 SHH196638:SHH196642 SRD196638:SRD196642 TAZ196638:TAZ196642 TKV196638:TKV196642 TUR196638:TUR196642 UEN196638:UEN196642 UOJ196638:UOJ196642 UYF196638:UYF196642 VIB196638:VIB196642 VRX196638:VRX196642 WBT196638:WBT196642 WLP196638:WLP196642 WVL196638:WVL196642 D262174:D262178 IZ262174:IZ262178 SV262174:SV262178 ACR262174:ACR262178 AMN262174:AMN262178 AWJ262174:AWJ262178 BGF262174:BGF262178 BQB262174:BQB262178 BZX262174:BZX262178 CJT262174:CJT262178 CTP262174:CTP262178 DDL262174:DDL262178 DNH262174:DNH262178 DXD262174:DXD262178 EGZ262174:EGZ262178 EQV262174:EQV262178 FAR262174:FAR262178 FKN262174:FKN262178 FUJ262174:FUJ262178 GEF262174:GEF262178 GOB262174:GOB262178 GXX262174:GXX262178 HHT262174:HHT262178 HRP262174:HRP262178 IBL262174:IBL262178 ILH262174:ILH262178 IVD262174:IVD262178 JEZ262174:JEZ262178 JOV262174:JOV262178 JYR262174:JYR262178 KIN262174:KIN262178 KSJ262174:KSJ262178 LCF262174:LCF262178 LMB262174:LMB262178 LVX262174:LVX262178 MFT262174:MFT262178 MPP262174:MPP262178 MZL262174:MZL262178 NJH262174:NJH262178 NTD262174:NTD262178 OCZ262174:OCZ262178 OMV262174:OMV262178 OWR262174:OWR262178 PGN262174:PGN262178 PQJ262174:PQJ262178 QAF262174:QAF262178 QKB262174:QKB262178 QTX262174:QTX262178 RDT262174:RDT262178 RNP262174:RNP262178 RXL262174:RXL262178 SHH262174:SHH262178 SRD262174:SRD262178 TAZ262174:TAZ262178 TKV262174:TKV262178 TUR262174:TUR262178 UEN262174:UEN262178 UOJ262174:UOJ262178 UYF262174:UYF262178 VIB262174:VIB262178 VRX262174:VRX262178 WBT262174:WBT262178 WLP262174:WLP262178 WVL262174:WVL262178 D327710:D327714 IZ327710:IZ327714 SV327710:SV327714 ACR327710:ACR327714 AMN327710:AMN327714 AWJ327710:AWJ327714 BGF327710:BGF327714 BQB327710:BQB327714 BZX327710:BZX327714 CJT327710:CJT327714 CTP327710:CTP327714 DDL327710:DDL327714 DNH327710:DNH327714 DXD327710:DXD327714 EGZ327710:EGZ327714 EQV327710:EQV327714 FAR327710:FAR327714 FKN327710:FKN327714 FUJ327710:FUJ327714 GEF327710:GEF327714 GOB327710:GOB327714 GXX327710:GXX327714 HHT327710:HHT327714 HRP327710:HRP327714 IBL327710:IBL327714 ILH327710:ILH327714 IVD327710:IVD327714 JEZ327710:JEZ327714 JOV327710:JOV327714 JYR327710:JYR327714 KIN327710:KIN327714 KSJ327710:KSJ327714 LCF327710:LCF327714 LMB327710:LMB327714 LVX327710:LVX327714 MFT327710:MFT327714 MPP327710:MPP327714 MZL327710:MZL327714 NJH327710:NJH327714 NTD327710:NTD327714 OCZ327710:OCZ327714 OMV327710:OMV327714 OWR327710:OWR327714 PGN327710:PGN327714 PQJ327710:PQJ327714 QAF327710:QAF327714 QKB327710:QKB327714 QTX327710:QTX327714 RDT327710:RDT327714 RNP327710:RNP327714 RXL327710:RXL327714 SHH327710:SHH327714 SRD327710:SRD327714 TAZ327710:TAZ327714 TKV327710:TKV327714 TUR327710:TUR327714 UEN327710:UEN327714 UOJ327710:UOJ327714 UYF327710:UYF327714 VIB327710:VIB327714 VRX327710:VRX327714 WBT327710:WBT327714 WLP327710:WLP327714 WVL327710:WVL327714 D393246:D393250 IZ393246:IZ393250 SV393246:SV393250 ACR393246:ACR393250 AMN393246:AMN393250 AWJ393246:AWJ393250 BGF393246:BGF393250 BQB393246:BQB393250 BZX393246:BZX393250 CJT393246:CJT393250 CTP393246:CTP393250 DDL393246:DDL393250 DNH393246:DNH393250 DXD393246:DXD393250 EGZ393246:EGZ393250 EQV393246:EQV393250 FAR393246:FAR393250 FKN393246:FKN393250 FUJ393246:FUJ393250 GEF393246:GEF393250 GOB393246:GOB393250 GXX393246:GXX393250 HHT393246:HHT393250 HRP393246:HRP393250 IBL393246:IBL393250 ILH393246:ILH393250 IVD393246:IVD393250 JEZ393246:JEZ393250 JOV393246:JOV393250 JYR393246:JYR393250 KIN393246:KIN393250 KSJ393246:KSJ393250 LCF393246:LCF393250 LMB393246:LMB393250 LVX393246:LVX393250 MFT393246:MFT393250 MPP393246:MPP393250 MZL393246:MZL393250 NJH393246:NJH393250 NTD393246:NTD393250 OCZ393246:OCZ393250 OMV393246:OMV393250 OWR393246:OWR393250 PGN393246:PGN393250 PQJ393246:PQJ393250 QAF393246:QAF393250 QKB393246:QKB393250 QTX393246:QTX393250 RDT393246:RDT393250 RNP393246:RNP393250 RXL393246:RXL393250 SHH393246:SHH393250 SRD393246:SRD393250 TAZ393246:TAZ393250 TKV393246:TKV393250 TUR393246:TUR393250 UEN393246:UEN393250 UOJ393246:UOJ393250 UYF393246:UYF393250 VIB393246:VIB393250 VRX393246:VRX393250 WBT393246:WBT393250 WLP393246:WLP393250 WVL393246:WVL393250 D458782:D458786 IZ458782:IZ458786 SV458782:SV458786 ACR458782:ACR458786 AMN458782:AMN458786 AWJ458782:AWJ458786 BGF458782:BGF458786 BQB458782:BQB458786 BZX458782:BZX458786 CJT458782:CJT458786 CTP458782:CTP458786 DDL458782:DDL458786 DNH458782:DNH458786 DXD458782:DXD458786 EGZ458782:EGZ458786 EQV458782:EQV458786 FAR458782:FAR458786 FKN458782:FKN458786 FUJ458782:FUJ458786 GEF458782:GEF458786 GOB458782:GOB458786 GXX458782:GXX458786 HHT458782:HHT458786 HRP458782:HRP458786 IBL458782:IBL458786 ILH458782:ILH458786 IVD458782:IVD458786 JEZ458782:JEZ458786 JOV458782:JOV458786 JYR458782:JYR458786 KIN458782:KIN458786 KSJ458782:KSJ458786 LCF458782:LCF458786 LMB458782:LMB458786 LVX458782:LVX458786 MFT458782:MFT458786 MPP458782:MPP458786 MZL458782:MZL458786 NJH458782:NJH458786 NTD458782:NTD458786 OCZ458782:OCZ458786 OMV458782:OMV458786 OWR458782:OWR458786 PGN458782:PGN458786 PQJ458782:PQJ458786 QAF458782:QAF458786 QKB458782:QKB458786 QTX458782:QTX458786 RDT458782:RDT458786 RNP458782:RNP458786 RXL458782:RXL458786 SHH458782:SHH458786 SRD458782:SRD458786 TAZ458782:TAZ458786 TKV458782:TKV458786 TUR458782:TUR458786 UEN458782:UEN458786 UOJ458782:UOJ458786 UYF458782:UYF458786 VIB458782:VIB458786 VRX458782:VRX458786 WBT458782:WBT458786 WLP458782:WLP458786 WVL458782:WVL458786 D524318:D524322 IZ524318:IZ524322 SV524318:SV524322 ACR524318:ACR524322 AMN524318:AMN524322 AWJ524318:AWJ524322 BGF524318:BGF524322 BQB524318:BQB524322 BZX524318:BZX524322 CJT524318:CJT524322 CTP524318:CTP524322 DDL524318:DDL524322 DNH524318:DNH524322 DXD524318:DXD524322 EGZ524318:EGZ524322 EQV524318:EQV524322 FAR524318:FAR524322 FKN524318:FKN524322 FUJ524318:FUJ524322 GEF524318:GEF524322 GOB524318:GOB524322 GXX524318:GXX524322 HHT524318:HHT524322 HRP524318:HRP524322 IBL524318:IBL524322 ILH524318:ILH524322 IVD524318:IVD524322 JEZ524318:JEZ524322 JOV524318:JOV524322 JYR524318:JYR524322 KIN524318:KIN524322 KSJ524318:KSJ524322 LCF524318:LCF524322 LMB524318:LMB524322 LVX524318:LVX524322 MFT524318:MFT524322 MPP524318:MPP524322 MZL524318:MZL524322 NJH524318:NJH524322 NTD524318:NTD524322 OCZ524318:OCZ524322 OMV524318:OMV524322 OWR524318:OWR524322 PGN524318:PGN524322 PQJ524318:PQJ524322 QAF524318:QAF524322 QKB524318:QKB524322 QTX524318:QTX524322 RDT524318:RDT524322 RNP524318:RNP524322 RXL524318:RXL524322 SHH524318:SHH524322 SRD524318:SRD524322 TAZ524318:TAZ524322 TKV524318:TKV524322 TUR524318:TUR524322 UEN524318:UEN524322 UOJ524318:UOJ524322 UYF524318:UYF524322 VIB524318:VIB524322 VRX524318:VRX524322 WBT524318:WBT524322 WLP524318:WLP524322 WVL524318:WVL524322 D589854:D589858 IZ589854:IZ589858 SV589854:SV589858 ACR589854:ACR589858 AMN589854:AMN589858 AWJ589854:AWJ589858 BGF589854:BGF589858 BQB589854:BQB589858 BZX589854:BZX589858 CJT589854:CJT589858 CTP589854:CTP589858 DDL589854:DDL589858 DNH589854:DNH589858 DXD589854:DXD589858 EGZ589854:EGZ589858 EQV589854:EQV589858 FAR589854:FAR589858 FKN589854:FKN589858 FUJ589854:FUJ589858 GEF589854:GEF589858 GOB589854:GOB589858 GXX589854:GXX589858 HHT589854:HHT589858 HRP589854:HRP589858 IBL589854:IBL589858 ILH589854:ILH589858 IVD589854:IVD589858 JEZ589854:JEZ589858 JOV589854:JOV589858 JYR589854:JYR589858 KIN589854:KIN589858 KSJ589854:KSJ589858 LCF589854:LCF589858 LMB589854:LMB589858 LVX589854:LVX589858 MFT589854:MFT589858 MPP589854:MPP589858 MZL589854:MZL589858 NJH589854:NJH589858 NTD589854:NTD589858 OCZ589854:OCZ589858 OMV589854:OMV589858 OWR589854:OWR589858 PGN589854:PGN589858 PQJ589854:PQJ589858 QAF589854:QAF589858 QKB589854:QKB589858 QTX589854:QTX589858 RDT589854:RDT589858 RNP589854:RNP589858 RXL589854:RXL589858 SHH589854:SHH589858 SRD589854:SRD589858 TAZ589854:TAZ589858 TKV589854:TKV589858 TUR589854:TUR589858 UEN589854:UEN589858 UOJ589854:UOJ589858 UYF589854:UYF589858 VIB589854:VIB589858 VRX589854:VRX589858 WBT589854:WBT589858 WLP589854:WLP589858 WVL589854:WVL589858 D655390:D655394 IZ655390:IZ655394 SV655390:SV655394 ACR655390:ACR655394 AMN655390:AMN655394 AWJ655390:AWJ655394 BGF655390:BGF655394 BQB655390:BQB655394 BZX655390:BZX655394 CJT655390:CJT655394 CTP655390:CTP655394 DDL655390:DDL655394 DNH655390:DNH655394 DXD655390:DXD655394 EGZ655390:EGZ655394 EQV655390:EQV655394 FAR655390:FAR655394 FKN655390:FKN655394 FUJ655390:FUJ655394 GEF655390:GEF655394 GOB655390:GOB655394 GXX655390:GXX655394 HHT655390:HHT655394 HRP655390:HRP655394 IBL655390:IBL655394 ILH655390:ILH655394 IVD655390:IVD655394 JEZ655390:JEZ655394 JOV655390:JOV655394 JYR655390:JYR655394 KIN655390:KIN655394 KSJ655390:KSJ655394 LCF655390:LCF655394 LMB655390:LMB655394 LVX655390:LVX655394 MFT655390:MFT655394 MPP655390:MPP655394 MZL655390:MZL655394 NJH655390:NJH655394 NTD655390:NTD655394 OCZ655390:OCZ655394 OMV655390:OMV655394 OWR655390:OWR655394 PGN655390:PGN655394 PQJ655390:PQJ655394 QAF655390:QAF655394 QKB655390:QKB655394 QTX655390:QTX655394 RDT655390:RDT655394 RNP655390:RNP655394 RXL655390:RXL655394 SHH655390:SHH655394 SRD655390:SRD655394 TAZ655390:TAZ655394 TKV655390:TKV655394 TUR655390:TUR655394 UEN655390:UEN655394 UOJ655390:UOJ655394 UYF655390:UYF655394 VIB655390:VIB655394 VRX655390:VRX655394 WBT655390:WBT655394 WLP655390:WLP655394 WVL655390:WVL655394 D720926:D720930 IZ720926:IZ720930 SV720926:SV720930 ACR720926:ACR720930 AMN720926:AMN720930 AWJ720926:AWJ720930 BGF720926:BGF720930 BQB720926:BQB720930 BZX720926:BZX720930 CJT720926:CJT720930 CTP720926:CTP720930 DDL720926:DDL720930 DNH720926:DNH720930 DXD720926:DXD720930 EGZ720926:EGZ720930 EQV720926:EQV720930 FAR720926:FAR720930 FKN720926:FKN720930 FUJ720926:FUJ720930 GEF720926:GEF720930 GOB720926:GOB720930 GXX720926:GXX720930 HHT720926:HHT720930 HRP720926:HRP720930 IBL720926:IBL720930 ILH720926:ILH720930 IVD720926:IVD720930 JEZ720926:JEZ720930 JOV720926:JOV720930 JYR720926:JYR720930 KIN720926:KIN720930 KSJ720926:KSJ720930 LCF720926:LCF720930 LMB720926:LMB720930 LVX720926:LVX720930 MFT720926:MFT720930 MPP720926:MPP720930 MZL720926:MZL720930 NJH720926:NJH720930 NTD720926:NTD720930 OCZ720926:OCZ720930 OMV720926:OMV720930 OWR720926:OWR720930 PGN720926:PGN720930 PQJ720926:PQJ720930 QAF720926:QAF720930 QKB720926:QKB720930 QTX720926:QTX720930 RDT720926:RDT720930 RNP720926:RNP720930 RXL720926:RXL720930 SHH720926:SHH720930 SRD720926:SRD720930 TAZ720926:TAZ720930 TKV720926:TKV720930 TUR720926:TUR720930 UEN720926:UEN720930 UOJ720926:UOJ720930 UYF720926:UYF720930 VIB720926:VIB720930 VRX720926:VRX720930 WBT720926:WBT720930 WLP720926:WLP720930 WVL720926:WVL720930 D786462:D786466 IZ786462:IZ786466 SV786462:SV786466 ACR786462:ACR786466 AMN786462:AMN786466 AWJ786462:AWJ786466 BGF786462:BGF786466 BQB786462:BQB786466 BZX786462:BZX786466 CJT786462:CJT786466 CTP786462:CTP786466 DDL786462:DDL786466 DNH786462:DNH786466 DXD786462:DXD786466 EGZ786462:EGZ786466 EQV786462:EQV786466 FAR786462:FAR786466 FKN786462:FKN786466 FUJ786462:FUJ786466 GEF786462:GEF786466 GOB786462:GOB786466 GXX786462:GXX786466 HHT786462:HHT786466 HRP786462:HRP786466 IBL786462:IBL786466 ILH786462:ILH786466 IVD786462:IVD786466 JEZ786462:JEZ786466 JOV786462:JOV786466 JYR786462:JYR786466 KIN786462:KIN786466 KSJ786462:KSJ786466 LCF786462:LCF786466 LMB786462:LMB786466 LVX786462:LVX786466 MFT786462:MFT786466 MPP786462:MPP786466 MZL786462:MZL786466 NJH786462:NJH786466 NTD786462:NTD786466 OCZ786462:OCZ786466 OMV786462:OMV786466 OWR786462:OWR786466 PGN786462:PGN786466 PQJ786462:PQJ786466 QAF786462:QAF786466 QKB786462:QKB786466 QTX786462:QTX786466 RDT786462:RDT786466 RNP786462:RNP786466 RXL786462:RXL786466 SHH786462:SHH786466 SRD786462:SRD786466 TAZ786462:TAZ786466 TKV786462:TKV786466 TUR786462:TUR786466 UEN786462:UEN786466 UOJ786462:UOJ786466 UYF786462:UYF786466 VIB786462:VIB786466 VRX786462:VRX786466 WBT786462:WBT786466 WLP786462:WLP786466 WVL786462:WVL786466 D851998:D852002 IZ851998:IZ852002 SV851998:SV852002 ACR851998:ACR852002 AMN851998:AMN852002 AWJ851998:AWJ852002 BGF851998:BGF852002 BQB851998:BQB852002 BZX851998:BZX852002 CJT851998:CJT852002 CTP851998:CTP852002 DDL851998:DDL852002 DNH851998:DNH852002 DXD851998:DXD852002 EGZ851998:EGZ852002 EQV851998:EQV852002 FAR851998:FAR852002 FKN851998:FKN852002 FUJ851998:FUJ852002 GEF851998:GEF852002 GOB851998:GOB852002 GXX851998:GXX852002 HHT851998:HHT852002 HRP851998:HRP852002 IBL851998:IBL852002 ILH851998:ILH852002 IVD851998:IVD852002 JEZ851998:JEZ852002 JOV851998:JOV852002 JYR851998:JYR852002 KIN851998:KIN852002 KSJ851998:KSJ852002 LCF851998:LCF852002 LMB851998:LMB852002 LVX851998:LVX852002 MFT851998:MFT852002 MPP851998:MPP852002 MZL851998:MZL852002 NJH851998:NJH852002 NTD851998:NTD852002 OCZ851998:OCZ852002 OMV851998:OMV852002 OWR851998:OWR852002 PGN851998:PGN852002 PQJ851998:PQJ852002 QAF851998:QAF852002 QKB851998:QKB852002 QTX851998:QTX852002 RDT851998:RDT852002 RNP851998:RNP852002 RXL851998:RXL852002 SHH851998:SHH852002 SRD851998:SRD852002 TAZ851998:TAZ852002 TKV851998:TKV852002 TUR851998:TUR852002 UEN851998:UEN852002 UOJ851998:UOJ852002 UYF851998:UYF852002 VIB851998:VIB852002 VRX851998:VRX852002 WBT851998:WBT852002 WLP851998:WLP852002 WVL851998:WVL852002 D917534:D917538 IZ917534:IZ917538 SV917534:SV917538 ACR917534:ACR917538 AMN917534:AMN917538 AWJ917534:AWJ917538 BGF917534:BGF917538 BQB917534:BQB917538 BZX917534:BZX917538 CJT917534:CJT917538 CTP917534:CTP917538 DDL917534:DDL917538 DNH917534:DNH917538 DXD917534:DXD917538 EGZ917534:EGZ917538 EQV917534:EQV917538 FAR917534:FAR917538 FKN917534:FKN917538 FUJ917534:FUJ917538 GEF917534:GEF917538 GOB917534:GOB917538 GXX917534:GXX917538 HHT917534:HHT917538 HRP917534:HRP917538 IBL917534:IBL917538 ILH917534:ILH917538 IVD917534:IVD917538 JEZ917534:JEZ917538 JOV917534:JOV917538 JYR917534:JYR917538 KIN917534:KIN917538 KSJ917534:KSJ917538 LCF917534:LCF917538 LMB917534:LMB917538 LVX917534:LVX917538 MFT917534:MFT917538 MPP917534:MPP917538 MZL917534:MZL917538 NJH917534:NJH917538 NTD917534:NTD917538 OCZ917534:OCZ917538 OMV917534:OMV917538 OWR917534:OWR917538 PGN917534:PGN917538 PQJ917534:PQJ917538 QAF917534:QAF917538 QKB917534:QKB917538 QTX917534:QTX917538 RDT917534:RDT917538 RNP917534:RNP917538 RXL917534:RXL917538 SHH917534:SHH917538 SRD917534:SRD917538 TAZ917534:TAZ917538 TKV917534:TKV917538 TUR917534:TUR917538 UEN917534:UEN917538 UOJ917534:UOJ917538 UYF917534:UYF917538 VIB917534:VIB917538 VRX917534:VRX917538 WBT917534:WBT917538 WLP917534:WLP917538 WVL917534:WVL917538 D983070:D983074 IZ983070:IZ983074 SV983070:SV983074 ACR983070:ACR983074 AMN983070:AMN983074 AWJ983070:AWJ983074 BGF983070:BGF983074 BQB983070:BQB983074 BZX983070:BZX983074 CJT983070:CJT983074 CTP983070:CTP983074 DDL983070:DDL983074 DNH983070:DNH983074 DXD983070:DXD983074 EGZ983070:EGZ983074 EQV983070:EQV983074 FAR983070:FAR983074 FKN983070:FKN983074 FUJ983070:FUJ983074 GEF983070:GEF983074 GOB983070:GOB983074 GXX983070:GXX983074 HHT983070:HHT983074 HRP983070:HRP983074 IBL983070:IBL983074 ILH983070:ILH983074 IVD983070:IVD983074 JEZ983070:JEZ983074 JOV983070:JOV983074 JYR983070:JYR983074 KIN983070:KIN983074 KSJ983070:KSJ983074 LCF983070:LCF983074 LMB983070:LMB983074 LVX983070:LVX983074 MFT983070:MFT983074 MPP983070:MPP983074 MZL983070:MZL983074 NJH983070:NJH983074 NTD983070:NTD983074 OCZ983070:OCZ983074 OMV983070:OMV983074 OWR983070:OWR983074 PGN983070:PGN983074 PQJ983070:PQJ983074 QAF983070:QAF983074 QKB983070:QKB983074 QTX983070:QTX983074 RDT983070:RDT983074 RNP983070:RNP983074 RXL983070:RXL983074 SHH983070:SHH983074 SRD983070:SRD983074 TAZ983070:TAZ983074 TKV983070:TKV983074 TUR983070:TUR983074 UEN983070:UEN983074 UOJ983070:UOJ983074 UYF983070:UYF983074 VIB983070:VIB983074 VRX983070:VRX983074 WBT983070:WBT983074 WLP983070:WLP983074 WVL983070:WVL983074 D38:D46 IZ38:IZ46 SV38:SV46 ACR38:ACR46 AMN38:AMN46 AWJ38:AWJ46 BGF38:BGF46 BQB38:BQB46 BZX38:BZX46 CJT38:CJT46 CTP38:CTP46 DDL38:DDL46 DNH38:DNH46 DXD38:DXD46 EGZ38:EGZ46 EQV38:EQV46 FAR38:FAR46 FKN38:FKN46 FUJ38:FUJ46 GEF38:GEF46 GOB38:GOB46 GXX38:GXX46 HHT38:HHT46 HRP38:HRP46 IBL38:IBL46 ILH38:ILH46 IVD38:IVD46 JEZ38:JEZ46 JOV38:JOV46 JYR38:JYR46 KIN38:KIN46 KSJ38:KSJ46 LCF38:LCF46 LMB38:LMB46 LVX38:LVX46 MFT38:MFT46 MPP38:MPP46 MZL38:MZL46 NJH38:NJH46 NTD38:NTD46 OCZ38:OCZ46 OMV38:OMV46 OWR38:OWR46 PGN38:PGN46 PQJ38:PQJ46 QAF38:QAF46 QKB38:QKB46 QTX38:QTX46 RDT38:RDT46 RNP38:RNP46 RXL38:RXL46 SHH38:SHH46 SRD38:SRD46 TAZ38:TAZ46 TKV38:TKV46 TUR38:TUR46 UEN38:UEN46 UOJ38:UOJ46 UYF38:UYF46 VIB38:VIB46 VRX38:VRX46 WBT38:WBT46 WLP38:WLP46 WVL38:WVL46 D65574:D65582 IZ65574:IZ65582 SV65574:SV65582 ACR65574:ACR65582 AMN65574:AMN65582 AWJ65574:AWJ65582 BGF65574:BGF65582 BQB65574:BQB65582 BZX65574:BZX65582 CJT65574:CJT65582 CTP65574:CTP65582 DDL65574:DDL65582 DNH65574:DNH65582 DXD65574:DXD65582 EGZ65574:EGZ65582 EQV65574:EQV65582 FAR65574:FAR65582 FKN65574:FKN65582 FUJ65574:FUJ65582 GEF65574:GEF65582 GOB65574:GOB65582 GXX65574:GXX65582 HHT65574:HHT65582 HRP65574:HRP65582 IBL65574:IBL65582 ILH65574:ILH65582 IVD65574:IVD65582 JEZ65574:JEZ65582 JOV65574:JOV65582 JYR65574:JYR65582 KIN65574:KIN65582 KSJ65574:KSJ65582 LCF65574:LCF65582 LMB65574:LMB65582 LVX65574:LVX65582 MFT65574:MFT65582 MPP65574:MPP65582 MZL65574:MZL65582 NJH65574:NJH65582 NTD65574:NTD65582 OCZ65574:OCZ65582 OMV65574:OMV65582 OWR65574:OWR65582 PGN65574:PGN65582 PQJ65574:PQJ65582 QAF65574:QAF65582 QKB65574:QKB65582 QTX65574:QTX65582 RDT65574:RDT65582 RNP65574:RNP65582 RXL65574:RXL65582 SHH65574:SHH65582 SRD65574:SRD65582 TAZ65574:TAZ65582 TKV65574:TKV65582 TUR65574:TUR65582 UEN65574:UEN65582 UOJ65574:UOJ65582 UYF65574:UYF65582 VIB65574:VIB65582 VRX65574:VRX65582 WBT65574:WBT65582 WLP65574:WLP65582 WVL65574:WVL65582 D131110:D131118 IZ131110:IZ131118 SV131110:SV131118 ACR131110:ACR131118 AMN131110:AMN131118 AWJ131110:AWJ131118 BGF131110:BGF131118 BQB131110:BQB131118 BZX131110:BZX131118 CJT131110:CJT131118 CTP131110:CTP131118 DDL131110:DDL131118 DNH131110:DNH131118 DXD131110:DXD131118 EGZ131110:EGZ131118 EQV131110:EQV131118 FAR131110:FAR131118 FKN131110:FKN131118 FUJ131110:FUJ131118 GEF131110:GEF131118 GOB131110:GOB131118 GXX131110:GXX131118 HHT131110:HHT131118 HRP131110:HRP131118 IBL131110:IBL131118 ILH131110:ILH131118 IVD131110:IVD131118 JEZ131110:JEZ131118 JOV131110:JOV131118 JYR131110:JYR131118 KIN131110:KIN131118 KSJ131110:KSJ131118 LCF131110:LCF131118 LMB131110:LMB131118 LVX131110:LVX131118 MFT131110:MFT131118 MPP131110:MPP131118 MZL131110:MZL131118 NJH131110:NJH131118 NTD131110:NTD131118 OCZ131110:OCZ131118 OMV131110:OMV131118 OWR131110:OWR131118 PGN131110:PGN131118 PQJ131110:PQJ131118 QAF131110:QAF131118 QKB131110:QKB131118 QTX131110:QTX131118 RDT131110:RDT131118 RNP131110:RNP131118 RXL131110:RXL131118 SHH131110:SHH131118 SRD131110:SRD131118 TAZ131110:TAZ131118 TKV131110:TKV131118 TUR131110:TUR131118 UEN131110:UEN131118 UOJ131110:UOJ131118 UYF131110:UYF131118 VIB131110:VIB131118 VRX131110:VRX131118 WBT131110:WBT131118 WLP131110:WLP131118 WVL131110:WVL131118 D196646:D196654 IZ196646:IZ196654 SV196646:SV196654 ACR196646:ACR196654 AMN196646:AMN196654 AWJ196646:AWJ196654 BGF196646:BGF196654 BQB196646:BQB196654 BZX196646:BZX196654 CJT196646:CJT196654 CTP196646:CTP196654 DDL196646:DDL196654 DNH196646:DNH196654 DXD196646:DXD196654 EGZ196646:EGZ196654 EQV196646:EQV196654 FAR196646:FAR196654 FKN196646:FKN196654 FUJ196646:FUJ196654 GEF196646:GEF196654 GOB196646:GOB196654 GXX196646:GXX196654 HHT196646:HHT196654 HRP196646:HRP196654 IBL196646:IBL196654 ILH196646:ILH196654 IVD196646:IVD196654 JEZ196646:JEZ196654 JOV196646:JOV196654 JYR196646:JYR196654 KIN196646:KIN196654 KSJ196646:KSJ196654 LCF196646:LCF196654 LMB196646:LMB196654 LVX196646:LVX196654 MFT196646:MFT196654 MPP196646:MPP196654 MZL196646:MZL196654 NJH196646:NJH196654 NTD196646:NTD196654 OCZ196646:OCZ196654 OMV196646:OMV196654 OWR196646:OWR196654 PGN196646:PGN196654 PQJ196646:PQJ196654 QAF196646:QAF196654 QKB196646:QKB196654 QTX196646:QTX196654 RDT196646:RDT196654 RNP196646:RNP196654 RXL196646:RXL196654 SHH196646:SHH196654 SRD196646:SRD196654 TAZ196646:TAZ196654 TKV196646:TKV196654 TUR196646:TUR196654 UEN196646:UEN196654 UOJ196646:UOJ196654 UYF196646:UYF196654 VIB196646:VIB196654 VRX196646:VRX196654 WBT196646:WBT196654 WLP196646:WLP196654 WVL196646:WVL196654 D262182:D262190 IZ262182:IZ262190 SV262182:SV262190 ACR262182:ACR262190 AMN262182:AMN262190 AWJ262182:AWJ262190 BGF262182:BGF262190 BQB262182:BQB262190 BZX262182:BZX262190 CJT262182:CJT262190 CTP262182:CTP262190 DDL262182:DDL262190 DNH262182:DNH262190 DXD262182:DXD262190 EGZ262182:EGZ262190 EQV262182:EQV262190 FAR262182:FAR262190 FKN262182:FKN262190 FUJ262182:FUJ262190 GEF262182:GEF262190 GOB262182:GOB262190 GXX262182:GXX262190 HHT262182:HHT262190 HRP262182:HRP262190 IBL262182:IBL262190 ILH262182:ILH262190 IVD262182:IVD262190 JEZ262182:JEZ262190 JOV262182:JOV262190 JYR262182:JYR262190 KIN262182:KIN262190 KSJ262182:KSJ262190 LCF262182:LCF262190 LMB262182:LMB262190 LVX262182:LVX262190 MFT262182:MFT262190 MPP262182:MPP262190 MZL262182:MZL262190 NJH262182:NJH262190 NTD262182:NTD262190 OCZ262182:OCZ262190 OMV262182:OMV262190 OWR262182:OWR262190 PGN262182:PGN262190 PQJ262182:PQJ262190 QAF262182:QAF262190 QKB262182:QKB262190 QTX262182:QTX262190 RDT262182:RDT262190 RNP262182:RNP262190 RXL262182:RXL262190 SHH262182:SHH262190 SRD262182:SRD262190 TAZ262182:TAZ262190 TKV262182:TKV262190 TUR262182:TUR262190 UEN262182:UEN262190 UOJ262182:UOJ262190 UYF262182:UYF262190 VIB262182:VIB262190 VRX262182:VRX262190 WBT262182:WBT262190 WLP262182:WLP262190 WVL262182:WVL262190 D327718:D327726 IZ327718:IZ327726 SV327718:SV327726 ACR327718:ACR327726 AMN327718:AMN327726 AWJ327718:AWJ327726 BGF327718:BGF327726 BQB327718:BQB327726 BZX327718:BZX327726 CJT327718:CJT327726 CTP327718:CTP327726 DDL327718:DDL327726 DNH327718:DNH327726 DXD327718:DXD327726 EGZ327718:EGZ327726 EQV327718:EQV327726 FAR327718:FAR327726 FKN327718:FKN327726 FUJ327718:FUJ327726 GEF327718:GEF327726 GOB327718:GOB327726 GXX327718:GXX327726 HHT327718:HHT327726 HRP327718:HRP327726 IBL327718:IBL327726 ILH327718:ILH327726 IVD327718:IVD327726 JEZ327718:JEZ327726 JOV327718:JOV327726 JYR327718:JYR327726 KIN327718:KIN327726 KSJ327718:KSJ327726 LCF327718:LCF327726 LMB327718:LMB327726 LVX327718:LVX327726 MFT327718:MFT327726 MPP327718:MPP327726 MZL327718:MZL327726 NJH327718:NJH327726 NTD327718:NTD327726 OCZ327718:OCZ327726 OMV327718:OMV327726 OWR327718:OWR327726 PGN327718:PGN327726 PQJ327718:PQJ327726 QAF327718:QAF327726 QKB327718:QKB327726 QTX327718:QTX327726 RDT327718:RDT327726 RNP327718:RNP327726 RXL327718:RXL327726 SHH327718:SHH327726 SRD327718:SRD327726 TAZ327718:TAZ327726 TKV327718:TKV327726 TUR327718:TUR327726 UEN327718:UEN327726 UOJ327718:UOJ327726 UYF327718:UYF327726 VIB327718:VIB327726 VRX327718:VRX327726 WBT327718:WBT327726 WLP327718:WLP327726 WVL327718:WVL327726 D393254:D393262 IZ393254:IZ393262 SV393254:SV393262 ACR393254:ACR393262 AMN393254:AMN393262 AWJ393254:AWJ393262 BGF393254:BGF393262 BQB393254:BQB393262 BZX393254:BZX393262 CJT393254:CJT393262 CTP393254:CTP393262 DDL393254:DDL393262 DNH393254:DNH393262 DXD393254:DXD393262 EGZ393254:EGZ393262 EQV393254:EQV393262 FAR393254:FAR393262 FKN393254:FKN393262 FUJ393254:FUJ393262 GEF393254:GEF393262 GOB393254:GOB393262 GXX393254:GXX393262 HHT393254:HHT393262 HRP393254:HRP393262 IBL393254:IBL393262 ILH393254:ILH393262 IVD393254:IVD393262 JEZ393254:JEZ393262 JOV393254:JOV393262 JYR393254:JYR393262 KIN393254:KIN393262 KSJ393254:KSJ393262 LCF393254:LCF393262 LMB393254:LMB393262 LVX393254:LVX393262 MFT393254:MFT393262 MPP393254:MPP393262 MZL393254:MZL393262 NJH393254:NJH393262 NTD393254:NTD393262 OCZ393254:OCZ393262 OMV393254:OMV393262 OWR393254:OWR393262 PGN393254:PGN393262 PQJ393254:PQJ393262 QAF393254:QAF393262 QKB393254:QKB393262 QTX393254:QTX393262 RDT393254:RDT393262 RNP393254:RNP393262 RXL393254:RXL393262 SHH393254:SHH393262 SRD393254:SRD393262 TAZ393254:TAZ393262 TKV393254:TKV393262 TUR393254:TUR393262 UEN393254:UEN393262 UOJ393254:UOJ393262 UYF393254:UYF393262 VIB393254:VIB393262 VRX393254:VRX393262 WBT393254:WBT393262 WLP393254:WLP393262 WVL393254:WVL393262 D458790:D458798 IZ458790:IZ458798 SV458790:SV458798 ACR458790:ACR458798 AMN458790:AMN458798 AWJ458790:AWJ458798 BGF458790:BGF458798 BQB458790:BQB458798 BZX458790:BZX458798 CJT458790:CJT458798 CTP458790:CTP458798 DDL458790:DDL458798 DNH458790:DNH458798 DXD458790:DXD458798 EGZ458790:EGZ458798 EQV458790:EQV458798 FAR458790:FAR458798 FKN458790:FKN458798 FUJ458790:FUJ458798 GEF458790:GEF458798 GOB458790:GOB458798 GXX458790:GXX458798 HHT458790:HHT458798 HRP458790:HRP458798 IBL458790:IBL458798 ILH458790:ILH458798 IVD458790:IVD458798 JEZ458790:JEZ458798 JOV458790:JOV458798 JYR458790:JYR458798 KIN458790:KIN458798 KSJ458790:KSJ458798 LCF458790:LCF458798 LMB458790:LMB458798 LVX458790:LVX458798 MFT458790:MFT458798 MPP458790:MPP458798 MZL458790:MZL458798 NJH458790:NJH458798 NTD458790:NTD458798 OCZ458790:OCZ458798 OMV458790:OMV458798 OWR458790:OWR458798 PGN458790:PGN458798 PQJ458790:PQJ458798 QAF458790:QAF458798 QKB458790:QKB458798 QTX458790:QTX458798 RDT458790:RDT458798 RNP458790:RNP458798 RXL458790:RXL458798 SHH458790:SHH458798 SRD458790:SRD458798 TAZ458790:TAZ458798 TKV458790:TKV458798 TUR458790:TUR458798 UEN458790:UEN458798 UOJ458790:UOJ458798 UYF458790:UYF458798 VIB458790:VIB458798 VRX458790:VRX458798 WBT458790:WBT458798 WLP458790:WLP458798 WVL458790:WVL458798 D524326:D524334 IZ524326:IZ524334 SV524326:SV524334 ACR524326:ACR524334 AMN524326:AMN524334 AWJ524326:AWJ524334 BGF524326:BGF524334 BQB524326:BQB524334 BZX524326:BZX524334 CJT524326:CJT524334 CTP524326:CTP524334 DDL524326:DDL524334 DNH524326:DNH524334 DXD524326:DXD524334 EGZ524326:EGZ524334 EQV524326:EQV524334 FAR524326:FAR524334 FKN524326:FKN524334 FUJ524326:FUJ524334 GEF524326:GEF524334 GOB524326:GOB524334 GXX524326:GXX524334 HHT524326:HHT524334 HRP524326:HRP524334 IBL524326:IBL524334 ILH524326:ILH524334 IVD524326:IVD524334 JEZ524326:JEZ524334 JOV524326:JOV524334 JYR524326:JYR524334 KIN524326:KIN524334 KSJ524326:KSJ524334 LCF524326:LCF524334 LMB524326:LMB524334 LVX524326:LVX524334 MFT524326:MFT524334 MPP524326:MPP524334 MZL524326:MZL524334 NJH524326:NJH524334 NTD524326:NTD524334 OCZ524326:OCZ524334 OMV524326:OMV524334 OWR524326:OWR524334 PGN524326:PGN524334 PQJ524326:PQJ524334 QAF524326:QAF524334 QKB524326:QKB524334 QTX524326:QTX524334 RDT524326:RDT524334 RNP524326:RNP524334 RXL524326:RXL524334 SHH524326:SHH524334 SRD524326:SRD524334 TAZ524326:TAZ524334 TKV524326:TKV524334 TUR524326:TUR524334 UEN524326:UEN524334 UOJ524326:UOJ524334 UYF524326:UYF524334 VIB524326:VIB524334 VRX524326:VRX524334 WBT524326:WBT524334 WLP524326:WLP524334 WVL524326:WVL524334 D589862:D589870 IZ589862:IZ589870 SV589862:SV589870 ACR589862:ACR589870 AMN589862:AMN589870 AWJ589862:AWJ589870 BGF589862:BGF589870 BQB589862:BQB589870 BZX589862:BZX589870 CJT589862:CJT589870 CTP589862:CTP589870 DDL589862:DDL589870 DNH589862:DNH589870 DXD589862:DXD589870 EGZ589862:EGZ589870 EQV589862:EQV589870 FAR589862:FAR589870 FKN589862:FKN589870 FUJ589862:FUJ589870 GEF589862:GEF589870 GOB589862:GOB589870 GXX589862:GXX589870 HHT589862:HHT589870 HRP589862:HRP589870 IBL589862:IBL589870 ILH589862:ILH589870 IVD589862:IVD589870 JEZ589862:JEZ589870 JOV589862:JOV589870 JYR589862:JYR589870 KIN589862:KIN589870 KSJ589862:KSJ589870 LCF589862:LCF589870 LMB589862:LMB589870 LVX589862:LVX589870 MFT589862:MFT589870 MPP589862:MPP589870 MZL589862:MZL589870 NJH589862:NJH589870 NTD589862:NTD589870 OCZ589862:OCZ589870 OMV589862:OMV589870 OWR589862:OWR589870 PGN589862:PGN589870 PQJ589862:PQJ589870 QAF589862:QAF589870 QKB589862:QKB589870 QTX589862:QTX589870 RDT589862:RDT589870 RNP589862:RNP589870 RXL589862:RXL589870 SHH589862:SHH589870 SRD589862:SRD589870 TAZ589862:TAZ589870 TKV589862:TKV589870 TUR589862:TUR589870 UEN589862:UEN589870 UOJ589862:UOJ589870 UYF589862:UYF589870 VIB589862:VIB589870 VRX589862:VRX589870 WBT589862:WBT589870 WLP589862:WLP589870 WVL589862:WVL589870 D655398:D655406 IZ655398:IZ655406 SV655398:SV655406 ACR655398:ACR655406 AMN655398:AMN655406 AWJ655398:AWJ655406 BGF655398:BGF655406 BQB655398:BQB655406 BZX655398:BZX655406 CJT655398:CJT655406 CTP655398:CTP655406 DDL655398:DDL655406 DNH655398:DNH655406 DXD655398:DXD655406 EGZ655398:EGZ655406 EQV655398:EQV655406 FAR655398:FAR655406 FKN655398:FKN655406 FUJ655398:FUJ655406 GEF655398:GEF655406 GOB655398:GOB655406 GXX655398:GXX655406 HHT655398:HHT655406 HRP655398:HRP655406 IBL655398:IBL655406 ILH655398:ILH655406 IVD655398:IVD655406 JEZ655398:JEZ655406 JOV655398:JOV655406 JYR655398:JYR655406 KIN655398:KIN655406 KSJ655398:KSJ655406 LCF655398:LCF655406 LMB655398:LMB655406 LVX655398:LVX655406 MFT655398:MFT655406 MPP655398:MPP655406 MZL655398:MZL655406 NJH655398:NJH655406 NTD655398:NTD655406 OCZ655398:OCZ655406 OMV655398:OMV655406 OWR655398:OWR655406 PGN655398:PGN655406 PQJ655398:PQJ655406 QAF655398:QAF655406 QKB655398:QKB655406 QTX655398:QTX655406 RDT655398:RDT655406 RNP655398:RNP655406 RXL655398:RXL655406 SHH655398:SHH655406 SRD655398:SRD655406 TAZ655398:TAZ655406 TKV655398:TKV655406 TUR655398:TUR655406 UEN655398:UEN655406 UOJ655398:UOJ655406 UYF655398:UYF655406 VIB655398:VIB655406 VRX655398:VRX655406 WBT655398:WBT655406 WLP655398:WLP655406 WVL655398:WVL655406 D720934:D720942 IZ720934:IZ720942 SV720934:SV720942 ACR720934:ACR720942 AMN720934:AMN720942 AWJ720934:AWJ720942 BGF720934:BGF720942 BQB720934:BQB720942 BZX720934:BZX720942 CJT720934:CJT720942 CTP720934:CTP720942 DDL720934:DDL720942 DNH720934:DNH720942 DXD720934:DXD720942 EGZ720934:EGZ720942 EQV720934:EQV720942 FAR720934:FAR720942 FKN720934:FKN720942 FUJ720934:FUJ720942 GEF720934:GEF720942 GOB720934:GOB720942 GXX720934:GXX720942 HHT720934:HHT720942 HRP720934:HRP720942 IBL720934:IBL720942 ILH720934:ILH720942 IVD720934:IVD720942 JEZ720934:JEZ720942 JOV720934:JOV720942 JYR720934:JYR720942 KIN720934:KIN720942 KSJ720934:KSJ720942 LCF720934:LCF720942 LMB720934:LMB720942 LVX720934:LVX720942 MFT720934:MFT720942 MPP720934:MPP720942 MZL720934:MZL720942 NJH720934:NJH720942 NTD720934:NTD720942 OCZ720934:OCZ720942 OMV720934:OMV720942 OWR720934:OWR720942 PGN720934:PGN720942 PQJ720934:PQJ720942 QAF720934:QAF720942 QKB720934:QKB720942 QTX720934:QTX720942 RDT720934:RDT720942 RNP720934:RNP720942 RXL720934:RXL720942 SHH720934:SHH720942 SRD720934:SRD720942 TAZ720934:TAZ720942 TKV720934:TKV720942 TUR720934:TUR720942 UEN720934:UEN720942 UOJ720934:UOJ720942 UYF720934:UYF720942 VIB720934:VIB720942 VRX720934:VRX720942 WBT720934:WBT720942 WLP720934:WLP720942 WVL720934:WVL720942 D786470:D786478 IZ786470:IZ786478 SV786470:SV786478 ACR786470:ACR786478 AMN786470:AMN786478 AWJ786470:AWJ786478 BGF786470:BGF786478 BQB786470:BQB786478 BZX786470:BZX786478 CJT786470:CJT786478 CTP786470:CTP786478 DDL786470:DDL786478 DNH786470:DNH786478 DXD786470:DXD786478 EGZ786470:EGZ786478 EQV786470:EQV786478 FAR786470:FAR786478 FKN786470:FKN786478 FUJ786470:FUJ786478 GEF786470:GEF786478 GOB786470:GOB786478 GXX786470:GXX786478 HHT786470:HHT786478 HRP786470:HRP786478 IBL786470:IBL786478 ILH786470:ILH786478 IVD786470:IVD786478 JEZ786470:JEZ786478 JOV786470:JOV786478 JYR786470:JYR786478 KIN786470:KIN786478 KSJ786470:KSJ786478 LCF786470:LCF786478 LMB786470:LMB786478 LVX786470:LVX786478 MFT786470:MFT786478 MPP786470:MPP786478 MZL786470:MZL786478 NJH786470:NJH786478 NTD786470:NTD786478 OCZ786470:OCZ786478 OMV786470:OMV786478 OWR786470:OWR786478 PGN786470:PGN786478 PQJ786470:PQJ786478 QAF786470:QAF786478 QKB786470:QKB786478 QTX786470:QTX786478 RDT786470:RDT786478 RNP786470:RNP786478 RXL786470:RXL786478 SHH786470:SHH786478 SRD786470:SRD786478 TAZ786470:TAZ786478 TKV786470:TKV786478 TUR786470:TUR786478 UEN786470:UEN786478 UOJ786470:UOJ786478 UYF786470:UYF786478 VIB786470:VIB786478 VRX786470:VRX786478 WBT786470:WBT786478 WLP786470:WLP786478 WVL786470:WVL786478 D852006:D852014 IZ852006:IZ852014 SV852006:SV852014 ACR852006:ACR852014 AMN852006:AMN852014 AWJ852006:AWJ852014 BGF852006:BGF852014 BQB852006:BQB852014 BZX852006:BZX852014 CJT852006:CJT852014 CTP852006:CTP852014 DDL852006:DDL852014 DNH852006:DNH852014 DXD852006:DXD852014 EGZ852006:EGZ852014 EQV852006:EQV852014 FAR852006:FAR852014 FKN852006:FKN852014 FUJ852006:FUJ852014 GEF852006:GEF852014 GOB852006:GOB852014 GXX852006:GXX852014 HHT852006:HHT852014 HRP852006:HRP852014 IBL852006:IBL852014 ILH852006:ILH852014 IVD852006:IVD852014 JEZ852006:JEZ852014 JOV852006:JOV852014 JYR852006:JYR852014 KIN852006:KIN852014 KSJ852006:KSJ852014 LCF852006:LCF852014 LMB852006:LMB852014 LVX852006:LVX852014 MFT852006:MFT852014 MPP852006:MPP852014 MZL852006:MZL852014 NJH852006:NJH852014 NTD852006:NTD852014 OCZ852006:OCZ852014 OMV852006:OMV852014 OWR852006:OWR852014 PGN852006:PGN852014 PQJ852006:PQJ852014 QAF852006:QAF852014 QKB852006:QKB852014 QTX852006:QTX852014 RDT852006:RDT852014 RNP852006:RNP852014 RXL852006:RXL852014 SHH852006:SHH852014 SRD852006:SRD852014 TAZ852006:TAZ852014 TKV852006:TKV852014 TUR852006:TUR852014 UEN852006:UEN852014 UOJ852006:UOJ852014 UYF852006:UYF852014 VIB852006:VIB852014 VRX852006:VRX852014 WBT852006:WBT852014 WLP852006:WLP852014 WVL852006:WVL852014 D917542:D917550 IZ917542:IZ917550 SV917542:SV917550 ACR917542:ACR917550 AMN917542:AMN917550 AWJ917542:AWJ917550 BGF917542:BGF917550 BQB917542:BQB917550 BZX917542:BZX917550 CJT917542:CJT917550 CTP917542:CTP917550 DDL917542:DDL917550 DNH917542:DNH917550 DXD917542:DXD917550 EGZ917542:EGZ917550 EQV917542:EQV917550 FAR917542:FAR917550 FKN917542:FKN917550 FUJ917542:FUJ917550 GEF917542:GEF917550 GOB917542:GOB917550 GXX917542:GXX917550 HHT917542:HHT917550 HRP917542:HRP917550 IBL917542:IBL917550 ILH917542:ILH917550 IVD917542:IVD917550 JEZ917542:JEZ917550 JOV917542:JOV917550 JYR917542:JYR917550 KIN917542:KIN917550 KSJ917542:KSJ917550 LCF917542:LCF917550 LMB917542:LMB917550 LVX917542:LVX917550 MFT917542:MFT917550 MPP917542:MPP917550 MZL917542:MZL917550 NJH917542:NJH917550 NTD917542:NTD917550 OCZ917542:OCZ917550 OMV917542:OMV917550 OWR917542:OWR917550 PGN917542:PGN917550 PQJ917542:PQJ917550 QAF917542:QAF917550 QKB917542:QKB917550 QTX917542:QTX917550 RDT917542:RDT917550 RNP917542:RNP917550 RXL917542:RXL917550 SHH917542:SHH917550 SRD917542:SRD917550 TAZ917542:TAZ917550 TKV917542:TKV917550 TUR917542:TUR917550 UEN917542:UEN917550 UOJ917542:UOJ917550 UYF917542:UYF917550 VIB917542:VIB917550 VRX917542:VRX917550 WBT917542:WBT917550 WLP917542:WLP917550 WVL917542:WVL917550 D983078:D983086 IZ983078:IZ983086 SV983078:SV983086 ACR983078:ACR983086 AMN983078:AMN983086 AWJ983078:AWJ983086 BGF983078:BGF983086 BQB983078:BQB983086 BZX983078:BZX983086 CJT983078:CJT983086 CTP983078:CTP983086 DDL983078:DDL983086 DNH983078:DNH983086 DXD983078:DXD983086 EGZ983078:EGZ983086 EQV983078:EQV983086 FAR983078:FAR983086 FKN983078:FKN983086 FUJ983078:FUJ983086 GEF983078:GEF983086 GOB983078:GOB983086 GXX983078:GXX983086 HHT983078:HHT983086 HRP983078:HRP983086 IBL983078:IBL983086 ILH983078:ILH983086 IVD983078:IVD983086 JEZ983078:JEZ983086 JOV983078:JOV983086 JYR983078:JYR983086 KIN983078:KIN983086 KSJ983078:KSJ983086 LCF983078:LCF983086 LMB983078:LMB983086 LVX983078:LVX983086 MFT983078:MFT983086 MPP983078:MPP983086 MZL983078:MZL983086 NJH983078:NJH983086 NTD983078:NTD983086 OCZ983078:OCZ983086 OMV983078:OMV983086 OWR983078:OWR983086 PGN983078:PGN983086 PQJ983078:PQJ983086 QAF983078:QAF983086 QKB983078:QKB983086 QTX983078:QTX983086 RDT983078:RDT983086 RNP983078:RNP983086 RXL983078:RXL983086 SHH983078:SHH983086 SRD983078:SRD983086 TAZ983078:TAZ983086 TKV983078:TKV983086 TUR983078:TUR983086 UEN983078:UEN983086 UOJ983078:UOJ983086 UYF983078:UYF983086 VIB983078:VIB983086 VRX983078:VRX983086 WBT983078:WBT983086 WLP983078:WLP983086 WVL983078:WVL983086" xr:uid="{37289AEB-5C25-44E8-A484-8F76226466A9}">
      <formula1>0</formula1>
      <formula2>10000</formula2>
    </dataValidation>
    <dataValidation type="textLength" errorStyle="information" allowBlank="1" showInputMessage="1" showErrorMessage="1" error="XLBVal:8=_x000d__x000a_" sqref="C6862 IY6862 SU6862 ACQ6862 AMM6862 AWI6862 BGE6862 BQA6862 BZW6862 CJS6862 CTO6862 DDK6862 DNG6862 DXC6862 EGY6862 EQU6862 FAQ6862 FKM6862 FUI6862 GEE6862 GOA6862 GXW6862 HHS6862 HRO6862 IBK6862 ILG6862 IVC6862 JEY6862 JOU6862 JYQ6862 KIM6862 KSI6862 LCE6862 LMA6862 LVW6862 MFS6862 MPO6862 MZK6862 NJG6862 NTC6862 OCY6862 OMU6862 OWQ6862 PGM6862 PQI6862 QAE6862 QKA6862 QTW6862 RDS6862 RNO6862 RXK6862 SHG6862 SRC6862 TAY6862 TKU6862 TUQ6862 UEM6862 UOI6862 UYE6862 VIA6862 VRW6862 WBS6862 WLO6862 WVK6862 C72398 IY72398 SU72398 ACQ72398 AMM72398 AWI72398 BGE72398 BQA72398 BZW72398 CJS72398 CTO72398 DDK72398 DNG72398 DXC72398 EGY72398 EQU72398 FAQ72398 FKM72398 FUI72398 GEE72398 GOA72398 GXW72398 HHS72398 HRO72398 IBK72398 ILG72398 IVC72398 JEY72398 JOU72398 JYQ72398 KIM72398 KSI72398 LCE72398 LMA72398 LVW72398 MFS72398 MPO72398 MZK72398 NJG72398 NTC72398 OCY72398 OMU72398 OWQ72398 PGM72398 PQI72398 QAE72398 QKA72398 QTW72398 RDS72398 RNO72398 RXK72398 SHG72398 SRC72398 TAY72398 TKU72398 TUQ72398 UEM72398 UOI72398 UYE72398 VIA72398 VRW72398 WBS72398 WLO72398 WVK72398 C137934 IY137934 SU137934 ACQ137934 AMM137934 AWI137934 BGE137934 BQA137934 BZW137934 CJS137934 CTO137934 DDK137934 DNG137934 DXC137934 EGY137934 EQU137934 FAQ137934 FKM137934 FUI137934 GEE137934 GOA137934 GXW137934 HHS137934 HRO137934 IBK137934 ILG137934 IVC137934 JEY137934 JOU137934 JYQ137934 KIM137934 KSI137934 LCE137934 LMA137934 LVW137934 MFS137934 MPO137934 MZK137934 NJG137934 NTC137934 OCY137934 OMU137934 OWQ137934 PGM137934 PQI137934 QAE137934 QKA137934 QTW137934 RDS137934 RNO137934 RXK137934 SHG137934 SRC137934 TAY137934 TKU137934 TUQ137934 UEM137934 UOI137934 UYE137934 VIA137934 VRW137934 WBS137934 WLO137934 WVK137934 C203470 IY203470 SU203470 ACQ203470 AMM203470 AWI203470 BGE203470 BQA203470 BZW203470 CJS203470 CTO203470 DDK203470 DNG203470 DXC203470 EGY203470 EQU203470 FAQ203470 FKM203470 FUI203470 GEE203470 GOA203470 GXW203470 HHS203470 HRO203470 IBK203470 ILG203470 IVC203470 JEY203470 JOU203470 JYQ203470 KIM203470 KSI203470 LCE203470 LMA203470 LVW203470 MFS203470 MPO203470 MZK203470 NJG203470 NTC203470 OCY203470 OMU203470 OWQ203470 PGM203470 PQI203470 QAE203470 QKA203470 QTW203470 RDS203470 RNO203470 RXK203470 SHG203470 SRC203470 TAY203470 TKU203470 TUQ203470 UEM203470 UOI203470 UYE203470 VIA203470 VRW203470 WBS203470 WLO203470 WVK203470 C269006 IY269006 SU269006 ACQ269006 AMM269006 AWI269006 BGE269006 BQA269006 BZW269006 CJS269006 CTO269006 DDK269006 DNG269006 DXC269006 EGY269006 EQU269006 FAQ269006 FKM269006 FUI269006 GEE269006 GOA269006 GXW269006 HHS269006 HRO269006 IBK269006 ILG269006 IVC269006 JEY269006 JOU269006 JYQ269006 KIM269006 KSI269006 LCE269006 LMA269006 LVW269006 MFS269006 MPO269006 MZK269006 NJG269006 NTC269006 OCY269006 OMU269006 OWQ269006 PGM269006 PQI269006 QAE269006 QKA269006 QTW269006 RDS269006 RNO269006 RXK269006 SHG269006 SRC269006 TAY269006 TKU269006 TUQ269006 UEM269006 UOI269006 UYE269006 VIA269006 VRW269006 WBS269006 WLO269006 WVK269006 C334542 IY334542 SU334542 ACQ334542 AMM334542 AWI334542 BGE334542 BQA334542 BZW334542 CJS334542 CTO334542 DDK334542 DNG334542 DXC334542 EGY334542 EQU334542 FAQ334542 FKM334542 FUI334542 GEE334542 GOA334542 GXW334542 HHS334542 HRO334542 IBK334542 ILG334542 IVC334542 JEY334542 JOU334542 JYQ334542 KIM334542 KSI334542 LCE334542 LMA334542 LVW334542 MFS334542 MPO334542 MZK334542 NJG334542 NTC334542 OCY334542 OMU334542 OWQ334542 PGM334542 PQI334542 QAE334542 QKA334542 QTW334542 RDS334542 RNO334542 RXK334542 SHG334542 SRC334542 TAY334542 TKU334542 TUQ334542 UEM334542 UOI334542 UYE334542 VIA334542 VRW334542 WBS334542 WLO334542 WVK334542 C400078 IY400078 SU400078 ACQ400078 AMM400078 AWI400078 BGE400078 BQA400078 BZW400078 CJS400078 CTO400078 DDK400078 DNG400078 DXC400078 EGY400078 EQU400078 FAQ400078 FKM400078 FUI400078 GEE400078 GOA400078 GXW400078 HHS400078 HRO400078 IBK400078 ILG400078 IVC400078 JEY400078 JOU400078 JYQ400078 KIM400078 KSI400078 LCE400078 LMA400078 LVW400078 MFS400078 MPO400078 MZK400078 NJG400078 NTC400078 OCY400078 OMU400078 OWQ400078 PGM400078 PQI400078 QAE400078 QKA400078 QTW400078 RDS400078 RNO400078 RXK400078 SHG400078 SRC400078 TAY400078 TKU400078 TUQ400078 UEM400078 UOI400078 UYE400078 VIA400078 VRW400078 WBS400078 WLO400078 WVK400078 C465614 IY465614 SU465614 ACQ465614 AMM465614 AWI465614 BGE465614 BQA465614 BZW465614 CJS465614 CTO465614 DDK465614 DNG465614 DXC465614 EGY465614 EQU465614 FAQ465614 FKM465614 FUI465614 GEE465614 GOA465614 GXW465614 HHS465614 HRO465614 IBK465614 ILG465614 IVC465614 JEY465614 JOU465614 JYQ465614 KIM465614 KSI465614 LCE465614 LMA465614 LVW465614 MFS465614 MPO465614 MZK465614 NJG465614 NTC465614 OCY465614 OMU465614 OWQ465614 PGM465614 PQI465614 QAE465614 QKA465614 QTW465614 RDS465614 RNO465614 RXK465614 SHG465614 SRC465614 TAY465614 TKU465614 TUQ465614 UEM465614 UOI465614 UYE465614 VIA465614 VRW465614 WBS465614 WLO465614 WVK465614 C531150 IY531150 SU531150 ACQ531150 AMM531150 AWI531150 BGE531150 BQA531150 BZW531150 CJS531150 CTO531150 DDK531150 DNG531150 DXC531150 EGY531150 EQU531150 FAQ531150 FKM531150 FUI531150 GEE531150 GOA531150 GXW531150 HHS531150 HRO531150 IBK531150 ILG531150 IVC531150 JEY531150 JOU531150 JYQ531150 KIM531150 KSI531150 LCE531150 LMA531150 LVW531150 MFS531150 MPO531150 MZK531150 NJG531150 NTC531150 OCY531150 OMU531150 OWQ531150 PGM531150 PQI531150 QAE531150 QKA531150 QTW531150 RDS531150 RNO531150 RXK531150 SHG531150 SRC531150 TAY531150 TKU531150 TUQ531150 UEM531150 UOI531150 UYE531150 VIA531150 VRW531150 WBS531150 WLO531150 WVK531150 C596686 IY596686 SU596686 ACQ596686 AMM596686 AWI596686 BGE596686 BQA596686 BZW596686 CJS596686 CTO596686 DDK596686 DNG596686 DXC596686 EGY596686 EQU596686 FAQ596686 FKM596686 FUI596686 GEE596686 GOA596686 GXW596686 HHS596686 HRO596686 IBK596686 ILG596686 IVC596686 JEY596686 JOU596686 JYQ596686 KIM596686 KSI596686 LCE596686 LMA596686 LVW596686 MFS596686 MPO596686 MZK596686 NJG596686 NTC596686 OCY596686 OMU596686 OWQ596686 PGM596686 PQI596686 QAE596686 QKA596686 QTW596686 RDS596686 RNO596686 RXK596686 SHG596686 SRC596686 TAY596686 TKU596686 TUQ596686 UEM596686 UOI596686 UYE596686 VIA596686 VRW596686 WBS596686 WLO596686 WVK596686 C662222 IY662222 SU662222 ACQ662222 AMM662222 AWI662222 BGE662222 BQA662222 BZW662222 CJS662222 CTO662222 DDK662222 DNG662222 DXC662222 EGY662222 EQU662222 FAQ662222 FKM662222 FUI662222 GEE662222 GOA662222 GXW662222 HHS662222 HRO662222 IBK662222 ILG662222 IVC662222 JEY662222 JOU662222 JYQ662222 KIM662222 KSI662222 LCE662222 LMA662222 LVW662222 MFS662222 MPO662222 MZK662222 NJG662222 NTC662222 OCY662222 OMU662222 OWQ662222 PGM662222 PQI662222 QAE662222 QKA662222 QTW662222 RDS662222 RNO662222 RXK662222 SHG662222 SRC662222 TAY662222 TKU662222 TUQ662222 UEM662222 UOI662222 UYE662222 VIA662222 VRW662222 WBS662222 WLO662222 WVK662222 C727758 IY727758 SU727758 ACQ727758 AMM727758 AWI727758 BGE727758 BQA727758 BZW727758 CJS727758 CTO727758 DDK727758 DNG727758 DXC727758 EGY727758 EQU727758 FAQ727758 FKM727758 FUI727758 GEE727758 GOA727758 GXW727758 HHS727758 HRO727758 IBK727758 ILG727758 IVC727758 JEY727758 JOU727758 JYQ727758 KIM727758 KSI727758 LCE727758 LMA727758 LVW727758 MFS727758 MPO727758 MZK727758 NJG727758 NTC727758 OCY727758 OMU727758 OWQ727758 PGM727758 PQI727758 QAE727758 QKA727758 QTW727758 RDS727758 RNO727758 RXK727758 SHG727758 SRC727758 TAY727758 TKU727758 TUQ727758 UEM727758 UOI727758 UYE727758 VIA727758 VRW727758 WBS727758 WLO727758 WVK727758 C793294 IY793294 SU793294 ACQ793294 AMM793294 AWI793294 BGE793294 BQA793294 BZW793294 CJS793294 CTO793294 DDK793294 DNG793294 DXC793294 EGY793294 EQU793294 FAQ793294 FKM793294 FUI793294 GEE793294 GOA793294 GXW793294 HHS793294 HRO793294 IBK793294 ILG793294 IVC793294 JEY793294 JOU793294 JYQ793294 KIM793294 KSI793294 LCE793294 LMA793294 LVW793294 MFS793294 MPO793294 MZK793294 NJG793294 NTC793294 OCY793294 OMU793294 OWQ793294 PGM793294 PQI793294 QAE793294 QKA793294 QTW793294 RDS793294 RNO793294 RXK793294 SHG793294 SRC793294 TAY793294 TKU793294 TUQ793294 UEM793294 UOI793294 UYE793294 VIA793294 VRW793294 WBS793294 WLO793294 WVK793294 C858830 IY858830 SU858830 ACQ858830 AMM858830 AWI858830 BGE858830 BQA858830 BZW858830 CJS858830 CTO858830 DDK858830 DNG858830 DXC858830 EGY858830 EQU858830 FAQ858830 FKM858830 FUI858830 GEE858830 GOA858830 GXW858830 HHS858830 HRO858830 IBK858830 ILG858830 IVC858830 JEY858830 JOU858830 JYQ858830 KIM858830 KSI858830 LCE858830 LMA858830 LVW858830 MFS858830 MPO858830 MZK858830 NJG858830 NTC858830 OCY858830 OMU858830 OWQ858830 PGM858830 PQI858830 QAE858830 QKA858830 QTW858830 RDS858830 RNO858830 RXK858830 SHG858830 SRC858830 TAY858830 TKU858830 TUQ858830 UEM858830 UOI858830 UYE858830 VIA858830 VRW858830 WBS858830 WLO858830 WVK858830 C924366 IY924366 SU924366 ACQ924366 AMM924366 AWI924366 BGE924366 BQA924366 BZW924366 CJS924366 CTO924366 DDK924366 DNG924366 DXC924366 EGY924366 EQU924366 FAQ924366 FKM924366 FUI924366 GEE924366 GOA924366 GXW924366 HHS924366 HRO924366 IBK924366 ILG924366 IVC924366 JEY924366 JOU924366 JYQ924366 KIM924366 KSI924366 LCE924366 LMA924366 LVW924366 MFS924366 MPO924366 MZK924366 NJG924366 NTC924366 OCY924366 OMU924366 OWQ924366 PGM924366 PQI924366 QAE924366 QKA924366 QTW924366 RDS924366 RNO924366 RXK924366 SHG924366 SRC924366 TAY924366 TKU924366 TUQ924366 UEM924366 UOI924366 UYE924366 VIA924366 VRW924366 WBS924366 WLO924366 WVK924366 C989902 IY989902 SU989902 ACQ989902 AMM989902 AWI989902 BGE989902 BQA989902 BZW989902 CJS989902 CTO989902 DDK989902 DNG989902 DXC989902 EGY989902 EQU989902 FAQ989902 FKM989902 FUI989902 GEE989902 GOA989902 GXW989902 HHS989902 HRO989902 IBK989902 ILG989902 IVC989902 JEY989902 JOU989902 JYQ989902 KIM989902 KSI989902 LCE989902 LMA989902 LVW989902 MFS989902 MPO989902 MZK989902 NJG989902 NTC989902 OCY989902 OMU989902 OWQ989902 PGM989902 PQI989902 QAE989902 QKA989902 QTW989902 RDS989902 RNO989902 RXK989902 SHG989902 SRC989902 TAY989902 TKU989902 TUQ989902 UEM989902 UOI989902 UYE989902 VIA989902 VRW989902 WBS989902 WLO989902 WVK989902 C7374 IY7374 SU7374 ACQ7374 AMM7374 AWI7374 BGE7374 BQA7374 BZW7374 CJS7374 CTO7374 DDK7374 DNG7374 DXC7374 EGY7374 EQU7374 FAQ7374 FKM7374 FUI7374 GEE7374 GOA7374 GXW7374 HHS7374 HRO7374 IBK7374 ILG7374 IVC7374 JEY7374 JOU7374 JYQ7374 KIM7374 KSI7374 LCE7374 LMA7374 LVW7374 MFS7374 MPO7374 MZK7374 NJG7374 NTC7374 OCY7374 OMU7374 OWQ7374 PGM7374 PQI7374 QAE7374 QKA7374 QTW7374 RDS7374 RNO7374 RXK7374 SHG7374 SRC7374 TAY7374 TKU7374 TUQ7374 UEM7374 UOI7374 UYE7374 VIA7374 VRW7374 WBS7374 WLO7374 WVK7374 C72910 IY72910 SU72910 ACQ72910 AMM72910 AWI72910 BGE72910 BQA72910 BZW72910 CJS72910 CTO72910 DDK72910 DNG72910 DXC72910 EGY72910 EQU72910 FAQ72910 FKM72910 FUI72910 GEE72910 GOA72910 GXW72910 HHS72910 HRO72910 IBK72910 ILG72910 IVC72910 JEY72910 JOU72910 JYQ72910 KIM72910 KSI72910 LCE72910 LMA72910 LVW72910 MFS72910 MPO72910 MZK72910 NJG72910 NTC72910 OCY72910 OMU72910 OWQ72910 PGM72910 PQI72910 QAE72910 QKA72910 QTW72910 RDS72910 RNO72910 RXK72910 SHG72910 SRC72910 TAY72910 TKU72910 TUQ72910 UEM72910 UOI72910 UYE72910 VIA72910 VRW72910 WBS72910 WLO72910 WVK72910 C138446 IY138446 SU138446 ACQ138446 AMM138446 AWI138446 BGE138446 BQA138446 BZW138446 CJS138446 CTO138446 DDK138446 DNG138446 DXC138446 EGY138446 EQU138446 FAQ138446 FKM138446 FUI138446 GEE138446 GOA138446 GXW138446 HHS138446 HRO138446 IBK138446 ILG138446 IVC138446 JEY138446 JOU138446 JYQ138446 KIM138446 KSI138446 LCE138446 LMA138446 LVW138446 MFS138446 MPO138446 MZK138446 NJG138446 NTC138446 OCY138446 OMU138446 OWQ138446 PGM138446 PQI138446 QAE138446 QKA138446 QTW138446 RDS138446 RNO138446 RXK138446 SHG138446 SRC138446 TAY138446 TKU138446 TUQ138446 UEM138446 UOI138446 UYE138446 VIA138446 VRW138446 WBS138446 WLO138446 WVK138446 C203982 IY203982 SU203982 ACQ203982 AMM203982 AWI203982 BGE203982 BQA203982 BZW203982 CJS203982 CTO203982 DDK203982 DNG203982 DXC203982 EGY203982 EQU203982 FAQ203982 FKM203982 FUI203982 GEE203982 GOA203982 GXW203982 HHS203982 HRO203982 IBK203982 ILG203982 IVC203982 JEY203982 JOU203982 JYQ203982 KIM203982 KSI203982 LCE203982 LMA203982 LVW203982 MFS203982 MPO203982 MZK203982 NJG203982 NTC203982 OCY203982 OMU203982 OWQ203982 PGM203982 PQI203982 QAE203982 QKA203982 QTW203982 RDS203982 RNO203982 RXK203982 SHG203982 SRC203982 TAY203982 TKU203982 TUQ203982 UEM203982 UOI203982 UYE203982 VIA203982 VRW203982 WBS203982 WLO203982 WVK203982 C269518 IY269518 SU269518 ACQ269518 AMM269518 AWI269518 BGE269518 BQA269518 BZW269518 CJS269518 CTO269518 DDK269518 DNG269518 DXC269518 EGY269518 EQU269518 FAQ269518 FKM269518 FUI269518 GEE269518 GOA269518 GXW269518 HHS269518 HRO269518 IBK269518 ILG269518 IVC269518 JEY269518 JOU269518 JYQ269518 KIM269518 KSI269518 LCE269518 LMA269518 LVW269518 MFS269518 MPO269518 MZK269518 NJG269518 NTC269518 OCY269518 OMU269518 OWQ269518 PGM269518 PQI269518 QAE269518 QKA269518 QTW269518 RDS269518 RNO269518 RXK269518 SHG269518 SRC269518 TAY269518 TKU269518 TUQ269518 UEM269518 UOI269518 UYE269518 VIA269518 VRW269518 WBS269518 WLO269518 WVK269518 C335054 IY335054 SU335054 ACQ335054 AMM335054 AWI335054 BGE335054 BQA335054 BZW335054 CJS335054 CTO335054 DDK335054 DNG335054 DXC335054 EGY335054 EQU335054 FAQ335054 FKM335054 FUI335054 GEE335054 GOA335054 GXW335054 HHS335054 HRO335054 IBK335054 ILG335054 IVC335054 JEY335054 JOU335054 JYQ335054 KIM335054 KSI335054 LCE335054 LMA335054 LVW335054 MFS335054 MPO335054 MZK335054 NJG335054 NTC335054 OCY335054 OMU335054 OWQ335054 PGM335054 PQI335054 QAE335054 QKA335054 QTW335054 RDS335054 RNO335054 RXK335054 SHG335054 SRC335054 TAY335054 TKU335054 TUQ335054 UEM335054 UOI335054 UYE335054 VIA335054 VRW335054 WBS335054 WLO335054 WVK335054 C400590 IY400590 SU400590 ACQ400590 AMM400590 AWI400590 BGE400590 BQA400590 BZW400590 CJS400590 CTO400590 DDK400590 DNG400590 DXC400590 EGY400590 EQU400590 FAQ400590 FKM400590 FUI400590 GEE400590 GOA400590 GXW400590 HHS400590 HRO400590 IBK400590 ILG400590 IVC400590 JEY400590 JOU400590 JYQ400590 KIM400590 KSI400590 LCE400590 LMA400590 LVW400590 MFS400590 MPO400590 MZK400590 NJG400590 NTC400590 OCY400590 OMU400590 OWQ400590 PGM400590 PQI400590 QAE400590 QKA400590 QTW400590 RDS400590 RNO400590 RXK400590 SHG400590 SRC400590 TAY400590 TKU400590 TUQ400590 UEM400590 UOI400590 UYE400590 VIA400590 VRW400590 WBS400590 WLO400590 WVK400590 C466126 IY466126 SU466126 ACQ466126 AMM466126 AWI466126 BGE466126 BQA466126 BZW466126 CJS466126 CTO466126 DDK466126 DNG466126 DXC466126 EGY466126 EQU466126 FAQ466126 FKM466126 FUI466126 GEE466126 GOA466126 GXW466126 HHS466126 HRO466126 IBK466126 ILG466126 IVC466126 JEY466126 JOU466126 JYQ466126 KIM466126 KSI466126 LCE466126 LMA466126 LVW466126 MFS466126 MPO466126 MZK466126 NJG466126 NTC466126 OCY466126 OMU466126 OWQ466126 PGM466126 PQI466126 QAE466126 QKA466126 QTW466126 RDS466126 RNO466126 RXK466126 SHG466126 SRC466126 TAY466126 TKU466126 TUQ466126 UEM466126 UOI466126 UYE466126 VIA466126 VRW466126 WBS466126 WLO466126 WVK466126 C531662 IY531662 SU531662 ACQ531662 AMM531662 AWI531662 BGE531662 BQA531662 BZW531662 CJS531662 CTO531662 DDK531662 DNG531662 DXC531662 EGY531662 EQU531662 FAQ531662 FKM531662 FUI531662 GEE531662 GOA531662 GXW531662 HHS531662 HRO531662 IBK531662 ILG531662 IVC531662 JEY531662 JOU531662 JYQ531662 KIM531662 KSI531662 LCE531662 LMA531662 LVW531662 MFS531662 MPO531662 MZK531662 NJG531662 NTC531662 OCY531662 OMU531662 OWQ531662 PGM531662 PQI531662 QAE531662 QKA531662 QTW531662 RDS531662 RNO531662 RXK531662 SHG531662 SRC531662 TAY531662 TKU531662 TUQ531662 UEM531662 UOI531662 UYE531662 VIA531662 VRW531662 WBS531662 WLO531662 WVK531662 C597198 IY597198 SU597198 ACQ597198 AMM597198 AWI597198 BGE597198 BQA597198 BZW597198 CJS597198 CTO597198 DDK597198 DNG597198 DXC597198 EGY597198 EQU597198 FAQ597198 FKM597198 FUI597198 GEE597198 GOA597198 GXW597198 HHS597198 HRO597198 IBK597198 ILG597198 IVC597198 JEY597198 JOU597198 JYQ597198 KIM597198 KSI597198 LCE597198 LMA597198 LVW597198 MFS597198 MPO597198 MZK597198 NJG597198 NTC597198 OCY597198 OMU597198 OWQ597198 PGM597198 PQI597198 QAE597198 QKA597198 QTW597198 RDS597198 RNO597198 RXK597198 SHG597198 SRC597198 TAY597198 TKU597198 TUQ597198 UEM597198 UOI597198 UYE597198 VIA597198 VRW597198 WBS597198 WLO597198 WVK597198 C662734 IY662734 SU662734 ACQ662734 AMM662734 AWI662734 BGE662734 BQA662734 BZW662734 CJS662734 CTO662734 DDK662734 DNG662734 DXC662734 EGY662734 EQU662734 FAQ662734 FKM662734 FUI662734 GEE662734 GOA662734 GXW662734 HHS662734 HRO662734 IBK662734 ILG662734 IVC662734 JEY662734 JOU662734 JYQ662734 KIM662734 KSI662734 LCE662734 LMA662734 LVW662734 MFS662734 MPO662734 MZK662734 NJG662734 NTC662734 OCY662734 OMU662734 OWQ662734 PGM662734 PQI662734 QAE662734 QKA662734 QTW662734 RDS662734 RNO662734 RXK662734 SHG662734 SRC662734 TAY662734 TKU662734 TUQ662734 UEM662734 UOI662734 UYE662734 VIA662734 VRW662734 WBS662734 WLO662734 WVK662734 C728270 IY728270 SU728270 ACQ728270 AMM728270 AWI728270 BGE728270 BQA728270 BZW728270 CJS728270 CTO728270 DDK728270 DNG728270 DXC728270 EGY728270 EQU728270 FAQ728270 FKM728270 FUI728270 GEE728270 GOA728270 GXW728270 HHS728270 HRO728270 IBK728270 ILG728270 IVC728270 JEY728270 JOU728270 JYQ728270 KIM728270 KSI728270 LCE728270 LMA728270 LVW728270 MFS728270 MPO728270 MZK728270 NJG728270 NTC728270 OCY728270 OMU728270 OWQ728270 PGM728270 PQI728270 QAE728270 QKA728270 QTW728270 RDS728270 RNO728270 RXK728270 SHG728270 SRC728270 TAY728270 TKU728270 TUQ728270 UEM728270 UOI728270 UYE728270 VIA728270 VRW728270 WBS728270 WLO728270 WVK728270 C793806 IY793806 SU793806 ACQ793806 AMM793806 AWI793806 BGE793806 BQA793806 BZW793806 CJS793806 CTO793806 DDK793806 DNG793806 DXC793806 EGY793806 EQU793806 FAQ793806 FKM793806 FUI793806 GEE793806 GOA793806 GXW793806 HHS793806 HRO793806 IBK793806 ILG793806 IVC793806 JEY793806 JOU793806 JYQ793806 KIM793806 KSI793806 LCE793806 LMA793806 LVW793806 MFS793806 MPO793806 MZK793806 NJG793806 NTC793806 OCY793806 OMU793806 OWQ793806 PGM793806 PQI793806 QAE793806 QKA793806 QTW793806 RDS793806 RNO793806 RXK793806 SHG793806 SRC793806 TAY793806 TKU793806 TUQ793806 UEM793806 UOI793806 UYE793806 VIA793806 VRW793806 WBS793806 WLO793806 WVK793806 C859342 IY859342 SU859342 ACQ859342 AMM859342 AWI859342 BGE859342 BQA859342 BZW859342 CJS859342 CTO859342 DDK859342 DNG859342 DXC859342 EGY859342 EQU859342 FAQ859342 FKM859342 FUI859342 GEE859342 GOA859342 GXW859342 HHS859342 HRO859342 IBK859342 ILG859342 IVC859342 JEY859342 JOU859342 JYQ859342 KIM859342 KSI859342 LCE859342 LMA859342 LVW859342 MFS859342 MPO859342 MZK859342 NJG859342 NTC859342 OCY859342 OMU859342 OWQ859342 PGM859342 PQI859342 QAE859342 QKA859342 QTW859342 RDS859342 RNO859342 RXK859342 SHG859342 SRC859342 TAY859342 TKU859342 TUQ859342 UEM859342 UOI859342 UYE859342 VIA859342 VRW859342 WBS859342 WLO859342 WVK859342 C924878 IY924878 SU924878 ACQ924878 AMM924878 AWI924878 BGE924878 BQA924878 BZW924878 CJS924878 CTO924878 DDK924878 DNG924878 DXC924878 EGY924878 EQU924878 FAQ924878 FKM924878 FUI924878 GEE924878 GOA924878 GXW924878 HHS924878 HRO924878 IBK924878 ILG924878 IVC924878 JEY924878 JOU924878 JYQ924878 KIM924878 KSI924878 LCE924878 LMA924878 LVW924878 MFS924878 MPO924878 MZK924878 NJG924878 NTC924878 OCY924878 OMU924878 OWQ924878 PGM924878 PQI924878 QAE924878 QKA924878 QTW924878 RDS924878 RNO924878 RXK924878 SHG924878 SRC924878 TAY924878 TKU924878 TUQ924878 UEM924878 UOI924878 UYE924878 VIA924878 VRW924878 WBS924878 WLO924878 WVK924878 C990414 IY990414 SU990414 ACQ990414 AMM990414 AWI990414 BGE990414 BQA990414 BZW990414 CJS990414 CTO990414 DDK990414 DNG990414 DXC990414 EGY990414 EQU990414 FAQ990414 FKM990414 FUI990414 GEE990414 GOA990414 GXW990414 HHS990414 HRO990414 IBK990414 ILG990414 IVC990414 JEY990414 JOU990414 JYQ990414 KIM990414 KSI990414 LCE990414 LMA990414 LVW990414 MFS990414 MPO990414 MZK990414 NJG990414 NTC990414 OCY990414 OMU990414 OWQ990414 PGM990414 PQI990414 QAE990414 QKA990414 QTW990414 RDS990414 RNO990414 RXK990414 SHG990414 SRC990414 TAY990414 TKU990414 TUQ990414 UEM990414 UOI990414 UYE990414 VIA990414 VRW990414 WBS990414 WLO990414 WVK990414 C6857 IY6857 SU6857 ACQ6857 AMM6857 AWI6857 BGE6857 BQA6857 BZW6857 CJS6857 CTO6857 DDK6857 DNG6857 DXC6857 EGY6857 EQU6857 FAQ6857 FKM6857 FUI6857 GEE6857 GOA6857 GXW6857 HHS6857 HRO6857 IBK6857 ILG6857 IVC6857 JEY6857 JOU6857 JYQ6857 KIM6857 KSI6857 LCE6857 LMA6857 LVW6857 MFS6857 MPO6857 MZK6857 NJG6857 NTC6857 OCY6857 OMU6857 OWQ6857 PGM6857 PQI6857 QAE6857 QKA6857 QTW6857 RDS6857 RNO6857 RXK6857 SHG6857 SRC6857 TAY6857 TKU6857 TUQ6857 UEM6857 UOI6857 UYE6857 VIA6857 VRW6857 WBS6857 WLO6857 WVK6857 C72393 IY72393 SU72393 ACQ72393 AMM72393 AWI72393 BGE72393 BQA72393 BZW72393 CJS72393 CTO72393 DDK72393 DNG72393 DXC72393 EGY72393 EQU72393 FAQ72393 FKM72393 FUI72393 GEE72393 GOA72393 GXW72393 HHS72393 HRO72393 IBK72393 ILG72393 IVC72393 JEY72393 JOU72393 JYQ72393 KIM72393 KSI72393 LCE72393 LMA72393 LVW72393 MFS72393 MPO72393 MZK72393 NJG72393 NTC72393 OCY72393 OMU72393 OWQ72393 PGM72393 PQI72393 QAE72393 QKA72393 QTW72393 RDS72393 RNO72393 RXK72393 SHG72393 SRC72393 TAY72393 TKU72393 TUQ72393 UEM72393 UOI72393 UYE72393 VIA72393 VRW72393 WBS72393 WLO72393 WVK72393 C137929 IY137929 SU137929 ACQ137929 AMM137929 AWI137929 BGE137929 BQA137929 BZW137929 CJS137929 CTO137929 DDK137929 DNG137929 DXC137929 EGY137929 EQU137929 FAQ137929 FKM137929 FUI137929 GEE137929 GOA137929 GXW137929 HHS137929 HRO137929 IBK137929 ILG137929 IVC137929 JEY137929 JOU137929 JYQ137929 KIM137929 KSI137929 LCE137929 LMA137929 LVW137929 MFS137929 MPO137929 MZK137929 NJG137929 NTC137929 OCY137929 OMU137929 OWQ137929 PGM137929 PQI137929 QAE137929 QKA137929 QTW137929 RDS137929 RNO137929 RXK137929 SHG137929 SRC137929 TAY137929 TKU137929 TUQ137929 UEM137929 UOI137929 UYE137929 VIA137929 VRW137929 WBS137929 WLO137929 WVK137929 C203465 IY203465 SU203465 ACQ203465 AMM203465 AWI203465 BGE203465 BQA203465 BZW203465 CJS203465 CTO203465 DDK203465 DNG203465 DXC203465 EGY203465 EQU203465 FAQ203465 FKM203465 FUI203465 GEE203465 GOA203465 GXW203465 HHS203465 HRO203465 IBK203465 ILG203465 IVC203465 JEY203465 JOU203465 JYQ203465 KIM203465 KSI203465 LCE203465 LMA203465 LVW203465 MFS203465 MPO203465 MZK203465 NJG203465 NTC203465 OCY203465 OMU203465 OWQ203465 PGM203465 PQI203465 QAE203465 QKA203465 QTW203465 RDS203465 RNO203465 RXK203465 SHG203465 SRC203465 TAY203465 TKU203465 TUQ203465 UEM203465 UOI203465 UYE203465 VIA203465 VRW203465 WBS203465 WLO203465 WVK203465 C269001 IY269001 SU269001 ACQ269001 AMM269001 AWI269001 BGE269001 BQA269001 BZW269001 CJS269001 CTO269001 DDK269001 DNG269001 DXC269001 EGY269001 EQU269001 FAQ269001 FKM269001 FUI269001 GEE269001 GOA269001 GXW269001 HHS269001 HRO269001 IBK269001 ILG269001 IVC269001 JEY269001 JOU269001 JYQ269001 KIM269001 KSI269001 LCE269001 LMA269001 LVW269001 MFS269001 MPO269001 MZK269001 NJG269001 NTC269001 OCY269001 OMU269001 OWQ269001 PGM269001 PQI269001 QAE269001 QKA269001 QTW269001 RDS269001 RNO269001 RXK269001 SHG269001 SRC269001 TAY269001 TKU269001 TUQ269001 UEM269001 UOI269001 UYE269001 VIA269001 VRW269001 WBS269001 WLO269001 WVK269001 C334537 IY334537 SU334537 ACQ334537 AMM334537 AWI334537 BGE334537 BQA334537 BZW334537 CJS334537 CTO334537 DDK334537 DNG334537 DXC334537 EGY334537 EQU334537 FAQ334537 FKM334537 FUI334537 GEE334537 GOA334537 GXW334537 HHS334537 HRO334537 IBK334537 ILG334537 IVC334537 JEY334537 JOU334537 JYQ334537 KIM334537 KSI334537 LCE334537 LMA334537 LVW334537 MFS334537 MPO334537 MZK334537 NJG334537 NTC334537 OCY334537 OMU334537 OWQ334537 PGM334537 PQI334537 QAE334537 QKA334537 QTW334537 RDS334537 RNO334537 RXK334537 SHG334537 SRC334537 TAY334537 TKU334537 TUQ334537 UEM334537 UOI334537 UYE334537 VIA334537 VRW334537 WBS334537 WLO334537 WVK334537 C400073 IY400073 SU400073 ACQ400073 AMM400073 AWI400073 BGE400073 BQA400073 BZW400073 CJS400073 CTO400073 DDK400073 DNG400073 DXC400073 EGY400073 EQU400073 FAQ400073 FKM400073 FUI400073 GEE400073 GOA400073 GXW400073 HHS400073 HRO400073 IBK400073 ILG400073 IVC400073 JEY400073 JOU400073 JYQ400073 KIM400073 KSI400073 LCE400073 LMA400073 LVW400073 MFS400073 MPO400073 MZK400073 NJG400073 NTC400073 OCY400073 OMU400073 OWQ400073 PGM400073 PQI400073 QAE400073 QKA400073 QTW400073 RDS400073 RNO400073 RXK400073 SHG400073 SRC400073 TAY400073 TKU400073 TUQ400073 UEM400073 UOI400073 UYE400073 VIA400073 VRW400073 WBS400073 WLO400073 WVK400073 C465609 IY465609 SU465609 ACQ465609 AMM465609 AWI465609 BGE465609 BQA465609 BZW465609 CJS465609 CTO465609 DDK465609 DNG465609 DXC465609 EGY465609 EQU465609 FAQ465609 FKM465609 FUI465609 GEE465609 GOA465609 GXW465609 HHS465609 HRO465609 IBK465609 ILG465609 IVC465609 JEY465609 JOU465609 JYQ465609 KIM465609 KSI465609 LCE465609 LMA465609 LVW465609 MFS465609 MPO465609 MZK465609 NJG465609 NTC465609 OCY465609 OMU465609 OWQ465609 PGM465609 PQI465609 QAE465609 QKA465609 QTW465609 RDS465609 RNO465609 RXK465609 SHG465609 SRC465609 TAY465609 TKU465609 TUQ465609 UEM465609 UOI465609 UYE465609 VIA465609 VRW465609 WBS465609 WLO465609 WVK465609 C531145 IY531145 SU531145 ACQ531145 AMM531145 AWI531145 BGE531145 BQA531145 BZW531145 CJS531145 CTO531145 DDK531145 DNG531145 DXC531145 EGY531145 EQU531145 FAQ531145 FKM531145 FUI531145 GEE531145 GOA531145 GXW531145 HHS531145 HRO531145 IBK531145 ILG531145 IVC531145 JEY531145 JOU531145 JYQ531145 KIM531145 KSI531145 LCE531145 LMA531145 LVW531145 MFS531145 MPO531145 MZK531145 NJG531145 NTC531145 OCY531145 OMU531145 OWQ531145 PGM531145 PQI531145 QAE531145 QKA531145 QTW531145 RDS531145 RNO531145 RXK531145 SHG531145 SRC531145 TAY531145 TKU531145 TUQ531145 UEM531145 UOI531145 UYE531145 VIA531145 VRW531145 WBS531145 WLO531145 WVK531145 C596681 IY596681 SU596681 ACQ596681 AMM596681 AWI596681 BGE596681 BQA596681 BZW596681 CJS596681 CTO596681 DDK596681 DNG596681 DXC596681 EGY596681 EQU596681 FAQ596681 FKM596681 FUI596681 GEE596681 GOA596681 GXW596681 HHS596681 HRO596681 IBK596681 ILG596681 IVC596681 JEY596681 JOU596681 JYQ596681 KIM596681 KSI596681 LCE596681 LMA596681 LVW596681 MFS596681 MPO596681 MZK596681 NJG596681 NTC596681 OCY596681 OMU596681 OWQ596681 PGM596681 PQI596681 QAE596681 QKA596681 QTW596681 RDS596681 RNO596681 RXK596681 SHG596681 SRC596681 TAY596681 TKU596681 TUQ596681 UEM596681 UOI596681 UYE596681 VIA596681 VRW596681 WBS596681 WLO596681 WVK596681 C662217 IY662217 SU662217 ACQ662217 AMM662217 AWI662217 BGE662217 BQA662217 BZW662217 CJS662217 CTO662217 DDK662217 DNG662217 DXC662217 EGY662217 EQU662217 FAQ662217 FKM662217 FUI662217 GEE662217 GOA662217 GXW662217 HHS662217 HRO662217 IBK662217 ILG662217 IVC662217 JEY662217 JOU662217 JYQ662217 KIM662217 KSI662217 LCE662217 LMA662217 LVW662217 MFS662217 MPO662217 MZK662217 NJG662217 NTC662217 OCY662217 OMU662217 OWQ662217 PGM662217 PQI662217 QAE662217 QKA662217 QTW662217 RDS662217 RNO662217 RXK662217 SHG662217 SRC662217 TAY662217 TKU662217 TUQ662217 UEM662217 UOI662217 UYE662217 VIA662217 VRW662217 WBS662217 WLO662217 WVK662217 C727753 IY727753 SU727753 ACQ727753 AMM727753 AWI727753 BGE727753 BQA727753 BZW727753 CJS727753 CTO727753 DDK727753 DNG727753 DXC727753 EGY727753 EQU727753 FAQ727753 FKM727753 FUI727753 GEE727753 GOA727753 GXW727753 HHS727753 HRO727753 IBK727753 ILG727753 IVC727753 JEY727753 JOU727753 JYQ727753 KIM727753 KSI727753 LCE727753 LMA727753 LVW727753 MFS727753 MPO727753 MZK727753 NJG727753 NTC727753 OCY727753 OMU727753 OWQ727753 PGM727753 PQI727753 QAE727753 QKA727753 QTW727753 RDS727753 RNO727753 RXK727753 SHG727753 SRC727753 TAY727753 TKU727753 TUQ727753 UEM727753 UOI727753 UYE727753 VIA727753 VRW727753 WBS727753 WLO727753 WVK727753 C793289 IY793289 SU793289 ACQ793289 AMM793289 AWI793289 BGE793289 BQA793289 BZW793289 CJS793289 CTO793289 DDK793289 DNG793289 DXC793289 EGY793289 EQU793289 FAQ793289 FKM793289 FUI793289 GEE793289 GOA793289 GXW793289 HHS793289 HRO793289 IBK793289 ILG793289 IVC793289 JEY793289 JOU793289 JYQ793289 KIM793289 KSI793289 LCE793289 LMA793289 LVW793289 MFS793289 MPO793289 MZK793289 NJG793289 NTC793289 OCY793289 OMU793289 OWQ793289 PGM793289 PQI793289 QAE793289 QKA793289 QTW793289 RDS793289 RNO793289 RXK793289 SHG793289 SRC793289 TAY793289 TKU793289 TUQ793289 UEM793289 UOI793289 UYE793289 VIA793289 VRW793289 WBS793289 WLO793289 WVK793289 C858825 IY858825 SU858825 ACQ858825 AMM858825 AWI858825 BGE858825 BQA858825 BZW858825 CJS858825 CTO858825 DDK858825 DNG858825 DXC858825 EGY858825 EQU858825 FAQ858825 FKM858825 FUI858825 GEE858825 GOA858825 GXW858825 HHS858825 HRO858825 IBK858825 ILG858825 IVC858825 JEY858825 JOU858825 JYQ858825 KIM858825 KSI858825 LCE858825 LMA858825 LVW858825 MFS858825 MPO858825 MZK858825 NJG858825 NTC858825 OCY858825 OMU858825 OWQ858825 PGM858825 PQI858825 QAE858825 QKA858825 QTW858825 RDS858825 RNO858825 RXK858825 SHG858825 SRC858825 TAY858825 TKU858825 TUQ858825 UEM858825 UOI858825 UYE858825 VIA858825 VRW858825 WBS858825 WLO858825 WVK858825 C924361 IY924361 SU924361 ACQ924361 AMM924361 AWI924361 BGE924361 BQA924361 BZW924361 CJS924361 CTO924361 DDK924361 DNG924361 DXC924361 EGY924361 EQU924361 FAQ924361 FKM924361 FUI924361 GEE924361 GOA924361 GXW924361 HHS924361 HRO924361 IBK924361 ILG924361 IVC924361 JEY924361 JOU924361 JYQ924361 KIM924361 KSI924361 LCE924361 LMA924361 LVW924361 MFS924361 MPO924361 MZK924361 NJG924361 NTC924361 OCY924361 OMU924361 OWQ924361 PGM924361 PQI924361 QAE924361 QKA924361 QTW924361 RDS924361 RNO924361 RXK924361 SHG924361 SRC924361 TAY924361 TKU924361 TUQ924361 UEM924361 UOI924361 UYE924361 VIA924361 VRW924361 WBS924361 WLO924361 WVK924361 C989897 IY989897 SU989897 ACQ989897 AMM989897 AWI989897 BGE989897 BQA989897 BZW989897 CJS989897 CTO989897 DDK989897 DNG989897 DXC989897 EGY989897 EQU989897 FAQ989897 FKM989897 FUI989897 GEE989897 GOA989897 GXW989897 HHS989897 HRO989897 IBK989897 ILG989897 IVC989897 JEY989897 JOU989897 JYQ989897 KIM989897 KSI989897 LCE989897 LMA989897 LVW989897 MFS989897 MPO989897 MZK989897 NJG989897 NTC989897 OCY989897 OMU989897 OWQ989897 PGM989897 PQI989897 QAE989897 QKA989897 QTW989897 RDS989897 RNO989897 RXK989897 SHG989897 SRC989897 TAY989897 TKU989897 TUQ989897 UEM989897 UOI989897 UYE989897 VIA989897 VRW989897 WBS989897 WLO989897 WVK989897" xr:uid="{CC4B4E6B-D563-4AA1-8981-4AD9F7181AE9}">
      <formula1>0</formula1>
      <formula2>300</formula2>
    </dataValidation>
  </dataValidation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C20DE-0D30-4473-9CC4-259D3CA250DE}">
  <dimension ref="A1:H17"/>
  <sheetViews>
    <sheetView workbookViewId="0">
      <selection activeCell="G27" sqref="G27"/>
    </sheetView>
  </sheetViews>
  <sheetFormatPr baseColWidth="10" defaultColWidth="8.83203125" defaultRowHeight="15"/>
  <cols>
    <col min="1" max="1" width="11.1640625" customWidth="1"/>
    <col min="2" max="2" width="14.1640625" customWidth="1"/>
    <col min="3" max="3" width="12.6640625" customWidth="1"/>
    <col min="5" max="5" width="14.5" customWidth="1"/>
    <col min="6" max="6" width="13.1640625" customWidth="1"/>
  </cols>
  <sheetData>
    <row r="1" spans="1:8">
      <c r="A1" s="511" t="s">
        <v>1592</v>
      </c>
      <c r="G1" t="s">
        <v>1486</v>
      </c>
      <c r="H1" t="str">
        <f>Dashboard!O2</f>
        <v>32.72635</v>
      </c>
    </row>
    <row r="2" spans="1:8">
      <c r="A2" t="s">
        <v>1498</v>
      </c>
    </row>
    <row r="3" spans="1:8" ht="16" thickBot="1">
      <c r="A3" s="512" t="s">
        <v>1469</v>
      </c>
      <c r="B3" s="512" t="s">
        <v>660</v>
      </c>
      <c r="C3" s="513" t="s">
        <v>1470</v>
      </c>
      <c r="D3" s="512" t="s">
        <v>1471</v>
      </c>
      <c r="E3" s="514" t="s">
        <v>1472</v>
      </c>
      <c r="F3" s="528" t="s">
        <v>1495</v>
      </c>
    </row>
    <row r="4" spans="1:8" ht="16" thickBot="1">
      <c r="A4" s="515" t="s">
        <v>1473</v>
      </c>
      <c r="B4" s="515" t="s">
        <v>1</v>
      </c>
      <c r="C4" s="516" t="s">
        <v>1360</v>
      </c>
      <c r="D4" s="565" t="s">
        <v>1474</v>
      </c>
      <c r="E4" s="566">
        <v>0</v>
      </c>
      <c r="F4" s="527">
        <f>E4/$H$1</f>
        <v>0</v>
      </c>
    </row>
    <row r="5" spans="1:8" ht="16" thickBot="1">
      <c r="A5" s="595" t="s">
        <v>173</v>
      </c>
      <c r="B5" s="515" t="s">
        <v>1</v>
      </c>
      <c r="C5" s="516" t="s">
        <v>1361</v>
      </c>
      <c r="D5" s="565" t="s">
        <v>1474</v>
      </c>
      <c r="E5" s="566">
        <v>0</v>
      </c>
      <c r="F5" s="533">
        <f t="shared" ref="F5:F13" si="0">E5/$H$1</f>
        <v>0</v>
      </c>
    </row>
    <row r="6" spans="1:8" ht="16" thickBot="1">
      <c r="A6" s="596"/>
      <c r="B6" s="515" t="s">
        <v>1</v>
      </c>
      <c r="C6" s="516" t="s">
        <v>1362</v>
      </c>
      <c r="D6" s="565" t="s">
        <v>1474</v>
      </c>
      <c r="E6" s="566">
        <v>1908213.56</v>
      </c>
      <c r="F6" s="527">
        <f t="shared" si="0"/>
        <v>58308.169410887567</v>
      </c>
    </row>
    <row r="7" spans="1:8">
      <c r="A7" s="595" t="s">
        <v>774</v>
      </c>
      <c r="B7" s="515" t="s">
        <v>1</v>
      </c>
      <c r="C7" s="567" t="s">
        <v>1475</v>
      </c>
      <c r="D7" s="568" t="s">
        <v>1474</v>
      </c>
      <c r="E7" s="566">
        <v>140891962.66999999</v>
      </c>
      <c r="F7" s="529">
        <f t="shared" si="0"/>
        <v>4305153.5741077149</v>
      </c>
    </row>
    <row r="8" spans="1:8">
      <c r="A8" s="597"/>
      <c r="B8" s="515" t="s">
        <v>1</v>
      </c>
      <c r="C8" s="567" t="s">
        <v>1476</v>
      </c>
      <c r="D8" s="568" t="s">
        <v>1474</v>
      </c>
      <c r="E8" s="569">
        <v>-71616880.430000007</v>
      </c>
      <c r="F8" s="530">
        <f t="shared" si="0"/>
        <v>-2188355.2681554775</v>
      </c>
    </row>
    <row r="9" spans="1:8">
      <c r="A9" s="597"/>
      <c r="B9" s="515" t="s">
        <v>1477</v>
      </c>
      <c r="C9" s="567" t="s">
        <v>1478</v>
      </c>
      <c r="D9" s="568" t="s">
        <v>1474</v>
      </c>
      <c r="E9" s="569">
        <v>-5794754.3899999997</v>
      </c>
      <c r="F9" s="530">
        <f t="shared" si="0"/>
        <v>-177066.93199822161</v>
      </c>
    </row>
    <row r="10" spans="1:8">
      <c r="A10" s="597"/>
      <c r="B10" s="515" t="s">
        <v>1477</v>
      </c>
      <c r="C10" s="567" t="s">
        <v>1479</v>
      </c>
      <c r="D10" s="568" t="s">
        <v>1474</v>
      </c>
      <c r="F10" s="531">
        <f t="shared" si="0"/>
        <v>0</v>
      </c>
    </row>
    <row r="11" spans="1:8">
      <c r="A11" s="597"/>
      <c r="B11" s="515" t="s">
        <v>1480</v>
      </c>
      <c r="C11" s="567" t="s">
        <v>1481</v>
      </c>
      <c r="D11" s="568" t="s">
        <v>1474</v>
      </c>
      <c r="E11" s="569">
        <v>-5059433.6100000003</v>
      </c>
      <c r="F11" s="530">
        <f t="shared" si="0"/>
        <v>-154598.16355933371</v>
      </c>
    </row>
    <row r="12" spans="1:8">
      <c r="A12" s="597"/>
      <c r="B12" s="515" t="s">
        <v>1482</v>
      </c>
      <c r="C12" s="567" t="s">
        <v>1483</v>
      </c>
      <c r="D12" s="568" t="s">
        <v>1474</v>
      </c>
      <c r="E12" s="569">
        <v>-7326505.1100000003</v>
      </c>
      <c r="F12" s="530">
        <f t="shared" si="0"/>
        <v>-223871.74585616792</v>
      </c>
    </row>
    <row r="13" spans="1:8" ht="16" thickBot="1">
      <c r="A13" s="596"/>
      <c r="B13" s="515" t="s">
        <v>1484</v>
      </c>
      <c r="C13" s="567" t="s">
        <v>1485</v>
      </c>
      <c r="D13" s="568" t="s">
        <v>1474</v>
      </c>
      <c r="E13" s="569">
        <v>-6175322.3899999997</v>
      </c>
      <c r="F13" s="532">
        <f t="shared" si="0"/>
        <v>-188695.72653228973</v>
      </c>
    </row>
    <row r="14" spans="1:8" ht="16" thickBot="1">
      <c r="A14" s="515" t="s">
        <v>1496</v>
      </c>
      <c r="B14" s="515"/>
      <c r="C14" s="516"/>
      <c r="D14" s="520"/>
      <c r="E14" s="521">
        <f>SUM(E7:E13)</f>
        <v>44919066.73999998</v>
      </c>
      <c r="F14" s="527">
        <f>SUM(F7:F13)</f>
        <v>1372565.7380062244</v>
      </c>
    </row>
    <row r="16" spans="1:8">
      <c r="A16" s="523" t="s">
        <v>1497</v>
      </c>
      <c r="B16" s="111"/>
      <c r="C16" s="111"/>
      <c r="D16" s="111"/>
      <c r="E16" s="524">
        <f>E4+E6+E14</f>
        <v>46827280.299999982</v>
      </c>
      <c r="F16" s="524">
        <f>F4+F6+F14</f>
        <v>1430873.907417112</v>
      </c>
    </row>
    <row r="17" spans="1:1">
      <c r="A17" s="522"/>
    </row>
  </sheetData>
  <protectedRanges>
    <protectedRange sqref="A5 C5" name="UnlockRows"/>
    <protectedRange sqref="A6:A8 C6:D6 C7:C8 D7:D13" name="UnlockRows_1"/>
  </protectedRanges>
  <mergeCells count="2">
    <mergeCell ref="A5:A6"/>
    <mergeCell ref="A7:A13"/>
  </mergeCells>
  <conditionalFormatting sqref="F8:F13">
    <cfRule type="expression" dxfId="34" priority="30">
      <formula>#REF!="Closed"</formula>
    </cfRule>
  </conditionalFormatting>
  <conditionalFormatting sqref="E14">
    <cfRule type="expression" dxfId="33" priority="28">
      <formula>#REF!="Closed"</formula>
    </cfRule>
  </conditionalFormatting>
  <conditionalFormatting sqref="F14">
    <cfRule type="expression" dxfId="32" priority="27">
      <formula>#REF!="Closed"</formula>
    </cfRule>
  </conditionalFormatting>
  <conditionalFormatting sqref="F7">
    <cfRule type="expression" dxfId="31" priority="35">
      <formula>#REF!="Closed"</formula>
    </cfRule>
  </conditionalFormatting>
  <conditionalFormatting sqref="F6">
    <cfRule type="expression" dxfId="30" priority="34">
      <formula>#REF!="Closed"</formula>
    </cfRule>
  </conditionalFormatting>
  <conditionalFormatting sqref="F4">
    <cfRule type="expression" dxfId="29" priority="33">
      <formula>#REF!="Closed"</formula>
    </cfRule>
  </conditionalFormatting>
  <conditionalFormatting sqref="F5:F7">
    <cfRule type="expression" dxfId="28" priority="32">
      <formula>#REF!="Closed"</formula>
    </cfRule>
  </conditionalFormatting>
  <conditionalFormatting sqref="F8:F13">
    <cfRule type="expression" dxfId="27" priority="31">
      <formula>#REF!="Closed"</formula>
    </cfRule>
  </conditionalFormatting>
  <conditionalFormatting sqref="A14:D14">
    <cfRule type="expression" dxfId="26" priority="29">
      <formula>#REF!="Closed"</formula>
    </cfRule>
  </conditionalFormatting>
  <conditionalFormatting sqref="A17">
    <cfRule type="expression" dxfId="25" priority="26">
      <formula>#REF!="Closed"</formula>
    </cfRule>
  </conditionalFormatting>
  <conditionalFormatting sqref="A16">
    <cfRule type="expression" dxfId="24" priority="25">
      <formula>#REF!="Closed"</formula>
    </cfRule>
  </conditionalFormatting>
  <conditionalFormatting sqref="A4:D4 B9:B13">
    <cfRule type="expression" dxfId="23" priority="23">
      <formula>#REF!="Closed"</formula>
    </cfRule>
  </conditionalFormatting>
  <conditionalFormatting sqref="A5">
    <cfRule type="expression" dxfId="22" priority="24">
      <formula>#REF!="Closed"</formula>
    </cfRule>
  </conditionalFormatting>
  <conditionalFormatting sqref="A7">
    <cfRule type="expression" dxfId="21" priority="22">
      <formula>#REF!="Closed"</formula>
    </cfRule>
  </conditionalFormatting>
  <conditionalFormatting sqref="B9:B13">
    <cfRule type="expression" dxfId="20" priority="21">
      <formula>#REF!="Closed"</formula>
    </cfRule>
  </conditionalFormatting>
  <conditionalFormatting sqref="B5:B6">
    <cfRule type="expression" dxfId="19" priority="20">
      <formula>#REF!="Closed"</formula>
    </cfRule>
  </conditionalFormatting>
  <conditionalFormatting sqref="B7:B8">
    <cfRule type="expression" dxfId="18" priority="19">
      <formula>#REF!="Closed"</formula>
    </cfRule>
  </conditionalFormatting>
  <conditionalFormatting sqref="C7:C13">
    <cfRule type="expression" dxfId="17" priority="18">
      <formula>#REF!="Closed"</formula>
    </cfRule>
  </conditionalFormatting>
  <conditionalFormatting sqref="D7:D13">
    <cfRule type="expression" dxfId="16" priority="17">
      <formula>#REF!="Closed"</formula>
    </cfRule>
  </conditionalFormatting>
  <conditionalFormatting sqref="C5:D6">
    <cfRule type="expression" dxfId="15" priority="16">
      <formula>#REF!="Closed"</formula>
    </cfRule>
  </conditionalFormatting>
  <conditionalFormatting sqref="E6">
    <cfRule type="expression" dxfId="14" priority="15">
      <formula>#REF!="Closed"</formula>
    </cfRule>
  </conditionalFormatting>
  <conditionalFormatting sqref="E5:E6">
    <cfRule type="expression" dxfId="13" priority="14">
      <formula>#REF!="Closed"</formula>
    </cfRule>
  </conditionalFormatting>
  <conditionalFormatting sqref="E4">
    <cfRule type="expression" dxfId="12" priority="13">
      <formula>#REF!="Closed"</formula>
    </cfRule>
  </conditionalFormatting>
  <conditionalFormatting sqref="E7">
    <cfRule type="expression" dxfId="11" priority="12">
      <formula>#REF!="Closed"</formula>
    </cfRule>
  </conditionalFormatting>
  <conditionalFormatting sqref="E7">
    <cfRule type="expression" dxfId="10" priority="11">
      <formula>#REF!="Closed"</formula>
    </cfRule>
  </conditionalFormatting>
  <conditionalFormatting sqref="E8">
    <cfRule type="expression" dxfId="9" priority="10">
      <formula>#REF!="Closed"</formula>
    </cfRule>
  </conditionalFormatting>
  <conditionalFormatting sqref="E8">
    <cfRule type="expression" dxfId="8" priority="9">
      <formula>#REF!="Closed"</formula>
    </cfRule>
  </conditionalFormatting>
  <conditionalFormatting sqref="E13">
    <cfRule type="expression" dxfId="7" priority="8">
      <formula>#REF!="Closed"</formula>
    </cfRule>
  </conditionalFormatting>
  <conditionalFormatting sqref="E13">
    <cfRule type="expression" dxfId="6" priority="7">
      <formula>#REF!="Closed"</formula>
    </cfRule>
  </conditionalFormatting>
  <conditionalFormatting sqref="E9">
    <cfRule type="expression" dxfId="5" priority="6">
      <formula>#REF!="Closed"</formula>
    </cfRule>
  </conditionalFormatting>
  <conditionalFormatting sqref="E9">
    <cfRule type="expression" dxfId="4" priority="5">
      <formula>#REF!="Closed"</formula>
    </cfRule>
  </conditionalFormatting>
  <conditionalFormatting sqref="E11">
    <cfRule type="expression" dxfId="3" priority="4">
      <formula>#REF!="Closed"</formula>
    </cfRule>
  </conditionalFormatting>
  <conditionalFormatting sqref="E11">
    <cfRule type="expression" dxfId="2" priority="3">
      <formula>#REF!="Closed"</formula>
    </cfRule>
  </conditionalFormatting>
  <conditionalFormatting sqref="E12">
    <cfRule type="expression" dxfId="1" priority="2">
      <formula>#REF!="Closed"</formula>
    </cfRule>
  </conditionalFormatting>
  <conditionalFormatting sqref="E12">
    <cfRule type="expression" dxfId="0" priority="1">
      <formula>#REF!="Closed"</formula>
    </cfRule>
  </conditionalFormatting>
  <dataValidations count="2">
    <dataValidation type="list" allowBlank="1" showInputMessage="1" showErrorMessage="1" sqref="D4:D13" xr:uid="{A17D1D43-1273-4A23-9A51-9DA90D356FA4}">
      <formula1>Status</formula1>
    </dataValidation>
    <dataValidation type="list" allowBlank="1" showInputMessage="1" showErrorMessage="1" sqref="B4:B8 A4:A5 A7" xr:uid="{0EF3A05A-03ED-4A52-969C-1E2BB9951E96}">
      <formula1>Bank_Code</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F93EC-279F-4E8E-9091-14C49DF09F89}">
  <sheetPr>
    <tabColor rgb="FFFF99FF"/>
  </sheetPr>
  <dimension ref="B2:N24"/>
  <sheetViews>
    <sheetView zoomScaleNormal="100" workbookViewId="0">
      <selection activeCell="E5" sqref="E5"/>
    </sheetView>
  </sheetViews>
  <sheetFormatPr baseColWidth="10" defaultColWidth="9" defaultRowHeight="13"/>
  <cols>
    <col min="1" max="1" width="9" style="100"/>
    <col min="2" max="2" width="10.6640625" style="100" customWidth="1"/>
    <col min="3" max="3" width="7.6640625" style="100" customWidth="1"/>
    <col min="4" max="4" width="9.83203125" style="100" bestFit="1" customWidth="1"/>
    <col min="5" max="5" width="8.33203125" style="100" customWidth="1"/>
    <col min="6" max="6" width="8.1640625" style="100" customWidth="1"/>
    <col min="7" max="7" width="8.6640625" style="100" customWidth="1"/>
    <col min="8" max="8" width="7.6640625" style="100" customWidth="1"/>
    <col min="9" max="9" width="6.33203125" style="100" customWidth="1"/>
    <col min="10" max="10" width="7.33203125" style="100" bestFit="1" customWidth="1"/>
    <col min="11" max="12" width="7.1640625" style="100" customWidth="1"/>
    <col min="13" max="13" width="6.6640625" style="100" customWidth="1"/>
    <col min="14" max="14" width="7" style="100" customWidth="1"/>
    <col min="15" max="15" width="8.6640625" style="100" customWidth="1"/>
    <col min="16" max="17" width="9.33203125" style="100" bestFit="1" customWidth="1"/>
    <col min="18" max="18" width="12.6640625" style="100" bestFit="1" customWidth="1"/>
    <col min="19" max="19" width="6" style="100" bestFit="1" customWidth="1"/>
    <col min="20" max="20" width="9.1640625" style="100" bestFit="1" customWidth="1"/>
    <col min="21" max="21" width="6.33203125" style="100" bestFit="1" customWidth="1"/>
    <col min="22" max="22" width="9.33203125" style="100" bestFit="1" customWidth="1"/>
    <col min="23" max="23" width="7" style="100" bestFit="1" customWidth="1"/>
    <col min="24" max="24" width="4.6640625" style="100" bestFit="1" customWidth="1"/>
    <col min="25" max="25" width="10" style="100" bestFit="1" customWidth="1"/>
    <col min="26" max="26" width="11" style="100" bestFit="1" customWidth="1"/>
    <col min="27" max="27" width="19.6640625" style="100" bestFit="1" customWidth="1"/>
    <col min="28" max="29" width="16.1640625" style="100" bestFit="1" customWidth="1"/>
    <col min="30" max="30" width="23.6640625" style="100" bestFit="1" customWidth="1"/>
    <col min="31" max="31" width="22.6640625" style="100" bestFit="1" customWidth="1"/>
    <col min="32" max="33" width="16.1640625" style="100" bestFit="1" customWidth="1"/>
    <col min="34" max="34" width="20.1640625" style="100" bestFit="1" customWidth="1"/>
    <col min="35" max="35" width="19.33203125" style="100" bestFit="1" customWidth="1"/>
    <col min="36" max="37" width="16.1640625" style="100" bestFit="1" customWidth="1"/>
    <col min="38" max="38" width="20.6640625" style="100" bestFit="1" customWidth="1"/>
    <col min="39" max="39" width="19.6640625" style="100" bestFit="1" customWidth="1"/>
    <col min="40" max="43" width="16.1640625" style="100" bestFit="1" customWidth="1"/>
    <col min="44" max="44" width="21.1640625" style="100" bestFit="1" customWidth="1"/>
    <col min="45" max="45" width="20.1640625" style="100" bestFit="1" customWidth="1"/>
    <col min="46" max="46" width="21.1640625" style="100" bestFit="1" customWidth="1"/>
    <col min="47" max="47" width="20.1640625" style="100" bestFit="1" customWidth="1"/>
    <col min="48" max="16384" width="9" style="100"/>
  </cols>
  <sheetData>
    <row r="2" spans="2:6" ht="14">
      <c r="B2" s="132" t="s">
        <v>770</v>
      </c>
    </row>
    <row r="4" spans="2:6">
      <c r="B4" s="133" t="s">
        <v>771</v>
      </c>
      <c r="C4" s="133" t="s">
        <v>7</v>
      </c>
      <c r="D4" s="134" t="s">
        <v>772</v>
      </c>
      <c r="E4" s="134" t="s">
        <v>773</v>
      </c>
      <c r="F4" s="134" t="s">
        <v>766</v>
      </c>
    </row>
    <row r="5" spans="2:6" ht="15">
      <c r="B5" s="100" t="s">
        <v>774</v>
      </c>
      <c r="C5" s="100" t="s">
        <v>70</v>
      </c>
      <c r="D5" s="135">
        <f>100*53.95%</f>
        <v>53.949999999999996</v>
      </c>
      <c r="E5" s="135">
        <v>0</v>
      </c>
      <c r="F5" s="135">
        <v>100</v>
      </c>
    </row>
    <row r="6" spans="2:6" ht="15">
      <c r="B6" s="100" t="s">
        <v>143</v>
      </c>
      <c r="C6" s="100" t="s">
        <v>70</v>
      </c>
      <c r="D6" s="135">
        <v>3080</v>
      </c>
      <c r="E6" s="135">
        <v>0</v>
      </c>
      <c r="F6" s="135">
        <v>3080</v>
      </c>
    </row>
    <row r="7" spans="2:6" ht="15">
      <c r="B7" s="100" t="s">
        <v>341</v>
      </c>
      <c r="C7" s="100" t="s">
        <v>73</v>
      </c>
      <c r="D7" s="135">
        <v>6.3</v>
      </c>
      <c r="E7" s="135">
        <v>0</v>
      </c>
      <c r="F7" s="135">
        <v>6.3</v>
      </c>
    </row>
    <row r="8" spans="2:6" ht="15">
      <c r="B8" s="100" t="s">
        <v>169</v>
      </c>
      <c r="C8" s="100" t="s">
        <v>70</v>
      </c>
      <c r="D8" s="135">
        <v>30</v>
      </c>
      <c r="E8" s="135">
        <v>0</v>
      </c>
      <c r="F8" s="135">
        <v>30</v>
      </c>
    </row>
    <row r="9" spans="2:6" ht="15">
      <c r="B9" s="100" t="s">
        <v>173</v>
      </c>
      <c r="C9" s="100" t="s">
        <v>70</v>
      </c>
      <c r="D9" s="135">
        <v>6600</v>
      </c>
      <c r="E9" s="135">
        <v>0</v>
      </c>
      <c r="F9" s="135">
        <v>6600</v>
      </c>
    </row>
    <row r="10" spans="2:6" ht="15">
      <c r="B10" s="100" t="s">
        <v>775</v>
      </c>
      <c r="C10" s="100" t="s">
        <v>70</v>
      </c>
      <c r="D10" s="135">
        <v>1500</v>
      </c>
      <c r="E10" s="135">
        <v>0</v>
      </c>
      <c r="F10" s="135">
        <v>1500</v>
      </c>
    </row>
    <row r="11" spans="2:6" ht="15">
      <c r="B11" s="100" t="s">
        <v>180</v>
      </c>
      <c r="C11" s="100" t="s">
        <v>70</v>
      </c>
      <c r="D11" s="135">
        <v>2030</v>
      </c>
      <c r="E11" s="135">
        <v>0</v>
      </c>
      <c r="F11" s="135">
        <v>2030</v>
      </c>
    </row>
    <row r="12" spans="2:6" ht="15">
      <c r="B12" s="100" t="s">
        <v>213</v>
      </c>
      <c r="C12" s="100" t="s">
        <v>73</v>
      </c>
      <c r="D12" s="135">
        <v>200</v>
      </c>
      <c r="E12" s="135">
        <v>0</v>
      </c>
      <c r="F12" s="135">
        <v>200</v>
      </c>
    </row>
    <row r="13" spans="2:6" ht="15">
      <c r="B13" s="100" t="s">
        <v>458</v>
      </c>
      <c r="C13" s="100" t="s">
        <v>73</v>
      </c>
      <c r="D13" s="135">
        <v>200</v>
      </c>
      <c r="E13" s="135">
        <v>0</v>
      </c>
      <c r="F13" s="135">
        <v>200</v>
      </c>
    </row>
    <row r="14" spans="2:6" ht="15">
      <c r="B14" s="100" t="s">
        <v>776</v>
      </c>
      <c r="C14" s="100" t="s">
        <v>70</v>
      </c>
      <c r="D14" s="135">
        <v>5000</v>
      </c>
      <c r="E14" s="135">
        <v>0</v>
      </c>
      <c r="F14" s="135">
        <v>5000</v>
      </c>
    </row>
    <row r="15" spans="2:6">
      <c r="B15" s="110" t="s">
        <v>71</v>
      </c>
      <c r="C15" s="110" t="s">
        <v>70</v>
      </c>
      <c r="D15" s="136">
        <f>SUMIF($C$5:$C$14,$C$15,D5:D14)</f>
        <v>18293.95</v>
      </c>
      <c r="E15" s="136">
        <f>SUMIF($C$5:$C$14,$C$15,E5:E14)</f>
        <v>0</v>
      </c>
      <c r="F15" s="136">
        <f>SUMIF($C$5:$C$14,$C$15,F5:F14)</f>
        <v>18340</v>
      </c>
    </row>
    <row r="16" spans="2:6">
      <c r="B16" s="110" t="s">
        <v>71</v>
      </c>
      <c r="C16" s="110" t="s">
        <v>73</v>
      </c>
      <c r="D16" s="136">
        <f>SUMIF($C$5:$C$15,$C$16,D5:D15)</f>
        <v>406.3</v>
      </c>
      <c r="E16" s="136">
        <f>SUMIF($C$5:$C$14,$C$16,E5:E14)</f>
        <v>0</v>
      </c>
      <c r="F16" s="136">
        <f>SUMIF($C$5:$C$15,$C$16,F5:F15)</f>
        <v>406.3</v>
      </c>
    </row>
    <row r="20" spans="2:14" ht="14" thickBot="1"/>
    <row r="21" spans="2:14">
      <c r="B21" s="137"/>
      <c r="C21" s="138" t="s">
        <v>70</v>
      </c>
      <c r="D21" s="138" t="s">
        <v>70</v>
      </c>
      <c r="E21" s="138" t="s">
        <v>70</v>
      </c>
      <c r="F21" s="138" t="s">
        <v>70</v>
      </c>
      <c r="G21" s="138" t="s">
        <v>70</v>
      </c>
      <c r="H21" s="138" t="s">
        <v>70</v>
      </c>
      <c r="I21" s="138" t="s">
        <v>70</v>
      </c>
      <c r="J21" s="139" t="s">
        <v>70</v>
      </c>
      <c r="K21" s="138" t="s">
        <v>73</v>
      </c>
      <c r="L21" s="138" t="s">
        <v>73</v>
      </c>
      <c r="M21" s="138" t="s">
        <v>73</v>
      </c>
      <c r="N21" s="140" t="s">
        <v>73</v>
      </c>
    </row>
    <row r="22" spans="2:14" ht="14">
      <c r="B22" s="141"/>
      <c r="C22" s="142" t="s">
        <v>774</v>
      </c>
      <c r="D22" s="142" t="s">
        <v>143</v>
      </c>
      <c r="E22" s="142" t="s">
        <v>169</v>
      </c>
      <c r="F22" s="143" t="s">
        <v>777</v>
      </c>
      <c r="G22" s="142" t="s">
        <v>775</v>
      </c>
      <c r="H22" s="142" t="s">
        <v>180</v>
      </c>
      <c r="I22" s="142" t="s">
        <v>776</v>
      </c>
      <c r="J22" s="144" t="s">
        <v>71</v>
      </c>
      <c r="K22" s="142" t="s">
        <v>778</v>
      </c>
      <c r="L22" s="142" t="s">
        <v>779</v>
      </c>
      <c r="M22" s="142" t="s">
        <v>780</v>
      </c>
      <c r="N22" s="145" t="s">
        <v>71</v>
      </c>
    </row>
    <row r="23" spans="2:14" ht="15">
      <c r="B23" s="146" t="s">
        <v>766</v>
      </c>
      <c r="C23" s="147">
        <f>D5</f>
        <v>53.949999999999996</v>
      </c>
      <c r="D23" s="147">
        <f>D6</f>
        <v>3080</v>
      </c>
      <c r="E23" s="147">
        <f>D8</f>
        <v>30</v>
      </c>
      <c r="F23" s="147">
        <f>D9</f>
        <v>6600</v>
      </c>
      <c r="G23" s="147">
        <f>D10</f>
        <v>1500</v>
      </c>
      <c r="H23" s="147">
        <f>D11</f>
        <v>2030</v>
      </c>
      <c r="I23" s="147">
        <f>D14</f>
        <v>5000</v>
      </c>
      <c r="J23" s="148">
        <f>D15</f>
        <v>18293.95</v>
      </c>
      <c r="K23" s="147">
        <f>D12</f>
        <v>200</v>
      </c>
      <c r="L23" s="147">
        <f>F13</f>
        <v>200</v>
      </c>
      <c r="M23" s="149">
        <f>D7</f>
        <v>6.3</v>
      </c>
      <c r="N23" s="150">
        <f>D16</f>
        <v>406.3</v>
      </c>
    </row>
    <row r="24" spans="2:14" ht="16" thickBot="1">
      <c r="B24" s="151" t="s">
        <v>773</v>
      </c>
      <c r="C24" s="152">
        <v>0</v>
      </c>
      <c r="D24" s="152">
        <v>0</v>
      </c>
      <c r="E24" s="152">
        <v>0</v>
      </c>
      <c r="F24" s="152">
        <v>0</v>
      </c>
      <c r="G24" s="152">
        <v>0</v>
      </c>
      <c r="H24" s="152">
        <v>0</v>
      </c>
      <c r="I24" s="152">
        <v>0</v>
      </c>
      <c r="J24" s="153">
        <f>SUM(C24:I24)</f>
        <v>0</v>
      </c>
      <c r="K24" s="152">
        <v>0</v>
      </c>
      <c r="L24" s="152">
        <v>0</v>
      </c>
      <c r="M24" s="154">
        <v>0</v>
      </c>
      <c r="N24" s="155">
        <f>K24+L24+M24</f>
        <v>0</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504AEE9FEE5E42805C55162BE4DA01" ma:contentTypeVersion="0" ma:contentTypeDescription="Create a new document." ma:contentTypeScope="" ma:versionID="0a726b9280c65a659cf94007e0b0429e">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289FC3-DFBA-4F5B-9B33-57E273B495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3358416-C17F-4279-A848-0E634F2AE8CD}">
  <ds:schemaRefs>
    <ds:schemaRef ds:uri="http://schemas.microsoft.com/sharepoint/v3/contenttype/forms"/>
  </ds:schemaRefs>
</ds:datastoreItem>
</file>

<file path=customXml/itemProps3.xml><?xml version="1.0" encoding="utf-8"?>
<ds:datastoreItem xmlns:ds="http://schemas.openxmlformats.org/officeDocument/2006/customXml" ds:itemID="{7AFEC56C-5788-4D6E-BDA6-7CD71D12FA46}">
  <ds:schemaRefs>
    <ds:schemaRef ds:uri="35c5a702-4edb-4e9b-9207-c088a8a1833b"/>
    <ds:schemaRef ds:uri="http://purl.org/dc/dcmitype/"/>
    <ds:schemaRef ds:uri="http://purl.org/dc/terms/"/>
    <ds:schemaRef ds:uri="http://www.w3.org/XML/1998/namespace"/>
    <ds:schemaRef ds:uri="http://schemas.microsoft.com/office/2006/metadata/propertie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a2b5c529-60ea-45e1-a0e4-c15a85bd643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Dashboard</vt:lpstr>
      <vt:lpstr>Report</vt:lpstr>
      <vt:lpstr>Change</vt:lpstr>
      <vt:lpstr>Cash Balance Report</vt:lpstr>
      <vt:lpstr>Cash Balance SAP</vt:lpstr>
      <vt:lpstr>JV &amp; SUB</vt:lpstr>
      <vt:lpstr>Sheet1</vt:lpstr>
      <vt:lpstr>JV&amp;SUB raw info</vt:lpstr>
      <vt:lpstr>Deposit</vt:lpstr>
      <vt:lpstr>Working Cap</vt:lpstr>
      <vt:lpstr>Investment</vt:lpstr>
      <vt:lpstr>Availability</vt:lpstr>
      <vt:lpstr>Graph</vt:lpstr>
      <vt:lpstr>Counterparty Limit</vt:lpstr>
      <vt:lpstr>Sheet2</vt:lpstr>
      <vt:lpstr>SKO&amp; SBO</vt:lpstr>
      <vt:lpstr>ARV</vt:lpstr>
      <vt:lpstr>ST Bank Facility</vt:lpstr>
      <vt:lpstr>'Cash Balance SAP'!Print_Area</vt:lpstr>
      <vt:lpstr>Deposit!Print_Area</vt:lpstr>
      <vt:lpstr>Report!Print_Area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PAJAREEL</dc:creator>
  <dc:description>7.0.6</dc:description>
  <cp:lastModifiedBy>Microsoft Office User</cp:lastModifiedBy>
  <cp:lastPrinted>2022-03-01T11:56:35Z</cp:lastPrinted>
  <dcterms:created xsi:type="dcterms:W3CDTF">2021-07-03T14:10:25Z</dcterms:created>
  <dcterms:modified xsi:type="dcterms:W3CDTF">2022-07-14T01:32:23Z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0x01010051504AEE9FEE5E42805C55162BE4DA01</vt:lpwstr>
  </property>
</Properties>
</file>