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'Xero'!$A$4:$G$20889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47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9" fontId="3" fillId="8" borderId="6" pivotButton="0" quotePrefix="0" xfId="0"/>
    <xf numFmtId="3" fontId="11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3" fontId="11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3" fillId="7" borderId="6" pivotButton="0" quotePrefix="0" xfId="0"/>
    <xf numFmtId="3" fontId="3" fillId="12" borderId="6" pivotButton="0" quotePrefix="0" xfId="0"/>
    <xf numFmtId="0" fontId="3" fillId="12" borderId="6" pivotButton="0" quotePrefix="0" xfId="0"/>
    <xf numFmtId="3" fontId="11" fillId="12" borderId="6" pivotButton="0" quotePrefix="0" xfId="0"/>
    <xf numFmtId="0" fontId="6" fillId="0" borderId="0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0" fillId="9" borderId="1" pivotButton="0" quotePrefix="0" xfId="0"/>
    <xf numFmtId="3" fontId="12" fillId="9" borderId="1" pivotButton="0" quotePrefix="0" xfId="0"/>
    <xf numFmtId="0" fontId="7" fillId="0" borderId="0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13" applyAlignment="1" pivotButton="0" quotePrefix="0" xfId="0">
      <alignment horizontal="center" vertical="center"/>
    </xf>
    <xf numFmtId="0" fontId="0" fillId="15" borderId="14" pivotButton="0" quotePrefix="0" xfId="0"/>
    <xf numFmtId="0" fontId="0" fillId="15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ZZYL05</t>
        </is>
      </c>
      <c r="B406" s="3" t="inlineStr">
        <is>
          <t>Diana Wendy</t>
        </is>
      </c>
      <c r="C406" s="3" t="inlineStr">
        <is>
          <t>Zylstra</t>
        </is>
      </c>
      <c r="D406" s="3" t="inlineStr">
        <is>
          <t>Heron View</t>
        </is>
      </c>
      <c r="E406" s="3" t="inlineStr">
        <is>
          <t>HVK205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45469</v>
      </c>
      <c r="J406" s="4" t="n">
        <v>45471</v>
      </c>
      <c r="K406" s="4" t="n">
        <v>45603</v>
      </c>
      <c r="L406" s="3" t="n">
        <v>2</v>
      </c>
      <c r="M406" s="3" t="n">
        <v>507320.55</v>
      </c>
      <c r="N406" s="3" t="n">
        <v>16</v>
      </c>
      <c r="O406" s="3" t="b">
        <v>0</v>
      </c>
      <c r="P406" s="3" t="b">
        <v>0</v>
      </c>
      <c r="Q406" s="3" t="n">
        <v>305.7822493150685</v>
      </c>
      <c r="R406" s="3" t="n">
        <v>29355.09593424658</v>
      </c>
      <c r="S406" s="3" t="n">
        <v>29660.87818356164</v>
      </c>
      <c r="T406" s="5">
        <f>IF(J406&lt;&gt;"",M406*N406/365/100*('Cashflow Projection'!$B$2-Investors!J406),0)</f>
        <v/>
      </c>
    </row>
    <row r="407">
      <c r="A407" s="3" t="inlineStr">
        <is>
          <t>ZCOL01</t>
        </is>
      </c>
      <c r="B407" s="3" t="inlineStr">
        <is>
          <t>Christine</t>
        </is>
      </c>
      <c r="C407" s="3" t="inlineStr">
        <is>
          <t>Collins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44914</v>
      </c>
      <c r="J407" s="4" t="n">
        <v>45008</v>
      </c>
      <c r="K407" s="4" t="n">
        <v>45604</v>
      </c>
      <c r="L407" s="3" t="n">
        <v>4</v>
      </c>
      <c r="M407" s="3" t="n">
        <v>130133.7</v>
      </c>
      <c r="N407" s="3" t="n">
        <v>14</v>
      </c>
      <c r="O407" s="3" t="b">
        <v>0</v>
      </c>
      <c r="P407" s="3" t="b">
        <v>0</v>
      </c>
      <c r="Q407" s="3" t="n">
        <v>3313.061389726032</v>
      </c>
      <c r="R407" s="3" t="n">
        <v>29748.92035068493</v>
      </c>
      <c r="S407" s="3" t="n">
        <v>33061.98174041096</v>
      </c>
      <c r="T407" s="5">
        <f>IF(J407&lt;&gt;"",M407*N407/365/100*('Cashflow Projection'!$B$2-Investors!J407),0)</f>
        <v/>
      </c>
    </row>
    <row r="408">
      <c r="A408" s="3" t="inlineStr">
        <is>
          <t>ZDIC01</t>
        </is>
      </c>
      <c r="B408" s="3" t="inlineStr">
        <is>
          <t>Grant Allan</t>
        </is>
      </c>
      <c r="C408" s="3" t="inlineStr">
        <is>
          <t>Dickinson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44952</v>
      </c>
      <c r="J408" s="4" t="n">
        <v>45044</v>
      </c>
      <c r="K408" s="4" t="n">
        <v>45604</v>
      </c>
      <c r="L408" s="3" t="n">
        <v>11</v>
      </c>
      <c r="M408" s="3" t="n">
        <v>767449.3199999999</v>
      </c>
      <c r="N408" s="3" t="n">
        <v>18</v>
      </c>
      <c r="O408" s="3" t="b">
        <v>0</v>
      </c>
      <c r="P408" s="3" t="b">
        <v>0</v>
      </c>
      <c r="Q408" s="3" t="n">
        <v>19612.00967753426</v>
      </c>
      <c r="R408" s="3" t="n">
        <v>211942.1683726028</v>
      </c>
      <c r="S408" s="3" t="n">
        <v>231554.178050137</v>
      </c>
      <c r="T408" s="5">
        <f>IF(J408&lt;&gt;"",M408*N408/365/100*('Cashflow Projection'!$B$2-Investors!J408),0)</f>
        <v/>
      </c>
    </row>
    <row r="409">
      <c r="A409" s="3" t="inlineStr">
        <is>
          <t>ZFOU01</t>
        </is>
      </c>
      <c r="B409" s="3" t="inlineStr">
        <is>
          <t>Hester Magrietha</t>
        </is>
      </c>
      <c r="C409" s="3" t="inlineStr">
        <is>
          <t>Fourie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44944</v>
      </c>
      <c r="J409" s="4" t="n">
        <v>45016</v>
      </c>
      <c r="K409" s="4" t="n">
        <v>45604</v>
      </c>
      <c r="L409" s="3" t="n">
        <v>2</v>
      </c>
      <c r="M409" s="3" t="n">
        <v>100000</v>
      </c>
      <c r="N409" s="3" t="n">
        <v>14</v>
      </c>
      <c r="O409" s="3" t="b">
        <v>0</v>
      </c>
      <c r="P409" s="3" t="b">
        <v>0</v>
      </c>
      <c r="Q409" s="3" t="n">
        <v>1963.698630136983</v>
      </c>
      <c r="R409" s="3" t="n">
        <v>22553.42465753424</v>
      </c>
      <c r="S409" s="3" t="n">
        <v>24517.12328767123</v>
      </c>
      <c r="T409" s="5">
        <f>IF(J409&lt;&gt;"",M409*N409/365/100*('Cashflow Projection'!$B$2-Investors!J409),0)</f>
        <v/>
      </c>
    </row>
    <row r="410">
      <c r="A410" s="3" t="inlineStr">
        <is>
          <t>ZGOV01</t>
        </is>
      </c>
      <c r="B410" s="3" t="inlineStr">
        <is>
          <t>Preshnee</t>
        </is>
      </c>
      <c r="C410" s="3" t="inlineStr">
        <is>
          <t>Govender</t>
        </is>
      </c>
      <c r="D410" s="3" t="inlineStr">
        <is>
          <t>Heron View</t>
        </is>
      </c>
      <c r="E410" s="3" t="inlineStr">
        <is>
          <t>HVK206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44903</v>
      </c>
      <c r="J410" s="4" t="n">
        <v>44967</v>
      </c>
      <c r="K410" s="4" t="n">
        <v>45604</v>
      </c>
      <c r="L410" s="3" t="n">
        <v>2</v>
      </c>
      <c r="M410" s="3" t="n">
        <v>122921.23</v>
      </c>
      <c r="N410" s="3" t="n">
        <v>14</v>
      </c>
      <c r="O410" s="3" t="b">
        <v>0</v>
      </c>
      <c r="P410" s="3" t="b">
        <v>0</v>
      </c>
      <c r="Q410" s="3" t="n">
        <v>2109.867139589041</v>
      </c>
      <c r="R410" s="3" t="n">
        <v>30033.19257917808</v>
      </c>
      <c r="S410" s="3" t="n">
        <v>32143.05971876712</v>
      </c>
      <c r="T410" s="5">
        <f>IF(J410&lt;&gt;"",M410*N410/365/100*('Cashflow Projection'!$B$2-Investors!J410),0)</f>
        <v/>
      </c>
    </row>
    <row r="411">
      <c r="A411" s="3" t="inlineStr">
        <is>
          <t>ZBAR01</t>
        </is>
      </c>
      <c r="B411" s="3" t="inlineStr">
        <is>
          <t>Stuart Christopher</t>
        </is>
      </c>
      <c r="C411" s="3" t="inlineStr">
        <is>
          <t>Barr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44908</v>
      </c>
      <c r="J411" s="4" t="n">
        <v>44986</v>
      </c>
      <c r="K411" s="4" t="n">
        <v>45600</v>
      </c>
      <c r="L411" s="3" t="n">
        <v>2</v>
      </c>
      <c r="M411" s="3" t="n">
        <v>251198.63</v>
      </c>
      <c r="N411" s="3" t="n">
        <v>14</v>
      </c>
      <c r="O411" s="3" t="b">
        <v>0</v>
      </c>
      <c r="P411" s="3" t="b">
        <v>0</v>
      </c>
      <c r="Q411" s="3" t="n">
        <v>5283.773922808226</v>
      </c>
      <c r="R411" s="3" t="n">
        <v>59158.99790356165</v>
      </c>
      <c r="S411" s="3" t="n">
        <v>64442.77182636988</v>
      </c>
      <c r="T411" s="5">
        <f>IF(J411&lt;&gt;"",M411*N411/365/100*('Cashflow Projection'!$B$2-Investors!J411),0)</f>
        <v/>
      </c>
    </row>
    <row r="412">
      <c r="A412" s="3" t="inlineStr">
        <is>
          <t>ZDAV01</t>
        </is>
      </c>
      <c r="B412" s="3" t="inlineStr">
        <is>
          <t>Heather Mary Lyn</t>
        </is>
      </c>
      <c r="C412" s="3" t="inlineStr">
        <is>
          <t>Davies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44903</v>
      </c>
      <c r="J412" s="4" t="n">
        <v>44967</v>
      </c>
      <c r="K412" s="4" t="n">
        <v>45600</v>
      </c>
      <c r="L412" s="3" t="n">
        <v>5</v>
      </c>
      <c r="M412" s="3" t="n">
        <v>250000</v>
      </c>
      <c r="N412" s="3" t="n">
        <v>16</v>
      </c>
      <c r="O412" s="3" t="b">
        <v>0</v>
      </c>
      <c r="P412" s="3" t="b">
        <v>0</v>
      </c>
      <c r="Q412" s="3" t="n">
        <v>4291.09589041096</v>
      </c>
      <c r="R412" s="3" t="n">
        <v>69369.86301369863</v>
      </c>
      <c r="S412" s="3" t="n">
        <v>73660.95890410959</v>
      </c>
      <c r="T412" s="5">
        <f>IF(J412&lt;&gt;"",M412*N412/365/100*('Cashflow Projection'!$B$2-Investors!J412),0)</f>
        <v/>
      </c>
    </row>
    <row r="413">
      <c r="A413" s="3" t="inlineStr">
        <is>
          <t>ZHIL01</t>
        </is>
      </c>
      <c r="B413" s="3" t="inlineStr">
        <is>
          <t>Trevor David</t>
        </is>
      </c>
      <c r="C413" s="3" t="inlineStr">
        <is>
          <t>Hill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44895</v>
      </c>
      <c r="J413" s="4" t="n">
        <v>44916</v>
      </c>
      <c r="K413" s="4" t="n">
        <v>45600</v>
      </c>
      <c r="L413" s="3" t="n">
        <v>2</v>
      </c>
      <c r="M413" s="3" t="n">
        <v>123390.41</v>
      </c>
      <c r="N413" s="3" t="n">
        <v>14</v>
      </c>
      <c r="O413" s="3" t="b">
        <v>0</v>
      </c>
      <c r="P413" s="3" t="b">
        <v>0</v>
      </c>
      <c r="Q413" s="3" t="n">
        <v>692.1694917123287</v>
      </c>
      <c r="R413" s="3" t="n">
        <v>32372.23468931507</v>
      </c>
      <c r="S413" s="3" t="n">
        <v>33064.4041810274</v>
      </c>
      <c r="T413" s="5">
        <f>IF(J413&lt;&gt;"",M413*N413/365/100*('Cashflow Projection'!$B$2-Investors!J413),0)</f>
        <v/>
      </c>
    </row>
    <row r="414">
      <c r="A414" s="3" t="inlineStr">
        <is>
          <t>ZJBM01</t>
        </is>
      </c>
      <c r="B414" s="3" t="inlineStr">
        <is>
          <t>Jacobus Bruwer</t>
        </is>
      </c>
      <c r="C414" s="3" t="inlineStr">
        <is>
          <t>Morkel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44901</v>
      </c>
      <c r="J414" s="4" t="n">
        <v>44916</v>
      </c>
      <c r="K414" s="4" t="n">
        <v>45600</v>
      </c>
      <c r="L414" s="3" t="n">
        <v>2</v>
      </c>
      <c r="M414" s="3" t="n">
        <v>124948.63</v>
      </c>
      <c r="N414" s="3" t="n">
        <v>14</v>
      </c>
      <c r="O414" s="3" t="b">
        <v>0</v>
      </c>
      <c r="P414" s="3" t="b">
        <v>0</v>
      </c>
      <c r="Q414" s="3" t="n">
        <v>500.6503325342467</v>
      </c>
      <c r="R414" s="3" t="n">
        <v>32781.04331178082</v>
      </c>
      <c r="S414" s="3" t="n">
        <v>33281.69364431507</v>
      </c>
      <c r="T414" s="5">
        <f>IF(J414&lt;&gt;"",M414*N414/365/100*('Cashflow Projection'!$B$2-Investors!J414),0)</f>
        <v/>
      </c>
    </row>
    <row r="415">
      <c r="A415" s="3" t="inlineStr">
        <is>
          <t>ZVAN05</t>
        </is>
      </c>
      <c r="B415" s="3" t="inlineStr">
        <is>
          <t>Hermanus</t>
        </is>
      </c>
      <c r="C415" s="3" t="inlineStr">
        <is>
          <t>van der Sandt</t>
        </is>
      </c>
      <c r="D415" s="3" t="inlineStr">
        <is>
          <t>Heron View</t>
        </is>
      </c>
      <c r="E415" s="3" t="inlineStr">
        <is>
          <t>HVK301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44866</v>
      </c>
      <c r="J415" s="4" t="n">
        <v>44909</v>
      </c>
      <c r="K415" s="4" t="n">
        <v>45600</v>
      </c>
      <c r="L415" s="3" t="n">
        <v>7</v>
      </c>
      <c r="M415" s="3" t="n">
        <v>350000</v>
      </c>
      <c r="N415" s="3" t="n">
        <v>18</v>
      </c>
      <c r="O415" s="3" t="b">
        <v>0</v>
      </c>
      <c r="P415" s="3" t="b">
        <v>0</v>
      </c>
      <c r="Q415" s="3" t="n">
        <v>3811.64383561644</v>
      </c>
      <c r="R415" s="3" t="n">
        <v>119268.4931506849</v>
      </c>
      <c r="S415" s="3" t="n">
        <v>123080.1369863014</v>
      </c>
      <c r="T415" s="5">
        <f>IF(J415&lt;&gt;"",M415*N415/365/100*('Cashflow Projection'!$B$2-Investors!J415),0)</f>
        <v/>
      </c>
    </row>
    <row r="416">
      <c r="A416" s="3" t="inlineStr">
        <is>
          <t>ZBEL01</t>
        </is>
      </c>
      <c r="B416" s="3" t="inlineStr">
        <is>
          <t>Helen Constance</t>
        </is>
      </c>
      <c r="C416" s="3" t="inlineStr">
        <is>
          <t>Belford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44903</v>
      </c>
      <c r="J416" s="4" t="n">
        <v>44986</v>
      </c>
      <c r="K416" s="4" t="n">
        <v>45617</v>
      </c>
      <c r="L416" s="3" t="n">
        <v>5</v>
      </c>
      <c r="M416" s="3" t="n">
        <v>369059.18</v>
      </c>
      <c r="N416" s="3" t="n">
        <v>16</v>
      </c>
      <c r="O416" s="3" t="b">
        <v>0</v>
      </c>
      <c r="P416" s="3" t="b">
        <v>0</v>
      </c>
      <c r="Q416" s="3" t="n">
        <v>8255.803300547957</v>
      </c>
      <c r="R416" s="3" t="n">
        <v>102082.7803090411</v>
      </c>
      <c r="S416" s="3" t="n">
        <v>110338.583609589</v>
      </c>
      <c r="T416" s="5">
        <f>IF(J416&lt;&gt;"",M416*N416/365/100*('Cashflow Projection'!$B$2-Investors!J416),0)</f>
        <v/>
      </c>
    </row>
    <row r="417">
      <c r="A417" s="3" t="inlineStr">
        <is>
          <t>ZCRO01</t>
        </is>
      </c>
      <c r="B417" s="3" t="inlineStr">
        <is>
          <t>Marc</t>
        </is>
      </c>
      <c r="C417" s="3" t="inlineStr">
        <is>
          <t>Lunau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8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ZJOH01</t>
        </is>
      </c>
      <c r="B418" s="3" t="inlineStr">
        <is>
          <t>Lisa-Marie Natalie</t>
        </is>
      </c>
      <c r="C418" s="3" t="inlineStr">
        <is>
          <t>Johns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44995</v>
      </c>
      <c r="K418" s="4" t="n">
        <v>45617</v>
      </c>
      <c r="L418" s="3" t="n">
        <v>6</v>
      </c>
      <c r="M418" s="3" t="n">
        <v>110000</v>
      </c>
      <c r="N418" s="3" t="n">
        <v>18</v>
      </c>
      <c r="O418" s="3" t="b">
        <v>0</v>
      </c>
      <c r="P418" s="3" t="b">
        <v>0</v>
      </c>
      <c r="Q418" s="3" t="n">
        <v>2555.616438356164</v>
      </c>
      <c r="R418" s="3" t="n">
        <v>33741.3698630137</v>
      </c>
      <c r="S418" s="3" t="n">
        <v>36296.98630136986</v>
      </c>
      <c r="T418" s="5">
        <f>IF(J418&lt;&gt;"",M418*N418/365/100*('Cashflow Projection'!$B$2-Investors!J418),0)</f>
        <v/>
      </c>
    </row>
    <row r="419">
      <c r="A419" s="3" t="inlineStr">
        <is>
          <t>ZLEW01</t>
        </is>
      </c>
      <c r="B419" s="3" t="inlineStr">
        <is>
          <t>Martina Christina</t>
        </is>
      </c>
      <c r="C419" s="3" t="inlineStr">
        <is>
          <t>Lewis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44909</v>
      </c>
      <c r="J419" s="4" t="n">
        <v>44980</v>
      </c>
      <c r="K419" s="4" t="n">
        <v>45617</v>
      </c>
      <c r="L419" s="3" t="n">
        <v>9</v>
      </c>
      <c r="M419" s="3" t="n">
        <v>400000</v>
      </c>
      <c r="N419" s="3" t="n">
        <v>18</v>
      </c>
      <c r="O419" s="3" t="b">
        <v>0</v>
      </c>
      <c r="P419" s="3" t="b">
        <v>0</v>
      </c>
      <c r="Q419" s="3" t="n">
        <v>7649.315068493143</v>
      </c>
      <c r="R419" s="3" t="n">
        <v>125654.7945205479</v>
      </c>
      <c r="S419" s="3" t="n">
        <v>133304.1095890411</v>
      </c>
      <c r="T419" s="5">
        <f>IF(J419&lt;&gt;"",M419*N419/365/100*('Cashflow Projection'!$B$2-Investors!J419),0)</f>
        <v/>
      </c>
    </row>
    <row r="420">
      <c r="A420" s="3" t="inlineStr">
        <is>
          <t>ZMAR01</t>
        </is>
      </c>
      <c r="B420" s="3" t="inlineStr">
        <is>
          <t>Beverley-Ann Kinsla</t>
        </is>
      </c>
      <c r="C420" s="3" t="inlineStr">
        <is>
          <t>Martin</t>
        </is>
      </c>
      <c r="D420" s="3" t="inlineStr">
        <is>
          <t>Heron View</t>
        </is>
      </c>
      <c r="E420" s="3" t="inlineStr">
        <is>
          <t>HVK302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44903</v>
      </c>
      <c r="J420" s="4" t="n">
        <v>44980</v>
      </c>
      <c r="K420" s="4" t="n">
        <v>45617</v>
      </c>
      <c r="L420" s="3" t="n">
        <v>3</v>
      </c>
      <c r="M420" s="3" t="n">
        <v>100000</v>
      </c>
      <c r="N420" s="3" t="n">
        <v>14</v>
      </c>
      <c r="O420" s="3" t="b">
        <v>0</v>
      </c>
      <c r="P420" s="3" t="b">
        <v>0</v>
      </c>
      <c r="Q420" s="3" t="n">
        <v>2072.602739726026</v>
      </c>
      <c r="R420" s="3" t="n">
        <v>24432.87671232877</v>
      </c>
      <c r="S420" s="3" t="n">
        <v>26505.47945205479</v>
      </c>
      <c r="T420" s="5">
        <f>IF(J420&lt;&gt;"",M420*N420/365/100*('Cashflow Projection'!$B$2-Investors!J420),0)</f>
        <v/>
      </c>
    </row>
    <row r="421">
      <c r="A421" s="3" t="inlineStr">
        <is>
          <t>ZCRO01</t>
        </is>
      </c>
      <c r="B421" s="3" t="inlineStr">
        <is>
          <t>Marc</t>
        </is>
      </c>
      <c r="C421" s="3" t="inlineStr">
        <is>
          <t>Lunau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44909</v>
      </c>
      <c r="J421" s="4" t="n">
        <v>44995</v>
      </c>
      <c r="K421" s="4" t="n">
        <v>45623</v>
      </c>
      <c r="L421" s="3" t="n">
        <v>9</v>
      </c>
      <c r="M421" s="3" t="n">
        <v>120000</v>
      </c>
      <c r="N421" s="3" t="n">
        <v>18</v>
      </c>
      <c r="O421" s="3" t="b">
        <v>0</v>
      </c>
      <c r="P421" s="3" t="b">
        <v>0</v>
      </c>
      <c r="Q421" s="3" t="n">
        <v>2787.945205479453</v>
      </c>
      <c r="R421" s="3" t="n">
        <v>37163.83561643836</v>
      </c>
      <c r="S421" s="3" t="n">
        <v>39951.78082191781</v>
      </c>
      <c r="T421" s="5">
        <f>IF(J421&lt;&gt;"",M421*N421/365/100*('Cashflow Projection'!$B$2-Investors!J421),0)</f>
        <v/>
      </c>
    </row>
    <row r="422">
      <c r="A422" s="3" t="inlineStr">
        <is>
          <t>ZDAD01</t>
        </is>
      </c>
      <c r="B422" s="3" t="inlineStr">
        <is>
          <t>Feroz</t>
        </is>
      </c>
      <c r="C422" s="3" t="inlineStr">
        <is>
          <t>Dadoo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44944</v>
      </c>
      <c r="J422" s="4" t="n">
        <v>45016</v>
      </c>
      <c r="K422" s="4" t="n">
        <v>45623</v>
      </c>
      <c r="L422" s="3" t="n">
        <v>3</v>
      </c>
      <c r="M422" s="3" t="n">
        <v>637482.88</v>
      </c>
      <c r="N422" s="3" t="n">
        <v>18</v>
      </c>
      <c r="O422" s="3" t="b">
        <v>0</v>
      </c>
      <c r="P422" s="3" t="b">
        <v>0</v>
      </c>
      <c r="Q422" s="3" t="n">
        <v>12518.2425819178</v>
      </c>
      <c r="R422" s="3" t="n">
        <v>190825.6971747945</v>
      </c>
      <c r="S422" s="3" t="n">
        <v>203343.9397567123</v>
      </c>
      <c r="T422" s="5">
        <f>IF(J422&lt;&gt;"",M422*N422/365/100*('Cashflow Projection'!$B$2-Investors!J422),0)</f>
        <v/>
      </c>
    </row>
    <row r="423">
      <c r="A423" s="3" t="inlineStr">
        <is>
          <t>ZHUN01</t>
        </is>
      </c>
      <c r="B423" s="3" t="inlineStr">
        <is>
          <t>Lance</t>
        </is>
      </c>
      <c r="C423" s="3" t="inlineStr">
        <is>
          <t>Hunter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44908</v>
      </c>
      <c r="J423" s="4" t="n">
        <v>44980</v>
      </c>
      <c r="K423" s="4" t="n">
        <v>45623</v>
      </c>
      <c r="L423" s="3" t="n">
        <v>4</v>
      </c>
      <c r="M423" s="3" t="n">
        <v>150000</v>
      </c>
      <c r="N423" s="3" t="n">
        <v>14</v>
      </c>
      <c r="O423" s="3" t="b">
        <v>0</v>
      </c>
      <c r="P423" s="3" t="b">
        <v>0</v>
      </c>
      <c r="Q423" s="3" t="n">
        <v>2908.561643835614</v>
      </c>
      <c r="R423" s="3" t="n">
        <v>36994.52054794521</v>
      </c>
      <c r="S423" s="3" t="n">
        <v>39903.08219178082</v>
      </c>
      <c r="T423" s="5">
        <f>IF(J423&lt;&gt;"",M423*N423/365/100*('Cashflow Projection'!$B$2-Investors!J423),0)</f>
        <v/>
      </c>
    </row>
    <row r="424">
      <c r="A424" s="3" t="inlineStr">
        <is>
          <t>ZINT01</t>
        </is>
      </c>
      <c r="B424" s="3" t="inlineStr">
        <is>
          <t>Marc</t>
        </is>
      </c>
      <c r="C424" s="3" t="inlineStr">
        <is>
          <t>Lunau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44909</v>
      </c>
      <c r="J424" s="4" t="n">
        <v>45008</v>
      </c>
      <c r="K424" s="4" t="n">
        <v>45623</v>
      </c>
      <c r="L424" s="3" t="n">
        <v>11</v>
      </c>
      <c r="M424" s="3" t="n">
        <v>100000</v>
      </c>
      <c r="N424" s="3" t="n">
        <v>18</v>
      </c>
      <c r="O424" s="3" t="b">
        <v>0</v>
      </c>
      <c r="P424" s="3" t="b">
        <v>0</v>
      </c>
      <c r="Q424" s="3" t="n">
        <v>2679.452054794521</v>
      </c>
      <c r="R424" s="3" t="n">
        <v>30328.76712328767</v>
      </c>
      <c r="S424" s="3" t="n">
        <v>33008.21917808219</v>
      </c>
      <c r="T424" s="5">
        <f>IF(J424&lt;&gt;"",M424*N424/365/100*('Cashflow Projection'!$B$2-Investors!J424),0)</f>
        <v/>
      </c>
    </row>
    <row r="425">
      <c r="A425" s="3" t="inlineStr">
        <is>
          <t>ZMEH01</t>
        </is>
      </c>
      <c r="B425" s="3" t="inlineStr">
        <is>
          <t>Ralph Graham</t>
        </is>
      </c>
      <c r="C425" s="3" t="inlineStr">
        <is>
          <t>Mehl</t>
        </is>
      </c>
      <c r="D425" s="3" t="inlineStr">
        <is>
          <t>Heron View</t>
        </is>
      </c>
      <c r="E425" s="3" t="inlineStr">
        <is>
          <t>HVK303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44943</v>
      </c>
      <c r="J425" s="4" t="n">
        <v>45016</v>
      </c>
      <c r="K425" s="4" t="n">
        <v>45623</v>
      </c>
      <c r="L425" s="3" t="n">
        <v>2</v>
      </c>
      <c r="M425" s="3" t="n">
        <v>115557.53</v>
      </c>
      <c r="N425" s="3" t="n">
        <v>14</v>
      </c>
      <c r="O425" s="3" t="b">
        <v>0</v>
      </c>
      <c r="P425" s="3" t="b">
        <v>0</v>
      </c>
      <c r="Q425" s="3" t="n">
        <v>2300.069740958906</v>
      </c>
      <c r="R425" s="3" t="n">
        <v>26904.32575178082</v>
      </c>
      <c r="S425" s="3" t="n">
        <v>29204.39549273972</v>
      </c>
      <c r="T425" s="5">
        <f>IF(J425&lt;&gt;"",M425*N425/365/100*('Cashflow Projection'!$B$2-Investors!J425),0)</f>
        <v/>
      </c>
    </row>
    <row r="426">
      <c r="A426" s="3" t="inlineStr">
        <is>
          <t>ZFOU02</t>
        </is>
      </c>
      <c r="B426" s="3" t="inlineStr">
        <is>
          <t>Clyde Michael</t>
        </is>
      </c>
      <c r="C426" s="3" t="inlineStr">
        <is>
          <t>Fountain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45469</v>
      </c>
      <c r="J426" s="4" t="n">
        <v>45471</v>
      </c>
      <c r="K426" s="4" t="n">
        <v>45630</v>
      </c>
      <c r="L426" s="3" t="n">
        <v>4</v>
      </c>
      <c r="M426" s="3" t="n">
        <v>229013.7</v>
      </c>
      <c r="N426" s="3" t="n">
        <v>18</v>
      </c>
      <c r="O426" s="3" t="b">
        <v>0</v>
      </c>
      <c r="P426" s="3" t="b">
        <v>0</v>
      </c>
      <c r="Q426" s="3" t="n">
        <v>138.0356547945206</v>
      </c>
      <c r="R426" s="3" t="n">
        <v>17957.18381917808</v>
      </c>
      <c r="S426" s="3" t="n">
        <v>18095.2194739726</v>
      </c>
      <c r="T426" s="5">
        <f>IF(J426&lt;&gt;"",M426*N426/365/100*('Cashflow Projection'!$B$2-Investors!J426),0)</f>
        <v/>
      </c>
    </row>
    <row r="427">
      <c r="A427" s="3" t="inlineStr">
        <is>
          <t>ZHAY01</t>
        </is>
      </c>
      <c r="B427" s="3" t="inlineStr">
        <is>
          <t>Johannes Wynand</t>
        </is>
      </c>
      <c r="C427" s="3" t="inlineStr">
        <is>
          <t>Haywood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45471</v>
      </c>
      <c r="J427" s="4" t="n">
        <v>45471</v>
      </c>
      <c r="K427" s="4" t="n">
        <v>45630</v>
      </c>
      <c r="L427" s="3" t="n">
        <v>10</v>
      </c>
      <c r="M427" s="3" t="n">
        <v>131288.31</v>
      </c>
      <c r="N427" s="3" t="n">
        <v>13</v>
      </c>
      <c r="O427" s="3" t="b">
        <v>0</v>
      </c>
      <c r="P427" s="3" t="b">
        <v>0</v>
      </c>
      <c r="Q427" s="3" t="n">
        <v>0</v>
      </c>
      <c r="R427" s="3" t="n">
        <v>7434.87498</v>
      </c>
      <c r="S427" s="3" t="n">
        <v>7434.87498</v>
      </c>
      <c r="T427" s="5">
        <f>IF(J427&lt;&gt;"",M427*N427/365/100*('Cashflow Projection'!$B$2-Investors!J427),0)</f>
        <v/>
      </c>
    </row>
    <row r="428">
      <c r="A428" s="3" t="inlineStr">
        <is>
          <t>ZMCD01</t>
        </is>
      </c>
      <c r="B428" s="3" t="inlineStr">
        <is>
          <t>Veronica Agnes</t>
        </is>
      </c>
      <c r="C428" s="3" t="inlineStr">
        <is>
          <t>McDonald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44908</v>
      </c>
      <c r="J428" s="4" t="n">
        <v>44980</v>
      </c>
      <c r="K428" s="4" t="n">
        <v>45464</v>
      </c>
      <c r="L428" s="3" t="n">
        <v>7</v>
      </c>
      <c r="M428" s="3" t="n">
        <v>450000</v>
      </c>
      <c r="N428" s="3" t="n">
        <v>14</v>
      </c>
      <c r="O428" s="3" t="b">
        <v>1</v>
      </c>
      <c r="P428" s="3" t="b">
        <v>0</v>
      </c>
      <c r="Q428" s="3" t="n">
        <v>8725.684931506852</v>
      </c>
      <c r="R428" s="3" t="n">
        <v>83539.72602739726</v>
      </c>
      <c r="S428" s="3" t="n">
        <v>92265.41095890412</v>
      </c>
      <c r="T428" s="5">
        <f>IF(J428&lt;&gt;"",M428*N428/365/100*('Cashflow Projection'!$B$2-Investors!J428),0)</f>
        <v/>
      </c>
    </row>
    <row r="429">
      <c r="A429" s="3" t="inlineStr">
        <is>
          <t>ZOOS01</t>
        </is>
      </c>
      <c r="B429" s="3" t="inlineStr">
        <is>
          <t>Diana</t>
        </is>
      </c>
      <c r="C429" s="3" t="inlineStr">
        <is>
          <t>Oosthuizen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45469</v>
      </c>
      <c r="J429" s="4" t="n">
        <v>45471</v>
      </c>
      <c r="K429" s="4" t="n">
        <v>45630</v>
      </c>
      <c r="L429" s="3" t="n">
        <v>2</v>
      </c>
      <c r="M429" s="3" t="n">
        <v>192406.85</v>
      </c>
      <c r="N429" s="3" t="n">
        <v>14</v>
      </c>
      <c r="O429" s="3" t="b">
        <v>0</v>
      </c>
      <c r="P429" s="3" t="b">
        <v>0</v>
      </c>
      <c r="Q429" s="3" t="n">
        <v>115.9712520547945</v>
      </c>
      <c r="R429" s="3" t="n">
        <v>11734.18213972603</v>
      </c>
      <c r="S429" s="3" t="n">
        <v>11850.15339178082</v>
      </c>
      <c r="T429" s="5">
        <f>IF(J429&lt;&gt;"",M429*N429/365/100*('Cashflow Projection'!$B$2-Investors!J429),0)</f>
        <v/>
      </c>
    </row>
    <row r="430">
      <c r="A430" s="3" t="inlineStr">
        <is>
          <t>ZSCH02</t>
        </is>
      </c>
      <c r="B430" s="3" t="inlineStr">
        <is>
          <t>Zeldre</t>
        </is>
      </c>
      <c r="C430" s="3" t="inlineStr">
        <is>
          <t>van Schalkwyk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44903</v>
      </c>
      <c r="J430" s="4" t="n">
        <v>44995</v>
      </c>
      <c r="K430" s="4" t="n">
        <v>45464</v>
      </c>
      <c r="L430" s="3" t="n">
        <v>2</v>
      </c>
      <c r="M430" s="3" t="n">
        <v>648863.01</v>
      </c>
      <c r="N430" s="3" t="n">
        <v>16</v>
      </c>
      <c r="O430" s="3" t="b">
        <v>1</v>
      </c>
      <c r="P430" s="3" t="b">
        <v>0</v>
      </c>
      <c r="Q430" s="3" t="n">
        <v>16114.91283739726</v>
      </c>
      <c r="R430" s="3" t="n">
        <v>133399.1240284932</v>
      </c>
      <c r="S430" s="3" t="n">
        <v>149514.0368658904</v>
      </c>
      <c r="T430" s="5">
        <f>IF(J430&lt;&gt;"",M430*N430/365/100*('Cashflow Projection'!$B$2-Investors!J430),0)</f>
        <v/>
      </c>
    </row>
    <row r="431">
      <c r="A431" s="3" t="inlineStr">
        <is>
          <t>ZSON01</t>
        </is>
      </c>
      <c r="B431" s="3" t="inlineStr">
        <is>
          <t>Charles</t>
        </is>
      </c>
      <c r="C431" s="3" t="inlineStr">
        <is>
          <t>Maduna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45462</v>
      </c>
      <c r="J431" s="4" t="n">
        <v>45471</v>
      </c>
      <c r="K431" s="4" t="n">
        <v>45630</v>
      </c>
      <c r="L431" s="3" t="n">
        <v>18</v>
      </c>
      <c r="M431" s="3" t="n">
        <v>280613.06</v>
      </c>
      <c r="N431" s="3" t="n">
        <v>18</v>
      </c>
      <c r="O431" s="3" t="b">
        <v>0</v>
      </c>
      <c r="P431" s="3" t="b">
        <v>0</v>
      </c>
      <c r="Q431" s="3" t="n">
        <v>761.114875068493</v>
      </c>
      <c r="R431" s="3" t="n">
        <v>22003.13911561644</v>
      </c>
      <c r="S431" s="3" t="n">
        <v>22764.25399068493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0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0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45484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365424.6575342466</v>
      </c>
      <c r="S506" s="3" t="n">
        <v>371589.0410958904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45471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45485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45485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45485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45485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45485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45485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45471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3024782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1932184.93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45646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45688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45625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45688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45625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45688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45625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45688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45777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45808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45807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45869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45744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45808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45744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45808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45646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45688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45625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45688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45625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45688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45625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45688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45744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45808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45499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45744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45808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45744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45808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45777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45808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45744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45808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45777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45808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45807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45869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45744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45808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45807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45869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45807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45869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45744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45808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45744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45808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45744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45808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45807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45869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45744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45808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45777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45808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45744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45808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45625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45688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45777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45808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45807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45869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45807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45869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45807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45869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45744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45808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45499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45807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45869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45777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45808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45489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45565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45777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45808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45744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45808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45744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45808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45807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45869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45744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45808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45625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45688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45499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45499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45565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45744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45808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45499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45625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45688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45499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45625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45688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45744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45808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45499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45777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45808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45744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45808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45777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45808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45744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45808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45499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45777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45808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45807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45869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45744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45808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45744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45808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45777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45808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45744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45808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45744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45808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45625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45688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45499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45646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45688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45625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45688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45807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45869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45777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45808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9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SUBTOTAL(9,F5:F20889)</f>
        <v/>
      </c>
      <c r="G2" s="1">
        <f>SUBTOTAL(9,G5:G20889)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14327.48</v>
      </c>
      <c r="G6522" s="3" t="n">
        <v>34012.73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17800</v>
      </c>
      <c r="G6525" s="3" t="n">
        <v>27123.62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4883184.88</v>
      </c>
      <c r="G6529" s="3" t="n">
        <v>15892743.35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188429.45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491203.52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-30870454.8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22796.91</v>
      </c>
      <c r="G6681" s="3" t="n">
        <v>-107335.46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14417.79</v>
      </c>
      <c r="G6692" s="3" t="n">
        <v>-4207828.03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-10096392.2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341457.44</v>
      </c>
      <c r="G6700" s="3" t="n">
        <v>97633.49000000001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1102.62</v>
      </c>
      <c r="G20799" s="3" t="n">
        <v>-1328.25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-26102.77</v>
      </c>
      <c r="G20819" s="3" t="n">
        <v>71991.73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195893.52</v>
      </c>
      <c r="G20820" s="3" t="n">
        <v>389263.9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Rock Blok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9200/000</t>
        </is>
      </c>
      <c r="E20857" s="3" t="inlineStr">
        <is>
          <t>Sundry Creditors / Suppliers</t>
        </is>
      </c>
      <c r="F20857" s="3" t="n">
        <v>-200000</v>
      </c>
      <c r="G20857" s="3" t="n">
        <v>-200000</v>
      </c>
    </row>
    <row r="20858">
      <c r="A20858" s="3" t="inlineStr">
        <is>
          <t>Opportunity Management Holdings (PTY) LTD</t>
        </is>
      </c>
      <c r="B20858" s="4" t="n">
        <v>45443</v>
      </c>
      <c r="C20858" s="3" t="inlineStr">
        <is>
          <t>Liabilities</t>
        </is>
      </c>
      <c r="D20858" s="3" t="inlineStr">
        <is>
          <t>9250/000</t>
        </is>
      </c>
      <c r="E20858" s="3" t="inlineStr">
        <is>
          <t>Salary _AND_ Wages Control</t>
        </is>
      </c>
      <c r="F20858" s="3" t="n">
        <v>10000</v>
      </c>
      <c r="G20858" s="3" t="n">
        <v>10000</v>
      </c>
    </row>
    <row r="20859">
      <c r="A20859" s="3" t="inlineStr">
        <is>
          <t>Noble Shield (Pty) Ltd ta Go Letting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1741.97</v>
      </c>
      <c r="G20859" s="3" t="n">
        <v>-16940.7</v>
      </c>
    </row>
    <row r="20860">
      <c r="A20860" s="3" t="inlineStr">
        <is>
          <t>Opportunity Global Property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209627.33</v>
      </c>
      <c r="G20860" s="3" t="n">
        <v>389110.35</v>
      </c>
    </row>
    <row r="20861">
      <c r="A20861" s="3" t="inlineStr">
        <is>
          <t>Opportunity Management Holdings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17000</v>
      </c>
      <c r="G20861" s="3" t="n">
        <v>17000</v>
      </c>
    </row>
    <row r="20862">
      <c r="A20862" s="3" t="inlineStr">
        <is>
          <t>Opportunity Private Capital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62591.39</v>
      </c>
      <c r="G20862" s="3" t="n">
        <v>125182.78</v>
      </c>
    </row>
    <row r="20863">
      <c r="A20863" s="3" t="inlineStr">
        <is>
          <t>Trademark Holdings (Pty) Ltd</t>
        </is>
      </c>
      <c r="B20863" s="4" t="n">
        <v>45443</v>
      </c>
      <c r="C20863" s="3" t="inlineStr">
        <is>
          <t>Liabilities</t>
        </is>
      </c>
      <c r="D20863" s="3" t="inlineStr">
        <is>
          <t>9250/010</t>
        </is>
      </c>
      <c r="E20863" s="3" t="inlineStr">
        <is>
          <t>SALARY CONTROL</t>
        </is>
      </c>
      <c r="F20863" s="3" t="n">
        <v>-2261.01</v>
      </c>
      <c r="G20863" s="3" t="n">
        <v>-19758.52</v>
      </c>
    </row>
    <row r="20864">
      <c r="A20864" s="3" t="inlineStr">
        <is>
          <t>Noble Shield (Pty) Ltd ta Go Letting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635.58</v>
      </c>
      <c r="G20864" s="3" t="n">
        <v>-5955.54</v>
      </c>
    </row>
    <row r="20865">
      <c r="A20865" s="3" t="inlineStr">
        <is>
          <t>Opportunity Management Holdings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-49133.02</v>
      </c>
      <c r="G20865" s="3" t="n">
        <v>-96723</v>
      </c>
    </row>
    <row r="20866">
      <c r="A20866" s="3" t="inlineStr">
        <is>
          <t>Opportunity Private Capital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56085.94</v>
      </c>
      <c r="G20866" s="3" t="n">
        <v>28172.23</v>
      </c>
    </row>
    <row r="20867">
      <c r="A20867" s="3" t="inlineStr">
        <is>
          <t>Quinate Consulting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0</v>
      </c>
      <c r="G20867" s="3" t="n">
        <v>-10759.36</v>
      </c>
    </row>
    <row r="20868">
      <c r="A20868" s="3" t="inlineStr">
        <is>
          <t>Trademark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9250/020</t>
        </is>
      </c>
      <c r="E20868" s="3" t="inlineStr">
        <is>
          <t>PAYE, UIF AND SDL CONTROL</t>
        </is>
      </c>
      <c r="F20868" s="3" t="n">
        <v>-824.96</v>
      </c>
      <c r="G20868" s="3" t="n">
        <v>-16779.32</v>
      </c>
    </row>
    <row r="20869">
      <c r="A20869" s="3" t="inlineStr">
        <is>
          <t>Opportunity Management Holdings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9300/000</t>
        </is>
      </c>
      <c r="E20869" s="3" t="inlineStr">
        <is>
          <t>Taxation Payable B/S</t>
        </is>
      </c>
      <c r="F20869" s="3" t="n">
        <v>0</v>
      </c>
      <c r="G20869" s="3" t="n">
        <v>89955.09</v>
      </c>
    </row>
    <row r="20870">
      <c r="A20870" s="3" t="inlineStr">
        <is>
          <t>Opportunity Private Capital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9400/030</t>
        </is>
      </c>
      <c r="E20870" s="3" t="inlineStr">
        <is>
          <t>Accrued Expenses - PAYE_AND_UIF</t>
        </is>
      </c>
      <c r="F20870" s="3" t="n">
        <v>0</v>
      </c>
      <c r="G20870" s="3" t="n">
        <v>-2</v>
      </c>
    </row>
    <row r="20871">
      <c r="A20871" s="3" t="inlineStr">
        <is>
          <t>Trademark Holdings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9400/400</t>
        </is>
      </c>
      <c r="E20871" s="3" t="inlineStr">
        <is>
          <t>Deemed Dividend Tax</t>
        </is>
      </c>
      <c r="F20871" s="3" t="n">
        <v>0</v>
      </c>
      <c r="G20871" s="3" t="n">
        <v>-699.13</v>
      </c>
    </row>
    <row r="20872">
      <c r="A20872" s="3" t="inlineStr">
        <is>
          <t>Opportunity Global Property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-17221.66</v>
      </c>
      <c r="G20872" s="3" t="n">
        <v>-1354774.15</v>
      </c>
    </row>
    <row r="20873">
      <c r="A20873" s="3" t="inlineStr">
        <is>
          <t>Opportunity Management Holdings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-37134.4</v>
      </c>
      <c r="G20873" s="3" t="n">
        <v>8950.17</v>
      </c>
    </row>
    <row r="20874">
      <c r="A20874" s="3" t="inlineStr">
        <is>
          <t>Opportunity Private Capital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Control Account</t>
        </is>
      </c>
      <c r="F20874" s="3" t="n">
        <v>-3606.35</v>
      </c>
      <c r="G20874" s="3" t="n">
        <v>1193331.3</v>
      </c>
    </row>
    <row r="20875">
      <c r="A20875" s="3" t="inlineStr">
        <is>
          <t>Endulini (Pty) Ltd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-177607.61</v>
      </c>
      <c r="G20875" s="3" t="n">
        <v>-3775098.43</v>
      </c>
    </row>
    <row r="20876">
      <c r="A20876" s="3" t="inlineStr">
        <is>
          <t>Noble Shield (Pty) Ltd ta Go Letting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/ Tax Control Account</t>
        </is>
      </c>
      <c r="F20876" s="3" t="n">
        <v>0</v>
      </c>
      <c r="G20876" s="3" t="n">
        <v>2461.52</v>
      </c>
    </row>
    <row r="20877">
      <c r="A20877" s="3" t="inlineStr">
        <is>
          <t>Quinate Consulting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9500/000</t>
        </is>
      </c>
      <c r="E20877" s="3" t="inlineStr">
        <is>
          <t>Vat Control Account</t>
        </is>
      </c>
      <c r="F20877" s="3" t="n">
        <v>19066.05</v>
      </c>
      <c r="G20877" s="3" t="n">
        <v>3476659.01</v>
      </c>
    </row>
    <row r="20878">
      <c r="A20878" s="3" t="inlineStr">
        <is>
          <t>Opportunity Management Holdings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9501/000</t>
        </is>
      </c>
      <c r="E20878" s="3" t="inlineStr">
        <is>
          <t>Vat Adjustments - C2M</t>
        </is>
      </c>
      <c r="F20878" s="3" t="n">
        <v>0</v>
      </c>
      <c r="G20878" s="3" t="n">
        <v>47274.04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9899/A202</t>
        </is>
      </c>
      <c r="E20879" s="3" t="inlineStr">
        <is>
          <t>Sales - Unit Reg Control A202</t>
        </is>
      </c>
      <c r="F20879" s="3" t="n">
        <v>0</v>
      </c>
      <c r="G20879" s="3" t="n">
        <v>-1086734.26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9899/A209</t>
        </is>
      </c>
      <c r="E20880" s="3" t="inlineStr">
        <is>
          <t>Sales - Unit Reg Control A209</t>
        </is>
      </c>
      <c r="F20880" s="3" t="n">
        <v>0</v>
      </c>
      <c r="G20880" s="3" t="n">
        <v>-1218800.14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9899/B203</t>
        </is>
      </c>
      <c r="E20881" s="3" t="inlineStr">
        <is>
          <t>Sales - Unit Reg Control B203</t>
        </is>
      </c>
      <c r="F20881" s="3" t="n">
        <v>0</v>
      </c>
      <c r="G20881" s="3" t="n">
        <v>-1179884.01</v>
      </c>
    </row>
    <row r="20882">
      <c r="A20882" s="3" t="inlineStr">
        <is>
          <t>Endulini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9899/C302</t>
        </is>
      </c>
      <c r="E20882" s="3" t="inlineStr">
        <is>
          <t>Sales - Unit Reg Control C302</t>
        </is>
      </c>
      <c r="F20882" s="3" t="n">
        <v>0</v>
      </c>
      <c r="G20882" s="3" t="n">
        <v>-1253795.14</v>
      </c>
    </row>
    <row r="20883">
      <c r="A20883" s="3" t="inlineStr">
        <is>
          <t>Quinate Consulting (Pty) Ltd</t>
        </is>
      </c>
      <c r="B20883" s="4" t="n">
        <v>45443</v>
      </c>
      <c r="C20883" s="3" t="inlineStr">
        <is>
          <t>Liabilities</t>
        </is>
      </c>
      <c r="D20883" s="3" t="inlineStr">
        <is>
          <t>9960/000</t>
        </is>
      </c>
      <c r="E20883" s="3" t="inlineStr">
        <is>
          <t>Deposits - Southwark Rentals</t>
        </is>
      </c>
      <c r="F20883" s="3" t="n">
        <v>0</v>
      </c>
      <c r="G20883" s="3" t="n">
        <v>-23000</v>
      </c>
    </row>
    <row r="20884">
      <c r="A20884" s="3" t="inlineStr">
        <is>
          <t>Noble Shield (Pty) Ltd ta Go Letting</t>
        </is>
      </c>
      <c r="B20884" s="4" t="n">
        <v>45443</v>
      </c>
      <c r="C20884" s="3" t="inlineStr">
        <is>
          <t>Expenses</t>
        </is>
      </c>
      <c r="D20884" s="3" t="inlineStr">
        <is>
          <t>ACB Link</t>
        </is>
      </c>
      <c r="E20884" s="3" t="inlineStr">
        <is>
          <t>Subscriptions - TPN</t>
        </is>
      </c>
      <c r="F20884" s="3" t="n">
        <v>0</v>
      </c>
      <c r="G20884" s="3" t="n">
        <v>20305.61</v>
      </c>
    </row>
    <row r="20885">
      <c r="A20885" s="3" t="inlineStr">
        <is>
          <t>Opportunity Global Property (PTY) LTD</t>
        </is>
      </c>
      <c r="B20885" s="4" t="n">
        <v>45443</v>
      </c>
      <c r="C20885" s="3" t="inlineStr">
        <is>
          <t>Assets</t>
        </is>
      </c>
      <c r="D20885" s="3" t="inlineStr">
        <is>
          <t>Anthea Basson</t>
        </is>
      </c>
      <c r="E20885" s="3" t="inlineStr">
        <is>
          <t>Deposit: J2 Solaris Place</t>
        </is>
      </c>
      <c r="F20885" s="3" t="n">
        <v>0</v>
      </c>
      <c r="G20885" s="3" t="n">
        <v>-7500</v>
      </c>
    </row>
    <row r="20886">
      <c r="A20886" s="3" t="inlineStr">
        <is>
          <t>Trademark Holdings (Pty) Ltd</t>
        </is>
      </c>
      <c r="B20886" s="4" t="n">
        <v>45443</v>
      </c>
      <c r="C20886" s="3" t="inlineStr">
        <is>
          <t>Liabilities</t>
        </is>
      </c>
      <c r="D20886" s="3" t="inlineStr">
        <is>
          <t>B/S</t>
        </is>
      </c>
      <c r="E20886" s="3" t="inlineStr">
        <is>
          <t>Taxation Payable</t>
        </is>
      </c>
      <c r="F20886" s="3" t="n">
        <v>0</v>
      </c>
      <c r="G20886" s="3" t="n">
        <v>1722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 xml:space="preserve">B/S </t>
        </is>
      </c>
      <c r="E20887" s="3" t="inlineStr">
        <is>
          <t>Taxation Payable</t>
        </is>
      </c>
      <c r="F20887" s="3" t="n">
        <v>0</v>
      </c>
      <c r="G20887" s="3" t="n">
        <v>-15486</v>
      </c>
    </row>
    <row r="20888">
      <c r="A20888" s="3" t="inlineStr">
        <is>
          <t>Quinate Consulting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FV</t>
        </is>
      </c>
      <c r="E20888" s="3" t="inlineStr">
        <is>
          <t>Loan - Cape Projects Constuction</t>
        </is>
      </c>
      <c r="F20888" s="3" t="n">
        <v>111000</v>
      </c>
      <c r="G20888" s="3" t="n">
        <v>-6192763.77</v>
      </c>
    </row>
    <row r="20889">
      <c r="A20889" s="3" t="inlineStr">
        <is>
          <t>Opportunity Private Capital (PTY) LTD</t>
        </is>
      </c>
      <c r="B20889" s="4" t="n">
        <v>45443</v>
      </c>
      <c r="C20889" s="3" t="inlineStr">
        <is>
          <t>Liabilities</t>
        </is>
      </c>
      <c r="D20889" s="3" t="inlineStr">
        <is>
          <t>Pty</t>
        </is>
      </c>
      <c r="E20889" s="3" t="inlineStr">
        <is>
          <t>Loan - Rock Blok</t>
        </is>
      </c>
      <c r="F20889" s="3" t="n">
        <v>0</v>
      </c>
      <c r="G20889" s="3" t="n">
        <v>1000</v>
      </c>
    </row>
  </sheetData>
  <autoFilter ref="A4:G20889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6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SUM(D7:D23)</f>
        <v/>
      </c>
      <c r="E6" s="21">
        <f>SUM(E7:E23)</f>
        <v/>
      </c>
      <c r="I6" s="22">
        <f>SUM(I7:I23)</f>
        <v/>
      </c>
      <c r="J6" s="23">
        <f>SUM(J7:J23)</f>
        <v/>
      </c>
      <c r="K6" s="22">
        <f>SUM(K7:K23)</f>
        <v/>
      </c>
      <c r="L6" s="23">
        <f>SUM(L7:L23)</f>
        <v/>
      </c>
      <c r="M6" s="22">
        <f>SUM(M7:M23)</f>
        <v/>
      </c>
      <c r="N6" s="23">
        <f>SUM(N7:N23)</f>
        <v/>
      </c>
      <c r="O6" s="22">
        <f>SUM(O7:O23)</f>
        <v/>
      </c>
      <c r="P6" s="23">
        <f>SUM(P7:P23)</f>
        <v/>
      </c>
      <c r="Q6" s="22">
        <f>SUM(Q7:Q23)</f>
        <v/>
      </c>
      <c r="R6" s="23">
        <f>SUM(R7:R23)</f>
        <v/>
      </c>
      <c r="S6" s="22">
        <f>SUM(S7:S23)</f>
        <v/>
      </c>
      <c r="T6" s="23">
        <f>SUM(T7:T23)</f>
        <v/>
      </c>
      <c r="U6" s="22">
        <f>SUM(U7:U23)</f>
        <v/>
      </c>
      <c r="V6" s="23">
        <f>SUM(V7:V23)</f>
        <v/>
      </c>
      <c r="W6" s="22">
        <f>SUM(W7:W23)</f>
        <v/>
      </c>
      <c r="X6" s="23">
        <f>SUM(X7:X23)</f>
        <v/>
      </c>
      <c r="Y6" s="22">
        <f>SUM(Y7:Y23)</f>
        <v/>
      </c>
      <c r="Z6" s="23">
        <f>SUM(Z7:Z23)</f>
        <v/>
      </c>
      <c r="AA6" s="22">
        <f>SUM(AA7:AA23)</f>
        <v/>
      </c>
      <c r="AB6" s="23">
        <f>SUM(AB7:AB23)</f>
        <v/>
      </c>
      <c r="AC6" s="22">
        <f>SUM(AC7:AC23)</f>
        <v/>
      </c>
      <c r="AD6" s="23">
        <f>SUM(AD7:AD23)</f>
        <v/>
      </c>
      <c r="AE6" s="22">
        <f>SUM(AE7:AE23)</f>
        <v/>
      </c>
      <c r="AF6" s="23">
        <f>SUM(AF7:AF23)</f>
        <v/>
      </c>
    </row>
    <row r="7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View",1,IF(ISERROR(VLOOKUP($B7,$A$50:$B$62,2,FALSE)),1,SUMIFS($B$50:$B$62,$A$50:$A$62,B7)))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N / LK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View",1,IF(ISERROR(VLOOKUP($B8,$A$50:$B$62,2,FALSE)),1,SUMIFS($B$50:$B$62,$A$50:$A$62,B8)))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N / LK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4" t="inlineStr">
        <is>
          <t>Heron Fields</t>
        </is>
      </c>
      <c r="B9" s="25" t="inlineStr">
        <is>
          <t>B</t>
        </is>
      </c>
      <c r="C9" s="25">
        <f>IF(A9&lt;&gt;"Heron View",1,IF(ISERROR(VLOOKUP($B9,$A$50:$B$62,2,FALSE)),1,SUMIFS($B$50:$B$62,$A$50:$A$62,B9)))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N / LK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4" t="inlineStr">
        <is>
          <t>Heron View</t>
        </is>
      </c>
      <c r="B10" s="25" t="inlineStr">
        <is>
          <t>C</t>
        </is>
      </c>
      <c r="C10" s="25">
        <f>IF(A10&lt;&gt;"Heron View",1,IF(ISERROR(VLOOKUP($B10,$A$50:$B$62,2,FALSE)),1,SUMIFS($B$50:$B$62,$A$50:$A$62,B10)))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N / LK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4" t="inlineStr">
        <is>
          <t>Heron View</t>
        </is>
      </c>
      <c r="B11" s="25" t="inlineStr">
        <is>
          <t>D</t>
        </is>
      </c>
      <c r="C11" s="25">
        <f>IF(A11&lt;&gt;"Heron View",1,IF(ISERROR(VLOOKUP($B11,$A$50:$B$62,2,FALSE)),1,SUMIFS($B$50:$B$62,$A$50:$A$62,B11)))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N / LK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4" t="inlineStr">
        <is>
          <t>Heron View</t>
        </is>
      </c>
      <c r="B12" s="25" t="inlineStr">
        <is>
          <t>E</t>
        </is>
      </c>
      <c r="C12" s="25">
        <f>IF(A12&lt;&gt;"Heron View",1,IF(ISERROR(VLOOKUP($B12,$A$50:$B$62,2,FALSE)),1,SUMIFS($B$50:$B$62,$A$50:$A$62,B12)))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N / LK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4" t="inlineStr">
        <is>
          <t>Heron View</t>
        </is>
      </c>
      <c r="B13" s="25" t="inlineStr">
        <is>
          <t>F</t>
        </is>
      </c>
      <c r="C13" s="25">
        <f>IF(A13&lt;&gt;"Heron View",1,IF(ISERROR(VLOOKUP($B13,$A$50:$B$62,2,FALSE)),1,SUMIFS($B$50:$B$62,$A$50:$A$62,B13)))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N / LK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4" t="inlineStr">
        <is>
          <t>Heron View</t>
        </is>
      </c>
      <c r="B14" s="25" t="inlineStr">
        <is>
          <t>G</t>
        </is>
      </c>
      <c r="C14" s="25">
        <f>IF(A14&lt;&gt;"Heron View",1,IF(ISERROR(VLOOKUP($B14,$A$50:$B$62,2,FALSE)),1,SUMIFS($B$50:$B$62,$A$50:$A$62,B14)))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N / LK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4" t="inlineStr">
        <is>
          <t>Heron View</t>
        </is>
      </c>
      <c r="B15" s="25" t="inlineStr">
        <is>
          <t>H</t>
        </is>
      </c>
      <c r="C15" s="25">
        <f>IF(A15&lt;&gt;"Heron View",1,IF(ISERROR(VLOOKUP($B15,$A$50:$B$62,2,FALSE)),1,SUMIFS($B$50:$B$62,$A$50:$A$62,B15)))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N / LK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4" t="inlineStr">
        <is>
          <t>Heron View</t>
        </is>
      </c>
      <c r="B16" s="25" t="inlineStr">
        <is>
          <t>I</t>
        </is>
      </c>
      <c r="C16" s="25">
        <f>IF(A16&lt;&gt;"Heron View",1,IF(ISERROR(VLOOKUP($B16,$A$50:$B$62,2,FALSE)),1,SUMIFS($B$50:$B$62,$A$50:$A$62,B16)))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N / LK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4" t="inlineStr">
        <is>
          <t>Heron View</t>
        </is>
      </c>
      <c r="B17" s="25" t="inlineStr">
        <is>
          <t>J</t>
        </is>
      </c>
      <c r="C17" s="25">
        <f>IF(A17&lt;&gt;"Heron View",1,IF(ISERROR(VLOOKUP($B17,$A$50:$B$62,2,FALSE)),1,SUMIFS($B$50:$B$62,$A$50:$A$62,B17)))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N / LK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4" t="inlineStr">
        <is>
          <t>Heron View</t>
        </is>
      </c>
      <c r="B18" s="25" t="inlineStr">
        <is>
          <t>K</t>
        </is>
      </c>
      <c r="C18" s="25">
        <f>IF(A18&lt;&gt;"Heron View",1,IF(ISERROR(VLOOKUP($B18,$A$50:$B$62,2,FALSE)),1,SUMIFS($B$50:$B$62,$A$50:$A$62,B18)))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N / LK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4" t="inlineStr">
        <is>
          <t>Heron View</t>
        </is>
      </c>
      <c r="B19" s="25" t="inlineStr">
        <is>
          <t>L</t>
        </is>
      </c>
      <c r="C19" s="25">
        <f>IF(A19&lt;&gt;"Heron View",1,IF(ISERROR(VLOOKUP($B19,$A$50:$B$62,2,FALSE)),1,SUMIFS($B$50:$B$62,$A$50:$A$62,B19)))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N / LK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4" t="inlineStr">
        <is>
          <t>Heron View</t>
        </is>
      </c>
      <c r="B20" s="25" t="inlineStr">
        <is>
          <t>M</t>
        </is>
      </c>
      <c r="C20" s="25">
        <f>IF(A20&lt;&gt;"Heron View",1,IF(ISERROR(VLOOKUP($B20,$A$50:$B$62,2,FALSE)),1,SUMIFS($B$50:$B$62,$A$50:$A$62,B20)))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N / LK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4" t="inlineStr">
        <is>
          <t>Heron View</t>
        </is>
      </c>
      <c r="B21" s="25" t="inlineStr">
        <is>
          <t>N</t>
        </is>
      </c>
      <c r="C21" s="25">
        <f>IF(A21&lt;&gt;"Heron View",1,IF(ISERROR(VLOOKUP($B21,$A$50:$B$62,2,FALSE)),1,SUMIFS($B$50:$B$62,$A$50:$A$62,B21)))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N / LK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4" t="inlineStr">
        <is>
          <t>Heron View</t>
        </is>
      </c>
      <c r="B22" s="25" t="inlineStr">
        <is>
          <t>O</t>
        </is>
      </c>
      <c r="C22" s="25">
        <f>IF(A22&lt;&gt;"Heron View",1,IF(ISERROR(VLOOKUP($B22,$A$50:$B$62,2,FALSE)),1,SUMIFS($B$50:$B$62,$A$50:$A$62,B22)))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N / LK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4" t="inlineStr">
        <is>
          <t>Heron View</t>
        </is>
      </c>
      <c r="B23" s="25" t="inlineStr">
        <is>
          <t>P</t>
        </is>
      </c>
      <c r="C23" s="25">
        <f>IF(A23&lt;&gt;"Heron View",1,IF(ISERROR(VLOOKUP($B23,$A$50:$B$62,2,FALSE)),1,SUMIFS($B$50:$B$62,$A$50:$A$62,B23)))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N / LK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14" t="n"/>
      <c r="B24" s="27" t="n"/>
      <c r="C24" s="27" t="n"/>
    </row>
    <row r="26">
      <c r="A26" s="14" t="inlineStr">
        <is>
          <t>VAT INCOME ON SALES</t>
        </is>
      </c>
      <c r="B26" t="inlineStr"/>
      <c r="C26" s="14" t="n">
        <v>1</v>
      </c>
      <c r="D26" s="28">
        <f>+I26+K26+M26+O26+Q26+S26+U26+W26+Y26+AA26+AC26+AE26</f>
        <v/>
      </c>
      <c r="G26" s="15" t="inlineStr">
        <is>
          <t>N</t>
        </is>
      </c>
      <c r="I26" s="28">
        <f>SUMIFS(Sales!$J:$J,Sales!$E:$E,FALSE,Sales!$F:$F,1,Sales!$W:$W,"&lt;="&amp;'Cashflow Projection'!I$5,Sales!$W:$W,"&gt;"&amp;'Cashflow Projection'!$B$2)</f>
        <v/>
      </c>
      <c r="K26" s="28">
        <f>SUMIFS(Sales!$J:$J,Sales!$E:$E,FALSE,Sales!$F:$F,1,Sales!$W:$W,"&lt;="&amp;'Cashflow Projection'!K$5,Sales!$W:$W,"&gt;"&amp;'Cashflow Projection'!I$5)</f>
        <v/>
      </c>
      <c r="M26" s="28">
        <f>SUMIFS(Sales!$J:$J,Sales!$E:$E,FALSE,Sales!$F:$F,1,Sales!$W:$W,"&lt;="&amp;'Cashflow Projection'!M$5,Sales!$W:$W,"&gt;"&amp;'Cashflow Projection'!K$5)</f>
        <v/>
      </c>
      <c r="O26" s="28">
        <f>SUMIFS(Sales!$J:$J,Sales!$E:$E,FALSE,Sales!$F:$F,1,Sales!$W:$W,"&lt;="&amp;'Cashflow Projection'!O$5,Sales!$W:$W,"&gt;"&amp;'Cashflow Projection'!M$5)</f>
        <v/>
      </c>
      <c r="Q26" s="28">
        <f>SUMIFS(Sales!$J:$J,Sales!$E:$E,FALSE,Sales!$F:$F,1,Sales!$W:$W,"&lt;="&amp;'Cashflow Projection'!Q$5,Sales!$W:$W,"&gt;"&amp;'Cashflow Projection'!O$5)</f>
        <v/>
      </c>
      <c r="S26" s="28">
        <f>SUMIFS(Sales!$J:$J,Sales!$E:$E,FALSE,Sales!$F:$F,1,Sales!$W:$W,"&lt;="&amp;'Cashflow Projection'!S$5,Sales!$W:$W,"&gt;"&amp;'Cashflow Projection'!Q$5)</f>
        <v/>
      </c>
      <c r="U26" s="28">
        <f>SUMIFS(Sales!$J:$J,Sales!$E:$E,FALSE,Sales!$F:$F,1,Sales!$W:$W,"&lt;="&amp;'Cashflow Projection'!U$5,Sales!$W:$W,"&gt;"&amp;'Cashflow Projection'!S$5)</f>
        <v/>
      </c>
      <c r="W26" s="28">
        <f>SUMIFS(Sales!$J:$J,Sales!$E:$E,FALSE,Sales!$F:$F,1,Sales!$W:$W,"&lt;="&amp;'Cashflow Projection'!W$5,Sales!$W:$W,"&gt;"&amp;'Cashflow Projection'!U$5)</f>
        <v/>
      </c>
      <c r="Y26" s="28">
        <f>SUMIFS(Sales!$J:$J,Sales!$E:$E,FALSE,Sales!$F:$F,1,Sales!$W:$W,"&lt;="&amp;'Cashflow Projection'!Y$5,Sales!$W:$W,"&gt;"&amp;'Cashflow Projection'!W$5)</f>
        <v/>
      </c>
      <c r="AA26" s="28">
        <f>SUMIFS(Sales!$J:$J,Sales!$E:$E,FALSE,Sales!$F:$F,1,Sales!$W:$W,"&lt;="&amp;'Cashflow Projection'!AA$5,Sales!$W:$W,"&gt;"&amp;'Cashflow Projection'!Y$5)</f>
        <v/>
      </c>
      <c r="AC26" s="28">
        <f>SUMIFS(Sales!$J:$J,Sales!$E:$E,FALSE,Sales!$F:$F,1,Sales!$W:$W,"&lt;="&amp;'Cashflow Projection'!AC$5,Sales!$W:$W,"&gt;"&amp;'Cashflow Projection'!AA$5)</f>
        <v/>
      </c>
      <c r="AE26" s="28">
        <f>SUMIFS(Sales!$J:$J,Sales!$E:$E,FALSE,Sales!$F:$F,1,Sales!$W:$W,"&lt;="&amp;'Cashflow Projection'!AE$5,Sales!$W:$W,"&gt;"&amp;'Cashflow Projection'!AC$5)</f>
        <v/>
      </c>
    </row>
    <row r="27">
      <c r="A27" s="14" t="inlineStr">
        <is>
          <t>CPC INVOICES STILL DUE</t>
        </is>
      </c>
      <c r="C27" s="14" t="n"/>
      <c r="D27" s="29" t="n"/>
    </row>
    <row r="28">
      <c r="A28" s="14" t="inlineStr">
        <is>
          <t>VAT DEDUCTION FROM INVOICES</t>
        </is>
      </c>
      <c r="C28" s="14" t="n"/>
      <c r="D28" s="29" t="n"/>
    </row>
    <row r="29">
      <c r="A29" s="14" t="inlineStr">
        <is>
          <t>VAT PAYABLE ON SALES</t>
        </is>
      </c>
      <c r="B29" t="inlineStr"/>
      <c r="C29" s="14" t="n">
        <v>1</v>
      </c>
      <c r="D29" s="30">
        <f>+I29+K29+M29+O29+Q29+S29+U29+W29+Y29+AA29+AC29+AE29</f>
        <v/>
      </c>
      <c r="G29" s="15" t="inlineStr">
        <is>
          <t>N</t>
        </is>
      </c>
      <c r="I29" s="30">
        <f>IF(MOD(MONTH(I5),2)=0,0,-SUMIFS(Sales!$J:$J,Sales!$W:$W,"&lt;="&amp;EOMONTH(EDATE(I$5, 0), -1),Sales!$W:$W,"&gt;"&amp;EOMONTH(EDATE(I$5, 0), -3),Sales!$F:$F,1,Sales!$E:$E,FALSE))</f>
        <v/>
      </c>
      <c r="K29" s="30">
        <f>IF(MOD(MONTH(K5),2)=0,0,-SUMIFS(Sales!$J:$J,Sales!$W:$W,"&lt;="&amp;EOMONTH(EDATE(K$5, 0), -1),Sales!$W:$W,"&gt;"&amp;EOMONTH(EDATE(K$5, 0), -3),Sales!$F:$F,1,Sales!$E:$E,FALSE))</f>
        <v/>
      </c>
      <c r="M29" s="30">
        <f>IF(MOD(MONTH(M5),2)=0,0,-SUMIFS(Sales!$J:$J,Sales!$W:$W,"&lt;="&amp;EOMONTH(EDATE(M$5, 0), -1),Sales!$W:$W,"&gt;"&amp;EOMONTH(EDATE(M$5, 0), -3),Sales!$F:$F,1,Sales!$E:$E,FALSE))</f>
        <v/>
      </c>
      <c r="O29" s="30">
        <f>IF(MOD(MONTH(O5),2)=0,0,-SUMIFS(Sales!$J:$J,Sales!$W:$W,"&lt;="&amp;EOMONTH(EDATE(O$5, 0), -1),Sales!$W:$W,"&gt;"&amp;EOMONTH(EDATE(O$5, 0), -3),Sales!$F:$F,1,Sales!$E:$E,FALSE))</f>
        <v/>
      </c>
      <c r="Q29" s="30">
        <f>IF(MOD(MONTH(Q5),2)=0,0,-SUMIFS(Sales!$J:$J,Sales!$W:$W,"&lt;="&amp;EOMONTH(EDATE(Q$5, 0), -1),Sales!$W:$W,"&gt;"&amp;EOMONTH(EDATE(Q$5, 0), -3),Sales!$F:$F,1,Sales!$E:$E,FALSE))</f>
        <v/>
      </c>
      <c r="S29" s="30">
        <f>IF(MOD(MONTH(S5),2)=0,0,-SUMIFS(Sales!$J:$J,Sales!$W:$W,"&lt;="&amp;EOMONTH(EDATE(S$5, 0), -1),Sales!$W:$W,"&gt;"&amp;EOMONTH(EDATE(S$5, 0), -3),Sales!$F:$F,1,Sales!$E:$E,FALSE))</f>
        <v/>
      </c>
      <c r="U29" s="30">
        <f>IF(MOD(MONTH(U5),2)=0,0,-SUMIFS(Sales!$J:$J,Sales!$W:$W,"&lt;="&amp;EOMONTH(EDATE(U$5, 0), -1),Sales!$W:$W,"&gt;"&amp;EOMONTH(EDATE(U$5, 0), -3),Sales!$F:$F,1,Sales!$E:$E,FALSE))</f>
        <v/>
      </c>
      <c r="W29" s="30">
        <f>IF(MOD(MONTH(W5),2)=0,0,-SUMIFS(Sales!$J:$J,Sales!$W:$W,"&lt;="&amp;EOMONTH(EDATE(W$5, 0), -1),Sales!$W:$W,"&gt;"&amp;EOMONTH(EDATE(W$5, 0), -3),Sales!$F:$F,1,Sales!$E:$E,FALSE))</f>
        <v/>
      </c>
      <c r="Y29" s="30">
        <f>IF(MOD(MONTH(Y5),2)=0,0,-SUMIFS(Sales!$J:$J,Sales!$W:$W,"&lt;="&amp;EOMONTH(EDATE(Y$5, 0), -1),Sales!$W:$W,"&gt;"&amp;EOMONTH(EDATE(Y$5, 0), -3),Sales!$F:$F,1,Sales!$E:$E,FALSE))</f>
        <v/>
      </c>
      <c r="AA29" s="30">
        <f>IF(MOD(MONTH(AA5),2)=0,0,-SUMIFS(Sales!$J:$J,Sales!$W:$W,"&lt;="&amp;EOMONTH(EDATE(AA$5, 0), -1),Sales!$W:$W,"&gt;"&amp;EOMONTH(EDATE(AA$5, 0), -3),Sales!$F:$F,1,Sales!$E:$E,FALSE))</f>
        <v/>
      </c>
      <c r="AC29" s="30">
        <f>IF(MOD(MONTH(AC5),2)=0,0,-SUMIFS(Sales!$J:$J,Sales!$W:$W,"&lt;="&amp;EOMONTH(EDATE(AC$5, 0), -1),Sales!$W:$W,"&gt;"&amp;EOMONTH(EDATE(AC$5, 0), -3),Sales!$F:$F,1,Sales!$E:$E,FALSE))</f>
        <v/>
      </c>
      <c r="AE29" s="30">
        <f>IF(MOD(MONTH(AE5),2)=0,0,-SUMIFS(Sales!$J:$J,Sales!$W:$W,"&lt;="&amp;EOMONTH(EDATE(AE$5, 0), -1),Sales!$W:$W,"&gt;"&amp;EOMONTH(EDATE(AE$5, 0), -3),Sales!$F:$F,1,Sales!$E:$E,FALSE))</f>
        <v/>
      </c>
    </row>
    <row r="31">
      <c r="A31" s="14" t="inlineStr">
        <is>
          <t>VAT RECOVERY WHEN REFINANCED</t>
        </is>
      </c>
      <c r="B31" t="inlineStr"/>
      <c r="C31" s="14">
        <f>C66</f>
        <v/>
      </c>
      <c r="D31" s="28">
        <f>+I31+K31+M31+O31+Q31+S31+U31+W31+Y31+AA31+AC31+AE31</f>
        <v/>
      </c>
      <c r="G31" s="15" t="inlineStr">
        <is>
          <t>N</t>
        </is>
      </c>
      <c r="I31" s="28">
        <f>SUMIFS(Sales!$J:$J,Sales!$T:$T,TRUE,Sales!$W:$W,"&lt;="&amp;I5,Sales!$W:$W,"&gt;"&amp;B2)</f>
        <v/>
      </c>
      <c r="K31" s="28">
        <f>SUMIFS(Sales!$J:$J,Sales!$T:$T,TRUE,Sales!$W:$W,"&lt;="&amp;K5,Sales!$W:$W,"&gt;"&amp;I5)</f>
        <v/>
      </c>
      <c r="M31" s="28">
        <f>SUMIFS(Sales!$J:$J,Sales!$T:$T,TRUE,Sales!$W:$W,"&lt;="&amp;M5,Sales!$W:$W,"&gt;"&amp;K5)</f>
        <v/>
      </c>
      <c r="O31" s="28">
        <f>SUMIFS(Sales!$J:$J,Sales!$T:$T,TRUE,Sales!$W:$W,"&lt;="&amp;O5,Sales!$W:$W,"&gt;"&amp;M5)</f>
        <v/>
      </c>
      <c r="Q31" s="28">
        <f>SUMIFS(Sales!$J:$J,Sales!$T:$T,TRUE,Sales!$W:$W,"&lt;="&amp;Q5,Sales!$W:$W,"&gt;"&amp;O5)</f>
        <v/>
      </c>
      <c r="S31" s="28">
        <f>SUMIFS(Sales!$J:$J,Sales!$T:$T,TRUE,Sales!$W:$W,"&lt;="&amp;S5,Sales!$W:$W,"&gt;"&amp;Q5)</f>
        <v/>
      </c>
      <c r="U31" s="28">
        <f>SUMIFS(Sales!$J:$J,Sales!$T:$T,TRUE,Sales!$W:$W,"&lt;="&amp;U5,Sales!$W:$W,"&gt;"&amp;S5)</f>
        <v/>
      </c>
      <c r="W31" s="28">
        <f>SUMIFS(Sales!$J:$J,Sales!$T:$T,TRUE,Sales!$W:$W,"&lt;="&amp;W5,Sales!$W:$W,"&gt;"&amp;U5)</f>
        <v/>
      </c>
      <c r="Y31" s="28">
        <f>SUMIFS(Sales!$J:$J,Sales!$T:$T,TRUE,Sales!$W:$W,"&lt;="&amp;Y5,Sales!$W:$W,"&gt;"&amp;W5)</f>
        <v/>
      </c>
      <c r="AA31" s="28">
        <f>SUMIFS(Sales!$J:$J,Sales!$T:$T,TRUE,Sales!$W:$W,"&lt;="&amp;AA5,Sales!$W:$W,"&gt;"&amp;Y5)</f>
        <v/>
      </c>
      <c r="AC31" s="28">
        <f>SUMIFS(Sales!$J:$J,Sales!$T:$T,TRUE,Sales!$W:$W,"&lt;="&amp;AC5,Sales!$W:$W,"&gt;"&amp;AA5)</f>
        <v/>
      </c>
      <c r="AE31" s="28">
        <f>SUMIFS(Sales!$J:$J,Sales!$T:$T,TRUE,Sales!$W:$W,"&lt;="&amp;AE5,Sales!$W:$W,"&gt;"&amp;AC5)</f>
        <v/>
      </c>
    </row>
    <row r="33">
      <c r="A33" s="14" t="inlineStr">
        <is>
          <t>Income (Profit on Sale)</t>
        </is>
      </c>
      <c r="C33" s="14" t="n"/>
      <c r="D33" s="31">
        <f>+I33+K33+M33+O33+Q33+S33+U33+W33+Y33+AA33+AC33+AE33</f>
        <v/>
      </c>
      <c r="G33" s="15" t="inlineStr">
        <is>
          <t>N</t>
        </is>
      </c>
      <c r="I33" s="32">
        <f>SUMIFS(Sales!$S:$S,Sales!$E:$E,FALSE,Sales!$F:$F,1,Sales!$H:$H,"&lt;="&amp;'Cashflow Projection'!I$5,Sales!$H:$H,"&gt;"&amp;'Cashflow Projection'!$B$2)</f>
        <v/>
      </c>
      <c r="K33" s="32">
        <f>SUMIFS(Sales!$S:$S,Sales!$E:$E,FALSE,Sales!$F:$F,1,Sales!$H:$H,"&lt;="&amp;'Cashflow Projection'!K$5,Sales!$H:$H,"&gt;"&amp;'Cashflow Projection'!I$5)</f>
        <v/>
      </c>
      <c r="M33" s="32">
        <f>SUMIFS(Sales!$S:$S,Sales!$E:$E,FALSE,Sales!$F:$F,1,Sales!$H:$H,"&lt;="&amp;'Cashflow Projection'!M$5,Sales!$H:$H,"&gt;"&amp;'Cashflow Projection'!K$5)</f>
        <v/>
      </c>
      <c r="O33" s="32">
        <f>SUMIFS(Sales!$S:$S,Sales!$E:$E,FALSE,Sales!$F:$F,1,Sales!$H:$H,"&lt;="&amp;'Cashflow Projection'!O$5,Sales!$H:$H,"&gt;"&amp;'Cashflow Projection'!M$5)</f>
        <v/>
      </c>
      <c r="Q33" s="32">
        <f>SUMIFS(Sales!$S:$S,Sales!$E:$E,FALSE,Sales!$F:$F,1,Sales!$H:$H,"&lt;="&amp;'Cashflow Projection'!Q$5,Sales!$H:$H,"&gt;"&amp;'Cashflow Projection'!O$5)</f>
        <v/>
      </c>
      <c r="S33" s="32">
        <f>SUMIFS(Sales!$S:$S,Sales!$E:$E,FALSE,Sales!$F:$F,1,Sales!$H:$H,"&lt;="&amp;'Cashflow Projection'!S$5,Sales!$H:$H,"&gt;"&amp;'Cashflow Projection'!Q$5)</f>
        <v/>
      </c>
      <c r="U33" s="32">
        <f>SUMIFS(Sales!$S:$S,Sales!$E:$E,FALSE,Sales!$F:$F,1,Sales!$H:$H,"&lt;="&amp;'Cashflow Projection'!U$5,Sales!$H:$H,"&gt;"&amp;'Cashflow Projection'!S$5)</f>
        <v/>
      </c>
      <c r="W33" s="32">
        <f>SUMIFS(Sales!$S:$S,Sales!$E:$E,FALSE,Sales!$F:$F,1,Sales!$H:$H,"&lt;="&amp;'Cashflow Projection'!W$5,Sales!$H:$H,"&gt;"&amp;'Cashflow Projection'!U$5)</f>
        <v/>
      </c>
      <c r="Y33" s="32">
        <f>SUMIFS(Sales!$S:$S,Sales!$E:$E,FALSE,Sales!$F:$F,1,Sales!$H:$H,"&lt;="&amp;'Cashflow Projection'!Y$5,Sales!$H:$H,"&gt;"&amp;'Cashflow Projection'!W$5)</f>
        <v/>
      </c>
      <c r="AA33" s="32">
        <f>SUMIFS(Sales!$S:$S,Sales!$E:$E,FALSE,Sales!$F:$F,1,Sales!$H:$H,"&lt;="&amp;'Cashflow Projection'!AA$5,Sales!$H:$H,"&gt;"&amp;'Cashflow Projection'!Y$5)</f>
        <v/>
      </c>
      <c r="AC33" s="32">
        <f>SUMIFS(Sales!$S:$S,Sales!$E:$E,FALSE,Sales!$F:$F,1,Sales!$H:$H,"&lt;="&amp;'Cashflow Projection'!AC$5,Sales!$H:$H,"&gt;"&amp;'Cashflow Projection'!AA$5)</f>
        <v/>
      </c>
      <c r="AE33" s="32">
        <f>SUMIFS(Sales!$S:$S,Sales!$E:$E,FALSE,Sales!$F:$F,1,Sales!$H:$H,"&lt;="&amp;'Cashflow Projection'!AE$5,Sales!$H:$H,"&gt;"&amp;'Cashflow Projection'!AC$5)</f>
        <v/>
      </c>
    </row>
    <row r="35">
      <c r="A35" s="14" t="inlineStr">
        <is>
          <t>FUNDS AVAILABLE</t>
        </is>
      </c>
      <c r="D35" s="33" t="n"/>
      <c r="G35" s="15" t="inlineStr">
        <is>
          <t>N / IK</t>
        </is>
      </c>
      <c r="I35" s="28">
        <f>sum(I36:I45)</f>
        <v/>
      </c>
      <c r="K35" s="28">
        <f>sum(K36:K45)</f>
        <v/>
      </c>
      <c r="M35" s="28">
        <f>sum(M36:M45)</f>
        <v/>
      </c>
      <c r="O35" s="28">
        <f>sum(O36:O45)</f>
        <v/>
      </c>
      <c r="Q35" s="28">
        <f>sum(Q36:Q45)</f>
        <v/>
      </c>
      <c r="S35" s="28">
        <f>sum(S36:S45)</f>
        <v/>
      </c>
      <c r="U35" s="28">
        <f>sum(U36:U45)</f>
        <v/>
      </c>
      <c r="W35" s="28">
        <f>sum(W36:W45)</f>
        <v/>
      </c>
      <c r="Y35" s="28">
        <f>sum(Y36:Y45)</f>
        <v/>
      </c>
      <c r="AA35" s="28">
        <f>sum(AA36:AA45)</f>
        <v/>
      </c>
      <c r="AC35" s="28">
        <f>sum(AC36:AC45)</f>
        <v/>
      </c>
      <c r="AE35" s="28">
        <f>sum(AE36:AE45)</f>
        <v/>
      </c>
    </row>
    <row r="36">
      <c r="A36" s="14" t="inlineStr">
        <is>
          <t>Sales Income</t>
        </is>
      </c>
      <c r="D36" s="26">
        <f>+I36+K36+M36+O36+Q36+S36+U36+W36+Y36+AA36+AC36+AE36</f>
        <v/>
      </c>
      <c r="G36" s="15" t="inlineStr">
        <is>
          <t>N / IK</t>
        </is>
      </c>
      <c r="I36" s="32">
        <f>SUMIFS(I7:I23,$A$7:$A$23,"Heron View")</f>
        <v/>
      </c>
      <c r="K36" s="32">
        <f>SUMIFS(K7:K23,$A$7:$A$23,"Heron View")</f>
        <v/>
      </c>
      <c r="M36" s="32">
        <f>SUMIFS(M7:M23,$A$7:$A$23,"Heron View")</f>
        <v/>
      </c>
      <c r="O36" s="32">
        <f>SUMIFS(O7:O23,$A$7:$A$23,"Heron View")</f>
        <v/>
      </c>
      <c r="Q36" s="32">
        <f>SUMIFS(Q7:Q23,$A$7:$A$23,"Heron View")</f>
        <v/>
      </c>
      <c r="S36" s="32">
        <f>SUMIFS(S7:S23,$A$7:$A$23,"Heron View")</f>
        <v/>
      </c>
      <c r="U36" s="32">
        <f>SUMIFS(U7:U23,$A$7:$A$23,"Heron View")</f>
        <v/>
      </c>
      <c r="W36" s="32">
        <f>SUMIFS(W7:W23,$A$7:$A$23,"Heron View")</f>
        <v/>
      </c>
      <c r="Y36" s="32">
        <f>SUMIFS(Y7:Y23,$A$7:$A$23,"Heron View")</f>
        <v/>
      </c>
      <c r="AA36" s="32">
        <f>SUMIFS(AA7:AA23,$A$7:$A$23,"Heron View")</f>
        <v/>
      </c>
      <c r="AC36" s="32">
        <f>SUMIFS(AC7:AC23,$A$7:$A$23,"Heron View")</f>
        <v/>
      </c>
      <c r="AE36" s="32">
        <f>SUMIFS(AE7:AE23,$A$7:$A$23,"Heron View")</f>
        <v/>
      </c>
    </row>
    <row r="37">
      <c r="A37" s="14" t="inlineStr">
        <is>
          <t>Momentum</t>
        </is>
      </c>
      <c r="D37" s="26">
        <f>+I37+K37+M37+O37+Q37+S37+U37+W37+Y37+AA37+AC37+AE37</f>
        <v/>
      </c>
      <c r="G37" s="15" t="inlineStr">
        <is>
          <t>N / IK</t>
        </is>
      </c>
      <c r="H37" s="5" t="n"/>
      <c r="I37" s="32">
        <f>Dashboard!B13</f>
        <v/>
      </c>
      <c r="J37" s="5" t="n"/>
      <c r="K37" s="32" t="n"/>
      <c r="L37" s="5" t="n"/>
      <c r="M37" s="32" t="n"/>
      <c r="N37" s="5" t="n"/>
      <c r="O37" s="32" t="n"/>
      <c r="P37" s="5" t="n"/>
      <c r="Q37" s="32" t="n"/>
      <c r="R37" s="5" t="n"/>
      <c r="S37" s="32" t="n"/>
      <c r="T37" s="5" t="n"/>
      <c r="U37" s="32" t="n"/>
      <c r="V37" s="5" t="n"/>
      <c r="W37" s="32" t="n"/>
      <c r="X37" s="5" t="n"/>
      <c r="Y37" s="32" t="n"/>
      <c r="Z37" s="5" t="n"/>
      <c r="AA37" s="32" t="n"/>
      <c r="AB37" s="5" t="n"/>
      <c r="AC37" s="32" t="n"/>
      <c r="AD37" s="5" t="n"/>
      <c r="AE37" s="32" t="n"/>
    </row>
    <row r="38">
      <c r="A38" s="14" t="inlineStr">
        <is>
          <t>Bank</t>
        </is>
      </c>
      <c r="D38" s="26">
        <f>Dashboard!B14</f>
        <v/>
      </c>
      <c r="G38" s="15" t="inlineStr">
        <is>
          <t>N / LK</t>
        </is>
      </c>
      <c r="I38" s="32">
        <f>Dashboard!B14</f>
        <v/>
      </c>
      <c r="K38" s="32">
        <f>I72</f>
        <v/>
      </c>
      <c r="M38" s="32">
        <f>K72</f>
        <v/>
      </c>
      <c r="O38" s="32">
        <f>M72</f>
        <v/>
      </c>
      <c r="Q38" s="32">
        <f>O72</f>
        <v/>
      </c>
      <c r="S38" s="32">
        <f>Q72</f>
        <v/>
      </c>
      <c r="U38" s="32">
        <f>S72</f>
        <v/>
      </c>
      <c r="W38" s="32">
        <f>U72</f>
        <v/>
      </c>
      <c r="Y38" s="32">
        <f>W72</f>
        <v/>
      </c>
      <c r="AA38" s="32">
        <f>Y72</f>
        <v/>
      </c>
      <c r="AC38" s="32">
        <f>AA72</f>
        <v/>
      </c>
      <c r="AE38" s="32">
        <f>AC72</f>
        <v/>
      </c>
    </row>
    <row r="39">
      <c r="A39" s="14" t="inlineStr">
        <is>
          <t>Early Exit_Investor Roll Over funding</t>
        </is>
      </c>
      <c r="D39" s="26">
        <f>+I39+K39+M39+O39+Q39+S39+U39+W39+Y39+AA39+AC39+AE39</f>
        <v/>
      </c>
      <c r="G39" s="15" t="inlineStr">
        <is>
          <t>N / LK</t>
        </is>
      </c>
      <c r="I39" s="32">
        <f>-I158</f>
        <v/>
      </c>
      <c r="K39" s="32">
        <f>-K158</f>
        <v/>
      </c>
      <c r="M39" s="32">
        <f>-M158</f>
        <v/>
      </c>
      <c r="O39" s="32">
        <f>-O158</f>
        <v/>
      </c>
      <c r="Q39" s="32">
        <f>-Q158</f>
        <v/>
      </c>
      <c r="S39" s="32">
        <f>-S158</f>
        <v/>
      </c>
      <c r="U39" s="32">
        <f>-U158</f>
        <v/>
      </c>
      <c r="W39" s="32">
        <f>-W158</f>
        <v/>
      </c>
      <c r="Y39" s="32">
        <f>-Y158</f>
        <v/>
      </c>
      <c r="AA39" s="32">
        <f>-AA158</f>
        <v/>
      </c>
      <c r="AC39" s="32">
        <f>-AC158</f>
        <v/>
      </c>
      <c r="AE39" s="32">
        <f>-AE158</f>
        <v/>
      </c>
    </row>
    <row r="40">
      <c r="A40" s="14" t="inlineStr">
        <is>
          <t>Developer Contribution towards exit of Investors</t>
        </is>
      </c>
      <c r="D40" s="26">
        <f>+I40+K40+M40+O40+Q40+S40+U40+W40+Y40+AA40+AC40+AE40</f>
        <v/>
      </c>
      <c r="G40" s="15" t="inlineStr">
        <is>
          <t>N / LK</t>
        </is>
      </c>
      <c r="I40" s="32">
        <f>-I157</f>
        <v/>
      </c>
      <c r="K40" s="32">
        <f>-K157</f>
        <v/>
      </c>
      <c r="M40" s="32">
        <f>-M157</f>
        <v/>
      </c>
      <c r="O40" s="32">
        <f>-O157</f>
        <v/>
      </c>
      <c r="Q40" s="32">
        <f>-Q157</f>
        <v/>
      </c>
      <c r="S40" s="32">
        <f>-S157</f>
        <v/>
      </c>
      <c r="U40" s="32">
        <f>-U157</f>
        <v/>
      </c>
      <c r="W40" s="32">
        <f>-W157</f>
        <v/>
      </c>
      <c r="Y40" s="32">
        <f>-Y157</f>
        <v/>
      </c>
      <c r="AA40" s="32">
        <f>-AA157</f>
        <v/>
      </c>
      <c r="AC40" s="32">
        <f>-AC157</f>
        <v/>
      </c>
      <c r="AE40" s="32">
        <f>-AE157</f>
        <v/>
      </c>
    </row>
    <row r="41">
      <c r="A41" s="14" t="inlineStr">
        <is>
          <t>Developer Exit Payment of Investors</t>
        </is>
      </c>
      <c r="D41" s="26">
        <f>+I41+K41+M41+O41+Q41+S41+U41+W41+Y41+AA41+AC41+AE41</f>
        <v/>
      </c>
      <c r="G41" s="15" t="inlineStr">
        <is>
          <t>N / LK</t>
        </is>
      </c>
      <c r="I41" s="32">
        <f>I117</f>
        <v/>
      </c>
      <c r="K41" s="32">
        <f>K117</f>
        <v/>
      </c>
      <c r="M41" s="32">
        <f>M117</f>
        <v/>
      </c>
      <c r="O41" s="32">
        <f>O117</f>
        <v/>
      </c>
      <c r="Q41" s="32">
        <f>Q117</f>
        <v/>
      </c>
      <c r="S41" s="32">
        <f>S117</f>
        <v/>
      </c>
      <c r="U41" s="32">
        <f>U117</f>
        <v/>
      </c>
      <c r="W41" s="32">
        <f>W117</f>
        <v/>
      </c>
      <c r="Y41" s="32">
        <f>Y117</f>
        <v/>
      </c>
      <c r="AA41" s="32">
        <f>AA117</f>
        <v/>
      </c>
      <c r="AC41" s="32">
        <f>AC117</f>
        <v/>
      </c>
      <c r="AE41" s="32">
        <f>AE117</f>
        <v/>
      </c>
    </row>
    <row r="42">
      <c r="A42" s="14" t="inlineStr">
        <is>
          <t>New Investors Income</t>
        </is>
      </c>
      <c r="D42" s="26">
        <f>+I42+K42+M42+O42+Q42+S42+U42+W42+Y42+AA42+AC42+AE42</f>
        <v/>
      </c>
      <c r="G42" s="15" t="inlineStr">
        <is>
          <t>N / LK</t>
        </is>
      </c>
      <c r="I42" s="32">
        <f>Dashboard!B15</f>
        <v/>
      </c>
      <c r="K42" s="32" t="n"/>
      <c r="M42" s="32" t="n"/>
      <c r="O42" s="32" t="n"/>
      <c r="Q42" s="32" t="n"/>
      <c r="S42" s="32" t="n"/>
      <c r="U42" s="32" t="n"/>
      <c r="W42" s="32" t="n"/>
      <c r="Y42" s="32" t="n"/>
      <c r="AA42" s="32" t="n"/>
      <c r="AC42" s="32" t="n"/>
      <c r="AE42" s="32" t="n"/>
    </row>
    <row r="43">
      <c r="A43" s="14" t="inlineStr">
        <is>
          <t>Re-Financed Income from Quinate</t>
        </is>
      </c>
      <c r="D43" s="26">
        <f>+I43+K43+M43+O43+Q43+S43+U43+W43+Y43+AA43+AC43+AE43</f>
        <v/>
      </c>
      <c r="G43" s="15" t="inlineStr">
        <is>
          <t>N / LK</t>
        </is>
      </c>
      <c r="I43" s="32">
        <f>I102</f>
        <v/>
      </c>
      <c r="K43" s="32">
        <f>K102</f>
        <v/>
      </c>
      <c r="M43" s="32">
        <f>M102</f>
        <v/>
      </c>
      <c r="O43" s="32">
        <f>O102</f>
        <v/>
      </c>
      <c r="Q43" s="32">
        <f>Q102</f>
        <v/>
      </c>
      <c r="S43" s="32">
        <f>S102</f>
        <v/>
      </c>
      <c r="U43" s="32">
        <f>U102</f>
        <v/>
      </c>
      <c r="W43" s="32">
        <f>W102</f>
        <v/>
      </c>
      <c r="Y43" s="32">
        <f>Y102</f>
        <v/>
      </c>
      <c r="AA43" s="32">
        <f>AA102</f>
        <v/>
      </c>
      <c r="AC43" s="32">
        <f>AC102</f>
        <v/>
      </c>
      <c r="AE43" s="32">
        <f>AE102</f>
        <v/>
      </c>
    </row>
    <row r="44">
      <c r="A44" s="14" t="inlineStr">
        <is>
          <t>Rollover Income from Investors on Sales Transfers</t>
        </is>
      </c>
      <c r="D44" s="26">
        <f>+I44+K44+M44+O44+Q44+S44+U44+W44+Y44+AA44+AC44+AE44</f>
        <v/>
      </c>
      <c r="G44" s="15" t="inlineStr">
        <is>
          <t>N / LK</t>
        </is>
      </c>
      <c r="I44" s="32">
        <f>+I79+I95+I97+J79</f>
        <v/>
      </c>
      <c r="K44" s="32">
        <f>+K79+K95+K97+L79</f>
        <v/>
      </c>
      <c r="M44" s="32">
        <f>+M79+M95+M97+N79</f>
        <v/>
      </c>
      <c r="O44" s="32">
        <f>+O79+O95+O97+P79</f>
        <v/>
      </c>
      <c r="Q44" s="32">
        <f>+Q79+Q95+Q97+R79</f>
        <v/>
      </c>
      <c r="S44" s="32">
        <f>+S79+S95+S97+T79</f>
        <v/>
      </c>
      <c r="U44" s="32">
        <f>+U79+U95+U97+V79</f>
        <v/>
      </c>
      <c r="W44" s="32">
        <f>+W79+W95+W97+X79</f>
        <v/>
      </c>
      <c r="Y44" s="32">
        <f>+Y79+Y95+Y97+Z79</f>
        <v/>
      </c>
      <c r="AA44" s="32">
        <f>+AA79+AA95+AA97+AB79</f>
        <v/>
      </c>
      <c r="AC44" s="32">
        <f>+AC79+AC95+AC97+AD79</f>
        <v/>
      </c>
      <c r="AE44" s="32">
        <f>+AE79+AE95+AE97+AF79</f>
        <v/>
      </c>
    </row>
    <row r="45">
      <c r="A45" s="14" t="inlineStr">
        <is>
          <t>Deposits</t>
        </is>
      </c>
      <c r="D45" s="26">
        <f>+I45+K45+M45+O45+Q45+S45+U45+W45+Y45+AA45+AC45+AE45</f>
        <v/>
      </c>
      <c r="G45" s="15" t="inlineStr">
        <is>
          <t>N / LK</t>
        </is>
      </c>
      <c r="I45" s="32">
        <f>I96+I103+I26+I66</f>
        <v/>
      </c>
      <c r="K45" s="32">
        <f>K96+K103+K26+K66</f>
        <v/>
      </c>
      <c r="M45" s="32">
        <f>M96+M103+M26+M66</f>
        <v/>
      </c>
      <c r="O45" s="32">
        <f>O96+O103+O26+O66</f>
        <v/>
      </c>
      <c r="Q45" s="32">
        <f>Q96+Q103+Q26+Q66</f>
        <v/>
      </c>
      <c r="S45" s="32">
        <f>S96+S103+S26+S66</f>
        <v/>
      </c>
      <c r="U45" s="32">
        <f>U96+U103+U26+U66</f>
        <v/>
      </c>
      <c r="W45" s="32">
        <f>W96+W103+W26+W66</f>
        <v/>
      </c>
      <c r="Y45" s="32">
        <f>Y96+Y103+Y26+Y66</f>
        <v/>
      </c>
      <c r="AA45" s="32">
        <f>AA96+AA103+AA26+AA66</f>
        <v/>
      </c>
      <c r="AC45" s="32">
        <f>AC96+AC103+AC26+AC66</f>
        <v/>
      </c>
      <c r="AE45" s="32">
        <f>AE96+AE103+AE26+AE66</f>
        <v/>
      </c>
    </row>
    <row r="46">
      <c r="A46" s="14" t="inlineStr">
        <is>
          <t>INCOME</t>
        </is>
      </c>
      <c r="D46" s="31">
        <f>+I46+K46+M46+O46+Q46+S46+U46+W46+Y46+AA46+AC46+AE46</f>
        <v/>
      </c>
      <c r="G46" s="15" t="inlineStr">
        <is>
          <t>N / LK</t>
        </is>
      </c>
      <c r="I46" s="28">
        <f>sum(I36:I45)-I44</f>
        <v/>
      </c>
      <c r="K46" s="28">
        <f>sum(K36:K45)-K44</f>
        <v/>
      </c>
      <c r="M46" s="28">
        <f>sum(M36:M45)-M44</f>
        <v/>
      </c>
      <c r="O46" s="28">
        <f>sum(O36:O45)-O44</f>
        <v/>
      </c>
      <c r="Q46" s="28">
        <f>sum(Q36:Q45)-Q44</f>
        <v/>
      </c>
      <c r="S46" s="28">
        <f>sum(S36:S45)-S44</f>
        <v/>
      </c>
      <c r="U46" s="28">
        <f>sum(U36:U45)-U44</f>
        <v/>
      </c>
      <c r="W46" s="28">
        <f>sum(W36:W45)-W44</f>
        <v/>
      </c>
      <c r="Y46" s="28">
        <f>sum(Y36:Y45)-Y44</f>
        <v/>
      </c>
      <c r="AA46" s="28">
        <f>sum(AA36:AA45)-AA44</f>
        <v/>
      </c>
      <c r="AC46" s="28">
        <f>sum(AC36:AC45)-AC44</f>
        <v/>
      </c>
      <c r="AE46" s="28">
        <f>sum(AE36:AE45)-AE44</f>
        <v/>
      </c>
    </row>
    <row r="48">
      <c r="A48" s="14" t="inlineStr">
        <is>
          <t>Costs To Complete</t>
        </is>
      </c>
    </row>
    <row r="49">
      <c r="A49" s="34" t="inlineStr">
        <is>
          <t>UNITS</t>
        </is>
      </c>
      <c r="B49" s="35" t="n"/>
      <c r="C49" s="36">
        <f>SUM(C50:C62)</f>
        <v/>
      </c>
      <c r="D49" s="37">
        <f>SUM(D50:D62)</f>
        <v/>
      </c>
      <c r="G49" s="15" t="inlineStr">
        <is>
          <t>N / PR</t>
        </is>
      </c>
      <c r="I49" s="38">
        <f>SUM(I50:I62)</f>
        <v/>
      </c>
      <c r="K49" s="38">
        <f>SUM(K50:K62)</f>
        <v/>
      </c>
      <c r="M49" s="38">
        <f>SUM(M50:M62)</f>
        <v/>
      </c>
      <c r="O49" s="38">
        <f>SUM(O50:O62)</f>
        <v/>
      </c>
      <c r="Q49" s="38">
        <f>SUM(Q50:Q62)</f>
        <v/>
      </c>
      <c r="S49" s="38">
        <f>SUM(S50:S62)</f>
        <v/>
      </c>
      <c r="U49" s="38">
        <f>SUM(U50:U62)</f>
        <v/>
      </c>
      <c r="W49" s="38">
        <f>SUM(W50:W62)</f>
        <v/>
      </c>
      <c r="Y49" s="38">
        <f>SUM(Y50:Y62)</f>
        <v/>
      </c>
      <c r="AA49" s="38">
        <f>SUM(AA50:AA62)</f>
        <v/>
      </c>
      <c r="AC49" s="38">
        <f>SUM(AC50:AC62)</f>
        <v/>
      </c>
      <c r="AE49" s="38">
        <f>SUM(AE50:AE62)</f>
        <v/>
      </c>
    </row>
    <row r="50">
      <c r="A50" s="39" t="inlineStr">
        <is>
          <t>Clubhouse</t>
        </is>
      </c>
      <c r="B50" s="39" t="n">
        <v>0</v>
      </c>
      <c r="C50" s="40" t="n"/>
      <c r="D50" s="26">
        <f>+I50+K50+M50+O50+Q50+S50+U50+W50+Y50+AA50+AC50+AE50</f>
        <v/>
      </c>
      <c r="G50" s="15" t="inlineStr">
        <is>
          <t>N / PR</t>
        </is>
      </c>
      <c r="I50" s="26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6" t="n"/>
      <c r="K50" s="26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6" t="n"/>
      <c r="M50" s="26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6" t="n"/>
      <c r="O50" s="26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6" t="n"/>
      <c r="Q50" s="26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6" t="n"/>
      <c r="S50" s="26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6" t="n"/>
      <c r="U50" s="26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6" t="n"/>
      <c r="W50" s="26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6" t="n"/>
      <c r="Y50" s="26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6" t="n"/>
      <c r="AA50" s="26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6" t="n"/>
      <c r="AC50" s="26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6" t="n"/>
      <c r="AE50" s="26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26" t="n"/>
    </row>
    <row r="51">
      <c r="A51" s="39" t="inlineStr">
        <is>
          <t>D</t>
        </is>
      </c>
      <c r="B51" s="39" t="n">
        <v>1</v>
      </c>
      <c r="C51" s="40" t="n"/>
      <c r="D51" s="26">
        <f>+I51+K51+M51+O51+Q51+S51+U51+W51+Y51+AA51+AC51+AE51</f>
        <v/>
      </c>
      <c r="G51" s="15" t="inlineStr">
        <is>
          <t>N / PR</t>
        </is>
      </c>
      <c r="I51" s="26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6" t="n"/>
      <c r="K51" s="26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6" t="n"/>
      <c r="M51" s="26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6" t="n"/>
      <c r="O51" s="26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6" t="n"/>
      <c r="Q51" s="26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6" t="n"/>
      <c r="S51" s="26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6" t="n"/>
      <c r="U51" s="26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6" t="n"/>
      <c r="W51" s="26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6" t="n"/>
      <c r="Y51" s="26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6" t="n"/>
      <c r="AA51" s="26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6" t="n"/>
      <c r="AC51" s="26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6" t="n"/>
      <c r="AE51" s="26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26" t="n"/>
    </row>
    <row r="52">
      <c r="A52" s="41" t="inlineStr">
        <is>
          <t>E</t>
        </is>
      </c>
      <c r="B52" s="41" t="n">
        <v>0</v>
      </c>
      <c r="C52" s="40">
        <f>12*B52</f>
        <v/>
      </c>
      <c r="D52" s="26">
        <f>+I52+K52+M52+O52+Q52+S52+U52+W52+Y52+AA52+AC52+AE52</f>
        <v/>
      </c>
      <c r="G52" s="15" t="inlineStr">
        <is>
          <t>N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>
      <c r="A53" s="41" t="inlineStr">
        <is>
          <t>F</t>
        </is>
      </c>
      <c r="B53" s="41" t="n">
        <v>0</v>
      </c>
      <c r="C53" s="40">
        <f>8*B53</f>
        <v/>
      </c>
      <c r="D53" s="26">
        <f>+I53+K53+M53+O53+Q53+S53+U53+W53+Y53+AA53+AC53+AE53</f>
        <v/>
      </c>
      <c r="G53" s="15" t="inlineStr">
        <is>
          <t>N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>
      <c r="A54" s="41" t="inlineStr">
        <is>
          <t>G</t>
        </is>
      </c>
      <c r="B54" s="41" t="n">
        <v>0</v>
      </c>
      <c r="C54" s="40">
        <f>12*B54</f>
        <v/>
      </c>
      <c r="D54" s="26">
        <f>+I54+K54+M54+O54+Q54+S54+U54+W54+Y54+AA54+AC54+AE54</f>
        <v/>
      </c>
      <c r="G54" s="15" t="inlineStr">
        <is>
          <t>N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>
      <c r="A55" s="39" t="inlineStr">
        <is>
          <t>H</t>
        </is>
      </c>
      <c r="B55" s="39" t="n">
        <v>1</v>
      </c>
      <c r="C55" s="40" t="n"/>
      <c r="D55" s="26">
        <f>+I55+K55+M55+O55+Q55+S55+U55+W55+Y55+AA55+AC55+AE55</f>
        <v/>
      </c>
      <c r="G55" s="15" t="inlineStr">
        <is>
          <t>N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>
      <c r="A56" s="41" t="inlineStr">
        <is>
          <t>I</t>
        </is>
      </c>
      <c r="B56" s="41" t="n">
        <v>0</v>
      </c>
      <c r="C56" s="40">
        <f>8*B56</f>
        <v/>
      </c>
      <c r="D56" s="26">
        <f>+I56+K56+M56+O56+Q56+S56+U56+W56+Y56+AA56+AC56+AE56</f>
        <v/>
      </c>
      <c r="G56" s="15" t="inlineStr">
        <is>
          <t>N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>
      <c r="A57" s="41" t="inlineStr">
        <is>
          <t>J</t>
        </is>
      </c>
      <c r="B57" s="41" t="n">
        <v>0</v>
      </c>
      <c r="C57" s="40">
        <f>12*B57</f>
        <v/>
      </c>
      <c r="D57" s="26">
        <f>+I57+K57+M57+O57+Q57+S57+U57+W57+Y57+AA57+AC57+AE57</f>
        <v/>
      </c>
      <c r="G57" s="15" t="inlineStr">
        <is>
          <t>N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>
      <c r="A58" s="41" t="inlineStr">
        <is>
          <t>K</t>
        </is>
      </c>
      <c r="B58" s="41" t="n">
        <v>0</v>
      </c>
      <c r="C58" s="40">
        <f>24*B58</f>
        <v/>
      </c>
      <c r="D58" s="26">
        <f>+I58+K58+M58+O58+Q58+S58+U58+W58+Y58+AA58+AC58+AE58</f>
        <v/>
      </c>
      <c r="G58" s="15" t="inlineStr">
        <is>
          <t>N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>
      <c r="A59" s="41" t="inlineStr">
        <is>
          <t>L</t>
        </is>
      </c>
      <c r="B59" s="41" t="n">
        <v>0</v>
      </c>
      <c r="C59" s="40">
        <f>8*B59</f>
        <v/>
      </c>
      <c r="D59" s="26">
        <f>+I59+K59+M59+O59+Q59+S59+U59+W59+Y59+AA59+AC59+AE59</f>
        <v/>
      </c>
      <c r="G59" s="15" t="inlineStr">
        <is>
          <t>N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>
      <c r="A60" s="41" t="inlineStr">
        <is>
          <t>M</t>
        </is>
      </c>
      <c r="B60" s="41" t="n">
        <v>0</v>
      </c>
      <c r="C60" s="40">
        <f>8*B60</f>
        <v/>
      </c>
      <c r="D60" s="26">
        <f>+I60+K60+M60+O60+Q60+S60+U60+W60+Y60+AA60+AC60+AE60</f>
        <v/>
      </c>
      <c r="G60" s="15" t="inlineStr">
        <is>
          <t>N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>
      <c r="A61" s="39" t="inlineStr">
        <is>
          <t>N</t>
        </is>
      </c>
      <c r="B61" s="39" t="n">
        <v>1</v>
      </c>
      <c r="C61" s="40" t="n"/>
      <c r="D61" s="26">
        <f>+I61+K61+M61+O61+Q61+S61+U61+W61+Y61+AA61+AC61+AE61</f>
        <v/>
      </c>
      <c r="G61" s="15" t="inlineStr">
        <is>
          <t>N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>
      <c r="A62" s="41" t="inlineStr">
        <is>
          <t>O</t>
        </is>
      </c>
      <c r="B62" s="41" t="n">
        <v>0</v>
      </c>
      <c r="C62" s="40">
        <f>15*B62</f>
        <v/>
      </c>
      <c r="D62" s="26">
        <f>+I62+K62+M62+O62+Q62+S62+U62+W62+Y62+AA62+AC62+AE62</f>
        <v/>
      </c>
      <c r="G62" s="15" t="inlineStr">
        <is>
          <t>N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>
      <c r="A63" s="40" t="inlineStr">
        <is>
          <t>REMAINING</t>
        </is>
      </c>
      <c r="B63" s="42" t="n"/>
      <c r="C63" s="40">
        <f>107-C49</f>
        <v/>
      </c>
    </row>
    <row r="66">
      <c r="A66" s="14" t="inlineStr">
        <is>
          <t>VAT ON CONSTRUCTION</t>
        </is>
      </c>
      <c r="B66" t="inlineStr"/>
      <c r="C66" s="14" t="n">
        <v>1</v>
      </c>
      <c r="D66" s="26">
        <f>+I66+K66+M66+O66+Q66+S66+U66+W66+Y66+AA66+AC66+AE66</f>
        <v/>
      </c>
      <c r="G66" s="15" t="inlineStr">
        <is>
          <t>N</t>
        </is>
      </c>
      <c r="I66" s="28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28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28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28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28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28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28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28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28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28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28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28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</row>
    <row r="68">
      <c r="A68" s="14" t="inlineStr">
        <is>
          <t>OPERATING EXPENSES</t>
        </is>
      </c>
      <c r="B68" t="inlineStr"/>
      <c r="C68" s="43" t="n">
        <v>0.55</v>
      </c>
      <c r="D68" s="26">
        <f>+I68+K68+M68+O68+Q68+S68+U68+W68+Y68+AA68+AC68+AE68</f>
        <v/>
      </c>
      <c r="G68" s="15" t="inlineStr">
        <is>
          <t>N</t>
        </is>
      </c>
      <c r="I68" s="30">
        <f>-'Operational Costs'!$N$2*$C68</f>
        <v/>
      </c>
      <c r="K68" s="30">
        <f>-'Operational Costs'!$N$2*$C68</f>
        <v/>
      </c>
      <c r="M68" s="30">
        <f>-'Operational Costs'!$N$2*$C68</f>
        <v/>
      </c>
      <c r="O68" s="30">
        <f>-'Operational Costs'!$N$2*$C68</f>
        <v/>
      </c>
      <c r="Q68" s="30">
        <f>-'Operational Costs'!$N$2*$C68</f>
        <v/>
      </c>
      <c r="S68" s="30">
        <f>-'Operational Costs'!$N$2*$C68</f>
        <v/>
      </c>
      <c r="U68" s="30">
        <f>-'Operational Costs'!$N$2*$C68</f>
        <v/>
      </c>
      <c r="W68" s="30">
        <f>-'Operational Costs'!$N$2*$C68</f>
        <v/>
      </c>
      <c r="Y68" s="30">
        <f>-'Operational Costs'!$N$2*$C68</f>
        <v/>
      </c>
      <c r="AA68" s="30">
        <f>-'Operational Costs'!$N$2*$C68</f>
        <v/>
      </c>
      <c r="AC68" s="30">
        <f>-'Operational Costs'!$N$2*$C68</f>
        <v/>
      </c>
      <c r="AE68" s="30">
        <f>-'Operational Costs'!$N$2*$C68</f>
        <v/>
      </c>
    </row>
    <row r="70">
      <c r="A70" s="14" t="inlineStr">
        <is>
          <t>MONTHLY</t>
        </is>
      </c>
      <c r="D70" s="26">
        <f>+I70+K70+M70+O70+Q70+S70+U70+W70+Y70+AA70+AC70+AE70</f>
        <v/>
      </c>
      <c r="G70" s="15" t="inlineStr">
        <is>
          <t>N</t>
        </is>
      </c>
      <c r="I70" s="32">
        <f>I31+I49+I66+I68+I29</f>
        <v/>
      </c>
      <c r="K70" s="32">
        <f>K31+K49+K66+K68+K29</f>
        <v/>
      </c>
      <c r="M70" s="32">
        <f>M31+M49+M66+M68+M29</f>
        <v/>
      </c>
      <c r="O70" s="32">
        <f>O31+O49+O66+O68+O29</f>
        <v/>
      </c>
      <c r="Q70" s="32">
        <f>Q31+Q49+Q66+Q68+Q29</f>
        <v/>
      </c>
      <c r="S70" s="32">
        <f>S31+S49+S66+S68+S29</f>
        <v/>
      </c>
      <c r="U70" s="32">
        <f>U31+U49+U66+U68+U29</f>
        <v/>
      </c>
      <c r="W70" s="32">
        <f>W31+W49+W66+W68+W29</f>
        <v/>
      </c>
      <c r="Y70" s="32">
        <f>Y31+Y49+Y66+Y68+Y29</f>
        <v/>
      </c>
      <c r="AA70" s="32">
        <f>AA31+AA49+AA66+AA68+AA29</f>
        <v/>
      </c>
      <c r="AC70" s="32">
        <f>AC31+AC49+AC66+AC68+AC29</f>
        <v/>
      </c>
      <c r="AE70" s="32">
        <f>AE31+AE49+AE66+AE68+AE29</f>
        <v/>
      </c>
    </row>
    <row r="72">
      <c r="A72" s="14" t="inlineStr">
        <is>
          <t>BANK BALANCE</t>
        </is>
      </c>
      <c r="D72" s="26">
        <f>=Dashboard!B20</f>
        <v/>
      </c>
      <c r="G72" s="15" t="inlineStr">
        <is>
          <t>N</t>
        </is>
      </c>
      <c r="I72" s="32">
        <f>+I70+I46</f>
        <v/>
      </c>
      <c r="K72" s="32">
        <f>+K70+K46</f>
        <v/>
      </c>
      <c r="M72" s="32">
        <f>+M70+M46</f>
        <v/>
      </c>
      <c r="O72" s="32">
        <f>+O70+O46</f>
        <v/>
      </c>
      <c r="Q72" s="32">
        <f>+Q70+Q46</f>
        <v/>
      </c>
      <c r="S72" s="32">
        <f>+S70+S46</f>
        <v/>
      </c>
      <c r="U72" s="32">
        <f>+U70+U46</f>
        <v/>
      </c>
      <c r="W72" s="32">
        <f>+W70+W46</f>
        <v/>
      </c>
      <c r="Y72" s="32">
        <f>+Y70+Y46</f>
        <v/>
      </c>
      <c r="AA72" s="32">
        <f>+AA70+AA46</f>
        <v/>
      </c>
      <c r="AC72" s="32">
        <f>+AC70+AC46</f>
        <v/>
      </c>
      <c r="AE72" s="32">
        <f>+AE70+AE46</f>
        <v/>
      </c>
    </row>
    <row r="74">
      <c r="A74" s="14" t="inlineStr">
        <is>
          <t>INVESTOR EXIT ROLLOVER BALANCE</t>
        </is>
      </c>
      <c r="D74" s="26">
        <f>+I74+K74+M74+O74+Q74+S74+U74+W74+Y74+AA74+AC74+AE74</f>
        <v/>
      </c>
      <c r="G74" s="15" t="inlineStr">
        <is>
          <t>N / LK</t>
        </is>
      </c>
      <c r="I74" s="32">
        <f>-SUMIFS('Investor Exit List'!$Q:$Q,'Investor Exit List'!$Z:$Z,"Release",'Investor Exit List'!$L:$L,"&lt;="&amp;'Cashflow Projection'!I$5,'Investor Exit List'!$L:$L,"&gt;"&amp;'Cashflow Projection'!B$2)</f>
        <v/>
      </c>
      <c r="K74" s="32">
        <f>-SUMIFS('Investor Exit List'!$Q:$Q,'Investor Exit List'!$Z:$Z,"Release",'Investor Exit List'!$L:$L,"&lt;="&amp;'Cashflow Projection'!K$5,'Investor Exit List'!$L:$L,"&gt;"&amp;'Cashflow Projection'!I$5)</f>
        <v/>
      </c>
      <c r="M74" s="32">
        <f>-SUMIFS('Investor Exit List'!$Q:$Q,'Investor Exit List'!$Z:$Z,"Release",'Investor Exit List'!$L:$L,"&lt;="&amp;'Cashflow Projection'!M$5,'Investor Exit List'!$L:$L,"&gt;"&amp;'Cashflow Projection'!K$5)</f>
        <v/>
      </c>
      <c r="O74" s="32">
        <f>-SUMIFS('Investor Exit List'!$Q:$Q,'Investor Exit List'!$Z:$Z,"Release",'Investor Exit List'!$L:$L,"&lt;="&amp;'Cashflow Projection'!O$5,'Investor Exit List'!$L:$L,"&gt;"&amp;'Cashflow Projection'!M$5)</f>
        <v/>
      </c>
      <c r="Q74" s="32">
        <f>-SUMIFS('Investor Exit List'!$Q:$Q,'Investor Exit List'!$Z:$Z,"Release",'Investor Exit List'!$L:$L,"&lt;="&amp;'Cashflow Projection'!Q$5,'Investor Exit List'!$L:$L,"&gt;"&amp;'Cashflow Projection'!O$5)</f>
        <v/>
      </c>
      <c r="S74" s="32">
        <f>-SUMIFS('Investor Exit List'!$Q:$Q,'Investor Exit List'!$Z:$Z,"Release",'Investor Exit List'!$L:$L,"&lt;="&amp;'Cashflow Projection'!S$5,'Investor Exit List'!$L:$L,"&gt;"&amp;'Cashflow Projection'!Q$5)</f>
        <v/>
      </c>
      <c r="U74" s="32">
        <f>-SUMIFS('Investor Exit List'!$Q:$Q,'Investor Exit List'!$Z:$Z,"Release",'Investor Exit List'!$L:$L,"&lt;="&amp;'Cashflow Projection'!U$5,'Investor Exit List'!$L:$L,"&gt;"&amp;'Cashflow Projection'!S$5)</f>
        <v/>
      </c>
      <c r="W74" s="32">
        <f>-SUMIFS('Investor Exit List'!$Q:$Q,'Investor Exit List'!$Z:$Z,"Release",'Investor Exit List'!$L:$L,"&lt;="&amp;'Cashflow Projection'!W$5,'Investor Exit List'!$L:$L,"&gt;"&amp;'Cashflow Projection'!U$5)</f>
        <v/>
      </c>
      <c r="Y74" s="32">
        <f>-SUMIFS('Investor Exit List'!$Q:$Q,'Investor Exit List'!$Z:$Z,"Release",'Investor Exit List'!$L:$L,"&lt;="&amp;'Cashflow Projection'!Y$5,'Investor Exit List'!$L:$L,"&gt;"&amp;'Cashflow Projection'!W$5)</f>
        <v/>
      </c>
      <c r="AA74" s="32">
        <f>-SUMIFS('Investor Exit List'!$Q:$Q,'Investor Exit List'!$Z:$Z,"Release",'Investor Exit List'!$L:$L,"&lt;="&amp;'Cashflow Projection'!AA$5,'Investor Exit List'!$L:$L,"&gt;"&amp;'Cashflow Projection'!Y$5)</f>
        <v/>
      </c>
      <c r="AC74" s="32">
        <f>-SUMIFS('Investor Exit List'!$Q:$Q,'Investor Exit List'!$Z:$Z,"Release",'Investor Exit List'!$L:$L,"&lt;="&amp;'Cashflow Projection'!AC$5,'Investor Exit List'!$L:$L,"&gt;"&amp;'Cashflow Projection'!AA$5)</f>
        <v/>
      </c>
      <c r="AE74" s="32">
        <f>-SUMIFS('Investor Exit List'!$Q:$Q,'Investor Exit List'!$Z:$Z,"Release",'Investor Exit List'!$L:$L,"&lt;="&amp;'Cashflow Projection'!AE$5,'Investor Exit List'!$L:$L,"&gt;"&amp;'Cashflow Projection'!AC$5)</f>
        <v/>
      </c>
    </row>
    <row r="76">
      <c r="A76" s="14" t="inlineStr">
        <is>
          <t>ROLLOVER</t>
        </is>
      </c>
      <c r="D76" s="44">
        <f>+I76+K76+M76+O76+Q76+S76+U76+W76+Y76+AA76+AC76+AE76</f>
        <v/>
      </c>
      <c r="G76" s="15" t="inlineStr">
        <is>
          <t>N / LK</t>
        </is>
      </c>
      <c r="I76" s="45">
        <f>0</f>
        <v/>
      </c>
      <c r="K76" s="45">
        <f>0</f>
        <v/>
      </c>
      <c r="M76" s="45">
        <f>0</f>
        <v/>
      </c>
      <c r="O76" s="45">
        <f>0</f>
        <v/>
      </c>
      <c r="Q76" s="45">
        <f>0</f>
        <v/>
      </c>
      <c r="S76" s="45">
        <f>0</f>
        <v/>
      </c>
      <c r="U76" s="45">
        <f>0</f>
        <v/>
      </c>
      <c r="W76" s="45">
        <f>0</f>
        <v/>
      </c>
      <c r="Y76" s="45">
        <f>0</f>
        <v/>
      </c>
      <c r="AA76" s="45">
        <f>0</f>
        <v/>
      </c>
      <c r="AC76" s="45">
        <f>0</f>
        <v/>
      </c>
      <c r="AE76" s="45">
        <f>0</f>
        <v/>
      </c>
    </row>
    <row r="78">
      <c r="A78" s="14" t="inlineStr">
        <is>
          <t>PROJECT INCOME</t>
        </is>
      </c>
      <c r="I78" s="46" t="inlineStr">
        <is>
          <t>SALES</t>
        </is>
      </c>
      <c r="J78" s="46" t="inlineStr">
        <is>
          <t>EXIT &amp; ROLL</t>
        </is>
      </c>
      <c r="K78" s="46" t="inlineStr">
        <is>
          <t>SALES</t>
        </is>
      </c>
      <c r="L78" s="46" t="inlineStr">
        <is>
          <t>EXIT &amp; ROLL</t>
        </is>
      </c>
      <c r="M78" s="46" t="inlineStr">
        <is>
          <t>SALES</t>
        </is>
      </c>
      <c r="N78" s="46" t="inlineStr">
        <is>
          <t>EXIT &amp; ROLL</t>
        </is>
      </c>
      <c r="O78" s="46" t="inlineStr">
        <is>
          <t>SALES</t>
        </is>
      </c>
      <c r="P78" s="46" t="inlineStr">
        <is>
          <t>EXIT &amp; ROLL</t>
        </is>
      </c>
      <c r="Q78" s="46" t="inlineStr">
        <is>
          <t>SALES</t>
        </is>
      </c>
      <c r="R78" s="46" t="inlineStr">
        <is>
          <t>EXIT &amp; ROLL</t>
        </is>
      </c>
      <c r="S78" s="46" t="inlineStr">
        <is>
          <t>SALES</t>
        </is>
      </c>
      <c r="T78" s="46" t="inlineStr">
        <is>
          <t>EXIT &amp; ROLL</t>
        </is>
      </c>
      <c r="U78" s="46" t="inlineStr">
        <is>
          <t>SALES</t>
        </is>
      </c>
      <c r="V78" s="46" t="inlineStr">
        <is>
          <t>EXIT &amp; ROLL</t>
        </is>
      </c>
      <c r="W78" s="46" t="inlineStr">
        <is>
          <t>SALES</t>
        </is>
      </c>
      <c r="X78" s="46" t="inlineStr">
        <is>
          <t>EXIT &amp; ROLL</t>
        </is>
      </c>
      <c r="Y78" s="46" t="inlineStr">
        <is>
          <t>SALES</t>
        </is>
      </c>
      <c r="Z78" s="46" t="inlineStr">
        <is>
          <t>EXIT &amp; ROLL</t>
        </is>
      </c>
      <c r="AA78" s="46" t="inlineStr">
        <is>
          <t>SALES</t>
        </is>
      </c>
      <c r="AB78" s="46" t="inlineStr">
        <is>
          <t>EXIT &amp; ROLL</t>
        </is>
      </c>
      <c r="AC78" s="46" t="inlineStr">
        <is>
          <t>SALES</t>
        </is>
      </c>
      <c r="AD78" s="46" t="inlineStr">
        <is>
          <t>EXIT &amp; ROLL</t>
        </is>
      </c>
      <c r="AE78" s="46" t="inlineStr">
        <is>
          <t>SALES</t>
        </is>
      </c>
      <c r="AF78" s="46" t="inlineStr">
        <is>
          <t>EXIT &amp; ROLL</t>
        </is>
      </c>
    </row>
    <row r="79">
      <c r="I79" s="37">
        <f>SUM(I80:I90)</f>
        <v/>
      </c>
      <c r="J79" s="37">
        <f>SUM(J80:J90)</f>
        <v/>
      </c>
      <c r="K79" s="37">
        <f>SUM(K80:K90)</f>
        <v/>
      </c>
      <c r="L79" s="37">
        <f>SUM(L80:L90)</f>
        <v/>
      </c>
      <c r="M79" s="37">
        <f>SUM(M80:M90)</f>
        <v/>
      </c>
      <c r="N79" s="37">
        <f>SUM(N80:N90)</f>
        <v/>
      </c>
      <c r="O79" s="37">
        <f>SUM(O80:O90)</f>
        <v/>
      </c>
      <c r="P79" s="37">
        <f>SUM(P80:P90)</f>
        <v/>
      </c>
      <c r="Q79" s="37">
        <f>SUM(Q80:Q90)</f>
        <v/>
      </c>
      <c r="R79" s="37">
        <f>SUM(R80:R90)</f>
        <v/>
      </c>
      <c r="S79" s="37">
        <f>SUM(S80:S90)</f>
        <v/>
      </c>
      <c r="T79" s="37">
        <f>SUM(T80:T90)</f>
        <v/>
      </c>
      <c r="U79" s="37">
        <f>SUM(U80:U90)</f>
        <v/>
      </c>
      <c r="V79" s="37">
        <f>SUM(V80:V90)</f>
        <v/>
      </c>
      <c r="W79" s="37">
        <f>SUM(W80:W90)</f>
        <v/>
      </c>
      <c r="X79" s="37">
        <f>SUM(X80:X90)</f>
        <v/>
      </c>
      <c r="Y79" s="37">
        <f>SUM(Y80:Y90)</f>
        <v/>
      </c>
      <c r="Z79" s="37">
        <f>SUM(Z80:Z90)</f>
        <v/>
      </c>
      <c r="AA79" s="37">
        <f>SUM(AA80:AA90)</f>
        <v/>
      </c>
      <c r="AB79" s="37">
        <f>SUM(AB80:AB90)</f>
        <v/>
      </c>
      <c r="AC79" s="37">
        <f>SUM(AC80:AC90)</f>
        <v/>
      </c>
      <c r="AD79" s="37">
        <f>SUM(AD80:AD90)</f>
        <v/>
      </c>
      <c r="AE79" s="37">
        <f>SUM(AE80:AE90)</f>
        <v/>
      </c>
      <c r="AF79" s="37">
        <f>SUM(AF80:AF90)</f>
        <v/>
      </c>
    </row>
    <row r="80">
      <c r="A80" s="14" t="inlineStr">
        <is>
          <t>Roll Over_Re-Finance</t>
        </is>
      </c>
      <c r="D80" s="32">
        <f>+I80+K80+M80+O80+Q80+S80+U80+W80+Y80+AA80+AC80+AE80</f>
        <v/>
      </c>
      <c r="E80" s="47" t="n">
        <v>0.6</v>
      </c>
      <c r="G80" s="15" t="inlineStr">
        <is>
          <t>N / LK</t>
        </is>
      </c>
      <c r="I80" s="26">
        <f>$E$80*-I117</f>
        <v/>
      </c>
      <c r="K80" s="26">
        <f>$E$80*-K117</f>
        <v/>
      </c>
      <c r="L80" s="48" t="n">
        <v>0</v>
      </c>
      <c r="M80" s="26">
        <f>$E$80*-M117</f>
        <v/>
      </c>
      <c r="N80" s="48" t="n">
        <v>0</v>
      </c>
      <c r="O80" s="26">
        <f>$E$80*-O117</f>
        <v/>
      </c>
      <c r="P80" s="48" t="n">
        <v>0</v>
      </c>
      <c r="Q80" s="26">
        <f>$E$80*-Q117</f>
        <v/>
      </c>
      <c r="R80" s="48" t="n">
        <v>0</v>
      </c>
      <c r="S80" s="26">
        <f>$E$80*-S117</f>
        <v/>
      </c>
      <c r="T80" s="48" t="n">
        <v>0</v>
      </c>
      <c r="U80" s="26">
        <f>$E$80*-U117</f>
        <v/>
      </c>
      <c r="V80" s="48" t="n">
        <v>0</v>
      </c>
      <c r="W80" s="26">
        <f>$E$80*-W117</f>
        <v/>
      </c>
      <c r="X80" s="48" t="n">
        <v>0</v>
      </c>
      <c r="Y80" s="26">
        <f>$E$80*-Y117</f>
        <v/>
      </c>
      <c r="Z80" s="48" t="n">
        <v>0</v>
      </c>
      <c r="AA80" s="26">
        <f>$E$80*-AA117</f>
        <v/>
      </c>
      <c r="AB80" s="48" t="n">
        <v>0</v>
      </c>
      <c r="AC80" s="26">
        <f>$E$80*-AC117</f>
        <v/>
      </c>
      <c r="AD80" s="48" t="n">
        <v>0</v>
      </c>
      <c r="AE80" s="26">
        <f>$E$80*-AE117</f>
        <v/>
      </c>
      <c r="AF80" s="48" t="n">
        <v>0</v>
      </c>
    </row>
    <row r="81">
      <c r="A81" s="14" t="inlineStr">
        <is>
          <t>Roll Over_Re-Invest</t>
        </is>
      </c>
      <c r="D81" s="32">
        <f>+I81+K81+M81+O81+Q81+S81+U81+W81+Y81+AA81+AC81+AE81</f>
        <v/>
      </c>
      <c r="E81" s="49">
        <f>E80</f>
        <v/>
      </c>
      <c r="G81" s="15" t="inlineStr">
        <is>
          <t>N / LK</t>
        </is>
      </c>
      <c r="I81" s="26">
        <f>$E$81*I156</f>
        <v/>
      </c>
      <c r="K81" s="26">
        <f>$E$81*K156</f>
        <v/>
      </c>
      <c r="L81" s="48" t="n">
        <v>0</v>
      </c>
      <c r="M81" s="26">
        <f>$E$81*M156</f>
        <v/>
      </c>
      <c r="N81" s="48" t="n">
        <v>0</v>
      </c>
      <c r="O81" s="26">
        <f>$E$81*O156</f>
        <v/>
      </c>
      <c r="P81" s="48" t="n">
        <v>0</v>
      </c>
      <c r="Q81" s="26">
        <f>$E$81*Q156</f>
        <v/>
      </c>
      <c r="R81" s="48" t="n">
        <v>0</v>
      </c>
      <c r="S81" s="26">
        <f>$E$81*S156</f>
        <v/>
      </c>
      <c r="T81" s="48" t="n">
        <v>0</v>
      </c>
      <c r="U81" s="26">
        <f>$E$81*U156</f>
        <v/>
      </c>
      <c r="V81" s="48" t="n">
        <v>0</v>
      </c>
      <c r="W81" s="26">
        <f>$E$81*W156</f>
        <v/>
      </c>
      <c r="X81" s="48" t="n">
        <v>0</v>
      </c>
      <c r="Y81" s="26">
        <f>$E$81*Y156</f>
        <v/>
      </c>
      <c r="Z81" s="48" t="n">
        <v>0</v>
      </c>
      <c r="AA81" s="26">
        <f>$E$81*AA156</f>
        <v/>
      </c>
      <c r="AB81" s="48" t="n">
        <v>0</v>
      </c>
      <c r="AC81" s="26">
        <f>$E$81*AC156</f>
        <v/>
      </c>
      <c r="AD81" s="48" t="n">
        <v>0</v>
      </c>
      <c r="AE81" s="26">
        <f>$E$81*AE156</f>
        <v/>
      </c>
      <c r="AF81" s="48" t="n">
        <v>0</v>
      </c>
    </row>
    <row r="82">
      <c r="A82" s="24" t="inlineStr">
        <is>
          <t>BLOCK C</t>
        </is>
      </c>
      <c r="B82" s="24" t="inlineStr">
        <is>
          <t>C</t>
        </is>
      </c>
      <c r="C82" s="24" t="inlineStr">
        <is>
          <t>Heron View</t>
        </is>
      </c>
      <c r="D82" s="26">
        <f>+I82+K82+M82+O82+Q82+S82+U82+W82+Y82+AA82+AC82+AE82</f>
        <v/>
      </c>
      <c r="E82" s="50">
        <f>+E80</f>
        <v/>
      </c>
      <c r="G82" s="15" t="inlineStr">
        <is>
          <t>N / LK</t>
        </is>
      </c>
      <c r="I82" s="26">
        <f>SUMIFS(Sales!$R:$R,Sales!$W:$W,"&lt;="&amp;I5,Sales!$W:$W,"&gt;"&amp;B2,Sales!$E:$E,FALSE,Sales!$B:$B,'Cashflow Projection'!$B82)*$E82</f>
        <v/>
      </c>
      <c r="J82" s="26">
        <f>SUMIFS($D$245:$D$595,$A$245:$A$595,B82,$C$245:$C$595,"&lt;="&amp;I5,$C$245:$C$595,"&gt;"&amp;B2,$F$245:$F$595,0)*$E82</f>
        <v/>
      </c>
      <c r="K82" s="26">
        <f>SUMIFS(Sales!$R:$R,Sales!$W:$W,"&lt;="&amp;K5,Sales!$W:$W,"&gt;"&amp;I5,Sales!$E:$E,FALSE,Sales!$B:$B,'Cashflow Projection'!$B82)*$E82</f>
        <v/>
      </c>
      <c r="L82" s="26">
        <f>SUMIFS($D$245:$D$595,$A$245:$A$595,B82,$C$245:$C$595,"&lt;="&amp;K5,$C$245:$C$595,"&gt;"&amp;I5,$F$245:$F$595,0)*$E82</f>
        <v/>
      </c>
      <c r="M82" s="26">
        <f>SUMIFS(Sales!$R:$R,Sales!$W:$W,"&lt;="&amp;M5,Sales!$W:$W,"&gt;"&amp;K5,Sales!$E:$E,FALSE,Sales!$B:$B,'Cashflow Projection'!$B82)*$E82</f>
        <v/>
      </c>
      <c r="N82" s="26">
        <f>SUMIFS($D$245:$D$595,$A$245:$A$595,B82,$C$245:$C$595,"&lt;="&amp;M5,$C$245:$C$595,"&gt;"&amp;K5,$F$245:$F$595,0)*$E82</f>
        <v/>
      </c>
      <c r="O82" s="26">
        <f>SUMIFS(Sales!$R:$R,Sales!$W:$W,"&lt;="&amp;O5,Sales!$W:$W,"&gt;"&amp;M5,Sales!$E:$E,FALSE,Sales!$B:$B,'Cashflow Projection'!$B82)*$E82</f>
        <v/>
      </c>
      <c r="P82" s="26">
        <f>SUMIFS($D$245:$D$595,$A$245:$A$595,B82,$C$245:$C$595,"&lt;="&amp;O5,$C$245:$C$595,"&gt;"&amp;M5,$F$245:$F$595,0)*$E82</f>
        <v/>
      </c>
      <c r="Q82" s="26">
        <f>SUMIFS(Sales!$R:$R,Sales!$W:$W,"&lt;="&amp;Q5,Sales!$W:$W,"&gt;"&amp;O5,Sales!$E:$E,FALSE,Sales!$B:$B,'Cashflow Projection'!$B82)*$E82</f>
        <v/>
      </c>
      <c r="R82" s="26">
        <f>SUMIFS($D$245:$D$595,$A$245:$A$595,B82,$C$245:$C$595,"&lt;="&amp;Q5,$C$245:$C$595,"&gt;"&amp;O5,$F$245:$F$595,0)*$E82</f>
        <v/>
      </c>
      <c r="S82" s="26">
        <f>SUMIFS(Sales!$R:$R,Sales!$W:$W,"&lt;="&amp;S5,Sales!$W:$W,"&gt;"&amp;Q5,Sales!$E:$E,FALSE,Sales!$B:$B,'Cashflow Projection'!$B82)*$E82</f>
        <v/>
      </c>
      <c r="T82" s="26">
        <f>SUMIFS($D$245:$D$595,$A$245:$A$595,B82,$C$245:$C$595,"&lt;="&amp;S5,$C$245:$C$595,"&gt;"&amp;Q5,$F$245:$F$595,0)*$E82</f>
        <v/>
      </c>
      <c r="U82" s="26">
        <f>SUMIFS(Sales!$R:$R,Sales!$W:$W,"&lt;="&amp;U5,Sales!$W:$W,"&gt;"&amp;S5,Sales!$E:$E,FALSE,Sales!$B:$B,'Cashflow Projection'!$B82)*$E82</f>
        <v/>
      </c>
      <c r="V82" s="26">
        <f>SUMIFS($D$245:$D$595,$A$245:$A$595,B82,$C$245:$C$595,"&lt;="&amp;U5,$C$245:$C$595,"&gt;"&amp;S5,$F$245:$F$595,0)*$E82</f>
        <v/>
      </c>
      <c r="W82" s="26">
        <f>SUMIFS(Sales!$R:$R,Sales!$W:$W,"&lt;="&amp;W5,Sales!$W:$W,"&gt;"&amp;U5,Sales!$E:$E,FALSE,Sales!$B:$B,'Cashflow Projection'!$B82)*$E82</f>
        <v/>
      </c>
      <c r="X82" s="26">
        <f>SUMIFS($D$245:$D$595,$A$245:$A$595,B82,$C$245:$C$595,"&lt;="&amp;W5,$C$245:$C$595,"&gt;"&amp;U5,$F$245:$F$595,0)*$E82</f>
        <v/>
      </c>
      <c r="Y82" s="26">
        <f>SUMIFS(Sales!$R:$R,Sales!$W:$W,"&lt;="&amp;Y5,Sales!$W:$W,"&gt;"&amp;W5,Sales!$E:$E,FALSE,Sales!$B:$B,'Cashflow Projection'!$B82)*$E82</f>
        <v/>
      </c>
      <c r="Z82" s="26">
        <f>SUMIFS($D$245:$D$595,$A$245:$A$595,B82,$C$245:$C$595,"&lt;="&amp;Y5,$C$245:$C$595,"&gt;"&amp;W5,$F$245:$F$595,0)*$E82</f>
        <v/>
      </c>
      <c r="AA82" s="26">
        <f>SUMIFS(Sales!$R:$R,Sales!$W:$W,"&lt;="&amp;AA5,Sales!$W:$W,"&gt;"&amp;Y5,Sales!$E:$E,FALSE,Sales!$B:$B,'Cashflow Projection'!$B82)*$E82</f>
        <v/>
      </c>
      <c r="AB82" s="26">
        <f>SUMIFS($D$245:$D$595,$A$245:$A$595,B82,$C$245:$C$595,"&lt;="&amp;AA5,$C$245:$C$595,"&gt;"&amp;Y5,$F$245:$F$595,0)*$E82</f>
        <v/>
      </c>
      <c r="AC82" s="26">
        <f>SUMIFS(Sales!$R:$R,Sales!$W:$W,"&lt;="&amp;AC5,Sales!$W:$W,"&gt;"&amp;AA5,Sales!$E:$E,FALSE,Sales!$B:$B,'Cashflow Projection'!$B82)*$E82</f>
        <v/>
      </c>
      <c r="AD82" s="26">
        <f>SUMIFS($D$245:$D$595,$A$245:$A$595,B82,$C$245:$C$595,"&lt;="&amp;AC5,$C$245:$C$595,"&gt;"&amp;AA5,$F$245:$F$595,0)*$E82</f>
        <v/>
      </c>
      <c r="AE82" s="26">
        <f>SUMIFS(Sales!$R:$R,Sales!$W:$W,"&lt;="&amp;AE5,Sales!$W:$W,"&gt;"&amp;AC5,Sales!$E:$E,FALSE,Sales!$B:$B,'Cashflow Projection'!$B82)*$E82</f>
        <v/>
      </c>
      <c r="AF82" s="26">
        <f>SUMIFS($D$245:$D$595,$A$245:$A$595,B82,$C$245:$C$595,"&lt;="&amp;AE5,$C$245:$C$595,"&gt;"&amp;AC5,$F$245:$F$595,0)*$E82</f>
        <v/>
      </c>
    </row>
    <row r="83">
      <c r="A83" s="24" t="inlineStr">
        <is>
          <t>BLOCK D</t>
        </is>
      </c>
      <c r="B83" s="24" t="inlineStr">
        <is>
          <t>D</t>
        </is>
      </c>
      <c r="C83" s="24" t="inlineStr">
        <is>
          <t>Heron View</t>
        </is>
      </c>
      <c r="D83" s="26">
        <f>+I83+K83+M83+O83+Q83+S83+U83+W83+Y83+AA83+AC83+AE83</f>
        <v/>
      </c>
      <c r="E83" s="50">
        <f>+E80</f>
        <v/>
      </c>
      <c r="G83" s="15" t="inlineStr">
        <is>
          <t>N / LK</t>
        </is>
      </c>
      <c r="I83" s="26">
        <f>SUMIFS(Sales!$R:$R,Sales!$W:$W,"&lt;="&amp;I5,Sales!$W:$W,"&gt;"&amp;B2,Sales!$E:$E,FALSE,Sales!$B:$B,'Cashflow Projection'!$B83)*$E83</f>
        <v/>
      </c>
      <c r="J83" s="26">
        <f>SUMIFS($D$245:$D$595,$A$245:$A$595,B83,$C$245:$C$595,"&lt;="&amp;I5,$C$245:$C$595,"&gt;"&amp;B2,$F$245:$F$595,0)*$E83</f>
        <v/>
      </c>
      <c r="K83" s="26">
        <f>SUMIFS(Sales!$R:$R,Sales!$W:$W,"&lt;="&amp;K5,Sales!$W:$W,"&gt;"&amp;I5,Sales!$E:$E,FALSE,Sales!$B:$B,'Cashflow Projection'!$B83)*$E83</f>
        <v/>
      </c>
      <c r="L83" s="26">
        <f>SUMIFS($D$245:$D$595,$A$245:$A$595,B83,$C$245:$C$595,"&lt;="&amp;K5,$C$245:$C$595,"&gt;"&amp;I5,$F$245:$F$595,0)*$E83</f>
        <v/>
      </c>
      <c r="M83" s="26">
        <f>SUMIFS(Sales!$R:$R,Sales!$W:$W,"&lt;="&amp;M5,Sales!$W:$W,"&gt;"&amp;K5,Sales!$E:$E,FALSE,Sales!$B:$B,'Cashflow Projection'!$B83)*$E83</f>
        <v/>
      </c>
      <c r="N83" s="26">
        <f>SUMIFS($D$245:$D$595,$A$245:$A$595,B83,$C$245:$C$595,"&lt;="&amp;M5,$C$245:$C$595,"&gt;"&amp;K5,$F$245:$F$595,0)*$E83</f>
        <v/>
      </c>
      <c r="O83" s="26">
        <f>SUMIFS(Sales!$R:$R,Sales!$W:$W,"&lt;="&amp;O5,Sales!$W:$W,"&gt;"&amp;M5,Sales!$E:$E,FALSE,Sales!$B:$B,'Cashflow Projection'!$B83)*$E83</f>
        <v/>
      </c>
      <c r="P83" s="26">
        <f>SUMIFS($D$245:$D$595,$A$245:$A$595,B83,$C$245:$C$595,"&lt;="&amp;O5,$C$245:$C$595,"&gt;"&amp;M5,$F$245:$F$595,0)*$E83</f>
        <v/>
      </c>
      <c r="Q83" s="26">
        <f>SUMIFS(Sales!$R:$R,Sales!$W:$W,"&lt;="&amp;Q5,Sales!$W:$W,"&gt;"&amp;O5,Sales!$E:$E,FALSE,Sales!$B:$B,'Cashflow Projection'!$B83)*$E83</f>
        <v/>
      </c>
      <c r="R83" s="26">
        <f>SUMIFS($D$245:$D$595,$A$245:$A$595,B83,$C$245:$C$595,"&lt;="&amp;Q5,$C$245:$C$595,"&gt;"&amp;O5,$F$245:$F$595,0)*$E83</f>
        <v/>
      </c>
      <c r="S83" s="26">
        <f>SUMIFS(Sales!$R:$R,Sales!$W:$W,"&lt;="&amp;S5,Sales!$W:$W,"&gt;"&amp;Q5,Sales!$E:$E,FALSE,Sales!$B:$B,'Cashflow Projection'!$B83)*$E83</f>
        <v/>
      </c>
      <c r="T83" s="26">
        <f>SUMIFS($D$245:$D$595,$A$245:$A$595,B83,$C$245:$C$595,"&lt;="&amp;S5,$C$245:$C$595,"&gt;"&amp;Q5,$F$245:$F$595,0)*$E83</f>
        <v/>
      </c>
      <c r="U83" s="26">
        <f>SUMIFS(Sales!$R:$R,Sales!$W:$W,"&lt;="&amp;U5,Sales!$W:$W,"&gt;"&amp;S5,Sales!$E:$E,FALSE,Sales!$B:$B,'Cashflow Projection'!$B83)*$E83</f>
        <v/>
      </c>
      <c r="V83" s="26">
        <f>SUMIFS($D$245:$D$595,$A$245:$A$595,B83,$C$245:$C$595,"&lt;="&amp;U5,$C$245:$C$595,"&gt;"&amp;S5,$F$245:$F$595,0)*$E83</f>
        <v/>
      </c>
      <c r="W83" s="26">
        <f>SUMIFS(Sales!$R:$R,Sales!$W:$W,"&lt;="&amp;W5,Sales!$W:$W,"&gt;"&amp;U5,Sales!$E:$E,FALSE,Sales!$B:$B,'Cashflow Projection'!$B83)*$E83</f>
        <v/>
      </c>
      <c r="X83" s="26">
        <f>SUMIFS($D$245:$D$595,$A$245:$A$595,B83,$C$245:$C$595,"&lt;="&amp;W5,$C$245:$C$595,"&gt;"&amp;U5,$F$245:$F$595,0)*$E83</f>
        <v/>
      </c>
      <c r="Y83" s="26">
        <f>SUMIFS(Sales!$R:$R,Sales!$W:$W,"&lt;="&amp;Y5,Sales!$W:$W,"&gt;"&amp;W5,Sales!$E:$E,FALSE,Sales!$B:$B,'Cashflow Projection'!$B83)*$E83</f>
        <v/>
      </c>
      <c r="Z83" s="26">
        <f>SUMIFS($D$245:$D$595,$A$245:$A$595,B83,$C$245:$C$595,"&lt;="&amp;Y5,$C$245:$C$595,"&gt;"&amp;W5,$F$245:$F$595,0)*$E83</f>
        <v/>
      </c>
      <c r="AA83" s="26">
        <f>SUMIFS(Sales!$R:$R,Sales!$W:$W,"&lt;="&amp;AA5,Sales!$W:$W,"&gt;"&amp;Y5,Sales!$E:$E,FALSE,Sales!$B:$B,'Cashflow Projection'!$B83)*$E83</f>
        <v/>
      </c>
      <c r="AB83" s="26">
        <f>SUMIFS($D$245:$D$595,$A$245:$A$595,B83,$C$245:$C$595,"&lt;="&amp;AA5,$C$245:$C$595,"&gt;"&amp;Y5,$F$245:$F$595,0)*$E83</f>
        <v/>
      </c>
      <c r="AC83" s="26">
        <f>SUMIFS(Sales!$R:$R,Sales!$W:$W,"&lt;="&amp;AC5,Sales!$W:$W,"&gt;"&amp;AA5,Sales!$E:$E,FALSE,Sales!$B:$B,'Cashflow Projection'!$B83)*$E83</f>
        <v/>
      </c>
      <c r="AD83" s="26">
        <f>SUMIFS($D$245:$D$595,$A$245:$A$595,B83,$C$245:$C$595,"&lt;="&amp;AC5,$C$245:$C$595,"&gt;"&amp;AA5,$F$245:$F$595,0)*$E83</f>
        <v/>
      </c>
      <c r="AE83" s="26">
        <f>SUMIFS(Sales!$R:$R,Sales!$W:$W,"&lt;="&amp;AE5,Sales!$W:$W,"&gt;"&amp;AC5,Sales!$E:$E,FALSE,Sales!$B:$B,'Cashflow Projection'!$B83)*$E83</f>
        <v/>
      </c>
      <c r="AF83" s="26">
        <f>SUMIFS($D$245:$D$595,$A$245:$A$595,B83,$C$245:$C$595,"&lt;="&amp;AE5,$C$245:$C$595,"&gt;"&amp;AC5,$F$245:$F$595,0)*$E83</f>
        <v/>
      </c>
    </row>
    <row r="84">
      <c r="A84" s="24" t="inlineStr">
        <is>
          <t>BLOCK E</t>
        </is>
      </c>
      <c r="B84" s="24" t="inlineStr">
        <is>
          <t>E</t>
        </is>
      </c>
      <c r="C84" s="24" t="inlineStr">
        <is>
          <t>Heron View</t>
        </is>
      </c>
      <c r="D84" s="26">
        <f>+I84+K84+M84+O84+Q84+S84+U84+W84+Y84+AA84+AC84+AE84</f>
        <v/>
      </c>
      <c r="E84" s="50">
        <f>+E80</f>
        <v/>
      </c>
      <c r="G84" s="15" t="inlineStr">
        <is>
          <t>N / LK</t>
        </is>
      </c>
      <c r="I84" s="26">
        <f>SUMIFS(Sales!$R:$R,Sales!$W:$W,"&lt;="&amp;I5,Sales!$W:$W,"&gt;"&amp;B2,Sales!$E:$E,FALSE,Sales!$B:$B,'Cashflow Projection'!$B84)*$E84</f>
        <v/>
      </c>
      <c r="J84" s="26">
        <f>SUMIFS($D$245:$D$595,$A$245:$A$595,B84,$C$245:$C$595,"&lt;="&amp;I5,$C$245:$C$595,"&gt;"&amp;B2,$F$245:$F$595,0)*$E84</f>
        <v/>
      </c>
      <c r="K84" s="26">
        <f>SUMIFS(Sales!$R:$R,Sales!$W:$W,"&lt;="&amp;K5,Sales!$W:$W,"&gt;"&amp;I5,Sales!$E:$E,FALSE,Sales!$B:$B,'Cashflow Projection'!$B84)*$E84</f>
        <v/>
      </c>
      <c r="L84" s="26">
        <f>SUMIFS($D$245:$D$595,$A$245:$A$595,B84,$C$245:$C$595,"&lt;="&amp;K5,$C$245:$C$595,"&gt;"&amp;I5,$F$245:$F$595,0)*$E84</f>
        <v/>
      </c>
      <c r="M84" s="26">
        <f>SUMIFS(Sales!$R:$R,Sales!$W:$W,"&lt;="&amp;M5,Sales!$W:$W,"&gt;"&amp;K5,Sales!$E:$E,FALSE,Sales!$B:$B,'Cashflow Projection'!$B84)*$E84</f>
        <v/>
      </c>
      <c r="N84" s="26">
        <f>SUMIFS($D$245:$D$595,$A$245:$A$595,B84,$C$245:$C$595,"&lt;="&amp;M5,$C$245:$C$595,"&gt;"&amp;K5,$F$245:$F$595,0)*$E84</f>
        <v/>
      </c>
      <c r="O84" s="26">
        <f>SUMIFS(Sales!$R:$R,Sales!$W:$W,"&lt;="&amp;O5,Sales!$W:$W,"&gt;"&amp;M5,Sales!$E:$E,FALSE,Sales!$B:$B,'Cashflow Projection'!$B84)*$E84</f>
        <v/>
      </c>
      <c r="P84" s="26">
        <f>SUMIFS($D$245:$D$595,$A$245:$A$595,B84,$C$245:$C$595,"&lt;="&amp;O5,$C$245:$C$595,"&gt;"&amp;M5,$F$245:$F$595,0)*$E84</f>
        <v/>
      </c>
      <c r="Q84" s="26">
        <f>SUMIFS(Sales!$R:$R,Sales!$W:$W,"&lt;="&amp;Q5,Sales!$W:$W,"&gt;"&amp;O5,Sales!$E:$E,FALSE,Sales!$B:$B,'Cashflow Projection'!$B84)*$E84</f>
        <v/>
      </c>
      <c r="R84" s="26">
        <f>SUMIFS($D$245:$D$595,$A$245:$A$595,B84,$C$245:$C$595,"&lt;="&amp;Q5,$C$245:$C$595,"&gt;"&amp;O5,$F$245:$F$595,0)*$E84</f>
        <v/>
      </c>
      <c r="S84" s="26">
        <f>SUMIFS(Sales!$R:$R,Sales!$W:$W,"&lt;="&amp;S5,Sales!$W:$W,"&gt;"&amp;Q5,Sales!$E:$E,FALSE,Sales!$B:$B,'Cashflow Projection'!$B84)*$E84</f>
        <v/>
      </c>
      <c r="T84" s="26">
        <f>SUMIFS($D$245:$D$595,$A$245:$A$595,B84,$C$245:$C$595,"&lt;="&amp;S5,$C$245:$C$595,"&gt;"&amp;Q5,$F$245:$F$595,0)*$E84</f>
        <v/>
      </c>
      <c r="U84" s="26">
        <f>SUMIFS(Sales!$R:$R,Sales!$W:$W,"&lt;="&amp;U5,Sales!$W:$W,"&gt;"&amp;S5,Sales!$E:$E,FALSE,Sales!$B:$B,'Cashflow Projection'!$B84)*$E84</f>
        <v/>
      </c>
      <c r="V84" s="26">
        <f>SUMIFS($D$245:$D$595,$A$245:$A$595,B84,$C$245:$C$595,"&lt;="&amp;U5,$C$245:$C$595,"&gt;"&amp;S5,$F$245:$F$595,0)*$E84</f>
        <v/>
      </c>
      <c r="W84" s="26">
        <f>SUMIFS(Sales!$R:$R,Sales!$W:$W,"&lt;="&amp;W5,Sales!$W:$W,"&gt;"&amp;U5,Sales!$E:$E,FALSE,Sales!$B:$B,'Cashflow Projection'!$B84)*$E84</f>
        <v/>
      </c>
      <c r="X84" s="26">
        <f>SUMIFS($D$245:$D$595,$A$245:$A$595,B84,$C$245:$C$595,"&lt;="&amp;W5,$C$245:$C$595,"&gt;"&amp;U5,$F$245:$F$595,0)*$E84</f>
        <v/>
      </c>
      <c r="Y84" s="26">
        <f>SUMIFS(Sales!$R:$R,Sales!$W:$W,"&lt;="&amp;Y5,Sales!$W:$W,"&gt;"&amp;W5,Sales!$E:$E,FALSE,Sales!$B:$B,'Cashflow Projection'!$B84)*$E84</f>
        <v/>
      </c>
      <c r="Z84" s="26">
        <f>SUMIFS($D$245:$D$595,$A$245:$A$595,B84,$C$245:$C$595,"&lt;="&amp;Y5,$C$245:$C$595,"&gt;"&amp;W5,$F$245:$F$595,0)*$E84</f>
        <v/>
      </c>
      <c r="AA84" s="26">
        <f>SUMIFS(Sales!$R:$R,Sales!$W:$W,"&lt;="&amp;AA5,Sales!$W:$W,"&gt;"&amp;Y5,Sales!$E:$E,FALSE,Sales!$B:$B,'Cashflow Projection'!$B84)*$E84</f>
        <v/>
      </c>
      <c r="AB84" s="26">
        <f>SUMIFS($D$245:$D$595,$A$245:$A$595,B84,$C$245:$C$595,"&lt;="&amp;AA5,$C$245:$C$595,"&gt;"&amp;Y5,$F$245:$F$595,0)*$E84</f>
        <v/>
      </c>
      <c r="AC84" s="26">
        <f>SUMIFS(Sales!$R:$R,Sales!$W:$W,"&lt;="&amp;AC5,Sales!$W:$W,"&gt;"&amp;AA5,Sales!$E:$E,FALSE,Sales!$B:$B,'Cashflow Projection'!$B84)*$E84</f>
        <v/>
      </c>
      <c r="AD84" s="26">
        <f>SUMIFS($D$245:$D$595,$A$245:$A$595,B84,$C$245:$C$595,"&lt;="&amp;AC5,$C$245:$C$595,"&gt;"&amp;AA5,$F$245:$F$595,0)*$E84</f>
        <v/>
      </c>
      <c r="AE84" s="26">
        <f>SUMIFS(Sales!$R:$R,Sales!$W:$W,"&lt;="&amp;AE5,Sales!$W:$W,"&gt;"&amp;AC5,Sales!$E:$E,FALSE,Sales!$B:$B,'Cashflow Projection'!$B84)*$E84</f>
        <v/>
      </c>
      <c r="AF84" s="26">
        <f>SUMIFS($D$245:$D$595,$A$245:$A$595,B84,$C$245:$C$595,"&lt;="&amp;AE5,$C$245:$C$595,"&gt;"&amp;AC5,$F$245:$F$595,0)*$E84</f>
        <v/>
      </c>
    </row>
    <row r="85">
      <c r="A85" s="24" t="inlineStr">
        <is>
          <t>BLOCK H</t>
        </is>
      </c>
      <c r="B85" s="24" t="inlineStr">
        <is>
          <t>H</t>
        </is>
      </c>
      <c r="C85" s="24" t="inlineStr">
        <is>
          <t>Heron View</t>
        </is>
      </c>
      <c r="D85" s="26">
        <f>+I85+K85+M85+O85+Q85+S85+U85+W85+Y85+AA85+AC85+AE85</f>
        <v/>
      </c>
      <c r="E85" s="50">
        <f>+E80</f>
        <v/>
      </c>
      <c r="G85" s="15" t="inlineStr">
        <is>
          <t>N / LK</t>
        </is>
      </c>
      <c r="I85" s="26">
        <f>SUMIFS(Sales!$R:$R,Sales!$W:$W,"&lt;="&amp;I5,Sales!$W:$W,"&gt;"&amp;B2,Sales!$E:$E,FALSE,Sales!$B:$B,'Cashflow Projection'!$B85)*$E85</f>
        <v/>
      </c>
      <c r="J85" s="26">
        <f>SUMIFS($D$245:$D$595,$A$245:$A$595,B85,$C$245:$C$595,"&lt;="&amp;I5,$C$245:$C$595,"&gt;"&amp;B2,$F$245:$F$595,0)*$E85</f>
        <v/>
      </c>
      <c r="K85" s="26">
        <f>SUMIFS(Sales!$R:$R,Sales!$W:$W,"&lt;="&amp;K5,Sales!$W:$W,"&gt;"&amp;I5,Sales!$E:$E,FALSE,Sales!$B:$B,'Cashflow Projection'!$B85)*$E85</f>
        <v/>
      </c>
      <c r="L85" s="26">
        <f>SUMIFS($D$245:$D$595,$A$245:$A$595,B85,$C$245:$C$595,"&lt;="&amp;K5,$C$245:$C$595,"&gt;"&amp;I5,$F$245:$F$595,0)*$E85</f>
        <v/>
      </c>
      <c r="M85" s="26">
        <f>SUMIFS(Sales!$R:$R,Sales!$W:$W,"&lt;="&amp;M5,Sales!$W:$W,"&gt;"&amp;K5,Sales!$E:$E,FALSE,Sales!$B:$B,'Cashflow Projection'!$B85)*$E85</f>
        <v/>
      </c>
      <c r="N85" s="26">
        <f>SUMIFS($D$245:$D$595,$A$245:$A$595,B85,$C$245:$C$595,"&lt;="&amp;M5,$C$245:$C$595,"&gt;"&amp;K5,$F$245:$F$595,0)*$E85</f>
        <v/>
      </c>
      <c r="O85" s="26">
        <f>SUMIFS(Sales!$R:$R,Sales!$W:$W,"&lt;="&amp;O5,Sales!$W:$W,"&gt;"&amp;M5,Sales!$E:$E,FALSE,Sales!$B:$B,'Cashflow Projection'!$B85)*$E85</f>
        <v/>
      </c>
      <c r="P85" s="26">
        <f>SUMIFS($D$245:$D$595,$A$245:$A$595,B85,$C$245:$C$595,"&lt;="&amp;O5,$C$245:$C$595,"&gt;"&amp;M5,$F$245:$F$595,0)*$E85</f>
        <v/>
      </c>
      <c r="Q85" s="26">
        <f>SUMIFS(Sales!$R:$R,Sales!$W:$W,"&lt;="&amp;Q5,Sales!$W:$W,"&gt;"&amp;O5,Sales!$E:$E,FALSE,Sales!$B:$B,'Cashflow Projection'!$B85)*$E85</f>
        <v/>
      </c>
      <c r="R85" s="26">
        <f>SUMIFS($D$245:$D$595,$A$245:$A$595,B85,$C$245:$C$595,"&lt;="&amp;Q5,$C$245:$C$595,"&gt;"&amp;O5,$F$245:$F$595,0)*$E85</f>
        <v/>
      </c>
      <c r="S85" s="26">
        <f>SUMIFS(Sales!$R:$R,Sales!$W:$W,"&lt;="&amp;S5,Sales!$W:$W,"&gt;"&amp;Q5,Sales!$E:$E,FALSE,Sales!$B:$B,'Cashflow Projection'!$B85)*$E85</f>
        <v/>
      </c>
      <c r="T85" s="26">
        <f>SUMIFS($D$245:$D$595,$A$245:$A$595,B85,$C$245:$C$595,"&lt;="&amp;S5,$C$245:$C$595,"&gt;"&amp;Q5,$F$245:$F$595,0)*$E85</f>
        <v/>
      </c>
      <c r="U85" s="26">
        <f>SUMIFS(Sales!$R:$R,Sales!$W:$W,"&lt;="&amp;U5,Sales!$W:$W,"&gt;"&amp;S5,Sales!$E:$E,FALSE,Sales!$B:$B,'Cashflow Projection'!$B85)*$E85</f>
        <v/>
      </c>
      <c r="V85" s="26">
        <f>SUMIFS($D$245:$D$595,$A$245:$A$595,B85,$C$245:$C$595,"&lt;="&amp;U5,$C$245:$C$595,"&gt;"&amp;S5,$F$245:$F$595,0)*$E85</f>
        <v/>
      </c>
      <c r="W85" s="26">
        <f>SUMIFS(Sales!$R:$R,Sales!$W:$W,"&lt;="&amp;W5,Sales!$W:$W,"&gt;"&amp;U5,Sales!$E:$E,FALSE,Sales!$B:$B,'Cashflow Projection'!$B85)*$E85</f>
        <v/>
      </c>
      <c r="X85" s="26">
        <f>SUMIFS($D$245:$D$595,$A$245:$A$595,B85,$C$245:$C$595,"&lt;="&amp;W5,$C$245:$C$595,"&gt;"&amp;U5,$F$245:$F$595,0)*$E85</f>
        <v/>
      </c>
      <c r="Y85" s="26">
        <f>SUMIFS(Sales!$R:$R,Sales!$W:$W,"&lt;="&amp;Y5,Sales!$W:$W,"&gt;"&amp;W5,Sales!$E:$E,FALSE,Sales!$B:$B,'Cashflow Projection'!$B85)*$E85</f>
        <v/>
      </c>
      <c r="Z85" s="26">
        <f>SUMIFS($D$245:$D$595,$A$245:$A$595,B85,$C$245:$C$595,"&lt;="&amp;Y5,$C$245:$C$595,"&gt;"&amp;W5,$F$245:$F$595,0)*$E85</f>
        <v/>
      </c>
      <c r="AA85" s="26">
        <f>SUMIFS(Sales!$R:$R,Sales!$W:$W,"&lt;="&amp;AA5,Sales!$W:$W,"&gt;"&amp;Y5,Sales!$E:$E,FALSE,Sales!$B:$B,'Cashflow Projection'!$B85)*$E85</f>
        <v/>
      </c>
      <c r="AB85" s="26">
        <f>SUMIFS($D$245:$D$595,$A$245:$A$595,B85,$C$245:$C$595,"&lt;="&amp;AA5,$C$245:$C$595,"&gt;"&amp;Y5,$F$245:$F$595,0)*$E85</f>
        <v/>
      </c>
      <c r="AC85" s="26">
        <f>SUMIFS(Sales!$R:$R,Sales!$W:$W,"&lt;="&amp;AC5,Sales!$W:$W,"&gt;"&amp;AA5,Sales!$E:$E,FALSE,Sales!$B:$B,'Cashflow Projection'!$B85)*$E85</f>
        <v/>
      </c>
      <c r="AD85" s="26">
        <f>SUMIFS($D$245:$D$595,$A$245:$A$595,B85,$C$245:$C$595,"&lt;="&amp;AC5,$C$245:$C$595,"&gt;"&amp;AA5,$F$245:$F$595,0)*$E85</f>
        <v/>
      </c>
      <c r="AE85" s="26">
        <f>SUMIFS(Sales!$R:$R,Sales!$W:$W,"&lt;="&amp;AE5,Sales!$W:$W,"&gt;"&amp;AC5,Sales!$E:$E,FALSE,Sales!$B:$B,'Cashflow Projection'!$B85)*$E85</f>
        <v/>
      </c>
      <c r="AF85" s="26">
        <f>SUMIFS($D$245:$D$595,$A$245:$A$595,B85,$C$245:$C$595,"&lt;="&amp;AE5,$C$245:$C$595,"&gt;"&amp;AC5,$F$245:$F$595,0)*$E85</f>
        <v/>
      </c>
    </row>
    <row r="86">
      <c r="A86" s="24" t="inlineStr">
        <is>
          <t>BLOCK J</t>
        </is>
      </c>
      <c r="B86" s="24" t="inlineStr">
        <is>
          <t>J</t>
        </is>
      </c>
      <c r="C86" s="24" t="inlineStr">
        <is>
          <t>Heron View</t>
        </is>
      </c>
      <c r="D86" s="26">
        <f>+I86+K86+M86+O86+Q86+S86+U86+W86+Y86+AA86+AC86+AE86</f>
        <v/>
      </c>
      <c r="E86" s="50">
        <f>+E80</f>
        <v/>
      </c>
      <c r="G86" s="15" t="inlineStr">
        <is>
          <t>N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SUMIFS($D$245:$D$595,$A$245:$A$595,B86,$C$245:$C$595,"&lt;="&amp;I5,$C$245:$C$595,"&gt;"&amp;B2,$F$245:$F$595,0)*$E86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SUMIFS($D$245:$D$595,$A$245:$A$595,B86,$C$245:$C$595,"&lt;="&amp;K5,$C$245:$C$595,"&gt;"&amp;I5,$F$245:$F$595,0)*$E86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SUMIFS($D$245:$D$595,$A$245:$A$595,B86,$C$245:$C$595,"&lt;="&amp;M5,$C$245:$C$595,"&gt;"&amp;K5,$F$245:$F$595,0)*$E86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SUMIFS($D$245:$D$595,$A$245:$A$595,B86,$C$245:$C$595,"&lt;="&amp;O5,$C$245:$C$595,"&gt;"&amp;M5,$F$245:$F$595,0)*$E86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SUMIFS($D$245:$D$595,$A$245:$A$595,B86,$C$245:$C$595,"&lt;="&amp;Q5,$C$245:$C$595,"&gt;"&amp;O5,$F$245:$F$595,0)*$E86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SUMIFS($D$245:$D$595,$A$245:$A$595,B86,$C$245:$C$595,"&lt;="&amp;S5,$C$245:$C$595,"&gt;"&amp;Q5,$F$245:$F$595,0)*$E86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SUMIFS($D$245:$D$595,$A$245:$A$595,B86,$C$245:$C$595,"&lt;="&amp;U5,$C$245:$C$595,"&gt;"&amp;S5,$F$245:$F$595,0)*$E86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SUMIFS($D$245:$D$595,$A$245:$A$595,B86,$C$245:$C$595,"&lt;="&amp;W5,$C$245:$C$595,"&gt;"&amp;U5,$F$245:$F$595,0)*$E86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SUMIFS($D$245:$D$595,$A$245:$A$595,B86,$C$245:$C$595,"&lt;="&amp;Y5,$C$245:$C$595,"&gt;"&amp;W5,$F$245:$F$595,0)*$E86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SUMIFS($D$245:$D$595,$A$245:$A$595,B86,$C$245:$C$595,"&lt;="&amp;AA5,$C$245:$C$595,"&gt;"&amp;Y5,$F$245:$F$595,0)*$E86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SUMIFS($D$245:$D$595,$A$245:$A$595,B86,$C$245:$C$595,"&lt;="&amp;AC5,$C$245:$C$595,"&gt;"&amp;AA5,$F$245:$F$595,0)*$E86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SUMIFS($D$245:$D$595,$A$245:$A$595,B86,$C$245:$C$595,"&lt;="&amp;AE5,$C$245:$C$595,"&gt;"&amp;AC5,$F$245:$F$595,0)*$E86</f>
        <v/>
      </c>
    </row>
    <row r="87">
      <c r="A87" s="24" t="inlineStr">
        <is>
          <t>BLOCK M</t>
        </is>
      </c>
      <c r="B87" s="24" t="inlineStr">
        <is>
          <t>M</t>
        </is>
      </c>
      <c r="C87" s="24" t="inlineStr">
        <is>
          <t>Heron View</t>
        </is>
      </c>
      <c r="D87" s="26">
        <f>+I87+K87+M87+O87+Q87+S87+U87+W87+Y87+AA87+AC87+AE87</f>
        <v/>
      </c>
      <c r="E87" s="50">
        <f>+E80</f>
        <v/>
      </c>
      <c r="G87" s="15" t="inlineStr">
        <is>
          <t>N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SUMIFS($D$245:$D$595,$A$245:$A$595,B87,$C$245:$C$595,"&lt;="&amp;I5,$C$245:$C$595,"&gt;"&amp;B2,$F$245:$F$595,0)*$E87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SUMIFS($D$245:$D$595,$A$245:$A$595,B87,$C$245:$C$595,"&lt;="&amp;K5,$C$245:$C$595,"&gt;"&amp;I5,$F$245:$F$595,0)*$E87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SUMIFS($D$245:$D$595,$A$245:$A$595,B87,$C$245:$C$595,"&lt;="&amp;M5,$C$245:$C$595,"&gt;"&amp;K5,$F$245:$F$595,0)*$E87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SUMIFS($D$245:$D$595,$A$245:$A$595,B87,$C$245:$C$595,"&lt;="&amp;O5,$C$245:$C$595,"&gt;"&amp;M5,$F$245:$F$595,0)*$E87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SUMIFS($D$245:$D$595,$A$245:$A$595,B87,$C$245:$C$595,"&lt;="&amp;Q5,$C$245:$C$595,"&gt;"&amp;O5,$F$245:$F$595,0)*$E87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SUMIFS($D$245:$D$595,$A$245:$A$595,B87,$C$245:$C$595,"&lt;="&amp;S5,$C$245:$C$595,"&gt;"&amp;Q5,$F$245:$F$595,0)*$E87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SUMIFS($D$245:$D$595,$A$245:$A$595,B87,$C$245:$C$595,"&lt;="&amp;U5,$C$245:$C$595,"&gt;"&amp;S5,$F$245:$F$595,0)*$E87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SUMIFS($D$245:$D$595,$A$245:$A$595,B87,$C$245:$C$595,"&lt;="&amp;W5,$C$245:$C$595,"&gt;"&amp;U5,$F$245:$F$595,0)*$E87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SUMIFS($D$245:$D$595,$A$245:$A$595,B87,$C$245:$C$595,"&lt;="&amp;Y5,$C$245:$C$595,"&gt;"&amp;W5,$F$245:$F$595,0)*$E87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SUMIFS($D$245:$D$595,$A$245:$A$595,B87,$C$245:$C$595,"&lt;="&amp;AA5,$C$245:$C$595,"&gt;"&amp;Y5,$F$245:$F$595,0)*$E87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SUMIFS($D$245:$D$595,$A$245:$A$595,B87,$C$245:$C$595,"&lt;="&amp;AC5,$C$245:$C$595,"&gt;"&amp;AA5,$F$245:$F$595,0)*$E87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SUMIFS($D$245:$D$595,$A$245:$A$595,B87,$C$245:$C$595,"&lt;="&amp;AE5,$C$245:$C$595,"&gt;"&amp;AC5,$F$245:$F$595,0)*$E87</f>
        <v/>
      </c>
    </row>
    <row r="88">
      <c r="A88" s="24" t="inlineStr">
        <is>
          <t>BLOCK N</t>
        </is>
      </c>
      <c r="B88" s="24" t="inlineStr">
        <is>
          <t>N</t>
        </is>
      </c>
      <c r="C88" s="24" t="inlineStr">
        <is>
          <t>Heron View</t>
        </is>
      </c>
      <c r="D88" s="26">
        <f>+I88+K88+M88+O88+Q88+S88+U88+W88+Y88+AA88+AC88+AE88</f>
        <v/>
      </c>
      <c r="E88" s="50">
        <f>+E80</f>
        <v/>
      </c>
      <c r="G88" s="15" t="inlineStr">
        <is>
          <t>N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SUMIFS($D$245:$D$595,$A$245:$A$595,B88,$C$245:$C$595,"&lt;="&amp;I5,$C$245:$C$595,"&gt;"&amp;B2,$F$245:$F$595,0)*$E88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SUMIFS($D$245:$D$595,$A$245:$A$595,B88,$C$245:$C$595,"&lt;="&amp;K5,$C$245:$C$595,"&gt;"&amp;I5,$F$245:$F$595,0)*$E88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SUMIFS($D$245:$D$595,$A$245:$A$595,B88,$C$245:$C$595,"&lt;="&amp;M5,$C$245:$C$595,"&gt;"&amp;K5,$F$245:$F$595,0)*$E88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SUMIFS($D$245:$D$595,$A$245:$A$595,B88,$C$245:$C$595,"&lt;="&amp;O5,$C$245:$C$595,"&gt;"&amp;M5,$F$245:$F$595,0)*$E88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SUMIFS($D$245:$D$595,$A$245:$A$595,B88,$C$245:$C$595,"&lt;="&amp;Q5,$C$245:$C$595,"&gt;"&amp;O5,$F$245:$F$595,0)*$E88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SUMIFS($D$245:$D$595,$A$245:$A$595,B88,$C$245:$C$595,"&lt;="&amp;S5,$C$245:$C$595,"&gt;"&amp;Q5,$F$245:$F$595,0)*$E88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SUMIFS($D$245:$D$595,$A$245:$A$595,B88,$C$245:$C$595,"&lt;="&amp;U5,$C$245:$C$595,"&gt;"&amp;S5,$F$245:$F$595,0)*$E88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SUMIFS($D$245:$D$595,$A$245:$A$595,B88,$C$245:$C$595,"&lt;="&amp;W5,$C$245:$C$595,"&gt;"&amp;U5,$F$245:$F$595,0)*$E88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SUMIFS($D$245:$D$595,$A$245:$A$595,B88,$C$245:$C$595,"&lt;="&amp;Y5,$C$245:$C$595,"&gt;"&amp;W5,$F$245:$F$595,0)*$E88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SUMIFS($D$245:$D$595,$A$245:$A$595,B88,$C$245:$C$595,"&lt;="&amp;AA5,$C$245:$C$595,"&gt;"&amp;Y5,$F$245:$F$595,0)*$E88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SUMIFS($D$245:$D$595,$A$245:$A$595,B88,$C$245:$C$595,"&lt;="&amp;AC5,$C$245:$C$595,"&gt;"&amp;AA5,$F$245:$F$595,0)*$E88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SUMIFS($D$245:$D$595,$A$245:$A$595,B88,$C$245:$C$595,"&lt;="&amp;AE5,$C$245:$C$595,"&gt;"&amp;AC5,$F$245:$F$595,0)*$E88</f>
        <v/>
      </c>
    </row>
    <row r="89">
      <c r="A89" s="24" t="inlineStr">
        <is>
          <t>BLOCK O</t>
        </is>
      </c>
      <c r="B89" s="24" t="inlineStr">
        <is>
          <t>O</t>
        </is>
      </c>
      <c r="C89" s="24" t="inlineStr">
        <is>
          <t>Heron View</t>
        </is>
      </c>
      <c r="D89" s="26">
        <f>+I89+K89+M89+O89+Q89+S89+U89+W89+Y89+AA89+AC89+AE89</f>
        <v/>
      </c>
      <c r="E89" s="50">
        <f>+E80</f>
        <v/>
      </c>
      <c r="G89" s="15" t="inlineStr">
        <is>
          <t>N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SUMIFS($D$245:$D$595,$A$245:$A$595,B89,$C$245:$C$595,"&lt;="&amp;I5,$C$245:$C$595,"&gt;"&amp;B2,$F$245:$F$595,0)*$E89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SUMIFS($D$245:$D$595,$A$245:$A$595,B89,$C$245:$C$595,"&lt;="&amp;K5,$C$245:$C$595,"&gt;"&amp;I5,$F$245:$F$595,0)*$E89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SUMIFS($D$245:$D$595,$A$245:$A$595,B89,$C$245:$C$595,"&lt;="&amp;M5,$C$245:$C$595,"&gt;"&amp;K5,$F$245:$F$595,0)*$E89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SUMIFS($D$245:$D$595,$A$245:$A$595,B89,$C$245:$C$595,"&lt;="&amp;O5,$C$245:$C$595,"&gt;"&amp;M5,$F$245:$F$595,0)*$E89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SUMIFS($D$245:$D$595,$A$245:$A$595,B89,$C$245:$C$595,"&lt;="&amp;Q5,$C$245:$C$595,"&gt;"&amp;O5,$F$245:$F$595,0)*$E89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SUMIFS($D$245:$D$595,$A$245:$A$595,B89,$C$245:$C$595,"&lt;="&amp;S5,$C$245:$C$595,"&gt;"&amp;Q5,$F$245:$F$595,0)*$E89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SUMIFS($D$245:$D$595,$A$245:$A$595,B89,$C$245:$C$595,"&lt;="&amp;U5,$C$245:$C$595,"&gt;"&amp;S5,$F$245:$F$595,0)*$E89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SUMIFS($D$245:$D$595,$A$245:$A$595,B89,$C$245:$C$595,"&lt;="&amp;W5,$C$245:$C$595,"&gt;"&amp;U5,$F$245:$F$595,0)*$E89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SUMIFS($D$245:$D$595,$A$245:$A$595,B89,$C$245:$C$595,"&lt;="&amp;Y5,$C$245:$C$595,"&gt;"&amp;W5,$F$245:$F$595,0)*$E89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SUMIFS($D$245:$D$595,$A$245:$A$595,B89,$C$245:$C$595,"&lt;="&amp;AA5,$C$245:$C$595,"&gt;"&amp;Y5,$F$245:$F$595,0)*$E89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SUMIFS($D$245:$D$595,$A$245:$A$595,B89,$C$245:$C$595,"&lt;="&amp;AC5,$C$245:$C$595,"&gt;"&amp;AA5,$F$245:$F$595,0)*$E89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SUMIFS($D$245:$D$595,$A$245:$A$595,B89,$C$245:$C$595,"&lt;="&amp;AE5,$C$245:$C$595,"&gt;"&amp;AC5,$F$245:$F$595,0)*$E89</f>
        <v/>
      </c>
    </row>
    <row r="90">
      <c r="A90" s="24" t="inlineStr">
        <is>
          <t>BLOCK P</t>
        </is>
      </c>
      <c r="B90" s="24" t="inlineStr">
        <is>
          <t>P</t>
        </is>
      </c>
      <c r="C90" s="24" t="inlineStr">
        <is>
          <t>Heron View</t>
        </is>
      </c>
      <c r="D90" s="26">
        <f>+I90+K90+M90+O90+Q90+S90+U90+W90+Y90+AA90+AC90+AE90</f>
        <v/>
      </c>
      <c r="E90" s="50">
        <f>+E80</f>
        <v/>
      </c>
      <c r="G90" s="15" t="inlineStr">
        <is>
          <t>N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SUMIFS($D$245:$D$595,$A$245:$A$595,B90,$C$245:$C$595,"&lt;="&amp;I5,$C$245:$C$595,"&gt;"&amp;B2,$F$245:$F$595,0)*$E90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SUMIFS($D$245:$D$595,$A$245:$A$595,B90,$C$245:$C$595,"&lt;="&amp;K5,$C$245:$C$595,"&gt;"&amp;I5,$F$245:$F$595,0)*$E90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SUMIFS($D$245:$D$595,$A$245:$A$595,B90,$C$245:$C$595,"&lt;="&amp;M5,$C$245:$C$595,"&gt;"&amp;K5,$F$245:$F$595,0)*$E90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SUMIFS($D$245:$D$595,$A$245:$A$595,B90,$C$245:$C$595,"&lt;="&amp;O5,$C$245:$C$595,"&gt;"&amp;M5,$F$245:$F$595,0)*$E90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SUMIFS($D$245:$D$595,$A$245:$A$595,B90,$C$245:$C$595,"&lt;="&amp;Q5,$C$245:$C$595,"&gt;"&amp;O5,$F$245:$F$595,0)*$E90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SUMIFS($D$245:$D$595,$A$245:$A$595,B90,$C$245:$C$595,"&lt;="&amp;S5,$C$245:$C$595,"&gt;"&amp;Q5,$F$245:$F$595,0)*$E90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SUMIFS($D$245:$D$595,$A$245:$A$595,B90,$C$245:$C$595,"&lt;="&amp;U5,$C$245:$C$595,"&gt;"&amp;S5,$F$245:$F$595,0)*$E90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SUMIFS($D$245:$D$595,$A$245:$A$595,B90,$C$245:$C$595,"&lt;="&amp;W5,$C$245:$C$595,"&gt;"&amp;U5,$F$245:$F$595,0)*$E90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SUMIFS($D$245:$D$595,$A$245:$A$595,B90,$C$245:$C$595,"&lt;="&amp;Y5,$C$245:$C$595,"&gt;"&amp;W5,$F$245:$F$595,0)*$E90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SUMIFS($D$245:$D$595,$A$245:$A$595,B90,$C$245:$C$595,"&lt;="&amp;AA5,$C$245:$C$595,"&gt;"&amp;Y5,$F$245:$F$595,0)*$E90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SUMIFS($D$245:$D$595,$A$245:$A$595,B90,$C$245:$C$595,"&lt;="&amp;AC5,$C$245:$C$595,"&gt;"&amp;AA5,$F$245:$F$595,0)*$E90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SUMIFS($D$245:$D$595,$A$245:$A$595,B90,$C$245:$C$595,"&lt;="&amp;AE5,$C$245:$C$595,"&gt;"&amp;AC5,$F$245:$F$595,0)*$E90</f>
        <v/>
      </c>
    </row>
    <row r="92">
      <c r="A92" t="inlineStr"/>
      <c r="B92" t="inlineStr"/>
      <c r="C92" t="inlineStr"/>
      <c r="D92" s="24">
        <f>sum(D82:D90)</f>
        <v/>
      </c>
    </row>
    <row r="94">
      <c r="A94" s="14" t="inlineStr">
        <is>
          <t>Other Income</t>
        </is>
      </c>
    </row>
    <row r="95">
      <c r="A95" s="24" t="inlineStr">
        <is>
          <t>Purple Blok</t>
        </is>
      </c>
      <c r="B95" s="26" t="n">
        <v>4279223.84</v>
      </c>
      <c r="C95" s="51" t="n">
        <v>1</v>
      </c>
      <c r="D95" s="26">
        <f>+I95+K95+M95+O95+Q95+S95+U95+W95+Y95+AA95+AC95+AE95</f>
        <v/>
      </c>
      <c r="G95" s="15" t="inlineStr">
        <is>
          <t>N / LK</t>
        </is>
      </c>
      <c r="I95" s="48">
        <f>$B$95*J95</f>
        <v/>
      </c>
      <c r="J95" s="52" t="n">
        <v>0</v>
      </c>
      <c r="K95" s="48">
        <f>$B$95*L95</f>
        <v/>
      </c>
      <c r="L95" s="52" t="n">
        <v>0</v>
      </c>
      <c r="M95" s="48">
        <f>$B$95*N95</f>
        <v/>
      </c>
      <c r="N95" s="52" t="n">
        <v>0</v>
      </c>
      <c r="O95" s="48">
        <f>$B$95*P95</f>
        <v/>
      </c>
      <c r="P95" s="52" t="n">
        <v>0</v>
      </c>
      <c r="Q95" s="48">
        <f>$B$95*R95</f>
        <v/>
      </c>
      <c r="R95" s="52" t="n">
        <v>0</v>
      </c>
      <c r="S95" s="48">
        <f>$B$95*T95</f>
        <v/>
      </c>
      <c r="T95" s="52" t="n">
        <v>0</v>
      </c>
      <c r="U95" s="48">
        <f>$B$95*V95</f>
        <v/>
      </c>
      <c r="V95" s="52" t="n">
        <v>0</v>
      </c>
      <c r="W95" s="48">
        <f>$B$95*X95</f>
        <v/>
      </c>
      <c r="X95" s="52" t="n">
        <v>0</v>
      </c>
      <c r="Y95" s="48">
        <f>$B$95*Z95</f>
        <v/>
      </c>
      <c r="Z95" s="52" t="n">
        <v>0</v>
      </c>
      <c r="AA95" s="48">
        <f>$B$95*AB95</f>
        <v/>
      </c>
      <c r="AB95" s="52" t="n">
        <v>0</v>
      </c>
      <c r="AC95" s="48">
        <f>$B$95*AD95</f>
        <v/>
      </c>
      <c r="AD95" s="52" t="n">
        <v>0</v>
      </c>
      <c r="AE95" s="48">
        <f>$B$95*AF95</f>
        <v/>
      </c>
      <c r="AF95" s="52" t="n">
        <v>0</v>
      </c>
    </row>
    <row r="96">
      <c r="A96" s="24" t="inlineStr">
        <is>
          <t>Other Income</t>
        </is>
      </c>
      <c r="B96" s="26" t="n">
        <v>5000000</v>
      </c>
      <c r="C96" s="24" t="n">
        <v>0</v>
      </c>
      <c r="D96" s="26">
        <f>+I96+K96+M96+O96+Q96+S96+U96+W96+Y96+AA96+AC96+AE96</f>
        <v/>
      </c>
      <c r="G96" s="15" t="inlineStr">
        <is>
          <t>N / LK</t>
        </is>
      </c>
      <c r="I96" s="48">
        <f>$B$96*J96</f>
        <v/>
      </c>
      <c r="J96" s="52" t="n">
        <v>0</v>
      </c>
      <c r="K96" s="48">
        <f>$B$96*L96</f>
        <v/>
      </c>
      <c r="L96" s="52" t="n">
        <v>0</v>
      </c>
      <c r="M96" s="48">
        <f>$B$96*N96</f>
        <v/>
      </c>
      <c r="N96" s="52" t="n">
        <v>0</v>
      </c>
      <c r="O96" s="48">
        <f>$B$96*P96</f>
        <v/>
      </c>
      <c r="P96" s="52" t="n">
        <v>0</v>
      </c>
      <c r="Q96" s="48">
        <f>$B$96*R96</f>
        <v/>
      </c>
      <c r="R96" s="52" t="n">
        <v>0</v>
      </c>
      <c r="S96" s="48">
        <f>$B$96*T96</f>
        <v/>
      </c>
      <c r="T96" s="52" t="n">
        <v>0</v>
      </c>
      <c r="U96" s="48">
        <f>$B$96*V96</f>
        <v/>
      </c>
      <c r="V96" s="52" t="n">
        <v>0</v>
      </c>
      <c r="W96" s="48">
        <f>$B$96*X96</f>
        <v/>
      </c>
      <c r="X96" s="52" t="n">
        <v>0</v>
      </c>
      <c r="Y96" s="48">
        <f>$B$96*Z96</f>
        <v/>
      </c>
      <c r="Z96" s="52" t="n">
        <v>0</v>
      </c>
      <c r="AA96" s="48">
        <f>$B$96*AB96</f>
        <v/>
      </c>
      <c r="AB96" s="52" t="n">
        <v>0</v>
      </c>
      <c r="AC96" s="48">
        <f>$B$96*AD96</f>
        <v/>
      </c>
      <c r="AD96" s="52" t="n">
        <v>0</v>
      </c>
      <c r="AE96" s="48">
        <f>$B$96*AF96</f>
        <v/>
      </c>
      <c r="AF96" s="52" t="n">
        <v>0</v>
      </c>
    </row>
    <row r="97">
      <c r="A97" s="24" t="inlineStr">
        <is>
          <t>Repayment</t>
        </is>
      </c>
      <c r="B97" s="24" t="n"/>
      <c r="C97" s="24" t="n"/>
      <c r="D97" s="26">
        <f>+I97+K97+M97+O97+Q97+S97+U97+W97+Y97+AA97+AC97+AE97</f>
        <v/>
      </c>
      <c r="G97" s="15" t="inlineStr">
        <is>
          <t>N / LK</t>
        </is>
      </c>
      <c r="I97" s="48">
        <f>$B$97*J97</f>
        <v/>
      </c>
      <c r="J97" s="52" t="n">
        <v>0</v>
      </c>
      <c r="K97" s="48">
        <f>$B$97*L97</f>
        <v/>
      </c>
      <c r="L97" s="52" t="n">
        <v>0</v>
      </c>
      <c r="M97" s="48">
        <f>$B$97*N97</f>
        <v/>
      </c>
      <c r="N97" s="52" t="n">
        <v>0</v>
      </c>
      <c r="O97" s="48">
        <f>$B$97*P97</f>
        <v/>
      </c>
      <c r="P97" s="52" t="n">
        <v>0</v>
      </c>
      <c r="Q97" s="48">
        <f>$B$97*R97</f>
        <v/>
      </c>
      <c r="R97" s="52" t="n">
        <v>0</v>
      </c>
      <c r="S97" s="48">
        <f>$B$97*T97</f>
        <v/>
      </c>
      <c r="T97" s="52" t="n">
        <v>0</v>
      </c>
      <c r="U97" s="48">
        <f>$B$97*V97</f>
        <v/>
      </c>
      <c r="V97" s="52" t="n">
        <v>0</v>
      </c>
      <c r="W97" s="48">
        <f>$B$97*X97</f>
        <v/>
      </c>
      <c r="X97" s="52" t="n">
        <v>0</v>
      </c>
      <c r="Y97" s="48">
        <f>$B$97*Z97</f>
        <v/>
      </c>
      <c r="Z97" s="52" t="n">
        <v>0</v>
      </c>
      <c r="AA97" s="48">
        <f>$B$97*AB97</f>
        <v/>
      </c>
      <c r="AB97" s="52" t="n">
        <v>0</v>
      </c>
      <c r="AC97" s="48">
        <f>$B$97*AD97</f>
        <v/>
      </c>
      <c r="AD97" s="52" t="n">
        <v>0</v>
      </c>
      <c r="AE97" s="48">
        <f>$B$97*AF97</f>
        <v/>
      </c>
      <c r="AF97" s="52" t="n">
        <v>0</v>
      </c>
    </row>
    <row r="98">
      <c r="A98" s="24" t="inlineStr">
        <is>
          <t>Total</t>
        </is>
      </c>
      <c r="B98" s="24" t="n"/>
      <c r="C98" s="24" t="n"/>
      <c r="D98" s="26">
        <f>+I98+K98+M98+O98+Q98+S98+U98+W98+Y98+AA98+AC98+AE98</f>
        <v/>
      </c>
      <c r="G98" s="15" t="inlineStr">
        <is>
          <t>N / LK</t>
        </is>
      </c>
      <c r="I98" s="53">
        <f>SUM(I95:I97)</f>
        <v/>
      </c>
      <c r="K98" s="48">
        <f>SUBTOTAL(9,K95:K97)</f>
        <v/>
      </c>
      <c r="M98" s="48">
        <f>SUBTOTAL(9,M95:M97)</f>
        <v/>
      </c>
      <c r="O98" s="48">
        <f>SUBTOTAL(9,O95:O97)</f>
        <v/>
      </c>
      <c r="Q98" s="48">
        <f>SUBTOTAL(9,Q95:Q97)</f>
        <v/>
      </c>
      <c r="S98" s="48">
        <f>SUBTOTAL(9,S95:S97)</f>
        <v/>
      </c>
      <c r="U98" s="48">
        <f>SUBTOTAL(9,U95:U97)</f>
        <v/>
      </c>
      <c r="W98" s="48">
        <f>SUBTOTAL(9,W95:W97)</f>
        <v/>
      </c>
      <c r="Y98" s="48">
        <f>SUBTOTAL(9,Y95:Y97)</f>
        <v/>
      </c>
      <c r="AA98" s="48">
        <f>SUBTOTAL(9,AA95:AA97)</f>
        <v/>
      </c>
      <c r="AC98" s="48">
        <f>SUBTOTAL(9,AC95:AC97)</f>
        <v/>
      </c>
      <c r="AE98" s="48">
        <f>SUBTOTAL(9,AE95:AE97)</f>
        <v/>
      </c>
    </row>
    <row r="100">
      <c r="A100" s="54" t="inlineStr">
        <is>
          <t>FINANCE WATERFALL - EXIT PROCESS</t>
        </is>
      </c>
      <c r="B100" s="55" t="n"/>
      <c r="C100" s="55" t="n"/>
      <c r="D100" s="55" t="n"/>
      <c r="E100" s="55" t="n"/>
      <c r="F100" s="55" t="n"/>
      <c r="G100" s="55" t="n"/>
      <c r="H100" s="55" t="n"/>
      <c r="I100" s="55" t="n"/>
      <c r="J100" s="55" t="n"/>
      <c r="K100" s="55" t="n"/>
      <c r="L100" s="55" t="n"/>
      <c r="M100" s="55" t="n"/>
      <c r="N100" s="55" t="n"/>
      <c r="O100" s="55" t="n"/>
      <c r="P100" s="55" t="n"/>
      <c r="Q100" s="55" t="n"/>
      <c r="R100" s="55" t="n"/>
      <c r="S100" s="55" t="n"/>
      <c r="T100" s="55" t="n"/>
      <c r="U100" s="55" t="n"/>
      <c r="V100" s="55" t="n"/>
      <c r="W100" s="55" t="n"/>
      <c r="X100" s="55" t="n"/>
      <c r="Y100" s="55" t="n"/>
      <c r="Z100" s="55" t="n"/>
      <c r="AA100" s="55" t="n"/>
      <c r="AB100" s="55" t="n"/>
      <c r="AC100" s="55" t="n"/>
      <c r="AD100" s="55" t="n"/>
      <c r="AE100" s="55" t="n"/>
      <c r="AF100" s="55" t="n"/>
    </row>
    <row r="101">
      <c r="A101" s="55" t="inlineStr">
        <is>
          <t>Income</t>
        </is>
      </c>
      <c r="B101" s="55" t="n"/>
      <c r="C101" s="55" t="n"/>
      <c r="D101" s="56">
        <f>+I101+K101+M101+O101+Q101+S101+U101+W101+Y101+AA101+AC101+AE101</f>
        <v/>
      </c>
      <c r="E101" s="55" t="n"/>
      <c r="F101" s="55" t="n"/>
      <c r="G101" s="15" t="inlineStr">
        <is>
          <t>N</t>
        </is>
      </c>
      <c r="H101" s="57">
        <f>sum(H102:H108)</f>
        <v/>
      </c>
      <c r="I101" s="57">
        <f>sum(I102:I108)</f>
        <v/>
      </c>
      <c r="J101" s="57">
        <f>sum(J102:J108)</f>
        <v/>
      </c>
      <c r="K101" s="57">
        <f>sum(K102:K108)</f>
        <v/>
      </c>
      <c r="L101" s="57">
        <f>sum(L102:L108)</f>
        <v/>
      </c>
      <c r="M101" s="57">
        <f>sum(M102:M108)</f>
        <v/>
      </c>
      <c r="N101" s="57">
        <f>sum(N102:N108)</f>
        <v/>
      </c>
      <c r="O101" s="57">
        <f>sum(O102:O108)</f>
        <v/>
      </c>
      <c r="P101" s="57">
        <f>sum(P102:P108)</f>
        <v/>
      </c>
      <c r="Q101" s="57">
        <f>sum(Q102:Q108)</f>
        <v/>
      </c>
      <c r="R101" s="57">
        <f>sum(R102:R108)</f>
        <v/>
      </c>
      <c r="S101" s="57">
        <f>sum(S102:S108)</f>
        <v/>
      </c>
      <c r="T101" s="57">
        <f>sum(T102:T108)</f>
        <v/>
      </c>
      <c r="U101" s="57">
        <f>sum(U102:U108)</f>
        <v/>
      </c>
      <c r="V101" s="57">
        <f>sum(V102:V108)</f>
        <v/>
      </c>
      <c r="W101" s="57">
        <f>sum(W102:W108)</f>
        <v/>
      </c>
      <c r="X101" s="57">
        <f>sum(X102:X108)</f>
        <v/>
      </c>
      <c r="Y101" s="57">
        <f>sum(Y102:Y108)</f>
        <v/>
      </c>
      <c r="Z101" s="57">
        <f>sum(Z102:Z108)</f>
        <v/>
      </c>
      <c r="AA101" s="57">
        <f>sum(AA102:AA108)</f>
        <v/>
      </c>
      <c r="AB101" s="57">
        <f>sum(AB102:AB108)</f>
        <v/>
      </c>
      <c r="AC101" s="57">
        <f>sum(AC102:AC108)</f>
        <v/>
      </c>
      <c r="AD101" s="57">
        <f>sum(AD102:AD108)</f>
        <v/>
      </c>
      <c r="AE101" s="57">
        <f>sum(AE102:AE108)</f>
        <v/>
      </c>
      <c r="AF101" s="57">
        <f>sum(AF102:AF108)</f>
        <v/>
      </c>
    </row>
    <row r="102">
      <c r="A102" s="55" t="inlineStr">
        <is>
          <t>Endulini &amp; Heron Fields_New Debenture_P/Block</t>
        </is>
      </c>
      <c r="B102" s="55" t="n"/>
      <c r="C102" s="55" t="n"/>
      <c r="D102" s="56">
        <f>+I102+K102+M102+O102+Q102+S102+U102+W102+Y102+AA102+AC102+AE102</f>
        <v/>
      </c>
      <c r="E102" s="55" t="n"/>
      <c r="F102" s="55" t="n"/>
      <c r="G102" s="15" t="inlineStr">
        <is>
          <t>N / WH</t>
        </is>
      </c>
      <c r="H102" s="58">
        <f>SUMIFS(D7:D23,$A$7:$A$23,"&lt;&gt;"&amp;"Heron View")</f>
        <v/>
      </c>
      <c r="I102" s="59">
        <f>H102</f>
        <v/>
      </c>
      <c r="J102" s="59">
        <f>H102-I102</f>
        <v/>
      </c>
      <c r="K102" s="59">
        <f>J102</f>
        <v/>
      </c>
      <c r="L102" s="59">
        <f>J102-K102</f>
        <v/>
      </c>
      <c r="M102" s="59">
        <f>L102</f>
        <v/>
      </c>
      <c r="N102" s="59">
        <f>L102-M102</f>
        <v/>
      </c>
      <c r="O102" s="59">
        <f>N102</f>
        <v/>
      </c>
      <c r="P102" s="59">
        <f>N102-O102</f>
        <v/>
      </c>
      <c r="Q102" s="59">
        <f>P102</f>
        <v/>
      </c>
      <c r="R102" s="59">
        <f>P102-Q102</f>
        <v/>
      </c>
      <c r="S102" s="59">
        <f>R102</f>
        <v/>
      </c>
      <c r="T102" s="59">
        <f>R102-S102</f>
        <v/>
      </c>
      <c r="U102" s="59">
        <f>T102</f>
        <v/>
      </c>
      <c r="V102" s="59">
        <f>T102-U102</f>
        <v/>
      </c>
      <c r="W102" s="59">
        <f>V102</f>
        <v/>
      </c>
      <c r="X102" s="59">
        <f>V102-W102</f>
        <v/>
      </c>
      <c r="Y102" s="59">
        <f>X102</f>
        <v/>
      </c>
      <c r="Z102" s="59">
        <f>X102-Y102</f>
        <v/>
      </c>
      <c r="AA102" s="59">
        <f>Z102</f>
        <v/>
      </c>
      <c r="AB102" s="59">
        <f>Z102-AA102</f>
        <v/>
      </c>
      <c r="AC102" s="59">
        <f>AB102</f>
        <v/>
      </c>
      <c r="AD102" s="59">
        <f>AB102-AC102</f>
        <v/>
      </c>
      <c r="AE102" s="59">
        <f>AD102</f>
        <v/>
      </c>
      <c r="AF102" s="59" t="n"/>
    </row>
    <row r="103">
      <c r="A103" s="55" t="inlineStr">
        <is>
          <t>Vat _ Late</t>
        </is>
      </c>
      <c r="B103" s="55" t="n"/>
      <c r="C103" s="55" t="n"/>
      <c r="D103" s="56">
        <f>+I103+K103+M103+O103+Q103+S103+U103+W103+Y103+AA103+AC103+AE103</f>
        <v/>
      </c>
      <c r="E103" s="55" t="n"/>
      <c r="F103" s="55" t="n"/>
      <c r="G103" s="15" t="inlineStr">
        <is>
          <t>N</t>
        </is>
      </c>
      <c r="H103" s="57">
        <f>Dashboard!B16</f>
        <v/>
      </c>
      <c r="I103" s="59">
        <f>H103</f>
        <v/>
      </c>
      <c r="J103" s="59" t="n">
        <v>0</v>
      </c>
      <c r="K103" s="59">
        <f>J103</f>
        <v/>
      </c>
      <c r="L103" s="59" t="n">
        <v>0</v>
      </c>
      <c r="M103" s="59">
        <f>L103</f>
        <v/>
      </c>
      <c r="N103" s="59" t="n">
        <v>0</v>
      </c>
      <c r="O103" s="59">
        <f>N103</f>
        <v/>
      </c>
      <c r="P103" s="59" t="n">
        <v>0</v>
      </c>
      <c r="Q103" s="59">
        <f>P103</f>
        <v/>
      </c>
      <c r="R103" s="59" t="n">
        <v>0</v>
      </c>
      <c r="S103" s="59">
        <f>R103</f>
        <v/>
      </c>
      <c r="T103" s="59" t="n">
        <v>0</v>
      </c>
      <c r="U103" s="59">
        <f>T103</f>
        <v/>
      </c>
      <c r="V103" s="59" t="n">
        <v>0</v>
      </c>
      <c r="W103" s="59">
        <f>V103</f>
        <v/>
      </c>
      <c r="X103" s="59" t="n">
        <v>0</v>
      </c>
      <c r="Y103" s="59">
        <f>X103</f>
        <v/>
      </c>
      <c r="Z103" s="59" t="n">
        <v>0</v>
      </c>
      <c r="AA103" s="59">
        <f>Z103</f>
        <v/>
      </c>
      <c r="AB103" s="59" t="n">
        <v>0</v>
      </c>
      <c r="AC103" s="59">
        <f>AB103</f>
        <v/>
      </c>
      <c r="AD103" s="59" t="n">
        <v>0</v>
      </c>
      <c r="AE103" s="59">
        <f>AD103</f>
        <v/>
      </c>
      <c r="AF103" s="59" t="n"/>
    </row>
    <row r="104">
      <c r="A104" s="55" t="inlineStr">
        <is>
          <t>New Raise</t>
        </is>
      </c>
      <c r="B104" s="55" t="n"/>
      <c r="C104" s="55" t="n"/>
      <c r="D104" s="56">
        <f>+I104+K104+M104+O104+Q104+S104+U104+W104+Y104+AA104+AC104+AE104</f>
        <v/>
      </c>
      <c r="E104" s="55" t="n"/>
      <c r="F104" s="55" t="n"/>
      <c r="G104" s="15" t="inlineStr">
        <is>
          <t>N / LK</t>
        </is>
      </c>
      <c r="H104" s="57">
        <f>Dashboard!B13</f>
        <v/>
      </c>
      <c r="I104" s="59">
        <f>H104</f>
        <v/>
      </c>
      <c r="J104" s="59" t="n">
        <v>0</v>
      </c>
      <c r="K104" s="59">
        <f>J104</f>
        <v/>
      </c>
      <c r="L104" s="59" t="n">
        <v>0</v>
      </c>
      <c r="M104" s="59">
        <f>L104</f>
        <v/>
      </c>
      <c r="N104" s="59" t="n">
        <v>0</v>
      </c>
      <c r="O104" s="59">
        <f>N104</f>
        <v/>
      </c>
      <c r="P104" s="59" t="n">
        <v>0</v>
      </c>
      <c r="Q104" s="59">
        <f>P104</f>
        <v/>
      </c>
      <c r="R104" s="59" t="n">
        <v>0</v>
      </c>
      <c r="S104" s="59">
        <f>R104</f>
        <v/>
      </c>
      <c r="T104" s="59" t="n">
        <v>0</v>
      </c>
      <c r="U104" s="59">
        <f>T104</f>
        <v/>
      </c>
      <c r="V104" s="59" t="n">
        <v>0</v>
      </c>
      <c r="W104" s="59">
        <f>V104</f>
        <v/>
      </c>
      <c r="X104" s="59" t="n">
        <v>0</v>
      </c>
      <c r="Y104" s="59">
        <f>X104</f>
        <v/>
      </c>
      <c r="Z104" s="59" t="n">
        <v>0</v>
      </c>
      <c r="AA104" s="59">
        <f>Z104</f>
        <v/>
      </c>
      <c r="AB104" s="59" t="n">
        <v>0</v>
      </c>
      <c r="AC104" s="59">
        <f>AB104</f>
        <v/>
      </c>
      <c r="AD104" s="59" t="n">
        <v>0</v>
      </c>
      <c r="AE104" s="59">
        <f>AD104</f>
        <v/>
      </c>
      <c r="AF104" s="59" t="n"/>
    </row>
    <row r="105">
      <c r="A105" s="55" t="inlineStr">
        <is>
          <t>Developer Early Exit</t>
        </is>
      </c>
      <c r="B105" s="55" t="n"/>
      <c r="C105" s="55" t="n"/>
      <c r="D105" s="56">
        <f>+I105+K105+M105+O105+Q105+S105+U105+W105+Y105+AA105+AC105+AE105</f>
        <v/>
      </c>
      <c r="E105" s="55" t="n"/>
      <c r="F105" s="55" t="n"/>
      <c r="G105" s="15" t="inlineStr">
        <is>
          <t>N</t>
        </is>
      </c>
      <c r="H105" s="59">
        <f>I41</f>
        <v/>
      </c>
      <c r="I105" s="59">
        <f>H105</f>
        <v/>
      </c>
      <c r="J105" s="59">
        <f>K41</f>
        <v/>
      </c>
      <c r="K105" s="59">
        <f>J105</f>
        <v/>
      </c>
      <c r="L105" s="59">
        <f>M41</f>
        <v/>
      </c>
      <c r="M105" s="59">
        <f>L105</f>
        <v/>
      </c>
      <c r="N105" s="59">
        <f>O41</f>
        <v/>
      </c>
      <c r="O105" s="59">
        <f>N105</f>
        <v/>
      </c>
      <c r="P105" s="59">
        <f>Q41</f>
        <v/>
      </c>
      <c r="Q105" s="59">
        <f>P105</f>
        <v/>
      </c>
      <c r="R105" s="59">
        <f>S41</f>
        <v/>
      </c>
      <c r="S105" s="59">
        <f>R105</f>
        <v/>
      </c>
      <c r="T105" s="59">
        <f>U41</f>
        <v/>
      </c>
      <c r="U105" s="59">
        <f>T105</f>
        <v/>
      </c>
      <c r="V105" s="59">
        <f>W41</f>
        <v/>
      </c>
      <c r="W105" s="59">
        <f>V105</f>
        <v/>
      </c>
      <c r="X105" s="59">
        <f>Y41</f>
        <v/>
      </c>
      <c r="Y105" s="59">
        <f>X105</f>
        <v/>
      </c>
      <c r="Z105" s="59">
        <f>AA41</f>
        <v/>
      </c>
      <c r="AA105" s="59">
        <f>Z105</f>
        <v/>
      </c>
      <c r="AB105" s="59">
        <f>AC41</f>
        <v/>
      </c>
      <c r="AC105" s="59">
        <f>AB105</f>
        <v/>
      </c>
      <c r="AD105" s="59">
        <f>AE41</f>
        <v/>
      </c>
      <c r="AE105" s="59">
        <f>AD105</f>
        <v/>
      </c>
      <c r="AF105" s="59" t="n"/>
    </row>
    <row r="106">
      <c r="A106" s="55" t="inlineStr">
        <is>
          <t>Early Exit Investor Roll Over funding</t>
        </is>
      </c>
      <c r="B106" s="55" t="n"/>
      <c r="C106" s="55" t="n"/>
      <c r="D106" s="56">
        <f>+I106+K106+M106+O106+Q106+S106+U106+W106+Y106+AA106+AC106+AE106</f>
        <v/>
      </c>
      <c r="E106" s="55" t="n"/>
      <c r="F106" s="55" t="n"/>
      <c r="G106" s="15" t="inlineStr">
        <is>
          <t>N</t>
        </is>
      </c>
      <c r="H106" s="59">
        <f>I39</f>
        <v/>
      </c>
      <c r="I106" s="59">
        <f>H106</f>
        <v/>
      </c>
      <c r="J106" s="59">
        <f>K39</f>
        <v/>
      </c>
      <c r="K106" s="59">
        <f>J106</f>
        <v/>
      </c>
      <c r="L106" s="59">
        <f>M39</f>
        <v/>
      </c>
      <c r="M106" s="59">
        <f>L106</f>
        <v/>
      </c>
      <c r="N106" s="59">
        <f>O39</f>
        <v/>
      </c>
      <c r="O106" s="59">
        <f>N106</f>
        <v/>
      </c>
      <c r="P106" s="59">
        <f>Q39</f>
        <v/>
      </c>
      <c r="Q106" s="59">
        <f>P106</f>
        <v/>
      </c>
      <c r="R106" s="59">
        <f>S39</f>
        <v/>
      </c>
      <c r="S106" s="59">
        <f>R106</f>
        <v/>
      </c>
      <c r="T106" s="59">
        <f>U39</f>
        <v/>
      </c>
      <c r="U106" s="59">
        <f>T106</f>
        <v/>
      </c>
      <c r="V106" s="59">
        <f>W39</f>
        <v/>
      </c>
      <c r="W106" s="59">
        <f>V106</f>
        <v/>
      </c>
      <c r="X106" s="59">
        <f>Y39</f>
        <v/>
      </c>
      <c r="Y106" s="59">
        <f>X106</f>
        <v/>
      </c>
      <c r="Z106" s="59">
        <f>AA39</f>
        <v/>
      </c>
      <c r="AA106" s="59">
        <f>Z106</f>
        <v/>
      </c>
      <c r="AB106" s="59">
        <f>AC39</f>
        <v/>
      </c>
      <c r="AC106" s="59">
        <f>AB106</f>
        <v/>
      </c>
      <c r="AD106" s="59">
        <f>AE39</f>
        <v/>
      </c>
      <c r="AE106" s="59">
        <f>AD106</f>
        <v/>
      </c>
      <c r="AF106" s="59" t="n"/>
    </row>
    <row r="107">
      <c r="A107" s="55" t="inlineStr">
        <is>
          <t>Developer Contribution</t>
        </is>
      </c>
      <c r="B107" s="55" t="n"/>
      <c r="C107" s="55" t="n"/>
      <c r="D107" s="56">
        <f>+I107+K107+M107+O107+Q107+S107+U107+W107+Y107+AA107+AC107+AE107</f>
        <v/>
      </c>
      <c r="E107" s="55" t="n"/>
      <c r="F107" s="55" t="n"/>
      <c r="G107" s="15" t="inlineStr">
        <is>
          <t>N</t>
        </is>
      </c>
      <c r="H107" s="59">
        <f>-I157</f>
        <v/>
      </c>
      <c r="I107" s="59">
        <f>H107</f>
        <v/>
      </c>
      <c r="J107" s="59">
        <f>-K157</f>
        <v/>
      </c>
      <c r="K107" s="59">
        <f>J107</f>
        <v/>
      </c>
      <c r="L107" s="59">
        <f>-M157</f>
        <v/>
      </c>
      <c r="M107" s="59">
        <f>L107</f>
        <v/>
      </c>
      <c r="N107" s="59">
        <f>-O157</f>
        <v/>
      </c>
      <c r="O107" s="59">
        <f>N107</f>
        <v/>
      </c>
      <c r="P107" s="59">
        <f>-Q157</f>
        <v/>
      </c>
      <c r="Q107" s="59">
        <f>P107</f>
        <v/>
      </c>
      <c r="R107" s="59">
        <f>-S157</f>
        <v/>
      </c>
      <c r="S107" s="59">
        <f>R107</f>
        <v/>
      </c>
      <c r="T107" s="59">
        <f>-U157</f>
        <v/>
      </c>
      <c r="U107" s="59">
        <f>T107</f>
        <v/>
      </c>
      <c r="V107" s="59">
        <f>-W157</f>
        <v/>
      </c>
      <c r="W107" s="59">
        <f>V107</f>
        <v/>
      </c>
      <c r="X107" s="59">
        <f>-Y157</f>
        <v/>
      </c>
      <c r="Y107" s="59">
        <f>X107</f>
        <v/>
      </c>
      <c r="Z107" s="59">
        <f>-AA157</f>
        <v/>
      </c>
      <c r="AA107" s="59">
        <f>Z107</f>
        <v/>
      </c>
      <c r="AB107" s="59">
        <f>-AC157</f>
        <v/>
      </c>
      <c r="AC107" s="59">
        <f>AB107</f>
        <v/>
      </c>
      <c r="AD107" s="59">
        <f>-AE157</f>
        <v/>
      </c>
      <c r="AE107" s="59">
        <f>AD107</f>
        <v/>
      </c>
      <c r="AF107" s="59" t="n"/>
    </row>
    <row r="108">
      <c r="A108" s="55" t="inlineStr">
        <is>
          <t>Cash</t>
        </is>
      </c>
      <c r="B108" s="55" t="n"/>
      <c r="C108" s="55" t="n"/>
      <c r="D108" s="56">
        <f>+I108+K108+M108+O108+Q108+S108+U108+W108+Y108+AA108+AC108+AE108</f>
        <v/>
      </c>
      <c r="E108" s="55" t="n"/>
      <c r="F108" s="55" t="n"/>
      <c r="G108" s="15" t="inlineStr">
        <is>
          <t>N</t>
        </is>
      </c>
      <c r="H108" s="59">
        <f>Dashboard!B14</f>
        <v/>
      </c>
      <c r="I108" s="59">
        <f>H108</f>
        <v/>
      </c>
      <c r="J108" s="59">
        <f>I115</f>
        <v/>
      </c>
      <c r="K108" s="59">
        <f>J108</f>
        <v/>
      </c>
      <c r="L108" s="59">
        <f>K115</f>
        <v/>
      </c>
      <c r="M108" s="59">
        <f>L108</f>
        <v/>
      </c>
      <c r="N108" s="59">
        <f>M115</f>
        <v/>
      </c>
      <c r="O108" s="59">
        <f>N108</f>
        <v/>
      </c>
      <c r="P108" s="59">
        <f>O115</f>
        <v/>
      </c>
      <c r="Q108" s="59">
        <f>P108</f>
        <v/>
      </c>
      <c r="R108" s="59">
        <f>Q115</f>
        <v/>
      </c>
      <c r="S108" s="59">
        <f>R108</f>
        <v/>
      </c>
      <c r="T108" s="59">
        <f>S115</f>
        <v/>
      </c>
      <c r="U108" s="59">
        <f>T108</f>
        <v/>
      </c>
      <c r="V108" s="59">
        <f>U115</f>
        <v/>
      </c>
      <c r="W108" s="59">
        <f>V108</f>
        <v/>
      </c>
      <c r="X108" s="59">
        <f>W115</f>
        <v/>
      </c>
      <c r="Y108" s="59">
        <f>X108</f>
        <v/>
      </c>
      <c r="Z108" s="59">
        <f>Y115</f>
        <v/>
      </c>
      <c r="AA108" s="59">
        <f>Z108</f>
        <v/>
      </c>
      <c r="AB108" s="59">
        <f>AA115</f>
        <v/>
      </c>
      <c r="AC108" s="59">
        <f>AB108</f>
        <v/>
      </c>
      <c r="AD108" s="59">
        <f>AC115</f>
        <v/>
      </c>
      <c r="AE108" s="59">
        <f>AD108</f>
        <v/>
      </c>
      <c r="AF108" s="59" t="n"/>
    </row>
    <row r="109">
      <c r="A109" s="55" t="inlineStr">
        <is>
          <t>Sales Income</t>
        </is>
      </c>
      <c r="B109" s="55" t="n"/>
      <c r="C109" s="55" t="n"/>
      <c r="D109" s="56">
        <f>+I109+K109+M109+O109+Q109+S109+U109+W109+Y109+AA109+AC109+AE109</f>
        <v/>
      </c>
      <c r="E109" s="55" t="n"/>
      <c r="F109" s="55" t="n"/>
      <c r="G109" s="15" t="inlineStr">
        <is>
          <t>N</t>
        </is>
      </c>
      <c r="H109" s="59">
        <f>SUMIFS(I7:I23,$A$7:$A$23,"Heron View")</f>
        <v/>
      </c>
      <c r="I109" s="59">
        <f>H109</f>
        <v/>
      </c>
      <c r="J109" s="59">
        <f>SUMIFS(K7:K23,$A$7:$A$23,"Heron View")</f>
        <v/>
      </c>
      <c r="K109" s="59">
        <f>J109</f>
        <v/>
      </c>
      <c r="L109" s="59">
        <f>SUMIFS(M7:M23,$A$7:$A$23,"Heron View")</f>
        <v/>
      </c>
      <c r="M109" s="59">
        <f>L109</f>
        <v/>
      </c>
      <c r="N109" s="59">
        <f>SUMIFS(O7:O23,$A$7:$A$23,"Heron View")</f>
        <v/>
      </c>
      <c r="O109" s="59">
        <f>N109</f>
        <v/>
      </c>
      <c r="P109" s="59">
        <f>SUMIFS(Q7:Q23,$A$7:$A$23,"Heron View")</f>
        <v/>
      </c>
      <c r="Q109" s="59">
        <f>P109</f>
        <v/>
      </c>
      <c r="R109" s="59">
        <f>SUMIFS(S7:S23,$A$7:$A$23,"Heron View")</f>
        <v/>
      </c>
      <c r="S109" s="59">
        <f>R109</f>
        <v/>
      </c>
      <c r="T109" s="59">
        <f>SUMIFS(U7:U23,$A$7:$A$23,"Heron View")</f>
        <v/>
      </c>
      <c r="U109" s="59">
        <f>T109</f>
        <v/>
      </c>
      <c r="V109" s="59">
        <f>SUMIFS(W7:W23,$A$7:$A$23,"Heron View")</f>
        <v/>
      </c>
      <c r="W109" s="59">
        <f>V109</f>
        <v/>
      </c>
      <c r="X109" s="59">
        <f>SUMIFS(Y7:Y23,$A$7:$A$23,"Heron View")</f>
        <v/>
      </c>
      <c r="Y109" s="59">
        <f>X109</f>
        <v/>
      </c>
      <c r="Z109" s="59">
        <f>SUMIFS(AA7:AA23,$A$7:$A$23,"Heron View")</f>
        <v/>
      </c>
      <c r="AA109" s="59">
        <f>Z109</f>
        <v/>
      </c>
      <c r="AB109" s="59">
        <f>SUMIFS(AC7:AC23,$A$7:$A$23,"Heron View")</f>
        <v/>
      </c>
      <c r="AC109" s="59">
        <f>AB109</f>
        <v/>
      </c>
      <c r="AD109" s="59">
        <f>SUMIFS(AE7:AE23,$A$7:$A$23,"Heron View")</f>
        <v/>
      </c>
      <c r="AE109" s="59">
        <f>AD109</f>
        <v/>
      </c>
      <c r="AF109" s="59" t="n"/>
    </row>
    <row r="110">
      <c r="A110" s="55" t="inlineStr">
        <is>
          <t>New Investor Income</t>
        </is>
      </c>
      <c r="B110" s="55" t="n"/>
      <c r="C110" s="55" t="n"/>
      <c r="D110" s="56">
        <f>+I110+K110+M110+O110+Q110+S110+U110+W110+Y110+AA110+AC110+AE110</f>
        <v/>
      </c>
      <c r="E110" s="55" t="n"/>
      <c r="F110" s="55" t="n"/>
      <c r="G110" s="15" t="inlineStr">
        <is>
          <t>N</t>
        </is>
      </c>
      <c r="H110" s="59">
        <f>I42</f>
        <v/>
      </c>
      <c r="I110" s="59">
        <f>H110</f>
        <v/>
      </c>
      <c r="J110" s="59">
        <f>K42</f>
        <v/>
      </c>
      <c r="K110" s="59">
        <f>J110</f>
        <v/>
      </c>
      <c r="L110" s="59">
        <f>M42</f>
        <v/>
      </c>
      <c r="M110" s="59">
        <f>L110</f>
        <v/>
      </c>
      <c r="N110" s="59">
        <f>O42</f>
        <v/>
      </c>
      <c r="O110" s="59">
        <f>N110</f>
        <v/>
      </c>
      <c r="P110" s="59">
        <f>Q42</f>
        <v/>
      </c>
      <c r="Q110" s="59">
        <f>P110</f>
        <v/>
      </c>
      <c r="R110" s="59">
        <f>S42</f>
        <v/>
      </c>
      <c r="S110" s="59">
        <f>R110</f>
        <v/>
      </c>
      <c r="T110" s="59">
        <f>U42</f>
        <v/>
      </c>
      <c r="U110" s="59">
        <f>T110</f>
        <v/>
      </c>
      <c r="V110" s="59">
        <f>W42</f>
        <v/>
      </c>
      <c r="W110" s="59">
        <f>V110</f>
        <v/>
      </c>
      <c r="X110" s="59">
        <f>Y42</f>
        <v/>
      </c>
      <c r="Y110" s="59">
        <f>X110</f>
        <v/>
      </c>
      <c r="Z110" s="59">
        <f>AA42</f>
        <v/>
      </c>
      <c r="AA110" s="59">
        <f>Z110</f>
        <v/>
      </c>
      <c r="AB110" s="59">
        <f>AC42</f>
        <v/>
      </c>
      <c r="AC110" s="59">
        <f>AB110</f>
        <v/>
      </c>
      <c r="AD110" s="59">
        <f>AE42</f>
        <v/>
      </c>
      <c r="AE110" s="59">
        <f>AD110</f>
        <v/>
      </c>
      <c r="AF110" s="59" t="n"/>
    </row>
    <row r="111">
      <c r="A111" s="55" t="inlineStr">
        <is>
          <t>Momentum &amp; Deposits &amp; VAT &amp; Other</t>
        </is>
      </c>
      <c r="B111" s="55" t="n"/>
      <c r="C111" s="55" t="n"/>
      <c r="D111" s="56">
        <f>+I111+K111+M111+O111+Q111+S111+U111+W111+Y111+AA111+AC111+AE111</f>
        <v/>
      </c>
      <c r="E111" s="55" t="n"/>
      <c r="F111" s="55" t="n"/>
      <c r="G111" s="15" t="inlineStr">
        <is>
          <t>N</t>
        </is>
      </c>
      <c r="H111" s="59">
        <f>I26+I96+I66</f>
        <v/>
      </c>
      <c r="I111" s="59">
        <f>H111</f>
        <v/>
      </c>
      <c r="J111" s="59">
        <f>K26+K96+K66</f>
        <v/>
      </c>
      <c r="K111" s="59">
        <f>J111</f>
        <v/>
      </c>
      <c r="L111" s="59">
        <f>M26+M96+M66</f>
        <v/>
      </c>
      <c r="M111" s="59">
        <f>L111</f>
        <v/>
      </c>
      <c r="N111" s="59">
        <f>O26+O96+O66</f>
        <v/>
      </c>
      <c r="O111" s="59">
        <f>N111</f>
        <v/>
      </c>
      <c r="P111" s="59">
        <f>Q26+Q96+Q66</f>
        <v/>
      </c>
      <c r="Q111" s="59">
        <f>P111</f>
        <v/>
      </c>
      <c r="R111" s="59">
        <f>S26+S96+S66</f>
        <v/>
      </c>
      <c r="S111" s="59">
        <f>R111</f>
        <v/>
      </c>
      <c r="T111" s="59">
        <f>U26+U96+U66</f>
        <v/>
      </c>
      <c r="U111" s="59">
        <f>T111</f>
        <v/>
      </c>
      <c r="V111" s="59">
        <f>W26+W96+W66</f>
        <v/>
      </c>
      <c r="W111" s="59">
        <f>V111</f>
        <v/>
      </c>
      <c r="X111" s="59">
        <f>Y26+Y96+Y66</f>
        <v/>
      </c>
      <c r="Y111" s="59">
        <f>X111</f>
        <v/>
      </c>
      <c r="Z111" s="59">
        <f>AA26+AA96+AA66</f>
        <v/>
      </c>
      <c r="AA111" s="59">
        <f>Z111</f>
        <v/>
      </c>
      <c r="AB111" s="59">
        <f>AC26+AC96+AC66</f>
        <v/>
      </c>
      <c r="AC111" s="59">
        <f>AB111</f>
        <v/>
      </c>
      <c r="AD111" s="59">
        <f>AE26+AE96+AE66</f>
        <v/>
      </c>
      <c r="AE111" s="59">
        <f>AD111</f>
        <v/>
      </c>
      <c r="AF111" s="59" t="n"/>
    </row>
    <row r="112">
      <c r="A112" s="55" t="inlineStr"/>
      <c r="B112" s="55" t="n"/>
      <c r="C112" s="55" t="n"/>
      <c r="D112" s="56">
        <f>+I112+K112+M112+O112+Q112+S112+U112+W112+Y112+AA112+AC112+AE112</f>
        <v/>
      </c>
      <c r="E112" s="55" t="n"/>
      <c r="F112" s="55" t="n"/>
      <c r="G112" s="15" t="inlineStr">
        <is>
          <t>N</t>
        </is>
      </c>
      <c r="H112" s="59">
        <f>I112-I46</f>
        <v/>
      </c>
      <c r="I112" s="59">
        <f>sum(I102:I111)</f>
        <v/>
      </c>
      <c r="J112" s="59">
        <f>K112-K46</f>
        <v/>
      </c>
      <c r="K112" s="59">
        <f>sum(K102:K111)</f>
        <v/>
      </c>
      <c r="L112" s="59">
        <f>M112-M46</f>
        <v/>
      </c>
      <c r="M112" s="59">
        <f>sum(M102:M111)</f>
        <v/>
      </c>
      <c r="N112" s="59">
        <f>O112-O46</f>
        <v/>
      </c>
      <c r="O112" s="59">
        <f>sum(O102:O111)</f>
        <v/>
      </c>
      <c r="P112" s="59">
        <f>Q112-Q46</f>
        <v/>
      </c>
      <c r="Q112" s="59">
        <f>sum(Q102:Q111)</f>
        <v/>
      </c>
      <c r="R112" s="59">
        <f>S112-S46</f>
        <v/>
      </c>
      <c r="S112" s="59">
        <f>sum(S102:S111)</f>
        <v/>
      </c>
      <c r="T112" s="59">
        <f>U112-U46</f>
        <v/>
      </c>
      <c r="U112" s="59">
        <f>sum(U102:U111)</f>
        <v/>
      </c>
      <c r="V112" s="59">
        <f>W112-W46</f>
        <v/>
      </c>
      <c r="W112" s="59">
        <f>sum(W102:W111)</f>
        <v/>
      </c>
      <c r="X112" s="59">
        <f>Y112-Y46</f>
        <v/>
      </c>
      <c r="Y112" s="59">
        <f>sum(Y102:Y111)</f>
        <v/>
      </c>
      <c r="Z112" s="59">
        <f>AA112-AA46</f>
        <v/>
      </c>
      <c r="AA112" s="59">
        <f>sum(AA102:AA111)</f>
        <v/>
      </c>
      <c r="AB112" s="59">
        <f>AC112-AC46</f>
        <v/>
      </c>
      <c r="AC112" s="59">
        <f>sum(AC102:AC111)</f>
        <v/>
      </c>
      <c r="AD112" s="59">
        <f>AE112-AE46</f>
        <v/>
      </c>
      <c r="AE112" s="59">
        <f>sum(AE102:AE111)</f>
        <v/>
      </c>
      <c r="AF112" s="59" t="n"/>
    </row>
    <row r="113">
      <c r="A113" s="55" t="inlineStr">
        <is>
          <t>CPC + Operating Expenses &amp; VAT on Cycle</t>
        </is>
      </c>
      <c r="B113" s="55" t="n"/>
      <c r="C113" s="55" t="n"/>
      <c r="D113" s="56">
        <f>+I113+K113+M113+O113+Q113+S113+U113+W113+Y113+AA113+AC113+AE113</f>
        <v/>
      </c>
      <c r="E113" s="55" t="n"/>
      <c r="F113" s="55" t="n"/>
      <c r="G113" s="15" t="inlineStr">
        <is>
          <t>N</t>
        </is>
      </c>
      <c r="H113" s="59" t="n"/>
      <c r="I113" s="59">
        <f>I70</f>
        <v/>
      </c>
      <c r="J113" s="59" t="n"/>
      <c r="K113" s="59">
        <f>K70</f>
        <v/>
      </c>
      <c r="L113" s="59" t="n"/>
      <c r="M113" s="59">
        <f>M70</f>
        <v/>
      </c>
      <c r="N113" s="59" t="n"/>
      <c r="O113" s="59">
        <f>O70</f>
        <v/>
      </c>
      <c r="P113" s="59" t="n"/>
      <c r="Q113" s="59">
        <f>Q70</f>
        <v/>
      </c>
      <c r="R113" s="59" t="n"/>
      <c r="S113" s="59">
        <f>S70</f>
        <v/>
      </c>
      <c r="T113" s="59" t="n"/>
      <c r="U113" s="59">
        <f>U70</f>
        <v/>
      </c>
      <c r="V113" s="59" t="n"/>
      <c r="W113" s="59">
        <f>W70</f>
        <v/>
      </c>
      <c r="X113" s="59" t="n"/>
      <c r="Y113" s="59">
        <f>Y70</f>
        <v/>
      </c>
      <c r="Z113" s="59" t="n"/>
      <c r="AA113" s="59">
        <f>AA70</f>
        <v/>
      </c>
      <c r="AB113" s="59" t="n"/>
      <c r="AC113" s="59">
        <f>AC70</f>
        <v/>
      </c>
      <c r="AD113" s="59" t="n"/>
      <c r="AE113" s="59">
        <f>AE70</f>
        <v/>
      </c>
      <c r="AF113" s="59" t="n"/>
    </row>
    <row r="114">
      <c r="A114" s="55" t="inlineStr"/>
      <c r="B114" s="55" t="n"/>
      <c r="C114" s="55" t="n"/>
      <c r="D114" s="56">
        <f>+I114+K114+M114+O114+Q114+S114+U114+W114+Y114+AA114+AC114+AE114</f>
        <v/>
      </c>
      <c r="E114" s="55" t="n"/>
      <c r="F114" s="55" t="n"/>
      <c r="G114" s="15" t="inlineStr">
        <is>
          <t>N</t>
        </is>
      </c>
      <c r="H114" s="59" t="n"/>
      <c r="I114" s="59" t="n"/>
      <c r="J114" s="59" t="n"/>
      <c r="K114" s="59" t="n"/>
      <c r="L114" s="59" t="n"/>
      <c r="M114" s="59" t="n"/>
      <c r="N114" s="59" t="n"/>
      <c r="O114" s="59" t="n"/>
      <c r="P114" s="59" t="n"/>
      <c r="Q114" s="59" t="n"/>
      <c r="R114" s="59" t="n"/>
      <c r="S114" s="59" t="n"/>
      <c r="T114" s="59" t="n"/>
      <c r="U114" s="59" t="n"/>
      <c r="V114" s="59" t="n"/>
      <c r="W114" s="59" t="n"/>
      <c r="X114" s="59" t="n"/>
      <c r="Y114" s="59" t="n"/>
      <c r="Z114" s="59" t="n"/>
      <c r="AA114" s="59" t="n"/>
      <c r="AB114" s="59" t="n"/>
      <c r="AC114" s="59" t="n"/>
      <c r="AD114" s="59" t="n"/>
      <c r="AE114" s="59" t="n"/>
      <c r="AF114" s="59" t="n"/>
    </row>
    <row r="115">
      <c r="A115" s="55" t="inlineStr"/>
      <c r="B115" s="55" t="n"/>
      <c r="C115" s="55" t="n"/>
      <c r="D115" s="56">
        <f>+I115+K115+M115+O115+Q115+S115+U115+W115+Y115+AA115+AC115+AE115</f>
        <v/>
      </c>
      <c r="E115" s="55" t="n"/>
      <c r="F115" s="55" t="n"/>
      <c r="G115" s="15" t="inlineStr">
        <is>
          <t>N</t>
        </is>
      </c>
      <c r="H115" s="59">
        <f>I115-I72</f>
        <v/>
      </c>
      <c r="I115" s="59">
        <f>I112+I113</f>
        <v/>
      </c>
      <c r="J115" s="59">
        <f>K115-K72</f>
        <v/>
      </c>
      <c r="K115" s="59">
        <f>K112+K113</f>
        <v/>
      </c>
      <c r="L115" s="59">
        <f>M115-M72</f>
        <v/>
      </c>
      <c r="M115" s="59">
        <f>M112+M113</f>
        <v/>
      </c>
      <c r="N115" s="59">
        <f>O115-O72</f>
        <v/>
      </c>
      <c r="O115" s="59">
        <f>O112+O113</f>
        <v/>
      </c>
      <c r="P115" s="59">
        <f>Q115-Q72</f>
        <v/>
      </c>
      <c r="Q115" s="59">
        <f>Q112+Q113</f>
        <v/>
      </c>
      <c r="R115" s="59">
        <f>S115-S72</f>
        <v/>
      </c>
      <c r="S115" s="59">
        <f>S112+S113</f>
        <v/>
      </c>
      <c r="T115" s="59">
        <f>U115-U72</f>
        <v/>
      </c>
      <c r="U115" s="59">
        <f>U112+U113</f>
        <v/>
      </c>
      <c r="V115" s="59">
        <f>W115-W72</f>
        <v/>
      </c>
      <c r="W115" s="59">
        <f>W112+W113</f>
        <v/>
      </c>
      <c r="X115" s="59">
        <f>Y115-Y72</f>
        <v/>
      </c>
      <c r="Y115" s="59">
        <f>Y112+Y113</f>
        <v/>
      </c>
      <c r="Z115" s="59">
        <f>AA115-AA72</f>
        <v/>
      </c>
      <c r="AA115" s="59">
        <f>AA112+AA113</f>
        <v/>
      </c>
      <c r="AB115" s="59">
        <f>AC115-AC72</f>
        <v/>
      </c>
      <c r="AC115" s="59">
        <f>AC112+AC113</f>
        <v/>
      </c>
      <c r="AD115" s="59">
        <f>AE115-AE72</f>
        <v/>
      </c>
      <c r="AE115" s="59">
        <f>AE112+AE113</f>
        <v/>
      </c>
      <c r="AF115" s="59" t="n"/>
    </row>
    <row r="117">
      <c r="A117" s="60" t="inlineStr">
        <is>
          <t>DEVELOPER REFINANCE PROPERTIES</t>
        </is>
      </c>
      <c r="E117" s="61">
        <f>+F117+J117+L117+N117+P117+R117+T117+V117+X117+Z117+AB117+AD117+AF117</f>
        <v/>
      </c>
      <c r="F117" s="56">
        <f>+I117+K117+M117+O117+Q117+S117+U117+W117+Y117+AA117+AC117+AE117</f>
        <v/>
      </c>
      <c r="G117" s="15" t="inlineStr">
        <is>
          <t>N / LK</t>
        </is>
      </c>
      <c r="H117" s="53">
        <f>COUNTA(H118:H151)</f>
        <v/>
      </c>
      <c r="I117" s="53">
        <f>-SUM(I118:I151)</f>
        <v/>
      </c>
      <c r="J117" s="48">
        <f>COUNTA(J118:J151)</f>
        <v/>
      </c>
      <c r="K117" s="48">
        <f>-SUM(K118:K151)</f>
        <v/>
      </c>
      <c r="L117" s="48">
        <f>COUNTA(L118:L151)</f>
        <v/>
      </c>
      <c r="M117" s="48">
        <f>-SUM(M118:M151)</f>
        <v/>
      </c>
      <c r="N117" s="48">
        <f>COUNTA(N118:N151)</f>
        <v/>
      </c>
      <c r="O117" s="48">
        <f>-SUM(O118:O151)</f>
        <v/>
      </c>
      <c r="P117" s="48">
        <f>COUNTA(P118:P151)</f>
        <v/>
      </c>
      <c r="Q117" s="48">
        <f>-SUM(Q118:Q151)</f>
        <v/>
      </c>
      <c r="R117" s="48">
        <f>COUNTA(R118:R151)</f>
        <v/>
      </c>
      <c r="S117" s="48">
        <f>-SUM(S118:S151)</f>
        <v/>
      </c>
      <c r="T117" s="48">
        <f>COUNTA(T118:T151)</f>
        <v/>
      </c>
      <c r="U117" s="48">
        <f>-SUM(U118:U151)</f>
        <v/>
      </c>
      <c r="V117" s="48">
        <f>COUNTA(V118:V151)</f>
        <v/>
      </c>
      <c r="W117" s="48">
        <f>-SUM(W118:W151)</f>
        <v/>
      </c>
      <c r="X117" s="48">
        <f>COUNTA(X118:X151)</f>
        <v/>
      </c>
      <c r="Y117" s="48">
        <f>-SUM(Y118:Y151)</f>
        <v/>
      </c>
      <c r="Z117" s="48">
        <f>COUNTA(Z118:Z151)</f>
        <v/>
      </c>
      <c r="AA117" s="48">
        <f>-SUM(AA118:AA151)</f>
        <v/>
      </c>
      <c r="AB117" s="48">
        <f>COUNTA(AB118:AB151)</f>
        <v/>
      </c>
      <c r="AC117" s="48">
        <f>-SUM(AC118:AC151)</f>
        <v/>
      </c>
      <c r="AD117" s="48">
        <f>COUNTA(AD118:AD151)</f>
        <v/>
      </c>
      <c r="AE117" s="48">
        <f>-SUM(AE118:AE151)</f>
        <v/>
      </c>
      <c r="AF117" s="48">
        <f>COUNTA(AF118:AF151)</f>
        <v/>
      </c>
    </row>
    <row r="118">
      <c r="A118" t="inlineStr"/>
      <c r="E118" s="14">
        <f>SUM(E119:E151)-E117</f>
        <v/>
      </c>
      <c r="H118" s="53" t="n"/>
    </row>
    <row r="119">
      <c r="A119" t="inlineStr"/>
      <c r="B119" t="inlineStr"/>
      <c r="C119" s="62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63" t="inlineStr">
        <is>
          <t>HVD302</t>
        </is>
      </c>
      <c r="E119" s="24">
        <f>IF(F119&lt;&gt;0,1,0)</f>
        <v/>
      </c>
      <c r="F119" s="56">
        <f>+I119+K119+M119+O119+Q119+S119+U119+W119+Y119+AA119+AC119+AE119</f>
        <v/>
      </c>
      <c r="G119" s="15" t="inlineStr">
        <is>
          <t>N / WH</t>
        </is>
      </c>
      <c r="H119" s="53" t="n"/>
      <c r="I119" s="48">
        <f>SUMIFS('Investor Exit List'!$Q:$Q, 'Investor Exit List'!$C:$C, 'Cashflow Projection'!H119)</f>
        <v/>
      </c>
      <c r="J119" s="64" t="n"/>
      <c r="K119" s="48">
        <f>IF(VLOOKUP($D119,Sales!$C:$D,2,FALSE)=TRUE,0,SUMIFS('Investor Exit List'!$Q:$Q, 'Investor Exit List'!$C:$C, 'Cashflow Projection'!J119))</f>
        <v/>
      </c>
      <c r="L119" s="64" t="n"/>
      <c r="M119" s="48">
        <f>IF(VLOOKUP($D119,Sales!$C:$D,2,FALSE)=TRUE,0,SUMIFS('Investor Exit List'!$Q:$Q, 'Investor Exit List'!$C:$C, 'Cashflow Projection'!L119))</f>
        <v/>
      </c>
      <c r="N119" s="64" t="n"/>
      <c r="O119" s="48">
        <f>IF(VLOOKUP($D119,Sales!$C:$D,2,FALSE)=TRUE,0,SUMIFS('Investor Exit List'!$Q:$Q, 'Investor Exit List'!$C:$C, 'Cashflow Projection'!N119))</f>
        <v/>
      </c>
      <c r="P119" s="64" t="n"/>
      <c r="Q119" s="48">
        <f>IF(VLOOKUP($D119,Sales!$C:$D,2,FALSE)=TRUE,0,SUMIFS('Investor Exit List'!$Q:$Q, 'Investor Exit List'!$C:$C, 'Cashflow Projection'!P119))</f>
        <v/>
      </c>
      <c r="R119" s="64" t="n"/>
      <c r="S119" s="48">
        <f>IF(VLOOKUP($D119,Sales!$C:$D,2,FALSE)=TRUE,0,SUMIFS('Investor Exit List'!$Q:$Q, 'Investor Exit List'!$C:$C, 'Cashflow Projection'!R119))</f>
        <v/>
      </c>
      <c r="T119" s="64" t="n"/>
      <c r="U119" s="48">
        <f>IF(VLOOKUP($D119,Sales!$C:$D,2,FALSE)=TRUE,0,SUMIFS('Investor Exit List'!$Q:$Q, 'Investor Exit List'!$C:$C, 'Cashflow Projection'!T119))</f>
        <v/>
      </c>
      <c r="V119" s="64" t="n"/>
      <c r="W119" s="48">
        <f>IF(VLOOKUP($D119,Sales!$C:$D,2,FALSE)=TRUE,0,SUMIFS('Investor Exit List'!$Q:$Q, 'Investor Exit List'!$C:$C, 'Cashflow Projection'!V119))</f>
        <v/>
      </c>
      <c r="X119" s="64" t="n"/>
      <c r="Y119" s="48">
        <f>IF(VLOOKUP($D119,Sales!$C:$D,2,FALSE)=TRUE,0,SUMIFS('Investor Exit List'!$Q:$Q, 'Investor Exit List'!$C:$C, 'Cashflow Projection'!X119))</f>
        <v/>
      </c>
      <c r="Z119" s="64" t="n"/>
      <c r="AA119" s="48">
        <f>IF(VLOOKUP($D119,Sales!$C:$D,2,FALSE)=TRUE,0,SUMIFS('Investor Exit List'!$Q:$Q, 'Investor Exit List'!$C:$C, 'Cashflow Projection'!Z119))</f>
        <v/>
      </c>
      <c r="AB119" s="64" t="n"/>
      <c r="AC119" s="48">
        <f>IF(VLOOKUP($D119,Sales!$C:$D,2,FALSE)=TRUE,0,SUMIFS('Investor Exit List'!$Q:$Q, 'Investor Exit List'!$C:$C, 'Cashflow Projection'!AB119))</f>
        <v/>
      </c>
      <c r="AD119" s="64" t="n"/>
      <c r="AE119" s="48">
        <f>IF(VLOOKUP($D119,Sales!$C:$D,2,FALSE)=TRUE,0,SUMIFS('Investor Exit List'!$Q:$Q, 'Investor Exit List'!$C:$C, 'Cashflow Projection'!AD119))</f>
        <v/>
      </c>
      <c r="AF119" s="64" t="n"/>
    </row>
    <row r="120">
      <c r="A120" t="inlineStr"/>
      <c r="B120" t="inlineStr"/>
      <c r="C120" s="62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63" t="inlineStr">
        <is>
          <t>HVD303</t>
        </is>
      </c>
      <c r="E120" s="24">
        <f>IF(F120&lt;&gt;0,1,0)</f>
        <v/>
      </c>
      <c r="F120" s="56">
        <f>+I120+K120+M120+O120+Q120+S120+U120+W120+Y120+AA120+AC120+AE120</f>
        <v/>
      </c>
      <c r="G120" s="15" t="inlineStr">
        <is>
          <t>N / WH</t>
        </is>
      </c>
      <c r="H120" s="53" t="n"/>
      <c r="I120" s="48">
        <f>SUMIFS('Investor Exit List'!$Q:$Q, 'Investor Exit List'!$C:$C, 'Cashflow Projection'!H120)</f>
        <v/>
      </c>
      <c r="J120" s="64" t="n"/>
      <c r="K120" s="48">
        <f>IF(VLOOKUP($D120,Sales!$C:$D,2,FALSE)=TRUE,0,SUMIFS('Investor Exit List'!$Q:$Q, 'Investor Exit List'!$C:$C, 'Cashflow Projection'!J120))</f>
        <v/>
      </c>
      <c r="L120" s="64" t="n"/>
      <c r="M120" s="48">
        <f>IF(VLOOKUP($D120,Sales!$C:$D,2,FALSE)=TRUE,0,SUMIFS('Investor Exit List'!$Q:$Q, 'Investor Exit List'!$C:$C, 'Cashflow Projection'!L120))</f>
        <v/>
      </c>
      <c r="N120" s="64" t="n"/>
      <c r="O120" s="48">
        <f>IF(VLOOKUP($D120,Sales!$C:$D,2,FALSE)=TRUE,0,SUMIFS('Investor Exit List'!$Q:$Q, 'Investor Exit List'!$C:$C, 'Cashflow Projection'!N120))</f>
        <v/>
      </c>
      <c r="P120" s="64" t="n"/>
      <c r="Q120" s="48">
        <f>IF(VLOOKUP($D120,Sales!$C:$D,2,FALSE)=TRUE,0,SUMIFS('Investor Exit List'!$Q:$Q, 'Investor Exit List'!$C:$C, 'Cashflow Projection'!P120))</f>
        <v/>
      </c>
      <c r="R120" s="64" t="n"/>
      <c r="S120" s="48">
        <f>IF(VLOOKUP($D120,Sales!$C:$D,2,FALSE)=TRUE,0,SUMIFS('Investor Exit List'!$Q:$Q, 'Investor Exit List'!$C:$C, 'Cashflow Projection'!R120))</f>
        <v/>
      </c>
      <c r="T120" s="64" t="n"/>
      <c r="U120" s="48">
        <f>IF(VLOOKUP($D120,Sales!$C:$D,2,FALSE)=TRUE,0,SUMIFS('Investor Exit List'!$Q:$Q, 'Investor Exit List'!$C:$C, 'Cashflow Projection'!T120))</f>
        <v/>
      </c>
      <c r="V120" s="64" t="n"/>
      <c r="W120" s="48">
        <f>IF(VLOOKUP($D120,Sales!$C:$D,2,FALSE)=TRUE,0,SUMIFS('Investor Exit List'!$Q:$Q, 'Investor Exit List'!$C:$C, 'Cashflow Projection'!V120))</f>
        <v/>
      </c>
      <c r="X120" s="64" t="n"/>
      <c r="Y120" s="48">
        <f>IF(VLOOKUP($D120,Sales!$C:$D,2,FALSE)=TRUE,0,SUMIFS('Investor Exit List'!$Q:$Q, 'Investor Exit List'!$C:$C, 'Cashflow Projection'!X120))</f>
        <v/>
      </c>
      <c r="Z120" s="64" t="n"/>
      <c r="AA120" s="48">
        <f>IF(VLOOKUP($D120,Sales!$C:$D,2,FALSE)=TRUE,0,SUMIFS('Investor Exit List'!$Q:$Q, 'Investor Exit List'!$C:$C, 'Cashflow Projection'!Z120))</f>
        <v/>
      </c>
      <c r="AB120" s="64" t="n"/>
      <c r="AC120" s="48">
        <f>IF(VLOOKUP($D120,Sales!$C:$D,2,FALSE)=TRUE,0,SUMIFS('Investor Exit List'!$Q:$Q, 'Investor Exit List'!$C:$C, 'Cashflow Projection'!AB120))</f>
        <v/>
      </c>
      <c r="AD120" s="64" t="n"/>
      <c r="AE120" s="48">
        <f>IF(VLOOKUP($D120,Sales!$C:$D,2,FALSE)=TRUE,0,SUMIFS('Investor Exit List'!$Q:$Q, 'Investor Exit List'!$C:$C, 'Cashflow Projection'!AD120))</f>
        <v/>
      </c>
      <c r="AF120" s="64" t="n"/>
    </row>
    <row r="121">
      <c r="A121" t="inlineStr"/>
      <c r="B121" t="inlineStr"/>
      <c r="C121" s="62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63" t="inlineStr">
        <is>
          <t>HVD304</t>
        </is>
      </c>
      <c r="E121" s="24">
        <f>IF(F121&lt;&gt;0,1,0)</f>
        <v/>
      </c>
      <c r="F121" s="56">
        <f>+I121+K121+M121+O121+Q121+S121+U121+W121+Y121+AA121+AC121+AE121</f>
        <v/>
      </c>
      <c r="G121" s="15" t="inlineStr">
        <is>
          <t>N / WH</t>
        </is>
      </c>
      <c r="H121" s="53" t="n"/>
      <c r="I121" s="48">
        <f>SUMIFS('Investor Exit List'!$Q:$Q, 'Investor Exit List'!$C:$C, 'Cashflow Projection'!H121)</f>
        <v/>
      </c>
      <c r="J121" s="64" t="n"/>
      <c r="K121" s="48">
        <f>IF(VLOOKUP($D121,Sales!$C:$D,2,FALSE)=TRUE,0,SUMIFS('Investor Exit List'!$Q:$Q, 'Investor Exit List'!$C:$C, 'Cashflow Projection'!J121))</f>
        <v/>
      </c>
      <c r="L121" s="64" t="n"/>
      <c r="M121" s="48">
        <f>IF(VLOOKUP($D121,Sales!$C:$D,2,FALSE)=TRUE,0,SUMIFS('Investor Exit List'!$Q:$Q, 'Investor Exit List'!$C:$C, 'Cashflow Projection'!L121))</f>
        <v/>
      </c>
      <c r="N121" s="64" t="n"/>
      <c r="O121" s="48">
        <f>IF(VLOOKUP($D121,Sales!$C:$D,2,FALSE)=TRUE,0,SUMIFS('Investor Exit List'!$Q:$Q, 'Investor Exit List'!$C:$C, 'Cashflow Projection'!N121))</f>
        <v/>
      </c>
      <c r="P121" s="64" t="n"/>
      <c r="Q121" s="48">
        <f>IF(VLOOKUP($D121,Sales!$C:$D,2,FALSE)=TRUE,0,SUMIFS('Investor Exit List'!$Q:$Q, 'Investor Exit List'!$C:$C, 'Cashflow Projection'!P121))</f>
        <v/>
      </c>
      <c r="R121" s="64" t="n"/>
      <c r="S121" s="48">
        <f>IF(VLOOKUP($D121,Sales!$C:$D,2,FALSE)=TRUE,0,SUMIFS('Investor Exit List'!$Q:$Q, 'Investor Exit List'!$C:$C, 'Cashflow Projection'!R121))</f>
        <v/>
      </c>
      <c r="T121" s="64" t="n"/>
      <c r="U121" s="48">
        <f>IF(VLOOKUP($D121,Sales!$C:$D,2,FALSE)=TRUE,0,SUMIFS('Investor Exit List'!$Q:$Q, 'Investor Exit List'!$C:$C, 'Cashflow Projection'!T121))</f>
        <v/>
      </c>
      <c r="V121" s="64" t="n"/>
      <c r="W121" s="48">
        <f>IF(VLOOKUP($D121,Sales!$C:$D,2,FALSE)=TRUE,0,SUMIFS('Investor Exit List'!$Q:$Q, 'Investor Exit List'!$C:$C, 'Cashflow Projection'!V121))</f>
        <v/>
      </c>
      <c r="X121" s="64" t="n"/>
      <c r="Y121" s="48">
        <f>IF(VLOOKUP($D121,Sales!$C:$D,2,FALSE)=TRUE,0,SUMIFS('Investor Exit List'!$Q:$Q, 'Investor Exit List'!$C:$C, 'Cashflow Projection'!X121))</f>
        <v/>
      </c>
      <c r="Z121" s="64" t="n"/>
      <c r="AA121" s="48">
        <f>IF(VLOOKUP($D121,Sales!$C:$D,2,FALSE)=TRUE,0,SUMIFS('Investor Exit List'!$Q:$Q, 'Investor Exit List'!$C:$C, 'Cashflow Projection'!Z121))</f>
        <v/>
      </c>
      <c r="AB121" s="64" t="n"/>
      <c r="AC121" s="48">
        <f>IF(VLOOKUP($D121,Sales!$C:$D,2,FALSE)=TRUE,0,SUMIFS('Investor Exit List'!$Q:$Q, 'Investor Exit List'!$C:$C, 'Cashflow Projection'!AB121))</f>
        <v/>
      </c>
      <c r="AD121" s="64" t="n"/>
      <c r="AE121" s="48">
        <f>IF(VLOOKUP($D121,Sales!$C:$D,2,FALSE)=TRUE,0,SUMIFS('Investor Exit List'!$Q:$Q, 'Investor Exit List'!$C:$C, 'Cashflow Projection'!AD121))</f>
        <v/>
      </c>
      <c r="AF121" s="64" t="n"/>
    </row>
    <row r="122">
      <c r="A122" t="inlineStr"/>
      <c r="B122" t="inlineStr"/>
      <c r="C122" s="62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63" t="inlineStr">
        <is>
          <t>HVN302</t>
        </is>
      </c>
      <c r="E122" s="24">
        <f>IF(F122&lt;&gt;0,1,0)</f>
        <v/>
      </c>
      <c r="F122" s="56">
        <f>+I122+K122+M122+O122+Q122+S122+U122+W122+Y122+AA122+AC122+AE122</f>
        <v/>
      </c>
      <c r="G122" s="15" t="inlineStr">
        <is>
          <t>N / WH</t>
        </is>
      </c>
      <c r="H122" s="53" t="n"/>
      <c r="I122" s="48">
        <f>SUMIFS('Investor Exit List'!$Q:$Q, 'Investor Exit List'!$C:$C, 'Cashflow Projection'!H122)</f>
        <v/>
      </c>
      <c r="J122" s="64" t="n"/>
      <c r="K122" s="48">
        <f>IF(VLOOKUP($D122,Sales!$C:$D,2,FALSE)=TRUE,0,SUMIFS('Investor Exit List'!$Q:$Q, 'Investor Exit List'!$C:$C, 'Cashflow Projection'!J122))</f>
        <v/>
      </c>
      <c r="L122" s="64" t="n"/>
      <c r="M122" s="48">
        <f>IF(VLOOKUP($D122,Sales!$C:$D,2,FALSE)=TRUE,0,SUMIFS('Investor Exit List'!$Q:$Q, 'Investor Exit List'!$C:$C, 'Cashflow Projection'!L122))</f>
        <v/>
      </c>
      <c r="N122" s="64" t="n"/>
      <c r="O122" s="48">
        <f>IF(VLOOKUP($D122,Sales!$C:$D,2,FALSE)=TRUE,0,SUMIFS('Investor Exit List'!$Q:$Q, 'Investor Exit List'!$C:$C, 'Cashflow Projection'!N122))</f>
        <v/>
      </c>
      <c r="P122" s="64" t="n"/>
      <c r="Q122" s="48">
        <f>IF(VLOOKUP($D122,Sales!$C:$D,2,FALSE)=TRUE,0,SUMIFS('Investor Exit List'!$Q:$Q, 'Investor Exit List'!$C:$C, 'Cashflow Projection'!P122))</f>
        <v/>
      </c>
      <c r="R122" s="64" t="n"/>
      <c r="S122" s="48">
        <f>IF(VLOOKUP($D122,Sales!$C:$D,2,FALSE)=TRUE,0,SUMIFS('Investor Exit List'!$Q:$Q, 'Investor Exit List'!$C:$C, 'Cashflow Projection'!R122))</f>
        <v/>
      </c>
      <c r="T122" s="64" t="n"/>
      <c r="U122" s="48">
        <f>IF(VLOOKUP($D122,Sales!$C:$D,2,FALSE)=TRUE,0,SUMIFS('Investor Exit List'!$Q:$Q, 'Investor Exit List'!$C:$C, 'Cashflow Projection'!T122))</f>
        <v/>
      </c>
      <c r="V122" s="64" t="n"/>
      <c r="W122" s="48">
        <f>IF(VLOOKUP($D122,Sales!$C:$D,2,FALSE)=TRUE,0,SUMIFS('Investor Exit List'!$Q:$Q, 'Investor Exit List'!$C:$C, 'Cashflow Projection'!V122))</f>
        <v/>
      </c>
      <c r="X122" s="64" t="n"/>
      <c r="Y122" s="48">
        <f>IF(VLOOKUP($D122,Sales!$C:$D,2,FALSE)=TRUE,0,SUMIFS('Investor Exit List'!$Q:$Q, 'Investor Exit List'!$C:$C, 'Cashflow Projection'!X122))</f>
        <v/>
      </c>
      <c r="Z122" s="64" t="n"/>
      <c r="AA122" s="48">
        <f>IF(VLOOKUP($D122,Sales!$C:$D,2,FALSE)=TRUE,0,SUMIFS('Investor Exit List'!$Q:$Q, 'Investor Exit List'!$C:$C, 'Cashflow Projection'!Z122))</f>
        <v/>
      </c>
      <c r="AB122" s="64" t="n"/>
      <c r="AC122" s="48">
        <f>IF(VLOOKUP($D122,Sales!$C:$D,2,FALSE)=TRUE,0,SUMIFS('Investor Exit List'!$Q:$Q, 'Investor Exit List'!$C:$C, 'Cashflow Projection'!AB122))</f>
        <v/>
      </c>
      <c r="AD122" s="64" t="n"/>
      <c r="AE122" s="48">
        <f>IF(VLOOKUP($D122,Sales!$C:$D,2,FALSE)=TRUE,0,SUMIFS('Investor Exit List'!$Q:$Q, 'Investor Exit List'!$C:$C, 'Cashflow Projection'!AD122))</f>
        <v/>
      </c>
      <c r="AF122" s="64" t="n"/>
    </row>
    <row r="123">
      <c r="A123" t="inlineStr"/>
      <c r="B123" t="inlineStr"/>
      <c r="C123" s="62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63" t="inlineStr">
        <is>
          <t>HVN303</t>
        </is>
      </c>
      <c r="E123" s="24">
        <f>IF(F123&lt;&gt;0,1,0)</f>
        <v/>
      </c>
      <c r="F123" s="56">
        <f>+I123+K123+M123+O123+Q123+S123+U123+W123+Y123+AA123+AC123+AE123</f>
        <v/>
      </c>
      <c r="G123" s="15" t="inlineStr">
        <is>
          <t>N / WH</t>
        </is>
      </c>
      <c r="H123" s="53" t="n"/>
      <c r="I123" s="48">
        <f>SUMIFS('Investor Exit List'!$Q:$Q, 'Investor Exit List'!$C:$C, 'Cashflow Projection'!H123)</f>
        <v/>
      </c>
      <c r="J123" s="64" t="n"/>
      <c r="K123" s="48">
        <f>IF(VLOOKUP($D123,Sales!$C:$D,2,FALSE)=TRUE,0,SUMIFS('Investor Exit List'!$Q:$Q, 'Investor Exit List'!$C:$C, 'Cashflow Projection'!J123))</f>
        <v/>
      </c>
      <c r="L123" s="64" t="n"/>
      <c r="M123" s="48">
        <f>IF(VLOOKUP($D123,Sales!$C:$D,2,FALSE)=TRUE,0,SUMIFS('Investor Exit List'!$Q:$Q, 'Investor Exit List'!$C:$C, 'Cashflow Projection'!L123))</f>
        <v/>
      </c>
      <c r="N123" s="64" t="n"/>
      <c r="O123" s="48">
        <f>IF(VLOOKUP($D123,Sales!$C:$D,2,FALSE)=TRUE,0,SUMIFS('Investor Exit List'!$Q:$Q, 'Investor Exit List'!$C:$C, 'Cashflow Projection'!N123))</f>
        <v/>
      </c>
      <c r="P123" s="64" t="n"/>
      <c r="Q123" s="48">
        <f>IF(VLOOKUP($D123,Sales!$C:$D,2,FALSE)=TRUE,0,SUMIFS('Investor Exit List'!$Q:$Q, 'Investor Exit List'!$C:$C, 'Cashflow Projection'!P123))</f>
        <v/>
      </c>
      <c r="R123" s="64" t="n"/>
      <c r="S123" s="48">
        <f>IF(VLOOKUP($D123,Sales!$C:$D,2,FALSE)=TRUE,0,SUMIFS('Investor Exit List'!$Q:$Q, 'Investor Exit List'!$C:$C, 'Cashflow Projection'!R123))</f>
        <v/>
      </c>
      <c r="T123" s="64" t="n"/>
      <c r="U123" s="48">
        <f>IF(VLOOKUP($D123,Sales!$C:$D,2,FALSE)=TRUE,0,SUMIFS('Investor Exit List'!$Q:$Q, 'Investor Exit List'!$C:$C, 'Cashflow Projection'!T123))</f>
        <v/>
      </c>
      <c r="V123" s="64" t="n"/>
      <c r="W123" s="48">
        <f>IF(VLOOKUP($D123,Sales!$C:$D,2,FALSE)=TRUE,0,SUMIFS('Investor Exit List'!$Q:$Q, 'Investor Exit List'!$C:$C, 'Cashflow Projection'!V123))</f>
        <v/>
      </c>
      <c r="X123" s="64" t="n"/>
      <c r="Y123" s="48">
        <f>IF(VLOOKUP($D123,Sales!$C:$D,2,FALSE)=TRUE,0,SUMIFS('Investor Exit List'!$Q:$Q, 'Investor Exit List'!$C:$C, 'Cashflow Projection'!X123))</f>
        <v/>
      </c>
      <c r="Z123" s="64" t="n"/>
      <c r="AA123" s="48">
        <f>IF(VLOOKUP($D123,Sales!$C:$D,2,FALSE)=TRUE,0,SUMIFS('Investor Exit List'!$Q:$Q, 'Investor Exit List'!$C:$C, 'Cashflow Projection'!Z123))</f>
        <v/>
      </c>
      <c r="AB123" s="64" t="n"/>
      <c r="AC123" s="48">
        <f>IF(VLOOKUP($D123,Sales!$C:$D,2,FALSE)=TRUE,0,SUMIFS('Investor Exit List'!$Q:$Q, 'Investor Exit List'!$C:$C, 'Cashflow Projection'!AB123))</f>
        <v/>
      </c>
      <c r="AD123" s="64" t="n"/>
      <c r="AE123" s="48">
        <f>IF(VLOOKUP($D123,Sales!$C:$D,2,FALSE)=TRUE,0,SUMIFS('Investor Exit List'!$Q:$Q, 'Investor Exit List'!$C:$C, 'Cashflow Projection'!AD123))</f>
        <v/>
      </c>
      <c r="AF123" s="64" t="n"/>
    </row>
    <row r="124">
      <c r="A124" t="inlineStr"/>
      <c r="B124" t="inlineStr"/>
      <c r="C124" s="62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3" t="inlineStr">
        <is>
          <t>HVC202</t>
        </is>
      </c>
      <c r="E124" s="24">
        <f>IF(F124&lt;&gt;0,1,0)</f>
        <v/>
      </c>
      <c r="F124" s="56">
        <f>+I124+K124+M124+O124+Q124+S124+U124+W124+Y124+AA124+AC124+AE124</f>
        <v/>
      </c>
      <c r="G124" s="15" t="inlineStr">
        <is>
          <t>N / WH</t>
        </is>
      </c>
      <c r="H124" s="53" t="n"/>
      <c r="I124" s="48">
        <f>SUMIFS('Investor Exit List'!$Q:$Q, 'Investor Exit List'!$C:$C, 'Cashflow Projection'!H124)</f>
        <v/>
      </c>
      <c r="J124" s="64" t="n"/>
      <c r="K124" s="48">
        <f>IF(VLOOKUP($D124,Sales!$C:$D,2,FALSE)=TRUE,0,SUMIFS('Investor Exit List'!$Q:$Q, 'Investor Exit List'!$C:$C, 'Cashflow Projection'!J124))</f>
        <v/>
      </c>
      <c r="L124" s="64" t="n"/>
      <c r="M124" s="48">
        <f>IF(VLOOKUP($D124,Sales!$C:$D,2,FALSE)=TRUE,0,SUMIFS('Investor Exit List'!$Q:$Q, 'Investor Exit List'!$C:$C, 'Cashflow Projection'!L124))</f>
        <v/>
      </c>
      <c r="N124" s="64" t="n"/>
      <c r="O124" s="48">
        <f>IF(VLOOKUP($D124,Sales!$C:$D,2,FALSE)=TRUE,0,SUMIFS('Investor Exit List'!$Q:$Q, 'Investor Exit List'!$C:$C, 'Cashflow Projection'!N124))</f>
        <v/>
      </c>
      <c r="P124" s="64" t="n"/>
      <c r="Q124" s="48">
        <f>IF(VLOOKUP($D124,Sales!$C:$D,2,FALSE)=TRUE,0,SUMIFS('Investor Exit List'!$Q:$Q, 'Investor Exit List'!$C:$C, 'Cashflow Projection'!P124))</f>
        <v/>
      </c>
      <c r="R124" s="64" t="n"/>
      <c r="S124" s="48">
        <f>IF(VLOOKUP($D124,Sales!$C:$D,2,FALSE)=TRUE,0,SUMIFS('Investor Exit List'!$Q:$Q, 'Investor Exit List'!$C:$C, 'Cashflow Projection'!R124))</f>
        <v/>
      </c>
      <c r="T124" s="64" t="n"/>
      <c r="U124" s="48">
        <f>IF(VLOOKUP($D124,Sales!$C:$D,2,FALSE)=TRUE,0,SUMIFS('Investor Exit List'!$Q:$Q, 'Investor Exit List'!$C:$C, 'Cashflow Projection'!T124))</f>
        <v/>
      </c>
      <c r="V124" s="64" t="n"/>
      <c r="W124" s="48">
        <f>IF(VLOOKUP($D124,Sales!$C:$D,2,FALSE)=TRUE,0,SUMIFS('Investor Exit List'!$Q:$Q, 'Investor Exit List'!$C:$C, 'Cashflow Projection'!V124))</f>
        <v/>
      </c>
      <c r="X124" s="64" t="n"/>
      <c r="Y124" s="48">
        <f>IF(VLOOKUP($D124,Sales!$C:$D,2,FALSE)=TRUE,0,SUMIFS('Investor Exit List'!$Q:$Q, 'Investor Exit List'!$C:$C, 'Cashflow Projection'!X124))</f>
        <v/>
      </c>
      <c r="Z124" s="64" t="n"/>
      <c r="AA124" s="48">
        <f>IF(VLOOKUP($D124,Sales!$C:$D,2,FALSE)=TRUE,0,SUMIFS('Investor Exit List'!$Q:$Q, 'Investor Exit List'!$C:$C, 'Cashflow Projection'!Z124))</f>
        <v/>
      </c>
      <c r="AB124" s="64" t="n"/>
      <c r="AC124" s="48">
        <f>IF(VLOOKUP($D124,Sales!$C:$D,2,FALSE)=TRUE,0,SUMIFS('Investor Exit List'!$Q:$Q, 'Investor Exit List'!$C:$C, 'Cashflow Projection'!AB124))</f>
        <v/>
      </c>
      <c r="AD124" s="64" t="n"/>
      <c r="AE124" s="48">
        <f>IF(VLOOKUP($D124,Sales!$C:$D,2,FALSE)=TRUE,0,SUMIFS('Investor Exit List'!$Q:$Q, 'Investor Exit List'!$C:$C, 'Cashflow Projection'!AD124))</f>
        <v/>
      </c>
      <c r="AF124" s="64" t="n"/>
    </row>
    <row r="125">
      <c r="A125" t="inlineStr"/>
      <c r="B125" t="inlineStr"/>
      <c r="C125" s="62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3" t="inlineStr">
        <is>
          <t>HVC204</t>
        </is>
      </c>
      <c r="E125" s="24">
        <f>IF(F125&lt;&gt;0,1,0)</f>
        <v/>
      </c>
      <c r="F125" s="56">
        <f>+I125+K125+M125+O125+Q125+S125+U125+W125+Y125+AA125+AC125+AE125</f>
        <v/>
      </c>
      <c r="G125" s="15" t="inlineStr">
        <is>
          <t>N / WH</t>
        </is>
      </c>
      <c r="H125" s="53" t="n"/>
      <c r="I125" s="48">
        <f>SUMIFS('Investor Exit List'!$Q:$Q, 'Investor Exit List'!$C:$C, 'Cashflow Projection'!H125)</f>
        <v/>
      </c>
      <c r="J125" s="64" t="n"/>
      <c r="K125" s="48">
        <f>IF(VLOOKUP($D125,Sales!$C:$D,2,FALSE)=TRUE,0,SUMIFS('Investor Exit List'!$Q:$Q, 'Investor Exit List'!$C:$C, 'Cashflow Projection'!J125))</f>
        <v/>
      </c>
      <c r="L125" s="64" t="n"/>
      <c r="M125" s="48">
        <f>IF(VLOOKUP($D125,Sales!$C:$D,2,FALSE)=TRUE,0,SUMIFS('Investor Exit List'!$Q:$Q, 'Investor Exit List'!$C:$C, 'Cashflow Projection'!L125))</f>
        <v/>
      </c>
      <c r="N125" s="64" t="n"/>
      <c r="O125" s="48">
        <f>IF(VLOOKUP($D125,Sales!$C:$D,2,FALSE)=TRUE,0,SUMIFS('Investor Exit List'!$Q:$Q, 'Investor Exit List'!$C:$C, 'Cashflow Projection'!N125))</f>
        <v/>
      </c>
      <c r="P125" s="64" t="n"/>
      <c r="Q125" s="48">
        <f>IF(VLOOKUP($D125,Sales!$C:$D,2,FALSE)=TRUE,0,SUMIFS('Investor Exit List'!$Q:$Q, 'Investor Exit List'!$C:$C, 'Cashflow Projection'!P125))</f>
        <v/>
      </c>
      <c r="R125" s="64" t="n"/>
      <c r="S125" s="48">
        <f>IF(VLOOKUP($D125,Sales!$C:$D,2,FALSE)=TRUE,0,SUMIFS('Investor Exit List'!$Q:$Q, 'Investor Exit List'!$C:$C, 'Cashflow Projection'!R125))</f>
        <v/>
      </c>
      <c r="T125" s="64" t="n"/>
      <c r="U125" s="48">
        <f>IF(VLOOKUP($D125,Sales!$C:$D,2,FALSE)=TRUE,0,SUMIFS('Investor Exit List'!$Q:$Q, 'Investor Exit List'!$C:$C, 'Cashflow Projection'!T125))</f>
        <v/>
      </c>
      <c r="V125" s="64" t="n"/>
      <c r="W125" s="48">
        <f>IF(VLOOKUP($D125,Sales!$C:$D,2,FALSE)=TRUE,0,SUMIFS('Investor Exit List'!$Q:$Q, 'Investor Exit List'!$C:$C, 'Cashflow Projection'!V125))</f>
        <v/>
      </c>
      <c r="X125" s="64" t="n"/>
      <c r="Y125" s="48">
        <f>IF(VLOOKUP($D125,Sales!$C:$D,2,FALSE)=TRUE,0,SUMIFS('Investor Exit List'!$Q:$Q, 'Investor Exit List'!$C:$C, 'Cashflow Projection'!X125))</f>
        <v/>
      </c>
      <c r="Z125" s="64" t="n"/>
      <c r="AA125" s="48">
        <f>IF(VLOOKUP($D125,Sales!$C:$D,2,FALSE)=TRUE,0,SUMIFS('Investor Exit List'!$Q:$Q, 'Investor Exit List'!$C:$C, 'Cashflow Projection'!Z125))</f>
        <v/>
      </c>
      <c r="AB125" s="64" t="n"/>
      <c r="AC125" s="48">
        <f>IF(VLOOKUP($D125,Sales!$C:$D,2,FALSE)=TRUE,0,SUMIFS('Investor Exit List'!$Q:$Q, 'Investor Exit List'!$C:$C, 'Cashflow Projection'!AB125))</f>
        <v/>
      </c>
      <c r="AD125" s="64" t="n"/>
      <c r="AE125" s="48">
        <f>IF(VLOOKUP($D125,Sales!$C:$D,2,FALSE)=TRUE,0,SUMIFS('Investor Exit List'!$Q:$Q, 'Investor Exit List'!$C:$C, 'Cashflow Projection'!AD125))</f>
        <v/>
      </c>
      <c r="AF125" s="64" t="n"/>
    </row>
    <row r="126">
      <c r="A126" t="inlineStr"/>
      <c r="B126" t="inlineStr"/>
      <c r="C126" s="62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63" t="inlineStr">
        <is>
          <t>HVC302</t>
        </is>
      </c>
      <c r="E126" s="24">
        <f>IF(F126&lt;&gt;0,1,0)</f>
        <v/>
      </c>
      <c r="F126" s="56">
        <f>+I126+K126+M126+O126+Q126+S126+U126+W126+Y126+AA126+AC126+AE126</f>
        <v/>
      </c>
      <c r="G126" s="15" t="inlineStr">
        <is>
          <t>N / WH</t>
        </is>
      </c>
      <c r="H126" s="53" t="n"/>
      <c r="I126" s="48">
        <f>SUMIFS('Investor Exit List'!$Q:$Q, 'Investor Exit List'!$C:$C, 'Cashflow Projection'!H126)</f>
        <v/>
      </c>
      <c r="J126" s="64" t="n"/>
      <c r="K126" s="48">
        <f>IF(VLOOKUP($D126,Sales!$C:$D,2,FALSE)=TRUE,0,SUMIFS('Investor Exit List'!$Q:$Q, 'Investor Exit List'!$C:$C, 'Cashflow Projection'!J126))</f>
        <v/>
      </c>
      <c r="L126" s="64" t="n"/>
      <c r="M126" s="48">
        <f>IF(VLOOKUP($D126,Sales!$C:$D,2,FALSE)=TRUE,0,SUMIFS('Investor Exit List'!$Q:$Q, 'Investor Exit List'!$C:$C, 'Cashflow Projection'!L126))</f>
        <v/>
      </c>
      <c r="N126" s="64" t="n"/>
      <c r="O126" s="48">
        <f>IF(VLOOKUP($D126,Sales!$C:$D,2,FALSE)=TRUE,0,SUMIFS('Investor Exit List'!$Q:$Q, 'Investor Exit List'!$C:$C, 'Cashflow Projection'!N126))</f>
        <v/>
      </c>
      <c r="P126" s="64" t="n"/>
      <c r="Q126" s="48">
        <f>IF(VLOOKUP($D126,Sales!$C:$D,2,FALSE)=TRUE,0,SUMIFS('Investor Exit List'!$Q:$Q, 'Investor Exit List'!$C:$C, 'Cashflow Projection'!P126))</f>
        <v/>
      </c>
      <c r="R126" s="64" t="n"/>
      <c r="S126" s="48">
        <f>IF(VLOOKUP($D126,Sales!$C:$D,2,FALSE)=TRUE,0,SUMIFS('Investor Exit List'!$Q:$Q, 'Investor Exit List'!$C:$C, 'Cashflow Projection'!R126))</f>
        <v/>
      </c>
      <c r="T126" s="64" t="n"/>
      <c r="U126" s="48">
        <f>IF(VLOOKUP($D126,Sales!$C:$D,2,FALSE)=TRUE,0,SUMIFS('Investor Exit List'!$Q:$Q, 'Investor Exit List'!$C:$C, 'Cashflow Projection'!T126))</f>
        <v/>
      </c>
      <c r="V126" s="64" t="n"/>
      <c r="W126" s="48">
        <f>IF(VLOOKUP($D126,Sales!$C:$D,2,FALSE)=TRUE,0,SUMIFS('Investor Exit List'!$Q:$Q, 'Investor Exit List'!$C:$C, 'Cashflow Projection'!V126))</f>
        <v/>
      </c>
      <c r="X126" s="64" t="n"/>
      <c r="Y126" s="48">
        <f>IF(VLOOKUP($D126,Sales!$C:$D,2,FALSE)=TRUE,0,SUMIFS('Investor Exit List'!$Q:$Q, 'Investor Exit List'!$C:$C, 'Cashflow Projection'!X126))</f>
        <v/>
      </c>
      <c r="Z126" s="64" t="n"/>
      <c r="AA126" s="48">
        <f>IF(VLOOKUP($D126,Sales!$C:$D,2,FALSE)=TRUE,0,SUMIFS('Investor Exit List'!$Q:$Q, 'Investor Exit List'!$C:$C, 'Cashflow Projection'!Z126))</f>
        <v/>
      </c>
      <c r="AB126" s="64" t="n"/>
      <c r="AC126" s="48">
        <f>IF(VLOOKUP($D126,Sales!$C:$D,2,FALSE)=TRUE,0,SUMIFS('Investor Exit List'!$Q:$Q, 'Investor Exit List'!$C:$C, 'Cashflow Projection'!AB126))</f>
        <v/>
      </c>
      <c r="AD126" s="64" t="n"/>
      <c r="AE126" s="48">
        <f>IF(VLOOKUP($D126,Sales!$C:$D,2,FALSE)=TRUE,0,SUMIFS('Investor Exit List'!$Q:$Q, 'Investor Exit List'!$C:$C, 'Cashflow Projection'!AD126))</f>
        <v/>
      </c>
      <c r="AF126" s="64" t="n"/>
    </row>
    <row r="127">
      <c r="A127" t="inlineStr"/>
      <c r="B127" t="inlineStr"/>
      <c r="C127" s="62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3" t="inlineStr">
        <is>
          <t>HVC304</t>
        </is>
      </c>
      <c r="E127" s="24">
        <f>IF(F127&lt;&gt;0,1,0)</f>
        <v/>
      </c>
      <c r="F127" s="56">
        <f>+I127+K127+M127+O127+Q127+S127+U127+W127+Y127+AA127+AC127+AE127</f>
        <v/>
      </c>
      <c r="G127" s="15" t="inlineStr">
        <is>
          <t>N / WH</t>
        </is>
      </c>
      <c r="H127" s="53" t="n"/>
      <c r="I127" s="48">
        <f>SUMIFS('Investor Exit List'!$Q:$Q, 'Investor Exit List'!$C:$C, 'Cashflow Projection'!H127)</f>
        <v/>
      </c>
      <c r="J127" s="64" t="n"/>
      <c r="K127" s="48">
        <f>IF(VLOOKUP($D127,Sales!$C:$D,2,FALSE)=TRUE,0,SUMIFS('Investor Exit List'!$Q:$Q, 'Investor Exit List'!$C:$C, 'Cashflow Projection'!J127))</f>
        <v/>
      </c>
      <c r="L127" s="64" t="n"/>
      <c r="M127" s="48">
        <f>IF(VLOOKUP($D127,Sales!$C:$D,2,FALSE)=TRUE,0,SUMIFS('Investor Exit List'!$Q:$Q, 'Investor Exit List'!$C:$C, 'Cashflow Projection'!L127))</f>
        <v/>
      </c>
      <c r="N127" s="64" t="n"/>
      <c r="O127" s="48">
        <f>IF(VLOOKUP($D127,Sales!$C:$D,2,FALSE)=TRUE,0,SUMIFS('Investor Exit List'!$Q:$Q, 'Investor Exit List'!$C:$C, 'Cashflow Projection'!N127))</f>
        <v/>
      </c>
      <c r="P127" s="64" t="n"/>
      <c r="Q127" s="48">
        <f>IF(VLOOKUP($D127,Sales!$C:$D,2,FALSE)=TRUE,0,SUMIFS('Investor Exit List'!$Q:$Q, 'Investor Exit List'!$C:$C, 'Cashflow Projection'!P127))</f>
        <v/>
      </c>
      <c r="R127" s="64" t="n"/>
      <c r="S127" s="48">
        <f>IF(VLOOKUP($D127,Sales!$C:$D,2,FALSE)=TRUE,0,SUMIFS('Investor Exit List'!$Q:$Q, 'Investor Exit List'!$C:$C, 'Cashflow Projection'!R127))</f>
        <v/>
      </c>
      <c r="T127" s="64" t="n"/>
      <c r="U127" s="48">
        <f>IF(VLOOKUP($D127,Sales!$C:$D,2,FALSE)=TRUE,0,SUMIFS('Investor Exit List'!$Q:$Q, 'Investor Exit List'!$C:$C, 'Cashflow Projection'!T127))</f>
        <v/>
      </c>
      <c r="V127" s="64" t="n"/>
      <c r="W127" s="48">
        <f>IF(VLOOKUP($D127,Sales!$C:$D,2,FALSE)=TRUE,0,SUMIFS('Investor Exit List'!$Q:$Q, 'Investor Exit List'!$C:$C, 'Cashflow Projection'!V127))</f>
        <v/>
      </c>
      <c r="X127" s="64" t="n"/>
      <c r="Y127" s="48">
        <f>IF(VLOOKUP($D127,Sales!$C:$D,2,FALSE)=TRUE,0,SUMIFS('Investor Exit List'!$Q:$Q, 'Investor Exit List'!$C:$C, 'Cashflow Projection'!X127))</f>
        <v/>
      </c>
      <c r="Z127" s="64" t="n"/>
      <c r="AA127" s="48">
        <f>IF(VLOOKUP($D127,Sales!$C:$D,2,FALSE)=TRUE,0,SUMIFS('Investor Exit List'!$Q:$Q, 'Investor Exit List'!$C:$C, 'Cashflow Projection'!Z127))</f>
        <v/>
      </c>
      <c r="AB127" s="64" t="n"/>
      <c r="AC127" s="48">
        <f>IF(VLOOKUP($D127,Sales!$C:$D,2,FALSE)=TRUE,0,SUMIFS('Investor Exit List'!$Q:$Q, 'Investor Exit List'!$C:$C, 'Cashflow Projection'!AB127))</f>
        <v/>
      </c>
      <c r="AD127" s="64" t="n"/>
      <c r="AE127" s="48">
        <f>IF(VLOOKUP($D127,Sales!$C:$D,2,FALSE)=TRUE,0,SUMIFS('Investor Exit List'!$Q:$Q, 'Investor Exit List'!$C:$C, 'Cashflow Projection'!AD127))</f>
        <v/>
      </c>
      <c r="AF127" s="64" t="n"/>
    </row>
    <row r="128">
      <c r="A128" t="inlineStr"/>
      <c r="B128" t="inlineStr"/>
      <c r="C128" s="62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3" t="inlineStr">
        <is>
          <t>HVC305</t>
        </is>
      </c>
      <c r="E128" s="24">
        <f>IF(F128&lt;&gt;0,1,0)</f>
        <v/>
      </c>
      <c r="F128" s="56">
        <f>+I128+K128+M128+O128+Q128+S128+U128+W128+Y128+AA128+AC128+AE128</f>
        <v/>
      </c>
      <c r="G128" s="15" t="inlineStr">
        <is>
          <t>N / WH</t>
        </is>
      </c>
      <c r="H128" s="53" t="n"/>
      <c r="I128" s="48">
        <f>SUMIFS('Investor Exit List'!$Q:$Q, 'Investor Exit List'!$C:$C, 'Cashflow Projection'!H128)</f>
        <v/>
      </c>
      <c r="J128" s="64" t="n"/>
      <c r="K128" s="48">
        <f>IF(VLOOKUP($D128,Sales!$C:$D,2,FALSE)=TRUE,0,SUMIFS('Investor Exit List'!$Q:$Q, 'Investor Exit List'!$C:$C, 'Cashflow Projection'!J128))</f>
        <v/>
      </c>
      <c r="L128" s="64" t="n"/>
      <c r="M128" s="48">
        <f>IF(VLOOKUP($D128,Sales!$C:$D,2,FALSE)=TRUE,0,SUMIFS('Investor Exit List'!$Q:$Q, 'Investor Exit List'!$C:$C, 'Cashflow Projection'!L128))</f>
        <v/>
      </c>
      <c r="N128" s="64" t="n"/>
      <c r="O128" s="48">
        <f>IF(VLOOKUP($D128,Sales!$C:$D,2,FALSE)=TRUE,0,SUMIFS('Investor Exit List'!$Q:$Q, 'Investor Exit List'!$C:$C, 'Cashflow Projection'!N128))</f>
        <v/>
      </c>
      <c r="P128" s="64" t="n"/>
      <c r="Q128" s="48">
        <f>IF(VLOOKUP($D128,Sales!$C:$D,2,FALSE)=TRUE,0,SUMIFS('Investor Exit List'!$Q:$Q, 'Investor Exit List'!$C:$C, 'Cashflow Projection'!P128))</f>
        <v/>
      </c>
      <c r="R128" s="64" t="n"/>
      <c r="S128" s="48">
        <f>IF(VLOOKUP($D128,Sales!$C:$D,2,FALSE)=TRUE,0,SUMIFS('Investor Exit List'!$Q:$Q, 'Investor Exit List'!$C:$C, 'Cashflow Projection'!R128))</f>
        <v/>
      </c>
      <c r="T128" s="64" t="n"/>
      <c r="U128" s="48">
        <f>IF(VLOOKUP($D128,Sales!$C:$D,2,FALSE)=TRUE,0,SUMIFS('Investor Exit List'!$Q:$Q, 'Investor Exit List'!$C:$C, 'Cashflow Projection'!T128))</f>
        <v/>
      </c>
      <c r="V128" s="64" t="n"/>
      <c r="W128" s="48">
        <f>IF(VLOOKUP($D128,Sales!$C:$D,2,FALSE)=TRUE,0,SUMIFS('Investor Exit List'!$Q:$Q, 'Investor Exit List'!$C:$C, 'Cashflow Projection'!V128))</f>
        <v/>
      </c>
      <c r="X128" s="64" t="n"/>
      <c r="Y128" s="48">
        <f>IF(VLOOKUP($D128,Sales!$C:$D,2,FALSE)=TRUE,0,SUMIFS('Investor Exit List'!$Q:$Q, 'Investor Exit List'!$C:$C, 'Cashflow Projection'!X128))</f>
        <v/>
      </c>
      <c r="Z128" s="64" t="n"/>
      <c r="AA128" s="48">
        <f>IF(VLOOKUP($D128,Sales!$C:$D,2,FALSE)=TRUE,0,SUMIFS('Investor Exit List'!$Q:$Q, 'Investor Exit List'!$C:$C, 'Cashflow Projection'!Z128))</f>
        <v/>
      </c>
      <c r="AB128" s="64" t="n"/>
      <c r="AC128" s="48">
        <f>IF(VLOOKUP($D128,Sales!$C:$D,2,FALSE)=TRUE,0,SUMIFS('Investor Exit List'!$Q:$Q, 'Investor Exit List'!$C:$C, 'Cashflow Projection'!AB128))</f>
        <v/>
      </c>
      <c r="AD128" s="64" t="n"/>
      <c r="AE128" s="48">
        <f>IF(VLOOKUP($D128,Sales!$C:$D,2,FALSE)=TRUE,0,SUMIFS('Investor Exit List'!$Q:$Q, 'Investor Exit List'!$C:$C, 'Cashflow Projection'!AD128))</f>
        <v/>
      </c>
      <c r="AF128" s="64" t="n"/>
    </row>
    <row r="129">
      <c r="A129" t="inlineStr"/>
      <c r="B129" t="inlineStr"/>
      <c r="C129" s="62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3" t="inlineStr">
        <is>
          <t>HVJ102</t>
        </is>
      </c>
      <c r="E129" s="24">
        <f>IF(F129&lt;&gt;0,1,0)</f>
        <v/>
      </c>
      <c r="F129" s="56">
        <f>+I129+K129+M129+O129+Q129+S129+U129+W129+Y129+AA129+AC129+AE129</f>
        <v/>
      </c>
      <c r="G129" s="15" t="inlineStr">
        <is>
          <t>N / WH</t>
        </is>
      </c>
      <c r="H129" s="53" t="n"/>
      <c r="I129" s="48">
        <f>SUMIFS('Investor Exit List'!$Q:$Q, 'Investor Exit List'!$C:$C, 'Cashflow Projection'!H129)</f>
        <v/>
      </c>
      <c r="J129" s="64" t="n"/>
      <c r="K129" s="48">
        <f>IF(VLOOKUP($D129,Sales!$C:$D,2,FALSE)=TRUE,0,SUMIFS('Investor Exit List'!$Q:$Q, 'Investor Exit List'!$C:$C, 'Cashflow Projection'!J129))</f>
        <v/>
      </c>
      <c r="L129" s="64" t="n"/>
      <c r="M129" s="48">
        <f>IF(VLOOKUP($D129,Sales!$C:$D,2,FALSE)=TRUE,0,SUMIFS('Investor Exit List'!$Q:$Q, 'Investor Exit List'!$C:$C, 'Cashflow Projection'!L129))</f>
        <v/>
      </c>
      <c r="N129" s="64" t="n"/>
      <c r="O129" s="48">
        <f>IF(VLOOKUP($D129,Sales!$C:$D,2,FALSE)=TRUE,0,SUMIFS('Investor Exit List'!$Q:$Q, 'Investor Exit List'!$C:$C, 'Cashflow Projection'!N129))</f>
        <v/>
      </c>
      <c r="P129" s="64" t="n"/>
      <c r="Q129" s="48">
        <f>IF(VLOOKUP($D129,Sales!$C:$D,2,FALSE)=TRUE,0,SUMIFS('Investor Exit List'!$Q:$Q, 'Investor Exit List'!$C:$C, 'Cashflow Projection'!P129))</f>
        <v/>
      </c>
      <c r="R129" s="64" t="n"/>
      <c r="S129" s="48">
        <f>IF(VLOOKUP($D129,Sales!$C:$D,2,FALSE)=TRUE,0,SUMIFS('Investor Exit List'!$Q:$Q, 'Investor Exit List'!$C:$C, 'Cashflow Projection'!R129))</f>
        <v/>
      </c>
      <c r="T129" s="64" t="n"/>
      <c r="U129" s="48">
        <f>IF(VLOOKUP($D129,Sales!$C:$D,2,FALSE)=TRUE,0,SUMIFS('Investor Exit List'!$Q:$Q, 'Investor Exit List'!$C:$C, 'Cashflow Projection'!T129))</f>
        <v/>
      </c>
      <c r="V129" s="64" t="n"/>
      <c r="W129" s="48">
        <f>IF(VLOOKUP($D129,Sales!$C:$D,2,FALSE)=TRUE,0,SUMIFS('Investor Exit List'!$Q:$Q, 'Investor Exit List'!$C:$C, 'Cashflow Projection'!V129))</f>
        <v/>
      </c>
      <c r="X129" s="64" t="n"/>
      <c r="Y129" s="48">
        <f>IF(VLOOKUP($D129,Sales!$C:$D,2,FALSE)=TRUE,0,SUMIFS('Investor Exit List'!$Q:$Q, 'Investor Exit List'!$C:$C, 'Cashflow Projection'!X129))</f>
        <v/>
      </c>
      <c r="Z129" s="64" t="n"/>
      <c r="AA129" s="48">
        <f>IF(VLOOKUP($D129,Sales!$C:$D,2,FALSE)=TRUE,0,SUMIFS('Investor Exit List'!$Q:$Q, 'Investor Exit List'!$C:$C, 'Cashflow Projection'!Z129))</f>
        <v/>
      </c>
      <c r="AB129" s="64" t="n"/>
      <c r="AC129" s="48">
        <f>IF(VLOOKUP($D129,Sales!$C:$D,2,FALSE)=TRUE,0,SUMIFS('Investor Exit List'!$Q:$Q, 'Investor Exit List'!$C:$C, 'Cashflow Projection'!AB129))</f>
        <v/>
      </c>
      <c r="AD129" s="64" t="n"/>
      <c r="AE129" s="48">
        <f>IF(VLOOKUP($D129,Sales!$C:$D,2,FALSE)=TRUE,0,SUMIFS('Investor Exit List'!$Q:$Q, 'Investor Exit List'!$C:$C, 'Cashflow Projection'!AD129))</f>
        <v/>
      </c>
      <c r="AF129" s="64" t="n"/>
    </row>
    <row r="130">
      <c r="A130" t="inlineStr"/>
      <c r="B130" t="inlineStr"/>
      <c r="C130" s="62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3" t="inlineStr">
        <is>
          <t>HVJ103</t>
        </is>
      </c>
      <c r="E130" s="24">
        <f>IF(F130&lt;&gt;0,1,0)</f>
        <v/>
      </c>
      <c r="F130" s="56">
        <f>+I130+K130+M130+O130+Q130+S130+U130+W130+Y130+AA130+AC130+AE130</f>
        <v/>
      </c>
      <c r="G130" s="15" t="inlineStr">
        <is>
          <t>N / WH</t>
        </is>
      </c>
      <c r="H130" s="53" t="n"/>
      <c r="I130" s="48">
        <f>SUMIFS('Investor Exit List'!$Q:$Q, 'Investor Exit List'!$C:$C, 'Cashflow Projection'!H130)</f>
        <v/>
      </c>
      <c r="J130" s="64" t="n"/>
      <c r="K130" s="48">
        <f>IF(VLOOKUP($D130,Sales!$C:$D,2,FALSE)=TRUE,0,SUMIFS('Investor Exit List'!$Q:$Q, 'Investor Exit List'!$C:$C, 'Cashflow Projection'!J130))</f>
        <v/>
      </c>
      <c r="L130" s="64" t="n"/>
      <c r="M130" s="48">
        <f>IF(VLOOKUP($D130,Sales!$C:$D,2,FALSE)=TRUE,0,SUMIFS('Investor Exit List'!$Q:$Q, 'Investor Exit List'!$C:$C, 'Cashflow Projection'!L130))</f>
        <v/>
      </c>
      <c r="N130" s="64" t="n"/>
      <c r="O130" s="48">
        <f>IF(VLOOKUP($D130,Sales!$C:$D,2,FALSE)=TRUE,0,SUMIFS('Investor Exit List'!$Q:$Q, 'Investor Exit List'!$C:$C, 'Cashflow Projection'!N130))</f>
        <v/>
      </c>
      <c r="P130" s="64" t="n"/>
      <c r="Q130" s="48">
        <f>IF(VLOOKUP($D130,Sales!$C:$D,2,FALSE)=TRUE,0,SUMIFS('Investor Exit List'!$Q:$Q, 'Investor Exit List'!$C:$C, 'Cashflow Projection'!P130))</f>
        <v/>
      </c>
      <c r="R130" s="64" t="n"/>
      <c r="S130" s="48">
        <f>IF(VLOOKUP($D130,Sales!$C:$D,2,FALSE)=TRUE,0,SUMIFS('Investor Exit List'!$Q:$Q, 'Investor Exit List'!$C:$C, 'Cashflow Projection'!R130))</f>
        <v/>
      </c>
      <c r="T130" s="64" t="n"/>
      <c r="U130" s="48">
        <f>IF(VLOOKUP($D130,Sales!$C:$D,2,FALSE)=TRUE,0,SUMIFS('Investor Exit List'!$Q:$Q, 'Investor Exit List'!$C:$C, 'Cashflow Projection'!T130))</f>
        <v/>
      </c>
      <c r="V130" s="64" t="n"/>
      <c r="W130" s="48">
        <f>IF(VLOOKUP($D130,Sales!$C:$D,2,FALSE)=TRUE,0,SUMIFS('Investor Exit List'!$Q:$Q, 'Investor Exit List'!$C:$C, 'Cashflow Projection'!V130))</f>
        <v/>
      </c>
      <c r="X130" s="64" t="n"/>
      <c r="Y130" s="48">
        <f>IF(VLOOKUP($D130,Sales!$C:$D,2,FALSE)=TRUE,0,SUMIFS('Investor Exit List'!$Q:$Q, 'Investor Exit List'!$C:$C, 'Cashflow Projection'!X130))</f>
        <v/>
      </c>
      <c r="Z130" s="64" t="n"/>
      <c r="AA130" s="48">
        <f>IF(VLOOKUP($D130,Sales!$C:$D,2,FALSE)=TRUE,0,SUMIFS('Investor Exit List'!$Q:$Q, 'Investor Exit List'!$C:$C, 'Cashflow Projection'!Z130))</f>
        <v/>
      </c>
      <c r="AB130" s="64" t="n"/>
      <c r="AC130" s="48">
        <f>IF(VLOOKUP($D130,Sales!$C:$D,2,FALSE)=TRUE,0,SUMIFS('Investor Exit List'!$Q:$Q, 'Investor Exit List'!$C:$C, 'Cashflow Projection'!AB130))</f>
        <v/>
      </c>
      <c r="AD130" s="64" t="n"/>
      <c r="AE130" s="48">
        <f>IF(VLOOKUP($D130,Sales!$C:$D,2,FALSE)=TRUE,0,SUMIFS('Investor Exit List'!$Q:$Q, 'Investor Exit List'!$C:$C, 'Cashflow Projection'!AD130))</f>
        <v/>
      </c>
      <c r="AF130" s="64" t="n"/>
    </row>
    <row r="131">
      <c r="A131" t="inlineStr"/>
      <c r="B131" t="inlineStr"/>
      <c r="C131" s="62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3" t="inlineStr">
        <is>
          <t>HVJ201</t>
        </is>
      </c>
      <c r="E131" s="24">
        <f>IF(F131&lt;&gt;0,1,0)</f>
        <v/>
      </c>
      <c r="F131" s="56">
        <f>+I131+K131+M131+O131+Q131+S131+U131+W131+Y131+AA131+AC131+AE131</f>
        <v/>
      </c>
      <c r="G131" s="15" t="inlineStr">
        <is>
          <t>N / WH</t>
        </is>
      </c>
      <c r="H131" s="53" t="n"/>
      <c r="I131" s="48">
        <f>SUMIFS('Investor Exit List'!$Q:$Q, 'Investor Exit List'!$C:$C, 'Cashflow Projection'!H131)</f>
        <v/>
      </c>
      <c r="J131" s="64" t="n"/>
      <c r="K131" s="48">
        <f>IF(VLOOKUP($D131,Sales!$C:$D,2,FALSE)=TRUE,0,SUMIFS('Investor Exit List'!$Q:$Q, 'Investor Exit List'!$C:$C, 'Cashflow Projection'!J131))</f>
        <v/>
      </c>
      <c r="L131" s="64" t="n"/>
      <c r="M131" s="48">
        <f>IF(VLOOKUP($D131,Sales!$C:$D,2,FALSE)=TRUE,0,SUMIFS('Investor Exit List'!$Q:$Q, 'Investor Exit List'!$C:$C, 'Cashflow Projection'!L131))</f>
        <v/>
      </c>
      <c r="N131" s="64" t="n"/>
      <c r="O131" s="48">
        <f>IF(VLOOKUP($D131,Sales!$C:$D,2,FALSE)=TRUE,0,SUMIFS('Investor Exit List'!$Q:$Q, 'Investor Exit List'!$C:$C, 'Cashflow Projection'!N131))</f>
        <v/>
      </c>
      <c r="P131" s="64" t="n"/>
      <c r="Q131" s="48">
        <f>IF(VLOOKUP($D131,Sales!$C:$D,2,FALSE)=TRUE,0,SUMIFS('Investor Exit List'!$Q:$Q, 'Investor Exit List'!$C:$C, 'Cashflow Projection'!P131))</f>
        <v/>
      </c>
      <c r="R131" s="64" t="n"/>
      <c r="S131" s="48">
        <f>IF(VLOOKUP($D131,Sales!$C:$D,2,FALSE)=TRUE,0,SUMIFS('Investor Exit List'!$Q:$Q, 'Investor Exit List'!$C:$C, 'Cashflow Projection'!R131))</f>
        <v/>
      </c>
      <c r="T131" s="64" t="n"/>
      <c r="U131" s="48">
        <f>IF(VLOOKUP($D131,Sales!$C:$D,2,FALSE)=TRUE,0,SUMIFS('Investor Exit List'!$Q:$Q, 'Investor Exit List'!$C:$C, 'Cashflow Projection'!T131))</f>
        <v/>
      </c>
      <c r="V131" s="64" t="n"/>
      <c r="W131" s="48">
        <f>IF(VLOOKUP($D131,Sales!$C:$D,2,FALSE)=TRUE,0,SUMIFS('Investor Exit List'!$Q:$Q, 'Investor Exit List'!$C:$C, 'Cashflow Projection'!V131))</f>
        <v/>
      </c>
      <c r="X131" s="64" t="n"/>
      <c r="Y131" s="48">
        <f>IF(VLOOKUP($D131,Sales!$C:$D,2,FALSE)=TRUE,0,SUMIFS('Investor Exit List'!$Q:$Q, 'Investor Exit List'!$C:$C, 'Cashflow Projection'!X131))</f>
        <v/>
      </c>
      <c r="Z131" s="64" t="n"/>
      <c r="AA131" s="48">
        <f>IF(VLOOKUP($D131,Sales!$C:$D,2,FALSE)=TRUE,0,SUMIFS('Investor Exit List'!$Q:$Q, 'Investor Exit List'!$C:$C, 'Cashflow Projection'!Z131))</f>
        <v/>
      </c>
      <c r="AB131" s="64" t="n"/>
      <c r="AC131" s="48">
        <f>IF(VLOOKUP($D131,Sales!$C:$D,2,FALSE)=TRUE,0,SUMIFS('Investor Exit List'!$Q:$Q, 'Investor Exit List'!$C:$C, 'Cashflow Projection'!AB131))</f>
        <v/>
      </c>
      <c r="AD131" s="64" t="n"/>
      <c r="AE131" s="48">
        <f>IF(VLOOKUP($D131,Sales!$C:$D,2,FALSE)=TRUE,0,SUMIFS('Investor Exit List'!$Q:$Q, 'Investor Exit List'!$C:$C, 'Cashflow Projection'!AD131))</f>
        <v/>
      </c>
      <c r="AF131" s="64" t="n"/>
    </row>
    <row r="132">
      <c r="A132" t="inlineStr"/>
      <c r="B132" t="inlineStr"/>
      <c r="C132" s="62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3" t="inlineStr">
        <is>
          <t>HVJ202</t>
        </is>
      </c>
      <c r="E132" s="24">
        <f>IF(F132&lt;&gt;0,1,0)</f>
        <v/>
      </c>
      <c r="F132" s="56">
        <f>+I132+K132+M132+O132+Q132+S132+U132+W132+Y132+AA132+AC132+AE132</f>
        <v/>
      </c>
      <c r="G132" s="15" t="inlineStr">
        <is>
          <t>N / WH</t>
        </is>
      </c>
      <c r="H132" s="53" t="n"/>
      <c r="I132" s="48">
        <f>SUMIFS('Investor Exit List'!$Q:$Q, 'Investor Exit List'!$C:$C, 'Cashflow Projection'!H132)</f>
        <v/>
      </c>
      <c r="J132" s="64" t="n"/>
      <c r="K132" s="48">
        <f>IF(VLOOKUP($D132,Sales!$C:$D,2,FALSE)=TRUE,0,SUMIFS('Investor Exit List'!$Q:$Q, 'Investor Exit List'!$C:$C, 'Cashflow Projection'!J132))</f>
        <v/>
      </c>
      <c r="L132" s="64" t="n"/>
      <c r="M132" s="48">
        <f>IF(VLOOKUP($D132,Sales!$C:$D,2,FALSE)=TRUE,0,SUMIFS('Investor Exit List'!$Q:$Q, 'Investor Exit List'!$C:$C, 'Cashflow Projection'!L132))</f>
        <v/>
      </c>
      <c r="N132" s="64" t="n"/>
      <c r="O132" s="48">
        <f>IF(VLOOKUP($D132,Sales!$C:$D,2,FALSE)=TRUE,0,SUMIFS('Investor Exit List'!$Q:$Q, 'Investor Exit List'!$C:$C, 'Cashflow Projection'!N132))</f>
        <v/>
      </c>
      <c r="P132" s="64" t="n"/>
      <c r="Q132" s="48">
        <f>IF(VLOOKUP($D132,Sales!$C:$D,2,FALSE)=TRUE,0,SUMIFS('Investor Exit List'!$Q:$Q, 'Investor Exit List'!$C:$C, 'Cashflow Projection'!P132))</f>
        <v/>
      </c>
      <c r="R132" s="64" t="n"/>
      <c r="S132" s="48">
        <f>IF(VLOOKUP($D132,Sales!$C:$D,2,FALSE)=TRUE,0,SUMIFS('Investor Exit List'!$Q:$Q, 'Investor Exit List'!$C:$C, 'Cashflow Projection'!R132))</f>
        <v/>
      </c>
      <c r="T132" s="64" t="n"/>
      <c r="U132" s="48">
        <f>IF(VLOOKUP($D132,Sales!$C:$D,2,FALSE)=TRUE,0,SUMIFS('Investor Exit List'!$Q:$Q, 'Investor Exit List'!$C:$C, 'Cashflow Projection'!T132))</f>
        <v/>
      </c>
      <c r="V132" s="64" t="n"/>
      <c r="W132" s="48">
        <f>IF(VLOOKUP($D132,Sales!$C:$D,2,FALSE)=TRUE,0,SUMIFS('Investor Exit List'!$Q:$Q, 'Investor Exit List'!$C:$C, 'Cashflow Projection'!V132))</f>
        <v/>
      </c>
      <c r="X132" s="64" t="n"/>
      <c r="Y132" s="48">
        <f>IF(VLOOKUP($D132,Sales!$C:$D,2,FALSE)=TRUE,0,SUMIFS('Investor Exit List'!$Q:$Q, 'Investor Exit List'!$C:$C, 'Cashflow Projection'!X132))</f>
        <v/>
      </c>
      <c r="Z132" s="64" t="n"/>
      <c r="AA132" s="48">
        <f>IF(VLOOKUP($D132,Sales!$C:$D,2,FALSE)=TRUE,0,SUMIFS('Investor Exit List'!$Q:$Q, 'Investor Exit List'!$C:$C, 'Cashflow Projection'!Z132))</f>
        <v/>
      </c>
      <c r="AB132" s="64" t="n"/>
      <c r="AC132" s="48">
        <f>IF(VLOOKUP($D132,Sales!$C:$D,2,FALSE)=TRUE,0,SUMIFS('Investor Exit List'!$Q:$Q, 'Investor Exit List'!$C:$C, 'Cashflow Projection'!AB132))</f>
        <v/>
      </c>
      <c r="AD132" s="64" t="n"/>
      <c r="AE132" s="48">
        <f>IF(VLOOKUP($D132,Sales!$C:$D,2,FALSE)=TRUE,0,SUMIFS('Investor Exit List'!$Q:$Q, 'Investor Exit List'!$C:$C, 'Cashflow Projection'!AD132))</f>
        <v/>
      </c>
      <c r="AF132" s="64" t="n"/>
    </row>
    <row r="133">
      <c r="A133" t="inlineStr"/>
      <c r="B133" t="inlineStr"/>
      <c r="C133" s="62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3" t="inlineStr">
        <is>
          <t>HVJ203</t>
        </is>
      </c>
      <c r="E133" s="24">
        <f>IF(F133&lt;&gt;0,1,0)</f>
        <v/>
      </c>
      <c r="F133" s="56">
        <f>+I133+K133+M133+O133+Q133+S133+U133+W133+Y133+AA133+AC133+AE133</f>
        <v/>
      </c>
      <c r="G133" s="15" t="inlineStr">
        <is>
          <t>N / WH</t>
        </is>
      </c>
      <c r="H133" s="53" t="n"/>
      <c r="I133" s="48">
        <f>SUMIFS('Investor Exit List'!$Q:$Q, 'Investor Exit List'!$C:$C, 'Cashflow Projection'!H133)</f>
        <v/>
      </c>
      <c r="J133" s="64" t="n"/>
      <c r="K133" s="48">
        <f>IF(VLOOKUP($D133,Sales!$C:$D,2,FALSE)=TRUE,0,SUMIFS('Investor Exit List'!$Q:$Q, 'Investor Exit List'!$C:$C, 'Cashflow Projection'!J133))</f>
        <v/>
      </c>
      <c r="L133" s="64" t="n"/>
      <c r="M133" s="48">
        <f>IF(VLOOKUP($D133,Sales!$C:$D,2,FALSE)=TRUE,0,SUMIFS('Investor Exit List'!$Q:$Q, 'Investor Exit List'!$C:$C, 'Cashflow Projection'!L133))</f>
        <v/>
      </c>
      <c r="N133" s="64" t="n"/>
      <c r="O133" s="48">
        <f>IF(VLOOKUP($D133,Sales!$C:$D,2,FALSE)=TRUE,0,SUMIFS('Investor Exit List'!$Q:$Q, 'Investor Exit List'!$C:$C, 'Cashflow Projection'!N133))</f>
        <v/>
      </c>
      <c r="P133" s="64" t="n"/>
      <c r="Q133" s="48">
        <f>IF(VLOOKUP($D133,Sales!$C:$D,2,FALSE)=TRUE,0,SUMIFS('Investor Exit List'!$Q:$Q, 'Investor Exit List'!$C:$C, 'Cashflow Projection'!P133))</f>
        <v/>
      </c>
      <c r="R133" s="64" t="n"/>
      <c r="S133" s="48">
        <f>IF(VLOOKUP($D133,Sales!$C:$D,2,FALSE)=TRUE,0,SUMIFS('Investor Exit List'!$Q:$Q, 'Investor Exit List'!$C:$C, 'Cashflow Projection'!R133))</f>
        <v/>
      </c>
      <c r="T133" s="64" t="n"/>
      <c r="U133" s="48">
        <f>IF(VLOOKUP($D133,Sales!$C:$D,2,FALSE)=TRUE,0,SUMIFS('Investor Exit List'!$Q:$Q, 'Investor Exit List'!$C:$C, 'Cashflow Projection'!T133))</f>
        <v/>
      </c>
      <c r="V133" s="64" t="n"/>
      <c r="W133" s="48">
        <f>IF(VLOOKUP($D133,Sales!$C:$D,2,FALSE)=TRUE,0,SUMIFS('Investor Exit List'!$Q:$Q, 'Investor Exit List'!$C:$C, 'Cashflow Projection'!V133))</f>
        <v/>
      </c>
      <c r="X133" s="64" t="n"/>
      <c r="Y133" s="48">
        <f>IF(VLOOKUP($D133,Sales!$C:$D,2,FALSE)=TRUE,0,SUMIFS('Investor Exit List'!$Q:$Q, 'Investor Exit List'!$C:$C, 'Cashflow Projection'!X133))</f>
        <v/>
      </c>
      <c r="Z133" s="64" t="n"/>
      <c r="AA133" s="48">
        <f>IF(VLOOKUP($D133,Sales!$C:$D,2,FALSE)=TRUE,0,SUMIFS('Investor Exit List'!$Q:$Q, 'Investor Exit List'!$C:$C, 'Cashflow Projection'!Z133))</f>
        <v/>
      </c>
      <c r="AB133" s="64" t="n"/>
      <c r="AC133" s="48">
        <f>IF(VLOOKUP($D133,Sales!$C:$D,2,FALSE)=TRUE,0,SUMIFS('Investor Exit List'!$Q:$Q, 'Investor Exit List'!$C:$C, 'Cashflow Projection'!AB133))</f>
        <v/>
      </c>
      <c r="AD133" s="64" t="n"/>
      <c r="AE133" s="48">
        <f>IF(VLOOKUP($D133,Sales!$C:$D,2,FALSE)=TRUE,0,SUMIFS('Investor Exit List'!$Q:$Q, 'Investor Exit List'!$C:$C, 'Cashflow Projection'!AD133))</f>
        <v/>
      </c>
      <c r="AF133" s="64" t="n"/>
    </row>
    <row r="134">
      <c r="A134" t="inlineStr"/>
      <c r="B134" t="inlineStr"/>
      <c r="C134" s="62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3" t="inlineStr">
        <is>
          <t>HVJ301</t>
        </is>
      </c>
      <c r="E134" s="24">
        <f>IF(F134&lt;&gt;0,1,0)</f>
        <v/>
      </c>
      <c r="F134" s="56">
        <f>+I134+K134+M134+O134+Q134+S134+U134+W134+Y134+AA134+AC134+AE134</f>
        <v/>
      </c>
      <c r="G134" s="15" t="inlineStr">
        <is>
          <t>N / WH</t>
        </is>
      </c>
      <c r="H134" s="53" t="n"/>
      <c r="I134" s="48">
        <f>SUMIFS('Investor Exit List'!$Q:$Q, 'Investor Exit List'!$C:$C, 'Cashflow Projection'!H134)</f>
        <v/>
      </c>
      <c r="J134" s="64" t="n"/>
      <c r="K134" s="48">
        <f>IF(VLOOKUP($D134,Sales!$C:$D,2,FALSE)=TRUE,0,SUMIFS('Investor Exit List'!$Q:$Q, 'Investor Exit List'!$C:$C, 'Cashflow Projection'!J134))</f>
        <v/>
      </c>
      <c r="L134" s="64" t="n"/>
      <c r="M134" s="48">
        <f>IF(VLOOKUP($D134,Sales!$C:$D,2,FALSE)=TRUE,0,SUMIFS('Investor Exit List'!$Q:$Q, 'Investor Exit List'!$C:$C, 'Cashflow Projection'!L134))</f>
        <v/>
      </c>
      <c r="N134" s="64" t="n"/>
      <c r="O134" s="48">
        <f>IF(VLOOKUP($D134,Sales!$C:$D,2,FALSE)=TRUE,0,SUMIFS('Investor Exit List'!$Q:$Q, 'Investor Exit List'!$C:$C, 'Cashflow Projection'!N134))</f>
        <v/>
      </c>
      <c r="P134" s="64" t="n"/>
      <c r="Q134" s="48">
        <f>IF(VLOOKUP($D134,Sales!$C:$D,2,FALSE)=TRUE,0,SUMIFS('Investor Exit List'!$Q:$Q, 'Investor Exit List'!$C:$C, 'Cashflow Projection'!P134))</f>
        <v/>
      </c>
      <c r="R134" s="64" t="n"/>
      <c r="S134" s="48">
        <f>IF(VLOOKUP($D134,Sales!$C:$D,2,FALSE)=TRUE,0,SUMIFS('Investor Exit List'!$Q:$Q, 'Investor Exit List'!$C:$C, 'Cashflow Projection'!R134))</f>
        <v/>
      </c>
      <c r="T134" s="64" t="n"/>
      <c r="U134" s="48">
        <f>IF(VLOOKUP($D134,Sales!$C:$D,2,FALSE)=TRUE,0,SUMIFS('Investor Exit List'!$Q:$Q, 'Investor Exit List'!$C:$C, 'Cashflow Projection'!T134))</f>
        <v/>
      </c>
      <c r="V134" s="64" t="n"/>
      <c r="W134" s="48">
        <f>IF(VLOOKUP($D134,Sales!$C:$D,2,FALSE)=TRUE,0,SUMIFS('Investor Exit List'!$Q:$Q, 'Investor Exit List'!$C:$C, 'Cashflow Projection'!V134))</f>
        <v/>
      </c>
      <c r="X134" s="64" t="n"/>
      <c r="Y134" s="48">
        <f>IF(VLOOKUP($D134,Sales!$C:$D,2,FALSE)=TRUE,0,SUMIFS('Investor Exit List'!$Q:$Q, 'Investor Exit List'!$C:$C, 'Cashflow Projection'!X134))</f>
        <v/>
      </c>
      <c r="Z134" s="64" t="n"/>
      <c r="AA134" s="48">
        <f>IF(VLOOKUP($D134,Sales!$C:$D,2,FALSE)=TRUE,0,SUMIFS('Investor Exit List'!$Q:$Q, 'Investor Exit List'!$C:$C, 'Cashflow Projection'!Z134))</f>
        <v/>
      </c>
      <c r="AB134" s="64" t="n"/>
      <c r="AC134" s="48">
        <f>IF(VLOOKUP($D134,Sales!$C:$D,2,FALSE)=TRUE,0,SUMIFS('Investor Exit List'!$Q:$Q, 'Investor Exit List'!$C:$C, 'Cashflow Projection'!AB134))</f>
        <v/>
      </c>
      <c r="AD134" s="64" t="n"/>
      <c r="AE134" s="48">
        <f>IF(VLOOKUP($D134,Sales!$C:$D,2,FALSE)=TRUE,0,SUMIFS('Investor Exit List'!$Q:$Q, 'Investor Exit List'!$C:$C, 'Cashflow Projection'!AD134))</f>
        <v/>
      </c>
      <c r="AF134" s="64" t="n"/>
    </row>
    <row r="135">
      <c r="A135" t="inlineStr"/>
      <c r="B135" t="inlineStr"/>
      <c r="C135" s="62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3" t="inlineStr">
        <is>
          <t>HVJ302</t>
        </is>
      </c>
      <c r="E135" s="24">
        <f>IF(F135&lt;&gt;0,1,0)</f>
        <v/>
      </c>
      <c r="F135" s="56">
        <f>+I135+K135+M135+O135+Q135+S135+U135+W135+Y135+AA135+AC135+AE135</f>
        <v/>
      </c>
      <c r="G135" s="15" t="inlineStr">
        <is>
          <t>N / WH</t>
        </is>
      </c>
      <c r="H135" s="53" t="n"/>
      <c r="I135" s="48">
        <f>SUMIFS('Investor Exit List'!$Q:$Q, 'Investor Exit List'!$C:$C, 'Cashflow Projection'!H135)</f>
        <v/>
      </c>
      <c r="J135" s="64" t="n"/>
      <c r="K135" s="48">
        <f>IF(VLOOKUP($D135,Sales!$C:$D,2,FALSE)=TRUE,0,SUMIFS('Investor Exit List'!$Q:$Q, 'Investor Exit List'!$C:$C, 'Cashflow Projection'!J135))</f>
        <v/>
      </c>
      <c r="L135" s="64" t="n"/>
      <c r="M135" s="48">
        <f>IF(VLOOKUP($D135,Sales!$C:$D,2,FALSE)=TRUE,0,SUMIFS('Investor Exit List'!$Q:$Q, 'Investor Exit List'!$C:$C, 'Cashflow Projection'!L135))</f>
        <v/>
      </c>
      <c r="N135" s="64" t="n"/>
      <c r="O135" s="48">
        <f>IF(VLOOKUP($D135,Sales!$C:$D,2,FALSE)=TRUE,0,SUMIFS('Investor Exit List'!$Q:$Q, 'Investor Exit List'!$C:$C, 'Cashflow Projection'!N135))</f>
        <v/>
      </c>
      <c r="P135" s="64" t="n"/>
      <c r="Q135" s="48">
        <f>IF(VLOOKUP($D135,Sales!$C:$D,2,FALSE)=TRUE,0,SUMIFS('Investor Exit List'!$Q:$Q, 'Investor Exit List'!$C:$C, 'Cashflow Projection'!P135))</f>
        <v/>
      </c>
      <c r="R135" s="64" t="n"/>
      <c r="S135" s="48">
        <f>IF(VLOOKUP($D135,Sales!$C:$D,2,FALSE)=TRUE,0,SUMIFS('Investor Exit List'!$Q:$Q, 'Investor Exit List'!$C:$C, 'Cashflow Projection'!R135))</f>
        <v/>
      </c>
      <c r="T135" s="64" t="n"/>
      <c r="U135" s="48">
        <f>IF(VLOOKUP($D135,Sales!$C:$D,2,FALSE)=TRUE,0,SUMIFS('Investor Exit List'!$Q:$Q, 'Investor Exit List'!$C:$C, 'Cashflow Projection'!T135))</f>
        <v/>
      </c>
      <c r="V135" s="64" t="n"/>
      <c r="W135" s="48">
        <f>IF(VLOOKUP($D135,Sales!$C:$D,2,FALSE)=TRUE,0,SUMIFS('Investor Exit List'!$Q:$Q, 'Investor Exit List'!$C:$C, 'Cashflow Projection'!V135))</f>
        <v/>
      </c>
      <c r="X135" s="64" t="n"/>
      <c r="Y135" s="48">
        <f>IF(VLOOKUP($D135,Sales!$C:$D,2,FALSE)=TRUE,0,SUMIFS('Investor Exit List'!$Q:$Q, 'Investor Exit List'!$C:$C, 'Cashflow Projection'!X135))</f>
        <v/>
      </c>
      <c r="Z135" s="64" t="n"/>
      <c r="AA135" s="48">
        <f>IF(VLOOKUP($D135,Sales!$C:$D,2,FALSE)=TRUE,0,SUMIFS('Investor Exit List'!$Q:$Q, 'Investor Exit List'!$C:$C, 'Cashflow Projection'!Z135))</f>
        <v/>
      </c>
      <c r="AB135" s="64" t="n"/>
      <c r="AC135" s="48">
        <f>IF(VLOOKUP($D135,Sales!$C:$D,2,FALSE)=TRUE,0,SUMIFS('Investor Exit List'!$Q:$Q, 'Investor Exit List'!$C:$C, 'Cashflow Projection'!AB135))</f>
        <v/>
      </c>
      <c r="AD135" s="64" t="n"/>
      <c r="AE135" s="48">
        <f>IF(VLOOKUP($D135,Sales!$C:$D,2,FALSE)=TRUE,0,SUMIFS('Investor Exit List'!$Q:$Q, 'Investor Exit List'!$C:$C, 'Cashflow Projection'!AD135))</f>
        <v/>
      </c>
      <c r="AF135" s="64" t="n"/>
    </row>
    <row r="136">
      <c r="A136" t="inlineStr"/>
      <c r="B136" t="inlineStr"/>
      <c r="C136" s="62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3" t="inlineStr">
        <is>
          <t>HVJ303</t>
        </is>
      </c>
      <c r="E136" s="24">
        <f>IF(F136&lt;&gt;0,1,0)</f>
        <v/>
      </c>
      <c r="F136" s="56">
        <f>+I136+K136+M136+O136+Q136+S136+U136+W136+Y136+AA136+AC136+AE136</f>
        <v/>
      </c>
      <c r="G136" s="15" t="inlineStr">
        <is>
          <t>N / WH</t>
        </is>
      </c>
      <c r="H136" s="53" t="n"/>
      <c r="I136" s="48">
        <f>SUMIFS('Investor Exit List'!$Q:$Q, 'Investor Exit List'!$C:$C, 'Cashflow Projection'!H136)</f>
        <v/>
      </c>
      <c r="J136" s="64" t="n"/>
      <c r="K136" s="48">
        <f>IF(VLOOKUP($D136,Sales!$C:$D,2,FALSE)=TRUE,0,SUMIFS('Investor Exit List'!$Q:$Q, 'Investor Exit List'!$C:$C, 'Cashflow Projection'!J136))</f>
        <v/>
      </c>
      <c r="L136" s="64" t="n"/>
      <c r="M136" s="48">
        <f>IF(VLOOKUP($D136,Sales!$C:$D,2,FALSE)=TRUE,0,SUMIFS('Investor Exit List'!$Q:$Q, 'Investor Exit List'!$C:$C, 'Cashflow Projection'!L136))</f>
        <v/>
      </c>
      <c r="N136" s="64" t="n"/>
      <c r="O136" s="48">
        <f>IF(VLOOKUP($D136,Sales!$C:$D,2,FALSE)=TRUE,0,SUMIFS('Investor Exit List'!$Q:$Q, 'Investor Exit List'!$C:$C, 'Cashflow Projection'!N136))</f>
        <v/>
      </c>
      <c r="P136" s="64" t="n"/>
      <c r="Q136" s="48">
        <f>IF(VLOOKUP($D136,Sales!$C:$D,2,FALSE)=TRUE,0,SUMIFS('Investor Exit List'!$Q:$Q, 'Investor Exit List'!$C:$C, 'Cashflow Projection'!P136))</f>
        <v/>
      </c>
      <c r="R136" s="64" t="n"/>
      <c r="S136" s="48">
        <f>IF(VLOOKUP($D136,Sales!$C:$D,2,FALSE)=TRUE,0,SUMIFS('Investor Exit List'!$Q:$Q, 'Investor Exit List'!$C:$C, 'Cashflow Projection'!R136))</f>
        <v/>
      </c>
      <c r="T136" s="64" t="n"/>
      <c r="U136" s="48">
        <f>IF(VLOOKUP($D136,Sales!$C:$D,2,FALSE)=TRUE,0,SUMIFS('Investor Exit List'!$Q:$Q, 'Investor Exit List'!$C:$C, 'Cashflow Projection'!T136))</f>
        <v/>
      </c>
      <c r="V136" s="64" t="n"/>
      <c r="W136" s="48">
        <f>IF(VLOOKUP($D136,Sales!$C:$D,2,FALSE)=TRUE,0,SUMIFS('Investor Exit List'!$Q:$Q, 'Investor Exit List'!$C:$C, 'Cashflow Projection'!V136))</f>
        <v/>
      </c>
      <c r="X136" s="64" t="n"/>
      <c r="Y136" s="48">
        <f>IF(VLOOKUP($D136,Sales!$C:$D,2,FALSE)=TRUE,0,SUMIFS('Investor Exit List'!$Q:$Q, 'Investor Exit List'!$C:$C, 'Cashflow Projection'!X136))</f>
        <v/>
      </c>
      <c r="Z136" s="64" t="n"/>
      <c r="AA136" s="48">
        <f>IF(VLOOKUP($D136,Sales!$C:$D,2,FALSE)=TRUE,0,SUMIFS('Investor Exit List'!$Q:$Q, 'Investor Exit List'!$C:$C, 'Cashflow Projection'!Z136))</f>
        <v/>
      </c>
      <c r="AB136" s="64" t="n"/>
      <c r="AC136" s="48">
        <f>IF(VLOOKUP($D136,Sales!$C:$D,2,FALSE)=TRUE,0,SUMIFS('Investor Exit List'!$Q:$Q, 'Investor Exit List'!$C:$C, 'Cashflow Projection'!AB136))</f>
        <v/>
      </c>
      <c r="AD136" s="64" t="n"/>
      <c r="AE136" s="48">
        <f>IF(VLOOKUP($D136,Sales!$C:$D,2,FALSE)=TRUE,0,SUMIFS('Investor Exit List'!$Q:$Q, 'Investor Exit List'!$C:$C, 'Cashflow Projection'!AD136))</f>
        <v/>
      </c>
      <c r="AF136" s="64" t="n"/>
    </row>
    <row r="137">
      <c r="A137" t="inlineStr"/>
      <c r="B137" t="inlineStr"/>
      <c r="C137" s="62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3" t="inlineStr">
        <is>
          <t>HVJ401</t>
        </is>
      </c>
      <c r="E137" s="24">
        <f>IF(F137&lt;&gt;0,1,0)</f>
        <v/>
      </c>
      <c r="F137" s="56">
        <f>+I137+K137+M137+O137+Q137+S137+U137+W137+Y137+AA137+AC137+AE137</f>
        <v/>
      </c>
      <c r="G137" s="15" t="inlineStr">
        <is>
          <t>N / WH</t>
        </is>
      </c>
      <c r="H137" s="53" t="n"/>
      <c r="I137" s="48">
        <f>SUMIFS('Investor Exit List'!$Q:$Q, 'Investor Exit List'!$C:$C, 'Cashflow Projection'!H137)</f>
        <v/>
      </c>
      <c r="J137" s="64" t="n"/>
      <c r="K137" s="48">
        <f>IF(VLOOKUP($D137,Sales!$C:$D,2,FALSE)=TRUE,0,SUMIFS('Investor Exit List'!$Q:$Q, 'Investor Exit List'!$C:$C, 'Cashflow Projection'!J137))</f>
        <v/>
      </c>
      <c r="L137" s="64" t="n"/>
      <c r="M137" s="48">
        <f>IF(VLOOKUP($D137,Sales!$C:$D,2,FALSE)=TRUE,0,SUMIFS('Investor Exit List'!$Q:$Q, 'Investor Exit List'!$C:$C, 'Cashflow Projection'!L137))</f>
        <v/>
      </c>
      <c r="N137" s="64" t="n"/>
      <c r="O137" s="48">
        <f>IF(VLOOKUP($D137,Sales!$C:$D,2,FALSE)=TRUE,0,SUMIFS('Investor Exit List'!$Q:$Q, 'Investor Exit List'!$C:$C, 'Cashflow Projection'!N137))</f>
        <v/>
      </c>
      <c r="P137" s="64" t="n"/>
      <c r="Q137" s="48">
        <f>IF(VLOOKUP($D137,Sales!$C:$D,2,FALSE)=TRUE,0,SUMIFS('Investor Exit List'!$Q:$Q, 'Investor Exit List'!$C:$C, 'Cashflow Projection'!P137))</f>
        <v/>
      </c>
      <c r="R137" s="64" t="n"/>
      <c r="S137" s="48">
        <f>IF(VLOOKUP($D137,Sales!$C:$D,2,FALSE)=TRUE,0,SUMIFS('Investor Exit List'!$Q:$Q, 'Investor Exit List'!$C:$C, 'Cashflow Projection'!R137))</f>
        <v/>
      </c>
      <c r="T137" s="64" t="n"/>
      <c r="U137" s="48">
        <f>IF(VLOOKUP($D137,Sales!$C:$D,2,FALSE)=TRUE,0,SUMIFS('Investor Exit List'!$Q:$Q, 'Investor Exit List'!$C:$C, 'Cashflow Projection'!T137))</f>
        <v/>
      </c>
      <c r="V137" s="64" t="n"/>
      <c r="W137" s="48">
        <f>IF(VLOOKUP($D137,Sales!$C:$D,2,FALSE)=TRUE,0,SUMIFS('Investor Exit List'!$Q:$Q, 'Investor Exit List'!$C:$C, 'Cashflow Projection'!V137))</f>
        <v/>
      </c>
      <c r="X137" s="64" t="n"/>
      <c r="Y137" s="48">
        <f>IF(VLOOKUP($D137,Sales!$C:$D,2,FALSE)=TRUE,0,SUMIFS('Investor Exit List'!$Q:$Q, 'Investor Exit List'!$C:$C, 'Cashflow Projection'!X137))</f>
        <v/>
      </c>
      <c r="Z137" s="64" t="n"/>
      <c r="AA137" s="48">
        <f>IF(VLOOKUP($D137,Sales!$C:$D,2,FALSE)=TRUE,0,SUMIFS('Investor Exit List'!$Q:$Q, 'Investor Exit List'!$C:$C, 'Cashflow Projection'!Z137))</f>
        <v/>
      </c>
      <c r="AB137" s="64" t="n"/>
      <c r="AC137" s="48">
        <f>IF(VLOOKUP($D137,Sales!$C:$D,2,FALSE)=TRUE,0,SUMIFS('Investor Exit List'!$Q:$Q, 'Investor Exit List'!$C:$C, 'Cashflow Projection'!AB137))</f>
        <v/>
      </c>
      <c r="AD137" s="64" t="n"/>
      <c r="AE137" s="48">
        <f>IF(VLOOKUP($D137,Sales!$C:$D,2,FALSE)=TRUE,0,SUMIFS('Investor Exit List'!$Q:$Q, 'Investor Exit List'!$C:$C, 'Cashflow Projection'!AD137))</f>
        <v/>
      </c>
      <c r="AF137" s="64" t="n"/>
    </row>
    <row r="138">
      <c r="A138" t="inlineStr"/>
      <c r="B138" t="inlineStr"/>
      <c r="C138" s="62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3" t="inlineStr">
        <is>
          <t>HVJ402</t>
        </is>
      </c>
      <c r="E138" s="24">
        <f>IF(F138&lt;&gt;0,1,0)</f>
        <v/>
      </c>
      <c r="F138" s="56">
        <f>+I138+K138+M138+O138+Q138+S138+U138+W138+Y138+AA138+AC138+AE138</f>
        <v/>
      </c>
      <c r="G138" s="15" t="inlineStr">
        <is>
          <t>N / WH</t>
        </is>
      </c>
      <c r="H138" s="53" t="n"/>
      <c r="I138" s="48">
        <f>SUMIFS('Investor Exit List'!$Q:$Q, 'Investor Exit List'!$C:$C, 'Cashflow Projection'!H138)</f>
        <v/>
      </c>
      <c r="J138" s="64" t="n"/>
      <c r="K138" s="48">
        <f>IF(VLOOKUP($D138,Sales!$C:$D,2,FALSE)=TRUE,0,SUMIFS('Investor Exit List'!$Q:$Q, 'Investor Exit List'!$C:$C, 'Cashflow Projection'!J138))</f>
        <v/>
      </c>
      <c r="L138" s="64" t="n"/>
      <c r="M138" s="48">
        <f>IF(VLOOKUP($D138,Sales!$C:$D,2,FALSE)=TRUE,0,SUMIFS('Investor Exit List'!$Q:$Q, 'Investor Exit List'!$C:$C, 'Cashflow Projection'!L138))</f>
        <v/>
      </c>
      <c r="N138" s="64" t="n"/>
      <c r="O138" s="48">
        <f>IF(VLOOKUP($D138,Sales!$C:$D,2,FALSE)=TRUE,0,SUMIFS('Investor Exit List'!$Q:$Q, 'Investor Exit List'!$C:$C, 'Cashflow Projection'!N138))</f>
        <v/>
      </c>
      <c r="P138" s="64" t="n"/>
      <c r="Q138" s="48">
        <f>IF(VLOOKUP($D138,Sales!$C:$D,2,FALSE)=TRUE,0,SUMIFS('Investor Exit List'!$Q:$Q, 'Investor Exit List'!$C:$C, 'Cashflow Projection'!P138))</f>
        <v/>
      </c>
      <c r="R138" s="64" t="n"/>
      <c r="S138" s="48">
        <f>IF(VLOOKUP($D138,Sales!$C:$D,2,FALSE)=TRUE,0,SUMIFS('Investor Exit List'!$Q:$Q, 'Investor Exit List'!$C:$C, 'Cashflow Projection'!R138))</f>
        <v/>
      </c>
      <c r="T138" s="64" t="n"/>
      <c r="U138" s="48">
        <f>IF(VLOOKUP($D138,Sales!$C:$D,2,FALSE)=TRUE,0,SUMIFS('Investor Exit List'!$Q:$Q, 'Investor Exit List'!$C:$C, 'Cashflow Projection'!T138))</f>
        <v/>
      </c>
      <c r="V138" s="64" t="n"/>
      <c r="W138" s="48">
        <f>IF(VLOOKUP($D138,Sales!$C:$D,2,FALSE)=TRUE,0,SUMIFS('Investor Exit List'!$Q:$Q, 'Investor Exit List'!$C:$C, 'Cashflow Projection'!V138))</f>
        <v/>
      </c>
      <c r="X138" s="64" t="n"/>
      <c r="Y138" s="48">
        <f>IF(VLOOKUP($D138,Sales!$C:$D,2,FALSE)=TRUE,0,SUMIFS('Investor Exit List'!$Q:$Q, 'Investor Exit List'!$C:$C, 'Cashflow Projection'!X138))</f>
        <v/>
      </c>
      <c r="Z138" s="64" t="n"/>
      <c r="AA138" s="48">
        <f>IF(VLOOKUP($D138,Sales!$C:$D,2,FALSE)=TRUE,0,SUMIFS('Investor Exit List'!$Q:$Q, 'Investor Exit List'!$C:$C, 'Cashflow Projection'!Z138))</f>
        <v/>
      </c>
      <c r="AB138" s="64" t="n"/>
      <c r="AC138" s="48">
        <f>IF(VLOOKUP($D138,Sales!$C:$D,2,FALSE)=TRUE,0,SUMIFS('Investor Exit List'!$Q:$Q, 'Investor Exit List'!$C:$C, 'Cashflow Projection'!AB138))</f>
        <v/>
      </c>
      <c r="AD138" s="64" t="n"/>
      <c r="AE138" s="48">
        <f>IF(VLOOKUP($D138,Sales!$C:$D,2,FALSE)=TRUE,0,SUMIFS('Investor Exit List'!$Q:$Q, 'Investor Exit List'!$C:$C, 'Cashflow Projection'!AD138))</f>
        <v/>
      </c>
      <c r="AF138" s="64" t="n"/>
    </row>
    <row r="139">
      <c r="A139" t="inlineStr"/>
      <c r="B139" t="inlineStr"/>
      <c r="C139" s="62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3" t="inlineStr">
        <is>
          <t>HVJ403</t>
        </is>
      </c>
      <c r="E139" s="24">
        <f>IF(F139&lt;&gt;0,1,0)</f>
        <v/>
      </c>
      <c r="F139" s="56">
        <f>+I139+K139+M139+O139+Q139+S139+U139+W139+Y139+AA139+AC139+AE139</f>
        <v/>
      </c>
      <c r="G139" s="15" t="inlineStr">
        <is>
          <t>N / WH</t>
        </is>
      </c>
      <c r="H139" s="53" t="n"/>
      <c r="I139" s="48">
        <f>SUMIFS('Investor Exit List'!$Q:$Q, 'Investor Exit List'!$C:$C, 'Cashflow Projection'!H139)</f>
        <v/>
      </c>
      <c r="J139" s="64" t="n"/>
      <c r="K139" s="48">
        <f>IF(VLOOKUP($D139,Sales!$C:$D,2,FALSE)=TRUE,0,SUMIFS('Investor Exit List'!$Q:$Q, 'Investor Exit List'!$C:$C, 'Cashflow Projection'!J139))</f>
        <v/>
      </c>
      <c r="L139" s="64" t="n"/>
      <c r="M139" s="48">
        <f>IF(VLOOKUP($D139,Sales!$C:$D,2,FALSE)=TRUE,0,SUMIFS('Investor Exit List'!$Q:$Q, 'Investor Exit List'!$C:$C, 'Cashflow Projection'!L139))</f>
        <v/>
      </c>
      <c r="N139" s="64" t="n"/>
      <c r="O139" s="48">
        <f>IF(VLOOKUP($D139,Sales!$C:$D,2,FALSE)=TRUE,0,SUMIFS('Investor Exit List'!$Q:$Q, 'Investor Exit List'!$C:$C, 'Cashflow Projection'!N139))</f>
        <v/>
      </c>
      <c r="P139" s="64" t="n"/>
      <c r="Q139" s="48">
        <f>IF(VLOOKUP($D139,Sales!$C:$D,2,FALSE)=TRUE,0,SUMIFS('Investor Exit List'!$Q:$Q, 'Investor Exit List'!$C:$C, 'Cashflow Projection'!P139))</f>
        <v/>
      </c>
      <c r="R139" s="64" t="n"/>
      <c r="S139" s="48">
        <f>IF(VLOOKUP($D139,Sales!$C:$D,2,FALSE)=TRUE,0,SUMIFS('Investor Exit List'!$Q:$Q, 'Investor Exit List'!$C:$C, 'Cashflow Projection'!R139))</f>
        <v/>
      </c>
      <c r="T139" s="64" t="n"/>
      <c r="U139" s="48">
        <f>IF(VLOOKUP($D139,Sales!$C:$D,2,FALSE)=TRUE,0,SUMIFS('Investor Exit List'!$Q:$Q, 'Investor Exit List'!$C:$C, 'Cashflow Projection'!T139))</f>
        <v/>
      </c>
      <c r="V139" s="64" t="n"/>
      <c r="W139" s="48">
        <f>IF(VLOOKUP($D139,Sales!$C:$D,2,FALSE)=TRUE,0,SUMIFS('Investor Exit List'!$Q:$Q, 'Investor Exit List'!$C:$C, 'Cashflow Projection'!V139))</f>
        <v/>
      </c>
      <c r="X139" s="64" t="n"/>
      <c r="Y139" s="48">
        <f>IF(VLOOKUP($D139,Sales!$C:$D,2,FALSE)=TRUE,0,SUMIFS('Investor Exit List'!$Q:$Q, 'Investor Exit List'!$C:$C, 'Cashflow Projection'!X139))</f>
        <v/>
      </c>
      <c r="Z139" s="64" t="n"/>
      <c r="AA139" s="48">
        <f>IF(VLOOKUP($D139,Sales!$C:$D,2,FALSE)=TRUE,0,SUMIFS('Investor Exit List'!$Q:$Q, 'Investor Exit List'!$C:$C, 'Cashflow Projection'!Z139))</f>
        <v/>
      </c>
      <c r="AB139" s="64" t="n"/>
      <c r="AC139" s="48">
        <f>IF(VLOOKUP($D139,Sales!$C:$D,2,FALSE)=TRUE,0,SUMIFS('Investor Exit List'!$Q:$Q, 'Investor Exit List'!$C:$C, 'Cashflow Projection'!AB139))</f>
        <v/>
      </c>
      <c r="AD139" s="64" t="n"/>
      <c r="AE139" s="48">
        <f>IF(VLOOKUP($D139,Sales!$C:$D,2,FALSE)=TRUE,0,SUMIFS('Investor Exit List'!$Q:$Q, 'Investor Exit List'!$C:$C, 'Cashflow Projection'!AD139))</f>
        <v/>
      </c>
      <c r="AF139" s="64" t="n"/>
    </row>
    <row r="140">
      <c r="A140" t="inlineStr"/>
      <c r="B140" t="inlineStr"/>
      <c r="C140" s="62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3" t="inlineStr">
        <is>
          <t>HVM101</t>
        </is>
      </c>
      <c r="E140" s="24">
        <f>IF(F140&lt;&gt;0,1,0)</f>
        <v/>
      </c>
      <c r="F140" s="56">
        <f>+I140+K140+M140+O140+Q140+S140+U140+W140+Y140+AA140+AC140+AE140</f>
        <v/>
      </c>
      <c r="G140" s="15" t="inlineStr">
        <is>
          <t>N / WH</t>
        </is>
      </c>
      <c r="H140" s="53" t="n"/>
      <c r="I140" s="48">
        <f>SUMIFS('Investor Exit List'!$Q:$Q, 'Investor Exit List'!$C:$C, 'Cashflow Projection'!H140)</f>
        <v/>
      </c>
      <c r="J140" s="64" t="n"/>
      <c r="K140" s="48">
        <f>IF(VLOOKUP($D140,Sales!$C:$D,2,FALSE)=TRUE,0,SUMIFS('Investor Exit List'!$Q:$Q, 'Investor Exit List'!$C:$C, 'Cashflow Projection'!J140))</f>
        <v/>
      </c>
      <c r="L140" s="64" t="n"/>
      <c r="M140" s="48">
        <f>IF(VLOOKUP($D140,Sales!$C:$D,2,FALSE)=TRUE,0,SUMIFS('Investor Exit List'!$Q:$Q, 'Investor Exit List'!$C:$C, 'Cashflow Projection'!L140))</f>
        <v/>
      </c>
      <c r="N140" s="64" t="n"/>
      <c r="O140" s="48">
        <f>IF(VLOOKUP($D140,Sales!$C:$D,2,FALSE)=TRUE,0,SUMIFS('Investor Exit List'!$Q:$Q, 'Investor Exit List'!$C:$C, 'Cashflow Projection'!N140))</f>
        <v/>
      </c>
      <c r="P140" s="64" t="n"/>
      <c r="Q140" s="48">
        <f>IF(VLOOKUP($D140,Sales!$C:$D,2,FALSE)=TRUE,0,SUMIFS('Investor Exit List'!$Q:$Q, 'Investor Exit List'!$C:$C, 'Cashflow Projection'!P140))</f>
        <v/>
      </c>
      <c r="R140" s="64" t="n"/>
      <c r="S140" s="48">
        <f>IF(VLOOKUP($D140,Sales!$C:$D,2,FALSE)=TRUE,0,SUMIFS('Investor Exit List'!$Q:$Q, 'Investor Exit List'!$C:$C, 'Cashflow Projection'!R140))</f>
        <v/>
      </c>
      <c r="T140" s="64" t="n"/>
      <c r="U140" s="48">
        <f>IF(VLOOKUP($D140,Sales!$C:$D,2,FALSE)=TRUE,0,SUMIFS('Investor Exit List'!$Q:$Q, 'Investor Exit List'!$C:$C, 'Cashflow Projection'!T140))</f>
        <v/>
      </c>
      <c r="V140" s="64" t="n"/>
      <c r="W140" s="48">
        <f>IF(VLOOKUP($D140,Sales!$C:$D,2,FALSE)=TRUE,0,SUMIFS('Investor Exit List'!$Q:$Q, 'Investor Exit List'!$C:$C, 'Cashflow Projection'!V140))</f>
        <v/>
      </c>
      <c r="X140" s="64" t="n"/>
      <c r="Y140" s="48">
        <f>IF(VLOOKUP($D140,Sales!$C:$D,2,FALSE)=TRUE,0,SUMIFS('Investor Exit List'!$Q:$Q, 'Investor Exit List'!$C:$C, 'Cashflow Projection'!X140))</f>
        <v/>
      </c>
      <c r="Z140" s="64" t="n"/>
      <c r="AA140" s="48">
        <f>IF(VLOOKUP($D140,Sales!$C:$D,2,FALSE)=TRUE,0,SUMIFS('Investor Exit List'!$Q:$Q, 'Investor Exit List'!$C:$C, 'Cashflow Projection'!Z140))</f>
        <v/>
      </c>
      <c r="AB140" s="64" t="n"/>
      <c r="AC140" s="48">
        <f>IF(VLOOKUP($D140,Sales!$C:$D,2,FALSE)=TRUE,0,SUMIFS('Investor Exit List'!$Q:$Q, 'Investor Exit List'!$C:$C, 'Cashflow Projection'!AB140))</f>
        <v/>
      </c>
      <c r="AD140" s="64" t="n"/>
      <c r="AE140" s="48">
        <f>IF(VLOOKUP($D140,Sales!$C:$D,2,FALSE)=TRUE,0,SUMIFS('Investor Exit List'!$Q:$Q, 'Investor Exit List'!$C:$C, 'Cashflow Projection'!AD140))</f>
        <v/>
      </c>
      <c r="AF140" s="64" t="n"/>
    </row>
    <row r="141">
      <c r="A141" t="inlineStr"/>
      <c r="B141" t="inlineStr"/>
      <c r="C141" s="62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3" t="inlineStr">
        <is>
          <t>HVM102</t>
        </is>
      </c>
      <c r="E141" s="24">
        <f>IF(F141&lt;&gt;0,1,0)</f>
        <v/>
      </c>
      <c r="F141" s="56">
        <f>+I141+K141+M141+O141+Q141+S141+U141+W141+Y141+AA141+AC141+AE141</f>
        <v/>
      </c>
      <c r="G141" s="15" t="inlineStr">
        <is>
          <t>N / WH</t>
        </is>
      </c>
      <c r="H141" s="53" t="n"/>
      <c r="I141" s="48">
        <f>SUMIFS('Investor Exit List'!$Q:$Q, 'Investor Exit List'!$C:$C, 'Cashflow Projection'!H141)</f>
        <v/>
      </c>
      <c r="J141" s="64" t="n"/>
      <c r="K141" s="48">
        <f>IF(VLOOKUP($D141,Sales!$C:$D,2,FALSE)=TRUE,0,SUMIFS('Investor Exit List'!$Q:$Q, 'Investor Exit List'!$C:$C, 'Cashflow Projection'!J141))</f>
        <v/>
      </c>
      <c r="L141" s="64" t="n"/>
      <c r="M141" s="48">
        <f>IF(VLOOKUP($D141,Sales!$C:$D,2,FALSE)=TRUE,0,SUMIFS('Investor Exit List'!$Q:$Q, 'Investor Exit List'!$C:$C, 'Cashflow Projection'!L141))</f>
        <v/>
      </c>
      <c r="N141" s="64" t="n"/>
      <c r="O141" s="48">
        <f>IF(VLOOKUP($D141,Sales!$C:$D,2,FALSE)=TRUE,0,SUMIFS('Investor Exit List'!$Q:$Q, 'Investor Exit List'!$C:$C, 'Cashflow Projection'!N141))</f>
        <v/>
      </c>
      <c r="P141" s="64" t="n"/>
      <c r="Q141" s="48">
        <f>IF(VLOOKUP($D141,Sales!$C:$D,2,FALSE)=TRUE,0,SUMIFS('Investor Exit List'!$Q:$Q, 'Investor Exit List'!$C:$C, 'Cashflow Projection'!P141))</f>
        <v/>
      </c>
      <c r="R141" s="64" t="n"/>
      <c r="S141" s="48">
        <f>IF(VLOOKUP($D141,Sales!$C:$D,2,FALSE)=TRUE,0,SUMIFS('Investor Exit List'!$Q:$Q, 'Investor Exit List'!$C:$C, 'Cashflow Projection'!R141))</f>
        <v/>
      </c>
      <c r="T141" s="64" t="n"/>
      <c r="U141" s="48">
        <f>IF(VLOOKUP($D141,Sales!$C:$D,2,FALSE)=TRUE,0,SUMIFS('Investor Exit List'!$Q:$Q, 'Investor Exit List'!$C:$C, 'Cashflow Projection'!T141))</f>
        <v/>
      </c>
      <c r="V141" s="64" t="n"/>
      <c r="W141" s="48">
        <f>IF(VLOOKUP($D141,Sales!$C:$D,2,FALSE)=TRUE,0,SUMIFS('Investor Exit List'!$Q:$Q, 'Investor Exit List'!$C:$C, 'Cashflow Projection'!V141))</f>
        <v/>
      </c>
      <c r="X141" s="64" t="n"/>
      <c r="Y141" s="48">
        <f>IF(VLOOKUP($D141,Sales!$C:$D,2,FALSE)=TRUE,0,SUMIFS('Investor Exit List'!$Q:$Q, 'Investor Exit List'!$C:$C, 'Cashflow Projection'!X141))</f>
        <v/>
      </c>
      <c r="Z141" s="64" t="n"/>
      <c r="AA141" s="48">
        <f>IF(VLOOKUP($D141,Sales!$C:$D,2,FALSE)=TRUE,0,SUMIFS('Investor Exit List'!$Q:$Q, 'Investor Exit List'!$C:$C, 'Cashflow Projection'!Z141))</f>
        <v/>
      </c>
      <c r="AB141" s="64" t="n"/>
      <c r="AC141" s="48">
        <f>IF(VLOOKUP($D141,Sales!$C:$D,2,FALSE)=TRUE,0,SUMIFS('Investor Exit List'!$Q:$Q, 'Investor Exit List'!$C:$C, 'Cashflow Projection'!AB141))</f>
        <v/>
      </c>
      <c r="AD141" s="64" t="n"/>
      <c r="AE141" s="48">
        <f>IF(VLOOKUP($D141,Sales!$C:$D,2,FALSE)=TRUE,0,SUMIFS('Investor Exit List'!$Q:$Q, 'Investor Exit List'!$C:$C, 'Cashflow Projection'!AD141))</f>
        <v/>
      </c>
      <c r="AF141" s="64" t="n"/>
    </row>
    <row r="142">
      <c r="A142" t="inlineStr"/>
      <c r="B142" t="inlineStr"/>
      <c r="C142" s="62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3" t="inlineStr">
        <is>
          <t>HVM103</t>
        </is>
      </c>
      <c r="E142" s="24">
        <f>IF(F142&lt;&gt;0,1,0)</f>
        <v/>
      </c>
      <c r="F142" s="56">
        <f>+I142+K142+M142+O142+Q142+S142+U142+W142+Y142+AA142+AC142+AE142</f>
        <v/>
      </c>
      <c r="G142" s="15" t="inlineStr">
        <is>
          <t>N / WH</t>
        </is>
      </c>
      <c r="H142" s="53" t="n"/>
      <c r="I142" s="48">
        <f>SUMIFS('Investor Exit List'!$Q:$Q, 'Investor Exit List'!$C:$C, 'Cashflow Projection'!H142)</f>
        <v/>
      </c>
      <c r="J142" s="64" t="n"/>
      <c r="K142" s="48">
        <f>IF(VLOOKUP($D142,Sales!$C:$D,2,FALSE)=TRUE,0,SUMIFS('Investor Exit List'!$Q:$Q, 'Investor Exit List'!$C:$C, 'Cashflow Projection'!J142))</f>
        <v/>
      </c>
      <c r="L142" s="64" t="n"/>
      <c r="M142" s="48">
        <f>IF(VLOOKUP($D142,Sales!$C:$D,2,FALSE)=TRUE,0,SUMIFS('Investor Exit List'!$Q:$Q, 'Investor Exit List'!$C:$C, 'Cashflow Projection'!L142))</f>
        <v/>
      </c>
      <c r="N142" s="64" t="n"/>
      <c r="O142" s="48">
        <f>IF(VLOOKUP($D142,Sales!$C:$D,2,FALSE)=TRUE,0,SUMIFS('Investor Exit List'!$Q:$Q, 'Investor Exit List'!$C:$C, 'Cashflow Projection'!N142))</f>
        <v/>
      </c>
      <c r="P142" s="64" t="n"/>
      <c r="Q142" s="48">
        <f>IF(VLOOKUP($D142,Sales!$C:$D,2,FALSE)=TRUE,0,SUMIFS('Investor Exit List'!$Q:$Q, 'Investor Exit List'!$C:$C, 'Cashflow Projection'!P142))</f>
        <v/>
      </c>
      <c r="R142" s="64" t="n"/>
      <c r="S142" s="48">
        <f>IF(VLOOKUP($D142,Sales!$C:$D,2,FALSE)=TRUE,0,SUMIFS('Investor Exit List'!$Q:$Q, 'Investor Exit List'!$C:$C, 'Cashflow Projection'!R142))</f>
        <v/>
      </c>
      <c r="T142" s="64" t="n"/>
      <c r="U142" s="48">
        <f>IF(VLOOKUP($D142,Sales!$C:$D,2,FALSE)=TRUE,0,SUMIFS('Investor Exit List'!$Q:$Q, 'Investor Exit List'!$C:$C, 'Cashflow Projection'!T142))</f>
        <v/>
      </c>
      <c r="V142" s="64" t="n"/>
      <c r="W142" s="48">
        <f>IF(VLOOKUP($D142,Sales!$C:$D,2,FALSE)=TRUE,0,SUMIFS('Investor Exit List'!$Q:$Q, 'Investor Exit List'!$C:$C, 'Cashflow Projection'!V142))</f>
        <v/>
      </c>
      <c r="X142" s="64" t="n"/>
      <c r="Y142" s="48">
        <f>IF(VLOOKUP($D142,Sales!$C:$D,2,FALSE)=TRUE,0,SUMIFS('Investor Exit List'!$Q:$Q, 'Investor Exit List'!$C:$C, 'Cashflow Projection'!X142))</f>
        <v/>
      </c>
      <c r="Z142" s="64" t="n"/>
      <c r="AA142" s="48">
        <f>IF(VLOOKUP($D142,Sales!$C:$D,2,FALSE)=TRUE,0,SUMIFS('Investor Exit List'!$Q:$Q, 'Investor Exit List'!$C:$C, 'Cashflow Projection'!Z142))</f>
        <v/>
      </c>
      <c r="AB142" s="64" t="n"/>
      <c r="AC142" s="48">
        <f>IF(VLOOKUP($D142,Sales!$C:$D,2,FALSE)=TRUE,0,SUMIFS('Investor Exit List'!$Q:$Q, 'Investor Exit List'!$C:$C, 'Cashflow Projection'!AB142))</f>
        <v/>
      </c>
      <c r="AD142" s="64" t="n"/>
      <c r="AE142" s="48">
        <f>IF(VLOOKUP($D142,Sales!$C:$D,2,FALSE)=TRUE,0,SUMIFS('Investor Exit List'!$Q:$Q, 'Investor Exit List'!$C:$C, 'Cashflow Projection'!AD142))</f>
        <v/>
      </c>
      <c r="AF142" s="64" t="n"/>
    </row>
    <row r="143">
      <c r="A143" t="inlineStr"/>
      <c r="B143" t="inlineStr"/>
      <c r="C143" s="62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3" t="inlineStr">
        <is>
          <t>HVM104</t>
        </is>
      </c>
      <c r="E143" s="24">
        <f>IF(F143&lt;&gt;0,1,0)</f>
        <v/>
      </c>
      <c r="F143" s="56">
        <f>+I143+K143+M143+O143+Q143+S143+U143+W143+Y143+AA143+AC143+AE143</f>
        <v/>
      </c>
      <c r="G143" s="15" t="inlineStr">
        <is>
          <t>N / WH</t>
        </is>
      </c>
      <c r="H143" s="53" t="n"/>
      <c r="I143" s="48">
        <f>SUMIFS('Investor Exit List'!$Q:$Q, 'Investor Exit List'!$C:$C, 'Cashflow Projection'!H143)</f>
        <v/>
      </c>
      <c r="J143" s="64" t="n"/>
      <c r="K143" s="48">
        <f>IF(VLOOKUP($D143,Sales!$C:$D,2,FALSE)=TRUE,0,SUMIFS('Investor Exit List'!$Q:$Q, 'Investor Exit List'!$C:$C, 'Cashflow Projection'!J143))</f>
        <v/>
      </c>
      <c r="L143" s="64" t="n"/>
      <c r="M143" s="48">
        <f>IF(VLOOKUP($D143,Sales!$C:$D,2,FALSE)=TRUE,0,SUMIFS('Investor Exit List'!$Q:$Q, 'Investor Exit List'!$C:$C, 'Cashflow Projection'!L143))</f>
        <v/>
      </c>
      <c r="N143" s="64" t="n"/>
      <c r="O143" s="48">
        <f>IF(VLOOKUP($D143,Sales!$C:$D,2,FALSE)=TRUE,0,SUMIFS('Investor Exit List'!$Q:$Q, 'Investor Exit List'!$C:$C, 'Cashflow Projection'!N143))</f>
        <v/>
      </c>
      <c r="P143" s="64" t="n"/>
      <c r="Q143" s="48">
        <f>IF(VLOOKUP($D143,Sales!$C:$D,2,FALSE)=TRUE,0,SUMIFS('Investor Exit List'!$Q:$Q, 'Investor Exit List'!$C:$C, 'Cashflow Projection'!P143))</f>
        <v/>
      </c>
      <c r="R143" s="64" t="n"/>
      <c r="S143" s="48">
        <f>IF(VLOOKUP($D143,Sales!$C:$D,2,FALSE)=TRUE,0,SUMIFS('Investor Exit List'!$Q:$Q, 'Investor Exit List'!$C:$C, 'Cashflow Projection'!R143))</f>
        <v/>
      </c>
      <c r="T143" s="64" t="n"/>
      <c r="U143" s="48">
        <f>IF(VLOOKUP($D143,Sales!$C:$D,2,FALSE)=TRUE,0,SUMIFS('Investor Exit List'!$Q:$Q, 'Investor Exit List'!$C:$C, 'Cashflow Projection'!T143))</f>
        <v/>
      </c>
      <c r="V143" s="64" t="n"/>
      <c r="W143" s="48">
        <f>IF(VLOOKUP($D143,Sales!$C:$D,2,FALSE)=TRUE,0,SUMIFS('Investor Exit List'!$Q:$Q, 'Investor Exit List'!$C:$C, 'Cashflow Projection'!V143))</f>
        <v/>
      </c>
      <c r="X143" s="64" t="n"/>
      <c r="Y143" s="48">
        <f>IF(VLOOKUP($D143,Sales!$C:$D,2,FALSE)=TRUE,0,SUMIFS('Investor Exit List'!$Q:$Q, 'Investor Exit List'!$C:$C, 'Cashflow Projection'!X143))</f>
        <v/>
      </c>
      <c r="Z143" s="64" t="n"/>
      <c r="AA143" s="48">
        <f>IF(VLOOKUP($D143,Sales!$C:$D,2,FALSE)=TRUE,0,SUMIFS('Investor Exit List'!$Q:$Q, 'Investor Exit List'!$C:$C, 'Cashflow Projection'!Z143))</f>
        <v/>
      </c>
      <c r="AB143" s="64" t="n"/>
      <c r="AC143" s="48">
        <f>IF(VLOOKUP($D143,Sales!$C:$D,2,FALSE)=TRUE,0,SUMIFS('Investor Exit List'!$Q:$Q, 'Investor Exit List'!$C:$C, 'Cashflow Projection'!AB143))</f>
        <v/>
      </c>
      <c r="AD143" s="64" t="n"/>
      <c r="AE143" s="48">
        <f>IF(VLOOKUP($D143,Sales!$C:$D,2,FALSE)=TRUE,0,SUMIFS('Investor Exit List'!$Q:$Q, 'Investor Exit List'!$C:$C, 'Cashflow Projection'!AD143))</f>
        <v/>
      </c>
      <c r="AF143" s="64" t="n"/>
    </row>
    <row r="144">
      <c r="A144" t="inlineStr"/>
      <c r="B144" t="inlineStr"/>
      <c r="C144" s="62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3" t="inlineStr">
        <is>
          <t>HVM201</t>
        </is>
      </c>
      <c r="E144" s="24">
        <f>IF(F144&lt;&gt;0,1,0)</f>
        <v/>
      </c>
      <c r="F144" s="56">
        <f>+I144+K144+M144+O144+Q144+S144+U144+W144+Y144+AA144+AC144+AE144</f>
        <v/>
      </c>
      <c r="G144" s="15" t="inlineStr">
        <is>
          <t>N / WH</t>
        </is>
      </c>
      <c r="H144" s="53" t="n"/>
      <c r="I144" s="48">
        <f>SUMIFS('Investor Exit List'!$Q:$Q, 'Investor Exit List'!$C:$C, 'Cashflow Projection'!H144)</f>
        <v/>
      </c>
      <c r="J144" s="64" t="n"/>
      <c r="K144" s="48">
        <f>IF(VLOOKUP($D144,Sales!$C:$D,2,FALSE)=TRUE,0,SUMIFS('Investor Exit List'!$Q:$Q, 'Investor Exit List'!$C:$C, 'Cashflow Projection'!J144))</f>
        <v/>
      </c>
      <c r="L144" s="64" t="n"/>
      <c r="M144" s="48">
        <f>IF(VLOOKUP($D144,Sales!$C:$D,2,FALSE)=TRUE,0,SUMIFS('Investor Exit List'!$Q:$Q, 'Investor Exit List'!$C:$C, 'Cashflow Projection'!L144))</f>
        <v/>
      </c>
      <c r="N144" s="64" t="n"/>
      <c r="O144" s="48">
        <f>IF(VLOOKUP($D144,Sales!$C:$D,2,FALSE)=TRUE,0,SUMIFS('Investor Exit List'!$Q:$Q, 'Investor Exit List'!$C:$C, 'Cashflow Projection'!N144))</f>
        <v/>
      </c>
      <c r="P144" s="64" t="n"/>
      <c r="Q144" s="48">
        <f>IF(VLOOKUP($D144,Sales!$C:$D,2,FALSE)=TRUE,0,SUMIFS('Investor Exit List'!$Q:$Q, 'Investor Exit List'!$C:$C, 'Cashflow Projection'!P144))</f>
        <v/>
      </c>
      <c r="R144" s="64" t="n"/>
      <c r="S144" s="48">
        <f>IF(VLOOKUP($D144,Sales!$C:$D,2,FALSE)=TRUE,0,SUMIFS('Investor Exit List'!$Q:$Q, 'Investor Exit List'!$C:$C, 'Cashflow Projection'!R144))</f>
        <v/>
      </c>
      <c r="T144" s="64" t="n"/>
      <c r="U144" s="48">
        <f>IF(VLOOKUP($D144,Sales!$C:$D,2,FALSE)=TRUE,0,SUMIFS('Investor Exit List'!$Q:$Q, 'Investor Exit List'!$C:$C, 'Cashflow Projection'!T144))</f>
        <v/>
      </c>
      <c r="V144" s="64" t="n"/>
      <c r="W144" s="48">
        <f>IF(VLOOKUP($D144,Sales!$C:$D,2,FALSE)=TRUE,0,SUMIFS('Investor Exit List'!$Q:$Q, 'Investor Exit List'!$C:$C, 'Cashflow Projection'!V144))</f>
        <v/>
      </c>
      <c r="X144" s="64" t="n"/>
      <c r="Y144" s="48">
        <f>IF(VLOOKUP($D144,Sales!$C:$D,2,FALSE)=TRUE,0,SUMIFS('Investor Exit List'!$Q:$Q, 'Investor Exit List'!$C:$C, 'Cashflow Projection'!X144))</f>
        <v/>
      </c>
      <c r="Z144" s="64" t="n"/>
      <c r="AA144" s="48">
        <f>IF(VLOOKUP($D144,Sales!$C:$D,2,FALSE)=TRUE,0,SUMIFS('Investor Exit List'!$Q:$Q, 'Investor Exit List'!$C:$C, 'Cashflow Projection'!Z144))</f>
        <v/>
      </c>
      <c r="AB144" s="64" t="n"/>
      <c r="AC144" s="48">
        <f>IF(VLOOKUP($D144,Sales!$C:$D,2,FALSE)=TRUE,0,SUMIFS('Investor Exit List'!$Q:$Q, 'Investor Exit List'!$C:$C, 'Cashflow Projection'!AB144))</f>
        <v/>
      </c>
      <c r="AD144" s="64" t="n"/>
      <c r="AE144" s="48">
        <f>IF(VLOOKUP($D144,Sales!$C:$D,2,FALSE)=TRUE,0,SUMIFS('Investor Exit List'!$Q:$Q, 'Investor Exit List'!$C:$C, 'Cashflow Projection'!AD144))</f>
        <v/>
      </c>
      <c r="AF144" s="64" t="n"/>
    </row>
    <row r="145">
      <c r="A145" t="inlineStr"/>
      <c r="B145" t="inlineStr"/>
      <c r="C145" s="62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3" t="inlineStr">
        <is>
          <t>HVM202</t>
        </is>
      </c>
      <c r="E145" s="24">
        <f>IF(F145&lt;&gt;0,1,0)</f>
        <v/>
      </c>
      <c r="F145" s="56">
        <f>+I145+K145+M145+O145+Q145+S145+U145+W145+Y145+AA145+AC145+AE145</f>
        <v/>
      </c>
      <c r="G145" s="15" t="inlineStr">
        <is>
          <t>N / WH</t>
        </is>
      </c>
      <c r="H145" s="53" t="n"/>
      <c r="I145" s="48">
        <f>SUMIFS('Investor Exit List'!$Q:$Q, 'Investor Exit List'!$C:$C, 'Cashflow Projection'!H145)</f>
        <v/>
      </c>
      <c r="J145" s="64" t="n"/>
      <c r="K145" s="48">
        <f>IF(VLOOKUP($D145,Sales!$C:$D,2,FALSE)=TRUE,0,SUMIFS('Investor Exit List'!$Q:$Q, 'Investor Exit List'!$C:$C, 'Cashflow Projection'!J145))</f>
        <v/>
      </c>
      <c r="L145" s="64" t="n"/>
      <c r="M145" s="48">
        <f>IF(VLOOKUP($D145,Sales!$C:$D,2,FALSE)=TRUE,0,SUMIFS('Investor Exit List'!$Q:$Q, 'Investor Exit List'!$C:$C, 'Cashflow Projection'!L145))</f>
        <v/>
      </c>
      <c r="N145" s="64" t="n"/>
      <c r="O145" s="48">
        <f>IF(VLOOKUP($D145,Sales!$C:$D,2,FALSE)=TRUE,0,SUMIFS('Investor Exit List'!$Q:$Q, 'Investor Exit List'!$C:$C, 'Cashflow Projection'!N145))</f>
        <v/>
      </c>
      <c r="P145" s="64" t="n"/>
      <c r="Q145" s="48">
        <f>IF(VLOOKUP($D145,Sales!$C:$D,2,FALSE)=TRUE,0,SUMIFS('Investor Exit List'!$Q:$Q, 'Investor Exit List'!$C:$C, 'Cashflow Projection'!P145))</f>
        <v/>
      </c>
      <c r="R145" s="64" t="n"/>
      <c r="S145" s="48">
        <f>IF(VLOOKUP($D145,Sales!$C:$D,2,FALSE)=TRUE,0,SUMIFS('Investor Exit List'!$Q:$Q, 'Investor Exit List'!$C:$C, 'Cashflow Projection'!R145))</f>
        <v/>
      </c>
      <c r="T145" s="64" t="n"/>
      <c r="U145" s="48">
        <f>IF(VLOOKUP($D145,Sales!$C:$D,2,FALSE)=TRUE,0,SUMIFS('Investor Exit List'!$Q:$Q, 'Investor Exit List'!$C:$C, 'Cashflow Projection'!T145))</f>
        <v/>
      </c>
      <c r="V145" s="64" t="n"/>
      <c r="W145" s="48">
        <f>IF(VLOOKUP($D145,Sales!$C:$D,2,FALSE)=TRUE,0,SUMIFS('Investor Exit List'!$Q:$Q, 'Investor Exit List'!$C:$C, 'Cashflow Projection'!V145))</f>
        <v/>
      </c>
      <c r="X145" s="64" t="n"/>
      <c r="Y145" s="48">
        <f>IF(VLOOKUP($D145,Sales!$C:$D,2,FALSE)=TRUE,0,SUMIFS('Investor Exit List'!$Q:$Q, 'Investor Exit List'!$C:$C, 'Cashflow Projection'!X145))</f>
        <v/>
      </c>
      <c r="Z145" s="64" t="n"/>
      <c r="AA145" s="48">
        <f>IF(VLOOKUP($D145,Sales!$C:$D,2,FALSE)=TRUE,0,SUMIFS('Investor Exit List'!$Q:$Q, 'Investor Exit List'!$C:$C, 'Cashflow Projection'!Z145))</f>
        <v/>
      </c>
      <c r="AB145" s="64" t="n"/>
      <c r="AC145" s="48">
        <f>IF(VLOOKUP($D145,Sales!$C:$D,2,FALSE)=TRUE,0,SUMIFS('Investor Exit List'!$Q:$Q, 'Investor Exit List'!$C:$C, 'Cashflow Projection'!AB145))</f>
        <v/>
      </c>
      <c r="AD145" s="64" t="n"/>
      <c r="AE145" s="48">
        <f>IF(VLOOKUP($D145,Sales!$C:$D,2,FALSE)=TRUE,0,SUMIFS('Investor Exit List'!$Q:$Q, 'Investor Exit List'!$C:$C, 'Cashflow Projection'!AD145))</f>
        <v/>
      </c>
      <c r="AF145" s="64" t="n"/>
    </row>
    <row r="146">
      <c r="A146" t="inlineStr"/>
      <c r="B146" t="inlineStr"/>
      <c r="C146" s="62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3" t="inlineStr">
        <is>
          <t>HVM203</t>
        </is>
      </c>
      <c r="E146" s="24">
        <f>IF(F146&lt;&gt;0,1,0)</f>
        <v/>
      </c>
      <c r="F146" s="56">
        <f>+I146+K146+M146+O146+Q146+S146+U146+W146+Y146+AA146+AC146+AE146</f>
        <v/>
      </c>
      <c r="G146" s="15" t="inlineStr">
        <is>
          <t>N / WH</t>
        </is>
      </c>
      <c r="H146" s="53" t="n"/>
      <c r="I146" s="48">
        <f>SUMIFS('Investor Exit List'!$Q:$Q, 'Investor Exit List'!$C:$C, 'Cashflow Projection'!H146)</f>
        <v/>
      </c>
      <c r="J146" s="64" t="n"/>
      <c r="K146" s="48">
        <f>IF(VLOOKUP($D146,Sales!$C:$D,2,FALSE)=TRUE,0,SUMIFS('Investor Exit List'!$Q:$Q, 'Investor Exit List'!$C:$C, 'Cashflow Projection'!J146))</f>
        <v/>
      </c>
      <c r="L146" s="64" t="n"/>
      <c r="M146" s="48">
        <f>IF(VLOOKUP($D146,Sales!$C:$D,2,FALSE)=TRUE,0,SUMIFS('Investor Exit List'!$Q:$Q, 'Investor Exit List'!$C:$C, 'Cashflow Projection'!L146))</f>
        <v/>
      </c>
      <c r="N146" s="64" t="n"/>
      <c r="O146" s="48">
        <f>IF(VLOOKUP($D146,Sales!$C:$D,2,FALSE)=TRUE,0,SUMIFS('Investor Exit List'!$Q:$Q, 'Investor Exit List'!$C:$C, 'Cashflow Projection'!N146))</f>
        <v/>
      </c>
      <c r="P146" s="64" t="n"/>
      <c r="Q146" s="48">
        <f>IF(VLOOKUP($D146,Sales!$C:$D,2,FALSE)=TRUE,0,SUMIFS('Investor Exit List'!$Q:$Q, 'Investor Exit List'!$C:$C, 'Cashflow Projection'!P146))</f>
        <v/>
      </c>
      <c r="R146" s="64" t="n"/>
      <c r="S146" s="48">
        <f>IF(VLOOKUP($D146,Sales!$C:$D,2,FALSE)=TRUE,0,SUMIFS('Investor Exit List'!$Q:$Q, 'Investor Exit List'!$C:$C, 'Cashflow Projection'!R146))</f>
        <v/>
      </c>
      <c r="T146" s="64" t="n"/>
      <c r="U146" s="48">
        <f>IF(VLOOKUP($D146,Sales!$C:$D,2,FALSE)=TRUE,0,SUMIFS('Investor Exit List'!$Q:$Q, 'Investor Exit List'!$C:$C, 'Cashflow Projection'!T146))</f>
        <v/>
      </c>
      <c r="V146" s="64" t="n"/>
      <c r="W146" s="48">
        <f>IF(VLOOKUP($D146,Sales!$C:$D,2,FALSE)=TRUE,0,SUMIFS('Investor Exit List'!$Q:$Q, 'Investor Exit List'!$C:$C, 'Cashflow Projection'!V146))</f>
        <v/>
      </c>
      <c r="X146" s="64" t="n"/>
      <c r="Y146" s="48">
        <f>IF(VLOOKUP($D146,Sales!$C:$D,2,FALSE)=TRUE,0,SUMIFS('Investor Exit List'!$Q:$Q, 'Investor Exit List'!$C:$C, 'Cashflow Projection'!X146))</f>
        <v/>
      </c>
      <c r="Z146" s="64" t="n"/>
      <c r="AA146" s="48">
        <f>IF(VLOOKUP($D146,Sales!$C:$D,2,FALSE)=TRUE,0,SUMIFS('Investor Exit List'!$Q:$Q, 'Investor Exit List'!$C:$C, 'Cashflow Projection'!Z146))</f>
        <v/>
      </c>
      <c r="AB146" s="64" t="n"/>
      <c r="AC146" s="48">
        <f>IF(VLOOKUP($D146,Sales!$C:$D,2,FALSE)=TRUE,0,SUMIFS('Investor Exit List'!$Q:$Q, 'Investor Exit List'!$C:$C, 'Cashflow Projection'!AB146))</f>
        <v/>
      </c>
      <c r="AD146" s="64" t="n"/>
      <c r="AE146" s="48">
        <f>IF(VLOOKUP($D146,Sales!$C:$D,2,FALSE)=TRUE,0,SUMIFS('Investor Exit List'!$Q:$Q, 'Investor Exit List'!$C:$C, 'Cashflow Projection'!AD146))</f>
        <v/>
      </c>
      <c r="AF146" s="64" t="n"/>
    </row>
    <row r="147">
      <c r="A147" t="inlineStr"/>
      <c r="B147" t="inlineStr"/>
      <c r="C147" s="62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3" t="inlineStr">
        <is>
          <t>HVM204</t>
        </is>
      </c>
      <c r="E147" s="24">
        <f>IF(F147&lt;&gt;0,1,0)</f>
        <v/>
      </c>
      <c r="F147" s="56">
        <f>+I147+K147+M147+O147+Q147+S147+U147+W147+Y147+AA147+AC147+AE147</f>
        <v/>
      </c>
      <c r="G147" s="15" t="inlineStr">
        <is>
          <t>N / WH</t>
        </is>
      </c>
      <c r="H147" s="53" t="n"/>
      <c r="I147" s="48">
        <f>SUMIFS('Investor Exit List'!$Q:$Q, 'Investor Exit List'!$C:$C, 'Cashflow Projection'!H147)</f>
        <v/>
      </c>
      <c r="J147" s="64" t="n"/>
      <c r="K147" s="48">
        <f>IF(VLOOKUP($D147,Sales!$C:$D,2,FALSE)=TRUE,0,SUMIFS('Investor Exit List'!$Q:$Q, 'Investor Exit List'!$C:$C, 'Cashflow Projection'!J147))</f>
        <v/>
      </c>
      <c r="L147" s="64" t="n"/>
      <c r="M147" s="48">
        <f>IF(VLOOKUP($D147,Sales!$C:$D,2,FALSE)=TRUE,0,SUMIFS('Investor Exit List'!$Q:$Q, 'Investor Exit List'!$C:$C, 'Cashflow Projection'!L147))</f>
        <v/>
      </c>
      <c r="N147" s="64" t="n"/>
      <c r="O147" s="48">
        <f>IF(VLOOKUP($D147,Sales!$C:$D,2,FALSE)=TRUE,0,SUMIFS('Investor Exit List'!$Q:$Q, 'Investor Exit List'!$C:$C, 'Cashflow Projection'!N147))</f>
        <v/>
      </c>
      <c r="P147" s="64" t="n"/>
      <c r="Q147" s="48">
        <f>IF(VLOOKUP($D147,Sales!$C:$D,2,FALSE)=TRUE,0,SUMIFS('Investor Exit List'!$Q:$Q, 'Investor Exit List'!$C:$C, 'Cashflow Projection'!P147))</f>
        <v/>
      </c>
      <c r="R147" s="64" t="n"/>
      <c r="S147" s="48">
        <f>IF(VLOOKUP($D147,Sales!$C:$D,2,FALSE)=TRUE,0,SUMIFS('Investor Exit List'!$Q:$Q, 'Investor Exit List'!$C:$C, 'Cashflow Projection'!R147))</f>
        <v/>
      </c>
      <c r="T147" s="64" t="n"/>
      <c r="U147" s="48">
        <f>IF(VLOOKUP($D147,Sales!$C:$D,2,FALSE)=TRUE,0,SUMIFS('Investor Exit List'!$Q:$Q, 'Investor Exit List'!$C:$C, 'Cashflow Projection'!T147))</f>
        <v/>
      </c>
      <c r="V147" s="64" t="n"/>
      <c r="W147" s="48">
        <f>IF(VLOOKUP($D147,Sales!$C:$D,2,FALSE)=TRUE,0,SUMIFS('Investor Exit List'!$Q:$Q, 'Investor Exit List'!$C:$C, 'Cashflow Projection'!V147))</f>
        <v/>
      </c>
      <c r="X147" s="64" t="n"/>
      <c r="Y147" s="48">
        <f>IF(VLOOKUP($D147,Sales!$C:$D,2,FALSE)=TRUE,0,SUMIFS('Investor Exit List'!$Q:$Q, 'Investor Exit List'!$C:$C, 'Cashflow Projection'!X147))</f>
        <v/>
      </c>
      <c r="Z147" s="64" t="n"/>
      <c r="AA147" s="48">
        <f>IF(VLOOKUP($D147,Sales!$C:$D,2,FALSE)=TRUE,0,SUMIFS('Investor Exit List'!$Q:$Q, 'Investor Exit List'!$C:$C, 'Cashflow Projection'!Z147))</f>
        <v/>
      </c>
      <c r="AB147" s="64" t="n"/>
      <c r="AC147" s="48">
        <f>IF(VLOOKUP($D147,Sales!$C:$D,2,FALSE)=TRUE,0,SUMIFS('Investor Exit List'!$Q:$Q, 'Investor Exit List'!$C:$C, 'Cashflow Projection'!AB147))</f>
        <v/>
      </c>
      <c r="AD147" s="64" t="n"/>
      <c r="AE147" s="48">
        <f>IF(VLOOKUP($D147,Sales!$C:$D,2,FALSE)=TRUE,0,SUMIFS('Investor Exit List'!$Q:$Q, 'Investor Exit List'!$C:$C, 'Cashflow Projection'!AD147))</f>
        <v/>
      </c>
      <c r="AF147" s="64" t="n"/>
    </row>
    <row r="148">
      <c r="A148" t="inlineStr"/>
      <c r="B148" t="inlineStr"/>
      <c r="C148" s="62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3" t="inlineStr">
        <is>
          <t>HVO205</t>
        </is>
      </c>
      <c r="E148" s="24">
        <f>IF(F148&lt;&gt;0,1,0)</f>
        <v/>
      </c>
      <c r="F148" s="56">
        <f>+I148+K148+M148+O148+Q148+S148+U148+W148+Y148+AA148+AC148+AE148</f>
        <v/>
      </c>
      <c r="G148" s="15" t="inlineStr">
        <is>
          <t>N / WH</t>
        </is>
      </c>
      <c r="H148" s="53" t="n"/>
      <c r="I148" s="48">
        <f>SUMIFS('Investor Exit List'!$Q:$Q, 'Investor Exit List'!$C:$C, 'Cashflow Projection'!H148)</f>
        <v/>
      </c>
      <c r="J148" s="64" t="n"/>
      <c r="K148" s="48">
        <f>IF(VLOOKUP($D148,Sales!$C:$D,2,FALSE)=TRUE,0,SUMIFS('Investor Exit List'!$Q:$Q, 'Investor Exit List'!$C:$C, 'Cashflow Projection'!J148))</f>
        <v/>
      </c>
      <c r="L148" s="64" t="n"/>
      <c r="M148" s="48">
        <f>IF(VLOOKUP($D148,Sales!$C:$D,2,FALSE)=TRUE,0,SUMIFS('Investor Exit List'!$Q:$Q, 'Investor Exit List'!$C:$C, 'Cashflow Projection'!L148))</f>
        <v/>
      </c>
      <c r="N148" s="64" t="n"/>
      <c r="O148" s="48">
        <f>IF(VLOOKUP($D148,Sales!$C:$D,2,FALSE)=TRUE,0,SUMIFS('Investor Exit List'!$Q:$Q, 'Investor Exit List'!$C:$C, 'Cashflow Projection'!N148))</f>
        <v/>
      </c>
      <c r="P148" s="64" t="n"/>
      <c r="Q148" s="48">
        <f>IF(VLOOKUP($D148,Sales!$C:$D,2,FALSE)=TRUE,0,SUMIFS('Investor Exit List'!$Q:$Q, 'Investor Exit List'!$C:$C, 'Cashflow Projection'!P148))</f>
        <v/>
      </c>
      <c r="R148" s="64" t="n"/>
      <c r="S148" s="48">
        <f>IF(VLOOKUP($D148,Sales!$C:$D,2,FALSE)=TRUE,0,SUMIFS('Investor Exit List'!$Q:$Q, 'Investor Exit List'!$C:$C, 'Cashflow Projection'!R148))</f>
        <v/>
      </c>
      <c r="T148" s="64" t="n"/>
      <c r="U148" s="48">
        <f>IF(VLOOKUP($D148,Sales!$C:$D,2,FALSE)=TRUE,0,SUMIFS('Investor Exit List'!$Q:$Q, 'Investor Exit List'!$C:$C, 'Cashflow Projection'!T148))</f>
        <v/>
      </c>
      <c r="V148" s="64" t="n"/>
      <c r="W148" s="48">
        <f>IF(VLOOKUP($D148,Sales!$C:$D,2,FALSE)=TRUE,0,SUMIFS('Investor Exit List'!$Q:$Q, 'Investor Exit List'!$C:$C, 'Cashflow Projection'!V148))</f>
        <v/>
      </c>
      <c r="X148" s="64" t="n"/>
      <c r="Y148" s="48">
        <f>IF(VLOOKUP($D148,Sales!$C:$D,2,FALSE)=TRUE,0,SUMIFS('Investor Exit List'!$Q:$Q, 'Investor Exit List'!$C:$C, 'Cashflow Projection'!X148))</f>
        <v/>
      </c>
      <c r="Z148" s="64" t="n"/>
      <c r="AA148" s="48">
        <f>IF(VLOOKUP($D148,Sales!$C:$D,2,FALSE)=TRUE,0,SUMIFS('Investor Exit List'!$Q:$Q, 'Investor Exit List'!$C:$C, 'Cashflow Projection'!Z148))</f>
        <v/>
      </c>
      <c r="AB148" s="64" t="n"/>
      <c r="AC148" s="48">
        <f>IF(VLOOKUP($D148,Sales!$C:$D,2,FALSE)=TRUE,0,SUMIFS('Investor Exit List'!$Q:$Q, 'Investor Exit List'!$C:$C, 'Cashflow Projection'!AB148))</f>
        <v/>
      </c>
      <c r="AD148" s="64" t="n"/>
      <c r="AE148" s="48">
        <f>IF(VLOOKUP($D148,Sales!$C:$D,2,FALSE)=TRUE,0,SUMIFS('Investor Exit List'!$Q:$Q, 'Investor Exit List'!$C:$C, 'Cashflow Projection'!AD148))</f>
        <v/>
      </c>
      <c r="AF148" s="64" t="n"/>
    </row>
    <row r="149">
      <c r="A149" t="inlineStr"/>
      <c r="B149" t="inlineStr"/>
      <c r="C149" s="62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3" t="inlineStr">
        <is>
          <t>HVO305</t>
        </is>
      </c>
      <c r="E149" s="24">
        <f>IF(F149&lt;&gt;0,1,0)</f>
        <v/>
      </c>
      <c r="F149" s="56">
        <f>+I149+K149+M149+O149+Q149+S149+U149+W149+Y149+AA149+AC149+AE149</f>
        <v/>
      </c>
      <c r="G149" s="15" t="inlineStr">
        <is>
          <t>N / WH</t>
        </is>
      </c>
      <c r="H149" s="53" t="n"/>
      <c r="I149" s="48">
        <f>SUMIFS('Investor Exit List'!$Q:$Q, 'Investor Exit List'!$C:$C, 'Cashflow Projection'!H149)</f>
        <v/>
      </c>
      <c r="J149" s="64" t="n"/>
      <c r="K149" s="48">
        <f>IF(VLOOKUP($D149,Sales!$C:$D,2,FALSE)=TRUE,0,SUMIFS('Investor Exit List'!$Q:$Q, 'Investor Exit List'!$C:$C, 'Cashflow Projection'!J149))</f>
        <v/>
      </c>
      <c r="L149" s="64" t="n"/>
      <c r="M149" s="48">
        <f>IF(VLOOKUP($D149,Sales!$C:$D,2,FALSE)=TRUE,0,SUMIFS('Investor Exit List'!$Q:$Q, 'Investor Exit List'!$C:$C, 'Cashflow Projection'!L149))</f>
        <v/>
      </c>
      <c r="N149" s="64" t="n"/>
      <c r="O149" s="48">
        <f>IF(VLOOKUP($D149,Sales!$C:$D,2,FALSE)=TRUE,0,SUMIFS('Investor Exit List'!$Q:$Q, 'Investor Exit List'!$C:$C, 'Cashflow Projection'!N149))</f>
        <v/>
      </c>
      <c r="P149" s="64" t="n"/>
      <c r="Q149" s="48">
        <f>IF(VLOOKUP($D149,Sales!$C:$D,2,FALSE)=TRUE,0,SUMIFS('Investor Exit List'!$Q:$Q, 'Investor Exit List'!$C:$C, 'Cashflow Projection'!P149))</f>
        <v/>
      </c>
      <c r="R149" s="64" t="n"/>
      <c r="S149" s="48">
        <f>IF(VLOOKUP($D149,Sales!$C:$D,2,FALSE)=TRUE,0,SUMIFS('Investor Exit List'!$Q:$Q, 'Investor Exit List'!$C:$C, 'Cashflow Projection'!R149))</f>
        <v/>
      </c>
      <c r="T149" s="64" t="n"/>
      <c r="U149" s="48">
        <f>IF(VLOOKUP($D149,Sales!$C:$D,2,FALSE)=TRUE,0,SUMIFS('Investor Exit List'!$Q:$Q, 'Investor Exit List'!$C:$C, 'Cashflow Projection'!T149))</f>
        <v/>
      </c>
      <c r="V149" s="64" t="n"/>
      <c r="W149" s="48">
        <f>IF(VLOOKUP($D149,Sales!$C:$D,2,FALSE)=TRUE,0,SUMIFS('Investor Exit List'!$Q:$Q, 'Investor Exit List'!$C:$C, 'Cashflow Projection'!V149))</f>
        <v/>
      </c>
      <c r="X149" s="64" t="n"/>
      <c r="Y149" s="48">
        <f>IF(VLOOKUP($D149,Sales!$C:$D,2,FALSE)=TRUE,0,SUMIFS('Investor Exit List'!$Q:$Q, 'Investor Exit List'!$C:$C, 'Cashflow Projection'!X149))</f>
        <v/>
      </c>
      <c r="Z149" s="64" t="n"/>
      <c r="AA149" s="48">
        <f>IF(VLOOKUP($D149,Sales!$C:$D,2,FALSE)=TRUE,0,SUMIFS('Investor Exit List'!$Q:$Q, 'Investor Exit List'!$C:$C, 'Cashflow Projection'!Z149))</f>
        <v/>
      </c>
      <c r="AB149" s="64" t="n"/>
      <c r="AC149" s="48">
        <f>IF(VLOOKUP($D149,Sales!$C:$D,2,FALSE)=TRUE,0,SUMIFS('Investor Exit List'!$Q:$Q, 'Investor Exit List'!$C:$C, 'Cashflow Projection'!AB149))</f>
        <v/>
      </c>
      <c r="AD149" s="64" t="n"/>
      <c r="AE149" s="48">
        <f>IF(VLOOKUP($D149,Sales!$C:$D,2,FALSE)=TRUE,0,SUMIFS('Investor Exit List'!$Q:$Q, 'Investor Exit List'!$C:$C, 'Cashflow Projection'!AD149))</f>
        <v/>
      </c>
      <c r="AF149" s="64" t="n"/>
    </row>
    <row r="150">
      <c r="A150" t="inlineStr"/>
      <c r="B150" t="inlineStr"/>
      <c r="C150" s="62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3" t="inlineStr">
        <is>
          <t>HVP203</t>
        </is>
      </c>
      <c r="E150" s="24">
        <f>IF(F150&lt;&gt;0,1,0)</f>
        <v/>
      </c>
      <c r="F150" s="56">
        <f>+I150+K150+M150+O150+Q150+S150+U150+W150+Y150+AA150+AC150+AE150</f>
        <v/>
      </c>
      <c r="G150" s="15" t="inlineStr">
        <is>
          <t>N / WH</t>
        </is>
      </c>
      <c r="H150" s="53" t="n"/>
      <c r="I150" s="48">
        <f>SUMIFS('Investor Exit List'!$Q:$Q, 'Investor Exit List'!$C:$C, 'Cashflow Projection'!H150)</f>
        <v/>
      </c>
      <c r="J150" s="64" t="n"/>
      <c r="K150" s="48">
        <f>IF(VLOOKUP($D150,Sales!$C:$D,2,FALSE)=TRUE,0,SUMIFS('Investor Exit List'!$Q:$Q, 'Investor Exit List'!$C:$C, 'Cashflow Projection'!J150))</f>
        <v/>
      </c>
      <c r="L150" s="64" t="n"/>
      <c r="M150" s="48">
        <f>IF(VLOOKUP($D150,Sales!$C:$D,2,FALSE)=TRUE,0,SUMIFS('Investor Exit List'!$Q:$Q, 'Investor Exit List'!$C:$C, 'Cashflow Projection'!L150))</f>
        <v/>
      </c>
      <c r="N150" s="64" t="n"/>
      <c r="O150" s="48">
        <f>IF(VLOOKUP($D150,Sales!$C:$D,2,FALSE)=TRUE,0,SUMIFS('Investor Exit List'!$Q:$Q, 'Investor Exit List'!$C:$C, 'Cashflow Projection'!N150))</f>
        <v/>
      </c>
      <c r="P150" s="64" t="n"/>
      <c r="Q150" s="48">
        <f>IF(VLOOKUP($D150,Sales!$C:$D,2,FALSE)=TRUE,0,SUMIFS('Investor Exit List'!$Q:$Q, 'Investor Exit List'!$C:$C, 'Cashflow Projection'!P150))</f>
        <v/>
      </c>
      <c r="R150" s="64" t="n"/>
      <c r="S150" s="48">
        <f>IF(VLOOKUP($D150,Sales!$C:$D,2,FALSE)=TRUE,0,SUMIFS('Investor Exit List'!$Q:$Q, 'Investor Exit List'!$C:$C, 'Cashflow Projection'!R150))</f>
        <v/>
      </c>
      <c r="T150" s="64" t="n"/>
      <c r="U150" s="48">
        <f>IF(VLOOKUP($D150,Sales!$C:$D,2,FALSE)=TRUE,0,SUMIFS('Investor Exit List'!$Q:$Q, 'Investor Exit List'!$C:$C, 'Cashflow Projection'!T150))</f>
        <v/>
      </c>
      <c r="V150" s="64" t="n"/>
      <c r="W150" s="48">
        <f>IF(VLOOKUP($D150,Sales!$C:$D,2,FALSE)=TRUE,0,SUMIFS('Investor Exit List'!$Q:$Q, 'Investor Exit List'!$C:$C, 'Cashflow Projection'!V150))</f>
        <v/>
      </c>
      <c r="X150" s="64" t="n"/>
      <c r="Y150" s="48">
        <f>IF(VLOOKUP($D150,Sales!$C:$D,2,FALSE)=TRUE,0,SUMIFS('Investor Exit List'!$Q:$Q, 'Investor Exit List'!$C:$C, 'Cashflow Projection'!X150))</f>
        <v/>
      </c>
      <c r="Z150" s="64" t="n"/>
      <c r="AA150" s="48">
        <f>IF(VLOOKUP($D150,Sales!$C:$D,2,FALSE)=TRUE,0,SUMIFS('Investor Exit List'!$Q:$Q, 'Investor Exit List'!$C:$C, 'Cashflow Projection'!Z150))</f>
        <v/>
      </c>
      <c r="AB150" s="64" t="n"/>
      <c r="AC150" s="48">
        <f>IF(VLOOKUP($D150,Sales!$C:$D,2,FALSE)=TRUE,0,SUMIFS('Investor Exit List'!$Q:$Q, 'Investor Exit List'!$C:$C, 'Cashflow Projection'!AB150))</f>
        <v/>
      </c>
      <c r="AD150" s="64" t="n"/>
      <c r="AE150" s="48">
        <f>IF(VLOOKUP($D150,Sales!$C:$D,2,FALSE)=TRUE,0,SUMIFS('Investor Exit List'!$Q:$Q, 'Investor Exit List'!$C:$C, 'Cashflow Projection'!AD150))</f>
        <v/>
      </c>
      <c r="AF150" s="64" t="n"/>
    </row>
    <row r="151">
      <c r="A151" t="inlineStr"/>
      <c r="B151" t="inlineStr"/>
      <c r="C151" s="62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3" t="inlineStr">
        <is>
          <t>HVP303</t>
        </is>
      </c>
      <c r="E151" s="24">
        <f>IF(F151&lt;&gt;0,1,0)</f>
        <v/>
      </c>
      <c r="F151" s="56">
        <f>+I151+K151+M151+O151+Q151+S151+U151+W151+Y151+AA151+AC151+AE151</f>
        <v/>
      </c>
      <c r="G151" s="15" t="inlineStr">
        <is>
          <t>N / WH</t>
        </is>
      </c>
      <c r="H151" s="53" t="n"/>
      <c r="I151" s="48">
        <f>SUMIFS('Investor Exit List'!$Q:$Q, 'Investor Exit List'!$C:$C, 'Cashflow Projection'!H151)</f>
        <v/>
      </c>
      <c r="J151" s="64" t="n"/>
      <c r="K151" s="48">
        <f>IF(VLOOKUP($D151,Sales!$C:$D,2,FALSE)=TRUE,0,SUMIFS('Investor Exit List'!$Q:$Q, 'Investor Exit List'!$C:$C, 'Cashflow Projection'!J151))</f>
        <v/>
      </c>
      <c r="L151" s="64" t="n"/>
      <c r="M151" s="48">
        <f>IF(VLOOKUP($D151,Sales!$C:$D,2,FALSE)=TRUE,0,SUMIFS('Investor Exit List'!$Q:$Q, 'Investor Exit List'!$C:$C, 'Cashflow Projection'!L151))</f>
        <v/>
      </c>
      <c r="N151" s="64" t="n"/>
      <c r="O151" s="48">
        <f>IF(VLOOKUP($D151,Sales!$C:$D,2,FALSE)=TRUE,0,SUMIFS('Investor Exit List'!$Q:$Q, 'Investor Exit List'!$C:$C, 'Cashflow Projection'!N151))</f>
        <v/>
      </c>
      <c r="P151" s="64" t="n"/>
      <c r="Q151" s="48">
        <f>IF(VLOOKUP($D151,Sales!$C:$D,2,FALSE)=TRUE,0,SUMIFS('Investor Exit List'!$Q:$Q, 'Investor Exit List'!$C:$C, 'Cashflow Projection'!P151))</f>
        <v/>
      </c>
      <c r="R151" s="64" t="n"/>
      <c r="S151" s="48">
        <f>IF(VLOOKUP($D151,Sales!$C:$D,2,FALSE)=TRUE,0,SUMIFS('Investor Exit List'!$Q:$Q, 'Investor Exit List'!$C:$C, 'Cashflow Projection'!R151))</f>
        <v/>
      </c>
      <c r="T151" s="64" t="n"/>
      <c r="U151" s="48">
        <f>IF(VLOOKUP($D151,Sales!$C:$D,2,FALSE)=TRUE,0,SUMIFS('Investor Exit List'!$Q:$Q, 'Investor Exit List'!$C:$C, 'Cashflow Projection'!T151))</f>
        <v/>
      </c>
      <c r="V151" s="64" t="n"/>
      <c r="W151" s="48">
        <f>IF(VLOOKUP($D151,Sales!$C:$D,2,FALSE)=TRUE,0,SUMIFS('Investor Exit List'!$Q:$Q, 'Investor Exit List'!$C:$C, 'Cashflow Projection'!V151))</f>
        <v/>
      </c>
      <c r="X151" s="64" t="n"/>
      <c r="Y151" s="48">
        <f>IF(VLOOKUP($D151,Sales!$C:$D,2,FALSE)=TRUE,0,SUMIFS('Investor Exit List'!$Q:$Q, 'Investor Exit List'!$C:$C, 'Cashflow Projection'!X151))</f>
        <v/>
      </c>
      <c r="Z151" s="64" t="n"/>
      <c r="AA151" s="48">
        <f>IF(VLOOKUP($D151,Sales!$C:$D,2,FALSE)=TRUE,0,SUMIFS('Investor Exit List'!$Q:$Q, 'Investor Exit List'!$C:$C, 'Cashflow Projection'!Z151))</f>
        <v/>
      </c>
      <c r="AB151" s="64" t="n"/>
      <c r="AC151" s="48">
        <f>IF(VLOOKUP($D151,Sales!$C:$D,2,FALSE)=TRUE,0,SUMIFS('Investor Exit List'!$Q:$Q, 'Investor Exit List'!$C:$C, 'Cashflow Projection'!AB151))</f>
        <v/>
      </c>
      <c r="AD151" s="64" t="n"/>
      <c r="AE151" s="48">
        <f>IF(VLOOKUP($D151,Sales!$C:$D,2,FALSE)=TRUE,0,SUMIFS('Investor Exit List'!$Q:$Q, 'Investor Exit List'!$C:$C, 'Cashflow Projection'!AD151))</f>
        <v/>
      </c>
      <c r="AF151" s="64" t="n"/>
    </row>
    <row r="153">
      <c r="A153" s="65" t="inlineStr">
        <is>
          <t>DEBENTURE TRANSACTION</t>
        </is>
      </c>
      <c r="B153" s="66" t="n">
        <v>900000</v>
      </c>
      <c r="C153" s="65" t="n">
        <v>8</v>
      </c>
      <c r="D153" s="67">
        <f>+I153+K153+M153+O153+Q153+S153+U153+W153+Y153+AA153+AC153+AE153</f>
        <v/>
      </c>
      <c r="G153" s="15" t="inlineStr">
        <is>
          <t>N / LK</t>
        </is>
      </c>
      <c r="I153" s="68">
        <f>$B153*J153</f>
        <v/>
      </c>
      <c r="J153" s="68">
        <f>$H117</f>
        <v/>
      </c>
      <c r="K153" s="68">
        <f>$B153*L153</f>
        <v/>
      </c>
      <c r="L153" s="68">
        <f>$J117</f>
        <v/>
      </c>
      <c r="M153" s="68">
        <f>$B153*N153</f>
        <v/>
      </c>
      <c r="N153" s="68">
        <f>$L117</f>
        <v/>
      </c>
      <c r="O153" s="68">
        <f>$B153*P153</f>
        <v/>
      </c>
      <c r="P153" s="68">
        <f>$N117</f>
        <v/>
      </c>
      <c r="Q153" s="68">
        <f>$B153*R153</f>
        <v/>
      </c>
      <c r="R153" s="68">
        <f>$P117</f>
        <v/>
      </c>
      <c r="S153" s="68">
        <f>$B153*T153</f>
        <v/>
      </c>
      <c r="T153" s="68">
        <f>$R117</f>
        <v/>
      </c>
      <c r="U153" s="68">
        <f>$B153*V153</f>
        <v/>
      </c>
      <c r="V153" s="68">
        <f>$T117</f>
        <v/>
      </c>
      <c r="W153" s="68">
        <f>$B153*X153</f>
        <v/>
      </c>
      <c r="X153" s="68">
        <f>$V117</f>
        <v/>
      </c>
      <c r="Y153" s="68">
        <f>$B153*Z153</f>
        <v/>
      </c>
      <c r="Z153" s="68">
        <f>$X117</f>
        <v/>
      </c>
      <c r="AA153" s="68">
        <f>$B153*AB153</f>
        <v/>
      </c>
      <c r="AB153" s="68">
        <f>$Z117</f>
        <v/>
      </c>
      <c r="AC153" s="68">
        <f>$B153*AD153</f>
        <v/>
      </c>
      <c r="AD153" s="68">
        <f>$AB117</f>
        <v/>
      </c>
      <c r="AE153" s="68">
        <f>$B153*AF153</f>
        <v/>
      </c>
      <c r="AF153" s="68">
        <f>$AD117</f>
        <v/>
      </c>
    </row>
    <row r="154">
      <c r="A154" t="inlineStr"/>
    </row>
    <row r="155">
      <c r="A155" t="inlineStr"/>
    </row>
    <row r="156">
      <c r="A156" s="69" t="inlineStr">
        <is>
          <t>ROLL OVER REFINANCE PROPERTIES</t>
        </is>
      </c>
      <c r="D156" s="70">
        <f>+I156+K156+M156+O156+Q156+S156+U156+W156+Y156+AA156+AC156+AE156</f>
        <v/>
      </c>
      <c r="G156" s="15" t="inlineStr">
        <is>
          <t>N / LK</t>
        </is>
      </c>
      <c r="I156" s="71">
        <f>sum(I159:I241)</f>
        <v/>
      </c>
      <c r="K156" s="71">
        <f>sum(K159:K241)</f>
        <v/>
      </c>
      <c r="M156" s="71">
        <f>sum(M159:M241)</f>
        <v/>
      </c>
      <c r="O156" s="71">
        <f>sum(O159:O241)</f>
        <v/>
      </c>
      <c r="Q156" s="71">
        <f>sum(Q159:Q241)</f>
        <v/>
      </c>
      <c r="S156" s="71">
        <f>sum(S159:S241)</f>
        <v/>
      </c>
      <c r="U156" s="71">
        <f>sum(U159:U241)</f>
        <v/>
      </c>
      <c r="W156" s="71">
        <f>sum(W159:W241)</f>
        <v/>
      </c>
      <c r="Y156" s="71">
        <f>sum(Y159:Y241)</f>
        <v/>
      </c>
      <c r="AA156" s="71">
        <f>sum(AA159:AA241)</f>
        <v/>
      </c>
      <c r="AC156" s="71">
        <f>sum(AC159:AC241)</f>
        <v/>
      </c>
      <c r="AE156" s="71">
        <f>sum(AE159:AE241)</f>
        <v/>
      </c>
    </row>
    <row r="157">
      <c r="A157" t="n">
        <v>0</v>
      </c>
      <c r="B157" s="72" t="inlineStr">
        <is>
          <t>Developer Contribution</t>
        </is>
      </c>
      <c r="C157" s="73" t="inlineStr">
        <is>
          <t>25%</t>
        </is>
      </c>
      <c r="D157" s="70">
        <f>+I157+K157+M157+O157+Q157+S157+U157+W157+Y157+AA157+AC157+AE157</f>
        <v/>
      </c>
      <c r="G157" s="15" t="inlineStr">
        <is>
          <t>N / LK</t>
        </is>
      </c>
      <c r="H157" s="74" t="n"/>
      <c r="I157" s="26">
        <f>SUM(I245:I595)</f>
        <v/>
      </c>
      <c r="K157" s="26">
        <f>SUM(K245:K595)</f>
        <v/>
      </c>
      <c r="M157" s="26">
        <f>SUM(M245:M595)</f>
        <v/>
      </c>
      <c r="O157" s="26">
        <f>SUM(O245:O595)</f>
        <v/>
      </c>
      <c r="Q157" s="26">
        <f>SUM(Q245:Q595)</f>
        <v/>
      </c>
      <c r="S157" s="26">
        <f>SUM(S245:S595)</f>
        <v/>
      </c>
      <c r="U157" s="26">
        <f>SUM(U245:U595)</f>
        <v/>
      </c>
      <c r="W157" s="26">
        <f>SUM(W245:W595)</f>
        <v/>
      </c>
      <c r="Y157" s="26">
        <f>SUM(Y245:Y595)</f>
        <v/>
      </c>
      <c r="AA157" s="26">
        <f>SUM(AA245:AA595)</f>
        <v/>
      </c>
      <c r="AC157" s="26">
        <f>SUM(AC245:AC595)</f>
        <v/>
      </c>
      <c r="AE157" s="26">
        <f>SUM(AE245:AE595)</f>
        <v/>
      </c>
    </row>
    <row r="158">
      <c r="A158" t="n">
        <v>1</v>
      </c>
      <c r="B158" s="72" t="inlineStr">
        <is>
          <t>Roll Over - Investors</t>
        </is>
      </c>
      <c r="D158" s="70">
        <f>+I158+K158+M158+O158+Q158+S158+U158+W158+Y158+AA158+AC158+AE158</f>
        <v/>
      </c>
      <c r="G158" s="15" t="inlineStr">
        <is>
          <t>N / LK</t>
        </is>
      </c>
      <c r="H158" s="74" t="n"/>
      <c r="I158" s="71">
        <f>I156-I157</f>
        <v/>
      </c>
      <c r="K158" s="71">
        <f>K156-K157</f>
        <v/>
      </c>
      <c r="M158" s="71">
        <f>M156-M157</f>
        <v/>
      </c>
      <c r="O158" s="71">
        <f>O156-O157</f>
        <v/>
      </c>
      <c r="Q158" s="71">
        <f>Q156-Q157</f>
        <v/>
      </c>
      <c r="S158" s="71">
        <f>S156-S157</f>
        <v/>
      </c>
      <c r="U158" s="71">
        <f>U156-U157</f>
        <v/>
      </c>
      <c r="W158" s="71">
        <f>W156-W157</f>
        <v/>
      </c>
      <c r="Y158" s="71">
        <f>Y156-Y157</f>
        <v/>
      </c>
      <c r="AA158" s="71">
        <f>AA156-AA157</f>
        <v/>
      </c>
      <c r="AC158" s="71">
        <f>AC156-AC157</f>
        <v/>
      </c>
      <c r="AE158" s="71">
        <f>AE156-AE157</f>
        <v/>
      </c>
    </row>
    <row r="159">
      <c r="A159" t="n">
        <v>2</v>
      </c>
      <c r="G159" s="15" t="inlineStr">
        <is>
          <t>N / LK</t>
        </is>
      </c>
      <c r="H159" s="74">
        <f>_xlfn.IFERROR(_xlfn.UNIQUE(_xlfn.FILTER($B$243:$B$593,($C$243:$C$593&lt;=I5)*($C$243:$C$593&gt;G5)*($F$243:$F$593=0))),"")</f>
        <v/>
      </c>
      <c r="I159" s="75">
        <f>IF(OR(LEFT(H159,6)="HVD302",LEFT(H159,6)="HVD303",LEFT(H159,6)="HVD304"),0,SUMIFS($D$245:$D$595,$B$245:$B$595,H159))</f>
        <v/>
      </c>
      <c r="J159" s="75">
        <f>_xlfn.IFERROR(_xlfn.UNIQUE(_xlfn.FILTER($B$245:$B$595,($C$245:$C$595&lt;=K$5)*($C$245:$C$595&gt;I$5)*($F$245:$F$595=0))),"")</f>
        <v/>
      </c>
      <c r="K159" s="75">
        <f>SUMIFS($D$245:$D$595,$B$245:$B$595,J159)</f>
        <v/>
      </c>
      <c r="L159" s="75">
        <f>_xlfn.IFERROR(_xlfn.UNIQUE(_xlfn.FILTER($B$245:$B$595,($C$245:$C$595&lt;=M$5)*($C$245:$C$595&gt;K$5)*($F$245:$F$595=0))),"")</f>
        <v/>
      </c>
      <c r="M159" s="75">
        <f>SUMIFS($D$245:$D$595,$B$245:$B$595,L159)</f>
        <v/>
      </c>
      <c r="N159" s="75">
        <f>_xlfn.IFERROR(_xlfn.UNIQUE(_xlfn.FILTER($B$245:$B$595,($C$245:$C$595&lt;=O$5)*($C$245:$C$595&gt;M$5)*($F$245:$F$595=0))),"")</f>
        <v/>
      </c>
      <c r="O159" s="75">
        <f>SUMIFS($D$245:$D$595,$B$245:$B$595,N159)</f>
        <v/>
      </c>
      <c r="P159" s="75">
        <f>_xlfn.IFERROR(_xlfn.UNIQUE(_xlfn.FILTER($B$245:$B$595,($C$245:$C$595&lt;=Q$5)*($C$245:$C$595&gt;O$5)*($F$245:$F$595=0))),"")</f>
        <v/>
      </c>
      <c r="Q159" s="75">
        <f>SUMIFS($D$245:$D$595,$B$245:$B$595,P159)</f>
        <v/>
      </c>
      <c r="R159" s="75">
        <f>_xlfn.IFERROR(_xlfn.UNIQUE(_xlfn.FILTER($B$245:$B$595,($C$245:$C$595&lt;=S$5)*($C$245:$C$595&gt;Q$5)*($F$245:$F$595=0))),"")</f>
        <v/>
      </c>
      <c r="S159" s="75">
        <f>SUMIFS($D$245:$D$595,$B$245:$B$595,R159)</f>
        <v/>
      </c>
      <c r="T159" s="75">
        <f>_xlfn.IFERROR(_xlfn.UNIQUE(_xlfn.FILTER($B$245:$B$595,($C$245:$C$595&lt;=U$5)*($C$245:$C$595&gt;S$5)*($F$245:$F$595=0))),"")</f>
        <v/>
      </c>
      <c r="U159" s="75">
        <f>SUMIFS($D$245:$D$595,$B$245:$B$595,T159)</f>
        <v/>
      </c>
      <c r="V159" s="75">
        <f>_xlfn.IFERROR(_xlfn.UNIQUE(_xlfn.FILTER($B$245:$B$595,($C$245:$C$595&lt;=W$5)*($C$245:$C$595&gt;U$5)*($F$245:$F$595=0))),"")</f>
        <v/>
      </c>
      <c r="W159" s="75">
        <f>SUMIFS($D$245:$D$595,$B$245:$B$595,V159)</f>
        <v/>
      </c>
      <c r="X159" s="75">
        <f>_xlfn.IFERROR(_xlfn.UNIQUE(_xlfn.FILTER($B$245:$B$595,($C$245:$C$595&lt;=Y$5)*($C$245:$C$595&gt;W$5)*($F$245:$F$595=0))),"")</f>
        <v/>
      </c>
      <c r="Y159" s="75">
        <f>SUMIFS($D$245:$D$595,$B$245:$B$595,X159)</f>
        <v/>
      </c>
      <c r="Z159" s="75">
        <f>_xlfn.IFERROR(_xlfn.UNIQUE(_xlfn.FILTER($B$245:$B$595,($C$245:$C$595&lt;=AA$5)*($C$245:$C$595&gt;Y$5)*($F$245:$F$595=0))),"")</f>
        <v/>
      </c>
      <c r="AA159" s="75">
        <f>SUMIFS($D$245:$D$595,$B$245:$B$595,Z159)</f>
        <v/>
      </c>
      <c r="AB159" s="75">
        <f>_xlfn.IFERROR(_xlfn.UNIQUE(_xlfn.FILTER($B$245:$B$595,($C$245:$C$595&lt;=AC$5)*($C$245:$C$595&gt;AA$5)*($F$245:$F$595=0))),"")</f>
        <v/>
      </c>
      <c r="AC159" s="75">
        <f>SUMIFS($D$245:$D$595,$B$245:$B$595,AB159)</f>
        <v/>
      </c>
      <c r="AD159" s="75">
        <f>_xlfn.IFERROR(_xlfn.UNIQUE(_xlfn.FILTER($B$245:$B$595,($C$245:$C$595&lt;=AE$5)*($C$245:$C$595&gt;AC$5)*($F$245:$F$595=0))),"")</f>
        <v/>
      </c>
      <c r="AE159" s="75">
        <f>SUMIFS($D$245:$D$595,$B$245:$B$595,AD159)</f>
        <v/>
      </c>
      <c r="AF159" s="76" t="n"/>
    </row>
    <row r="160">
      <c r="A160" t="n">
        <v>3</v>
      </c>
      <c r="G160" s="15" t="inlineStr">
        <is>
          <t>N / LK</t>
        </is>
      </c>
      <c r="H160" s="74" t="n"/>
      <c r="I160" s="75">
        <f>IF(OR(LEFT(H160,6)="HVD302",LEFT(H160,6)="HVD303",LEFT(H160,6)="HVD304"),0,SUMIFS($D$245:$D$595,$B$245:$B$595,H160))</f>
        <v/>
      </c>
      <c r="J160" s="76" t="n"/>
      <c r="K160" s="75">
        <f>SUMIFS($D$245:$D$595,$B$245:$B$595,J160)</f>
        <v/>
      </c>
      <c r="L160" s="76" t="n"/>
      <c r="M160" s="75">
        <f>SUMIFS($D$245:$D$595,$B$245:$B$595,L160)</f>
        <v/>
      </c>
      <c r="N160" s="76" t="n"/>
      <c r="O160" s="75">
        <f>SUMIFS($D$245:$D$595,$B$245:$B$595,N160)</f>
        <v/>
      </c>
      <c r="P160" s="76" t="n"/>
      <c r="Q160" s="75">
        <f>SUMIFS($D$245:$D$595,$B$245:$B$595,P160)</f>
        <v/>
      </c>
      <c r="R160" s="76" t="n"/>
      <c r="S160" s="75">
        <f>SUMIFS($D$245:$D$595,$B$245:$B$595,R160)</f>
        <v/>
      </c>
      <c r="T160" s="76" t="n"/>
      <c r="U160" s="75">
        <f>SUMIFS($D$245:$D$595,$B$245:$B$595,T160)</f>
        <v/>
      </c>
      <c r="V160" s="76" t="n"/>
      <c r="W160" s="75">
        <f>SUMIFS($D$245:$D$595,$B$245:$B$595,V160)</f>
        <v/>
      </c>
      <c r="X160" s="76" t="n"/>
      <c r="Y160" s="75">
        <f>SUMIFS($D$245:$D$595,$B$245:$B$595,X160)</f>
        <v/>
      </c>
      <c r="Z160" s="76" t="n"/>
      <c r="AA160" s="75">
        <f>SUMIFS($D$245:$D$595,$B$245:$B$595,Z160)</f>
        <v/>
      </c>
      <c r="AB160" s="76" t="n"/>
      <c r="AC160" s="75">
        <f>SUMIFS($D$245:$D$595,$B$245:$B$595,AB160)</f>
        <v/>
      </c>
      <c r="AD160" s="76" t="n"/>
      <c r="AE160" s="75">
        <f>SUMIFS($D$245:$D$595,$B$245:$B$595,AD160)</f>
        <v/>
      </c>
      <c r="AF160" s="76" t="n"/>
    </row>
    <row r="161">
      <c r="A161" t="n">
        <v>4</v>
      </c>
      <c r="G161" s="15" t="inlineStr">
        <is>
          <t>N / LK</t>
        </is>
      </c>
      <c r="H161" s="74" t="n"/>
      <c r="I161" s="75">
        <f>IF(OR(LEFT(H161,6)="HVD302",LEFT(H161,6)="HVD303",LEFT(H161,6)="HVD304"),0,SUMIFS($D$245:$D$595,$B$245:$B$595,H161))</f>
        <v/>
      </c>
      <c r="J161" s="76" t="n"/>
      <c r="K161" s="75">
        <f>SUMIFS($D$245:$D$595,$B$245:$B$595,J161)</f>
        <v/>
      </c>
      <c r="L161" s="76" t="n"/>
      <c r="M161" s="75">
        <f>SUMIFS($D$245:$D$595,$B$245:$B$595,L161)</f>
        <v/>
      </c>
      <c r="N161" s="76" t="n"/>
      <c r="O161" s="75">
        <f>SUMIFS($D$245:$D$595,$B$245:$B$595,N161)</f>
        <v/>
      </c>
      <c r="P161" s="76" t="n"/>
      <c r="Q161" s="75">
        <f>SUMIFS($D$245:$D$595,$B$245:$B$595,P161)</f>
        <v/>
      </c>
      <c r="R161" s="76" t="n"/>
      <c r="S161" s="75">
        <f>SUMIFS($D$245:$D$595,$B$245:$B$595,R161)</f>
        <v/>
      </c>
      <c r="T161" s="76" t="n"/>
      <c r="U161" s="75">
        <f>SUMIFS($D$245:$D$595,$B$245:$B$595,T161)</f>
        <v/>
      </c>
      <c r="V161" s="76" t="n"/>
      <c r="W161" s="75">
        <f>SUMIFS($D$245:$D$595,$B$245:$B$595,V161)</f>
        <v/>
      </c>
      <c r="X161" s="76" t="n"/>
      <c r="Y161" s="75">
        <f>SUMIFS($D$245:$D$595,$B$245:$B$595,X161)</f>
        <v/>
      </c>
      <c r="Z161" s="76" t="n"/>
      <c r="AA161" s="75">
        <f>SUMIFS($D$245:$D$595,$B$245:$B$595,Z161)</f>
        <v/>
      </c>
      <c r="AB161" s="76" t="n"/>
      <c r="AC161" s="75">
        <f>SUMIFS($D$245:$D$595,$B$245:$B$595,AB161)</f>
        <v/>
      </c>
      <c r="AD161" s="76" t="n"/>
      <c r="AE161" s="75">
        <f>SUMIFS($D$245:$D$595,$B$245:$B$595,AD161)</f>
        <v/>
      </c>
      <c r="AF161" s="76" t="n"/>
    </row>
    <row r="162">
      <c r="A162" t="n">
        <v>5</v>
      </c>
      <c r="G162" s="15" t="inlineStr">
        <is>
          <t>N / LK</t>
        </is>
      </c>
      <c r="H162" s="74" t="n"/>
      <c r="I162" s="75">
        <f>IF(OR(LEFT(H162,6)="HVD302",LEFT(H162,6)="HVD303",LEFT(H162,6)="HVD304"),0,SUMIFS($D$245:$D$595,$B$245:$B$595,H162))</f>
        <v/>
      </c>
      <c r="J162" s="76" t="n"/>
      <c r="K162" s="75">
        <f>SUMIFS($D$245:$D$595,$B$245:$B$595,J162)</f>
        <v/>
      </c>
      <c r="L162" s="76" t="n"/>
      <c r="M162" s="75">
        <f>SUMIFS($D$245:$D$595,$B$245:$B$595,L162)</f>
        <v/>
      </c>
      <c r="N162" s="76" t="n"/>
      <c r="O162" s="75">
        <f>SUMIFS($D$245:$D$595,$B$245:$B$595,N162)</f>
        <v/>
      </c>
      <c r="P162" s="76" t="n"/>
      <c r="Q162" s="75">
        <f>SUMIFS($D$245:$D$595,$B$245:$B$595,P162)</f>
        <v/>
      </c>
      <c r="R162" s="76" t="n"/>
      <c r="S162" s="75">
        <f>SUMIFS($D$245:$D$595,$B$245:$B$595,R162)</f>
        <v/>
      </c>
      <c r="T162" s="76" t="n"/>
      <c r="U162" s="75">
        <f>SUMIFS($D$245:$D$595,$B$245:$B$595,T162)</f>
        <v/>
      </c>
      <c r="V162" s="76" t="n"/>
      <c r="W162" s="75">
        <f>SUMIFS($D$245:$D$595,$B$245:$B$595,V162)</f>
        <v/>
      </c>
      <c r="X162" s="76" t="n"/>
      <c r="Y162" s="75">
        <f>SUMIFS($D$245:$D$595,$B$245:$B$595,X162)</f>
        <v/>
      </c>
      <c r="Z162" s="76" t="n"/>
      <c r="AA162" s="75">
        <f>SUMIFS($D$245:$D$595,$B$245:$B$595,Z162)</f>
        <v/>
      </c>
      <c r="AB162" s="76" t="n"/>
      <c r="AC162" s="75">
        <f>SUMIFS($D$245:$D$595,$B$245:$B$595,AB162)</f>
        <v/>
      </c>
      <c r="AD162" s="76" t="n"/>
      <c r="AE162" s="75">
        <f>SUMIFS($D$245:$D$595,$B$245:$B$595,AD162)</f>
        <v/>
      </c>
      <c r="AF162" s="76" t="n"/>
    </row>
    <row r="163">
      <c r="A163" t="n">
        <v>6</v>
      </c>
      <c r="G163" s="15" t="inlineStr">
        <is>
          <t>N / LK</t>
        </is>
      </c>
      <c r="H163" s="74" t="n"/>
      <c r="I163" s="75">
        <f>IF(OR(LEFT(H163,6)="HVD302",LEFT(H163,6)="HVD303",LEFT(H163,6)="HVD304"),0,SUMIFS($D$245:$D$595,$B$245:$B$595,H163))</f>
        <v/>
      </c>
      <c r="J163" s="76" t="n"/>
      <c r="K163" s="75">
        <f>SUMIFS($D$245:$D$595,$B$245:$B$595,J163)</f>
        <v/>
      </c>
      <c r="L163" s="76" t="n"/>
      <c r="M163" s="75">
        <f>SUMIFS($D$245:$D$595,$B$245:$B$595,L163)</f>
        <v/>
      </c>
      <c r="N163" s="76" t="n"/>
      <c r="O163" s="75">
        <f>SUMIFS($D$245:$D$595,$B$245:$B$595,N163)</f>
        <v/>
      </c>
      <c r="P163" s="76" t="n"/>
      <c r="Q163" s="75">
        <f>SUMIFS($D$245:$D$595,$B$245:$B$595,P163)</f>
        <v/>
      </c>
      <c r="R163" s="76" t="n"/>
      <c r="S163" s="75">
        <f>SUMIFS($D$245:$D$595,$B$245:$B$595,R163)</f>
        <v/>
      </c>
      <c r="T163" s="76" t="n"/>
      <c r="U163" s="75">
        <f>SUMIFS($D$245:$D$595,$B$245:$B$595,T163)</f>
        <v/>
      </c>
      <c r="V163" s="76" t="n"/>
      <c r="W163" s="75">
        <f>SUMIFS($D$245:$D$595,$B$245:$B$595,V163)</f>
        <v/>
      </c>
      <c r="X163" s="76" t="n"/>
      <c r="Y163" s="75">
        <f>SUMIFS($D$245:$D$595,$B$245:$B$595,X163)</f>
        <v/>
      </c>
      <c r="Z163" s="76" t="n"/>
      <c r="AA163" s="75">
        <f>SUMIFS($D$245:$D$595,$B$245:$B$595,Z163)</f>
        <v/>
      </c>
      <c r="AB163" s="76" t="n"/>
      <c r="AC163" s="75">
        <f>SUMIFS($D$245:$D$595,$B$245:$B$595,AB163)</f>
        <v/>
      </c>
      <c r="AD163" s="76" t="n"/>
      <c r="AE163" s="75">
        <f>SUMIFS($D$245:$D$595,$B$245:$B$595,AD163)</f>
        <v/>
      </c>
      <c r="AF163" s="76" t="n"/>
    </row>
    <row r="164">
      <c r="A164" t="n">
        <v>7</v>
      </c>
      <c r="G164" s="15" t="inlineStr">
        <is>
          <t>N / LK</t>
        </is>
      </c>
      <c r="H164" s="74" t="n"/>
      <c r="I164" s="75">
        <f>IF(OR(LEFT(H164,6)="HVD302",LEFT(H164,6)="HVD303",LEFT(H164,6)="HVD304"),0,SUMIFS($D$245:$D$595,$B$245:$B$595,H164))</f>
        <v/>
      </c>
      <c r="J164" s="76" t="n"/>
      <c r="K164" s="75">
        <f>SUMIFS($D$245:$D$595,$B$245:$B$595,J164)</f>
        <v/>
      </c>
      <c r="L164" s="76" t="n"/>
      <c r="M164" s="75">
        <f>SUMIFS($D$245:$D$595,$B$245:$B$595,L164)</f>
        <v/>
      </c>
      <c r="N164" s="76" t="n"/>
      <c r="O164" s="75">
        <f>SUMIFS($D$245:$D$595,$B$245:$B$595,N164)</f>
        <v/>
      </c>
      <c r="P164" s="76" t="n"/>
      <c r="Q164" s="75">
        <f>SUMIFS($D$245:$D$595,$B$245:$B$595,P164)</f>
        <v/>
      </c>
      <c r="R164" s="76" t="n"/>
      <c r="S164" s="75">
        <f>SUMIFS($D$245:$D$595,$B$245:$B$595,R164)</f>
        <v/>
      </c>
      <c r="T164" s="76" t="n"/>
      <c r="U164" s="75">
        <f>SUMIFS($D$245:$D$595,$B$245:$B$595,T164)</f>
        <v/>
      </c>
      <c r="V164" s="76" t="n"/>
      <c r="W164" s="75">
        <f>SUMIFS($D$245:$D$595,$B$245:$B$595,V164)</f>
        <v/>
      </c>
      <c r="X164" s="76" t="n"/>
      <c r="Y164" s="75">
        <f>SUMIFS($D$245:$D$595,$B$245:$B$595,X164)</f>
        <v/>
      </c>
      <c r="Z164" s="76" t="n"/>
      <c r="AA164" s="75">
        <f>SUMIFS($D$245:$D$595,$B$245:$B$595,Z164)</f>
        <v/>
      </c>
      <c r="AB164" s="76" t="n"/>
      <c r="AC164" s="75">
        <f>SUMIFS($D$245:$D$595,$B$245:$B$595,AB164)</f>
        <v/>
      </c>
      <c r="AD164" s="76" t="n"/>
      <c r="AE164" s="75">
        <f>SUMIFS($D$245:$D$595,$B$245:$B$595,AD164)</f>
        <v/>
      </c>
      <c r="AF164" s="76" t="n"/>
    </row>
    <row r="165">
      <c r="A165" t="n">
        <v>8</v>
      </c>
      <c r="G165" s="15" t="inlineStr">
        <is>
          <t>N / LK</t>
        </is>
      </c>
      <c r="H165" s="74" t="n"/>
      <c r="I165" s="75">
        <f>IF(OR(LEFT(H165,6)="HVD302",LEFT(H165,6)="HVD303",LEFT(H165,6)="HVD304"),0,SUMIFS($D$245:$D$595,$B$245:$B$595,H165))</f>
        <v/>
      </c>
      <c r="J165" s="76" t="n"/>
      <c r="K165" s="75">
        <f>SUMIFS($D$245:$D$595,$B$245:$B$595,J165)</f>
        <v/>
      </c>
      <c r="L165" s="76" t="n"/>
      <c r="M165" s="75">
        <f>SUMIFS($D$245:$D$595,$B$245:$B$595,L165)</f>
        <v/>
      </c>
      <c r="N165" s="76" t="n"/>
      <c r="O165" s="75">
        <f>SUMIFS($D$245:$D$595,$B$245:$B$595,N165)</f>
        <v/>
      </c>
      <c r="P165" s="76" t="n"/>
      <c r="Q165" s="75">
        <f>SUMIFS($D$245:$D$595,$B$245:$B$595,P165)</f>
        <v/>
      </c>
      <c r="R165" s="76" t="n"/>
      <c r="S165" s="75">
        <f>SUMIFS($D$245:$D$595,$B$245:$B$595,R165)</f>
        <v/>
      </c>
      <c r="T165" s="76" t="n"/>
      <c r="U165" s="75">
        <f>SUMIFS($D$245:$D$595,$B$245:$B$595,T165)</f>
        <v/>
      </c>
      <c r="V165" s="76" t="n"/>
      <c r="W165" s="75">
        <f>SUMIFS($D$245:$D$595,$B$245:$B$595,V165)</f>
        <v/>
      </c>
      <c r="X165" s="76" t="n"/>
      <c r="Y165" s="75">
        <f>SUMIFS($D$245:$D$595,$B$245:$B$595,X165)</f>
        <v/>
      </c>
      <c r="Z165" s="76" t="n"/>
      <c r="AA165" s="75">
        <f>SUMIFS($D$245:$D$595,$B$245:$B$595,Z165)</f>
        <v/>
      </c>
      <c r="AB165" s="76" t="n"/>
      <c r="AC165" s="75">
        <f>SUMIFS($D$245:$D$595,$B$245:$B$595,AB165)</f>
        <v/>
      </c>
      <c r="AD165" s="76" t="n"/>
      <c r="AE165" s="75">
        <f>SUMIFS($D$245:$D$595,$B$245:$B$595,AD165)</f>
        <v/>
      </c>
      <c r="AF165" s="76" t="n"/>
    </row>
    <row r="166">
      <c r="A166" t="n">
        <v>9</v>
      </c>
      <c r="G166" s="15" t="inlineStr">
        <is>
          <t>N / LK</t>
        </is>
      </c>
      <c r="H166" s="74" t="n"/>
      <c r="I166" s="75">
        <f>IF(OR(LEFT(H166,6)="HVD302",LEFT(H166,6)="HVD303",LEFT(H166,6)="HVD304"),0,SUMIFS($D$245:$D$595,$B$245:$B$595,H166))</f>
        <v/>
      </c>
      <c r="J166" s="76" t="n"/>
      <c r="K166" s="75">
        <f>SUMIFS($D$245:$D$595,$B$245:$B$595,J166)</f>
        <v/>
      </c>
      <c r="L166" s="76" t="n"/>
      <c r="M166" s="75">
        <f>SUMIFS($D$245:$D$595,$B$245:$B$595,L166)</f>
        <v/>
      </c>
      <c r="N166" s="76" t="n"/>
      <c r="O166" s="75">
        <f>SUMIFS($D$245:$D$595,$B$245:$B$595,N166)</f>
        <v/>
      </c>
      <c r="P166" s="76" t="n"/>
      <c r="Q166" s="75">
        <f>SUMIFS($D$245:$D$595,$B$245:$B$595,P166)</f>
        <v/>
      </c>
      <c r="R166" s="76" t="n"/>
      <c r="S166" s="75">
        <f>SUMIFS($D$245:$D$595,$B$245:$B$595,R166)</f>
        <v/>
      </c>
      <c r="T166" s="76" t="n"/>
      <c r="U166" s="75">
        <f>SUMIFS($D$245:$D$595,$B$245:$B$595,T166)</f>
        <v/>
      </c>
      <c r="V166" s="76" t="n"/>
      <c r="W166" s="75">
        <f>SUMIFS($D$245:$D$595,$B$245:$B$595,V166)</f>
        <v/>
      </c>
      <c r="X166" s="76" t="n"/>
      <c r="Y166" s="75">
        <f>SUMIFS($D$245:$D$595,$B$245:$B$595,X166)</f>
        <v/>
      </c>
      <c r="Z166" s="76" t="n"/>
      <c r="AA166" s="75">
        <f>SUMIFS($D$245:$D$595,$B$245:$B$595,Z166)</f>
        <v/>
      </c>
      <c r="AB166" s="76" t="n"/>
      <c r="AC166" s="75">
        <f>SUMIFS($D$245:$D$595,$B$245:$B$595,AB166)</f>
        <v/>
      </c>
      <c r="AD166" s="76" t="n"/>
      <c r="AE166" s="75">
        <f>SUMIFS($D$245:$D$595,$B$245:$B$595,AD166)</f>
        <v/>
      </c>
      <c r="AF166" s="76" t="n"/>
    </row>
    <row r="167">
      <c r="A167" t="n">
        <v>10</v>
      </c>
      <c r="G167" s="15" t="inlineStr">
        <is>
          <t>N / LK</t>
        </is>
      </c>
      <c r="H167" s="74" t="n"/>
      <c r="I167" s="75">
        <f>IF(OR(LEFT(H167,6)="HVD302",LEFT(H167,6)="HVD303",LEFT(H167,6)="HVD304"),0,SUMIFS($D$245:$D$595,$B$245:$B$595,H167))</f>
        <v/>
      </c>
      <c r="J167" s="76" t="n"/>
      <c r="K167" s="75">
        <f>SUMIFS($D$245:$D$595,$B$245:$B$595,J167)</f>
        <v/>
      </c>
      <c r="L167" s="76" t="n"/>
      <c r="M167" s="75">
        <f>SUMIFS($D$245:$D$595,$B$245:$B$595,L167)</f>
        <v/>
      </c>
      <c r="N167" s="76" t="n"/>
      <c r="O167" s="75">
        <f>SUMIFS($D$245:$D$595,$B$245:$B$595,N167)</f>
        <v/>
      </c>
      <c r="P167" s="76" t="n"/>
      <c r="Q167" s="75">
        <f>SUMIFS($D$245:$D$595,$B$245:$B$595,P167)</f>
        <v/>
      </c>
      <c r="R167" s="76" t="n"/>
      <c r="S167" s="75">
        <f>SUMIFS($D$245:$D$595,$B$245:$B$595,R167)</f>
        <v/>
      </c>
      <c r="T167" s="76" t="n"/>
      <c r="U167" s="75">
        <f>SUMIFS($D$245:$D$595,$B$245:$B$595,T167)</f>
        <v/>
      </c>
      <c r="V167" s="76" t="n"/>
      <c r="W167" s="75">
        <f>SUMIFS($D$245:$D$595,$B$245:$B$595,V167)</f>
        <v/>
      </c>
      <c r="X167" s="76" t="n"/>
      <c r="Y167" s="75">
        <f>SUMIFS($D$245:$D$595,$B$245:$B$595,X167)</f>
        <v/>
      </c>
      <c r="Z167" s="76" t="n"/>
      <c r="AA167" s="75">
        <f>SUMIFS($D$245:$D$595,$B$245:$B$595,Z167)</f>
        <v/>
      </c>
      <c r="AB167" s="76" t="n"/>
      <c r="AC167" s="75">
        <f>SUMIFS($D$245:$D$595,$B$245:$B$595,AB167)</f>
        <v/>
      </c>
      <c r="AD167" s="76" t="n"/>
      <c r="AE167" s="75">
        <f>SUMIFS($D$245:$D$595,$B$245:$B$595,AD167)</f>
        <v/>
      </c>
      <c r="AF167" s="76" t="n"/>
    </row>
    <row r="168">
      <c r="A168" t="n">
        <v>11</v>
      </c>
      <c r="G168" s="15" t="inlineStr">
        <is>
          <t>N / LK</t>
        </is>
      </c>
      <c r="H168" s="74" t="n"/>
      <c r="I168" s="75">
        <f>IF(OR(LEFT(H168,6)="HVD302",LEFT(H168,6)="HVD303",LEFT(H168,6)="HVD304"),0,SUMIFS($D$245:$D$595,$B$245:$B$595,H168))</f>
        <v/>
      </c>
      <c r="J168" s="76" t="n"/>
      <c r="K168" s="75">
        <f>SUMIFS($D$245:$D$595,$B$245:$B$595,J168)</f>
        <v/>
      </c>
      <c r="L168" s="76" t="n"/>
      <c r="M168" s="75">
        <f>SUMIFS($D$245:$D$595,$B$245:$B$595,L168)</f>
        <v/>
      </c>
      <c r="N168" s="76" t="n"/>
      <c r="O168" s="75">
        <f>SUMIFS($D$245:$D$595,$B$245:$B$595,N168)</f>
        <v/>
      </c>
      <c r="P168" s="76" t="n"/>
      <c r="Q168" s="75">
        <f>SUMIFS($D$245:$D$595,$B$245:$B$595,P168)</f>
        <v/>
      </c>
      <c r="R168" s="76" t="n"/>
      <c r="S168" s="75">
        <f>SUMIFS($D$245:$D$595,$B$245:$B$595,R168)</f>
        <v/>
      </c>
      <c r="T168" s="76" t="n"/>
      <c r="U168" s="75">
        <f>SUMIFS($D$245:$D$595,$B$245:$B$595,T168)</f>
        <v/>
      </c>
      <c r="V168" s="76" t="n"/>
      <c r="W168" s="75">
        <f>SUMIFS($D$245:$D$595,$B$245:$B$595,V168)</f>
        <v/>
      </c>
      <c r="X168" s="76" t="n"/>
      <c r="Y168" s="75">
        <f>SUMIFS($D$245:$D$595,$B$245:$B$595,X168)</f>
        <v/>
      </c>
      <c r="Z168" s="76" t="n"/>
      <c r="AA168" s="75">
        <f>SUMIFS($D$245:$D$595,$B$245:$B$595,Z168)</f>
        <v/>
      </c>
      <c r="AB168" s="76" t="n"/>
      <c r="AC168" s="75">
        <f>SUMIFS($D$245:$D$595,$B$245:$B$595,AB168)</f>
        <v/>
      </c>
      <c r="AD168" s="76" t="n"/>
      <c r="AE168" s="75">
        <f>SUMIFS($D$245:$D$595,$B$245:$B$595,AD168)</f>
        <v/>
      </c>
      <c r="AF168" s="76" t="n"/>
    </row>
    <row r="169">
      <c r="A169" t="n">
        <v>12</v>
      </c>
      <c r="G169" s="15" t="inlineStr">
        <is>
          <t>N / LK</t>
        </is>
      </c>
      <c r="H169" s="74" t="n"/>
      <c r="I169" s="75">
        <f>IF(OR(LEFT(H169,6)="HVD302",LEFT(H169,6)="HVD303",LEFT(H169,6)="HVD304"),0,SUMIFS($D$245:$D$595,$B$245:$B$595,H169))</f>
        <v/>
      </c>
      <c r="J169" s="76" t="n"/>
      <c r="K169" s="75">
        <f>SUMIFS($D$245:$D$595,$B$245:$B$595,J169)</f>
        <v/>
      </c>
      <c r="L169" s="76" t="n"/>
      <c r="M169" s="75">
        <f>SUMIFS($D$245:$D$595,$B$245:$B$595,L169)</f>
        <v/>
      </c>
      <c r="N169" s="76" t="n"/>
      <c r="O169" s="75">
        <f>SUMIFS($D$245:$D$595,$B$245:$B$595,N169)</f>
        <v/>
      </c>
      <c r="P169" s="76" t="n"/>
      <c r="Q169" s="75">
        <f>SUMIFS($D$245:$D$595,$B$245:$B$595,P169)</f>
        <v/>
      </c>
      <c r="R169" s="76" t="n"/>
      <c r="S169" s="75">
        <f>SUMIFS($D$245:$D$595,$B$245:$B$595,R169)</f>
        <v/>
      </c>
      <c r="T169" s="76" t="n"/>
      <c r="U169" s="75">
        <f>SUMIFS($D$245:$D$595,$B$245:$B$595,T169)</f>
        <v/>
      </c>
      <c r="V169" s="76" t="n"/>
      <c r="W169" s="75">
        <f>SUMIFS($D$245:$D$595,$B$245:$B$595,V169)</f>
        <v/>
      </c>
      <c r="X169" s="76" t="n"/>
      <c r="Y169" s="75">
        <f>SUMIFS($D$245:$D$595,$B$245:$B$595,X169)</f>
        <v/>
      </c>
      <c r="Z169" s="76" t="n"/>
      <c r="AA169" s="75">
        <f>SUMIFS($D$245:$D$595,$B$245:$B$595,Z169)</f>
        <v/>
      </c>
      <c r="AB169" s="76" t="n"/>
      <c r="AC169" s="75">
        <f>SUMIFS($D$245:$D$595,$B$245:$B$595,AB169)</f>
        <v/>
      </c>
      <c r="AD169" s="76" t="n"/>
      <c r="AE169" s="75">
        <f>SUMIFS($D$245:$D$595,$B$245:$B$595,AD169)</f>
        <v/>
      </c>
      <c r="AF169" s="76" t="n"/>
    </row>
    <row r="170">
      <c r="A170" t="n">
        <v>13</v>
      </c>
      <c r="G170" s="15" t="inlineStr">
        <is>
          <t>N / LK</t>
        </is>
      </c>
      <c r="H170" s="74" t="n"/>
      <c r="I170" s="75">
        <f>IF(OR(LEFT(H170,6)="HVD302",LEFT(H170,6)="HVD303",LEFT(H170,6)="HVD304"),0,SUMIFS($D$245:$D$595,$B$245:$B$595,H170))</f>
        <v/>
      </c>
      <c r="J170" s="76" t="n"/>
      <c r="K170" s="75">
        <f>SUMIFS($D$245:$D$595,$B$245:$B$595,J170)</f>
        <v/>
      </c>
      <c r="L170" s="76" t="n"/>
      <c r="M170" s="75">
        <f>SUMIFS($D$245:$D$595,$B$245:$B$595,L170)</f>
        <v/>
      </c>
      <c r="N170" s="76" t="n"/>
      <c r="O170" s="75">
        <f>SUMIFS($D$245:$D$595,$B$245:$B$595,N170)</f>
        <v/>
      </c>
      <c r="P170" s="76" t="n"/>
      <c r="Q170" s="75">
        <f>SUMIFS($D$245:$D$595,$B$245:$B$595,P170)</f>
        <v/>
      </c>
      <c r="R170" s="76" t="n"/>
      <c r="S170" s="75">
        <f>SUMIFS($D$245:$D$595,$B$245:$B$595,R170)</f>
        <v/>
      </c>
      <c r="T170" s="76" t="n"/>
      <c r="U170" s="75">
        <f>SUMIFS($D$245:$D$595,$B$245:$B$595,T170)</f>
        <v/>
      </c>
      <c r="V170" s="76" t="n"/>
      <c r="W170" s="75">
        <f>SUMIFS($D$245:$D$595,$B$245:$B$595,V170)</f>
        <v/>
      </c>
      <c r="X170" s="76" t="n"/>
      <c r="Y170" s="75">
        <f>SUMIFS($D$245:$D$595,$B$245:$B$595,X170)</f>
        <v/>
      </c>
      <c r="Z170" s="76" t="n"/>
      <c r="AA170" s="75">
        <f>SUMIFS($D$245:$D$595,$B$245:$B$595,Z170)</f>
        <v/>
      </c>
      <c r="AB170" s="76" t="n"/>
      <c r="AC170" s="75">
        <f>SUMIFS($D$245:$D$595,$B$245:$B$595,AB170)</f>
        <v/>
      </c>
      <c r="AD170" s="76" t="n"/>
      <c r="AE170" s="75">
        <f>SUMIFS($D$245:$D$595,$B$245:$B$595,AD170)</f>
        <v/>
      </c>
      <c r="AF170" s="76" t="n"/>
    </row>
    <row r="171">
      <c r="A171" t="n">
        <v>14</v>
      </c>
      <c r="G171" s="15" t="inlineStr">
        <is>
          <t>N / LK</t>
        </is>
      </c>
      <c r="H171" s="74" t="n"/>
      <c r="I171" s="75">
        <f>IF(OR(LEFT(H171,6)="HVD302",LEFT(H171,6)="HVD303",LEFT(H171,6)="HVD304"),0,SUMIFS($D$245:$D$595,$B$245:$B$595,H171))</f>
        <v/>
      </c>
      <c r="J171" s="76" t="n"/>
      <c r="K171" s="75">
        <f>SUMIFS($D$245:$D$595,$B$245:$B$595,J171)</f>
        <v/>
      </c>
      <c r="L171" s="76" t="n"/>
      <c r="M171" s="75">
        <f>SUMIFS($D$245:$D$595,$B$245:$B$595,L171)</f>
        <v/>
      </c>
      <c r="N171" s="76" t="n"/>
      <c r="O171" s="75">
        <f>SUMIFS($D$245:$D$595,$B$245:$B$595,N171)</f>
        <v/>
      </c>
      <c r="P171" s="76" t="n"/>
      <c r="Q171" s="75">
        <f>SUMIFS($D$245:$D$595,$B$245:$B$595,P171)</f>
        <v/>
      </c>
      <c r="R171" s="76" t="n"/>
      <c r="S171" s="75">
        <f>SUMIFS($D$245:$D$595,$B$245:$B$595,R171)</f>
        <v/>
      </c>
      <c r="T171" s="76" t="n"/>
      <c r="U171" s="75">
        <f>SUMIFS($D$245:$D$595,$B$245:$B$595,T171)</f>
        <v/>
      </c>
      <c r="V171" s="76" t="n"/>
      <c r="W171" s="75">
        <f>SUMIFS($D$245:$D$595,$B$245:$B$595,V171)</f>
        <v/>
      </c>
      <c r="X171" s="76" t="n"/>
      <c r="Y171" s="75">
        <f>SUMIFS($D$245:$D$595,$B$245:$B$595,X171)</f>
        <v/>
      </c>
      <c r="Z171" s="76" t="n"/>
      <c r="AA171" s="75">
        <f>SUMIFS($D$245:$D$595,$B$245:$B$595,Z171)</f>
        <v/>
      </c>
      <c r="AB171" s="76" t="n"/>
      <c r="AC171" s="75">
        <f>SUMIFS($D$245:$D$595,$B$245:$B$595,AB171)</f>
        <v/>
      </c>
      <c r="AD171" s="76" t="n"/>
      <c r="AE171" s="75">
        <f>SUMIFS($D$245:$D$595,$B$245:$B$595,AD171)</f>
        <v/>
      </c>
      <c r="AF171" s="76" t="n"/>
    </row>
    <row r="172">
      <c r="A172" t="n">
        <v>15</v>
      </c>
      <c r="G172" s="15" t="inlineStr">
        <is>
          <t>N / LK</t>
        </is>
      </c>
      <c r="H172" s="74" t="n"/>
      <c r="I172" s="75">
        <f>IF(OR(LEFT(H172,6)="HVD302",LEFT(H172,6)="HVD303",LEFT(H172,6)="HVD304"),0,SUMIFS($D$245:$D$595,$B$245:$B$595,H172))</f>
        <v/>
      </c>
      <c r="J172" s="76" t="n"/>
      <c r="K172" s="75">
        <f>SUMIFS($D$245:$D$595,$B$245:$B$595,J172)</f>
        <v/>
      </c>
      <c r="L172" s="76" t="n"/>
      <c r="M172" s="75">
        <f>SUMIFS($D$245:$D$595,$B$245:$B$595,L172)</f>
        <v/>
      </c>
      <c r="N172" s="76" t="n"/>
      <c r="O172" s="75">
        <f>SUMIFS($D$245:$D$595,$B$245:$B$595,N172)</f>
        <v/>
      </c>
      <c r="P172" s="76" t="n"/>
      <c r="Q172" s="75">
        <f>SUMIFS($D$245:$D$595,$B$245:$B$595,P172)</f>
        <v/>
      </c>
      <c r="R172" s="76" t="n"/>
      <c r="S172" s="75">
        <f>SUMIFS($D$245:$D$595,$B$245:$B$595,R172)</f>
        <v/>
      </c>
      <c r="T172" s="76" t="n"/>
      <c r="U172" s="75">
        <f>SUMIFS($D$245:$D$595,$B$245:$B$595,T172)</f>
        <v/>
      </c>
      <c r="V172" s="76" t="n"/>
      <c r="W172" s="75">
        <f>SUMIFS($D$245:$D$595,$B$245:$B$595,V172)</f>
        <v/>
      </c>
      <c r="X172" s="76" t="n"/>
      <c r="Y172" s="75">
        <f>SUMIFS($D$245:$D$595,$B$245:$B$595,X172)</f>
        <v/>
      </c>
      <c r="Z172" s="76" t="n"/>
      <c r="AA172" s="75">
        <f>SUMIFS($D$245:$D$595,$B$245:$B$595,Z172)</f>
        <v/>
      </c>
      <c r="AB172" s="76" t="n"/>
      <c r="AC172" s="75">
        <f>SUMIFS($D$245:$D$595,$B$245:$B$595,AB172)</f>
        <v/>
      </c>
      <c r="AD172" s="76" t="n"/>
      <c r="AE172" s="75">
        <f>SUMIFS($D$245:$D$595,$B$245:$B$595,AD172)</f>
        <v/>
      </c>
      <c r="AF172" s="76" t="n"/>
    </row>
    <row r="173">
      <c r="A173" t="n">
        <v>16</v>
      </c>
      <c r="G173" s="15" t="inlineStr">
        <is>
          <t>N / LK</t>
        </is>
      </c>
      <c r="H173" s="74" t="n"/>
      <c r="I173" s="75">
        <f>IF(OR(LEFT(H173,6)="HVD302",LEFT(H173,6)="HVD303",LEFT(H173,6)="HVD304"),0,SUMIFS($D$245:$D$595,$B$245:$B$595,H173))</f>
        <v/>
      </c>
      <c r="J173" s="76" t="n"/>
      <c r="K173" s="75">
        <f>SUMIFS($D$245:$D$595,$B$245:$B$595,J173)</f>
        <v/>
      </c>
      <c r="L173" s="76" t="n"/>
      <c r="M173" s="75">
        <f>SUMIFS($D$245:$D$595,$B$245:$B$595,L173)</f>
        <v/>
      </c>
      <c r="N173" s="76" t="n"/>
      <c r="O173" s="75">
        <f>SUMIFS($D$245:$D$595,$B$245:$B$595,N173)</f>
        <v/>
      </c>
      <c r="P173" s="76" t="n"/>
      <c r="Q173" s="75">
        <f>SUMIFS($D$245:$D$595,$B$245:$B$595,P173)</f>
        <v/>
      </c>
      <c r="R173" s="76" t="n"/>
      <c r="S173" s="75">
        <f>SUMIFS($D$245:$D$595,$B$245:$B$595,R173)</f>
        <v/>
      </c>
      <c r="T173" s="76" t="n"/>
      <c r="U173" s="75">
        <f>SUMIFS($D$245:$D$595,$B$245:$B$595,T173)</f>
        <v/>
      </c>
      <c r="V173" s="76" t="n"/>
      <c r="W173" s="75">
        <f>SUMIFS($D$245:$D$595,$B$245:$B$595,V173)</f>
        <v/>
      </c>
      <c r="X173" s="76" t="n"/>
      <c r="Y173" s="75">
        <f>SUMIFS($D$245:$D$595,$B$245:$B$595,X173)</f>
        <v/>
      </c>
      <c r="Z173" s="76" t="n"/>
      <c r="AA173" s="75">
        <f>SUMIFS($D$245:$D$595,$B$245:$B$595,Z173)</f>
        <v/>
      </c>
      <c r="AB173" s="76" t="n"/>
      <c r="AC173" s="75">
        <f>SUMIFS($D$245:$D$595,$B$245:$B$595,AB173)</f>
        <v/>
      </c>
      <c r="AD173" s="76" t="n"/>
      <c r="AE173" s="75">
        <f>SUMIFS($D$245:$D$595,$B$245:$B$595,AD173)</f>
        <v/>
      </c>
      <c r="AF173" s="76" t="n"/>
    </row>
    <row r="174">
      <c r="A174" t="n">
        <v>17</v>
      </c>
      <c r="G174" s="15" t="inlineStr">
        <is>
          <t>N / LK</t>
        </is>
      </c>
      <c r="H174" s="74" t="n"/>
      <c r="I174" s="75">
        <f>IF(OR(LEFT(H174,6)="HVD302",LEFT(H174,6)="HVD303",LEFT(H174,6)="HVD304"),0,SUMIFS($D$245:$D$595,$B$245:$B$595,H174))</f>
        <v/>
      </c>
      <c r="J174" s="76" t="n"/>
      <c r="K174" s="75">
        <f>SUMIFS($D$245:$D$595,$B$245:$B$595,J174)</f>
        <v/>
      </c>
      <c r="L174" s="76" t="n"/>
      <c r="M174" s="75">
        <f>SUMIFS($D$245:$D$595,$B$245:$B$595,L174)</f>
        <v/>
      </c>
      <c r="N174" s="76" t="n"/>
      <c r="O174" s="75">
        <f>SUMIFS($D$245:$D$595,$B$245:$B$595,N174)</f>
        <v/>
      </c>
      <c r="P174" s="76" t="n"/>
      <c r="Q174" s="75">
        <f>SUMIFS($D$245:$D$595,$B$245:$B$595,P174)</f>
        <v/>
      </c>
      <c r="R174" s="76" t="n"/>
      <c r="S174" s="75">
        <f>SUMIFS($D$245:$D$595,$B$245:$B$595,R174)</f>
        <v/>
      </c>
      <c r="T174" s="76" t="n"/>
      <c r="U174" s="75">
        <f>SUMIFS($D$245:$D$595,$B$245:$B$595,T174)</f>
        <v/>
      </c>
      <c r="V174" s="76" t="n"/>
      <c r="W174" s="75">
        <f>SUMIFS($D$245:$D$595,$B$245:$B$595,V174)</f>
        <v/>
      </c>
      <c r="X174" s="76" t="n"/>
      <c r="Y174" s="75">
        <f>SUMIFS($D$245:$D$595,$B$245:$B$595,X174)</f>
        <v/>
      </c>
      <c r="Z174" s="76" t="n"/>
      <c r="AA174" s="75">
        <f>SUMIFS($D$245:$D$595,$B$245:$B$595,Z174)</f>
        <v/>
      </c>
      <c r="AB174" s="76" t="n"/>
      <c r="AC174" s="75">
        <f>SUMIFS($D$245:$D$595,$B$245:$B$595,AB174)</f>
        <v/>
      </c>
      <c r="AD174" s="76" t="n"/>
      <c r="AE174" s="75">
        <f>SUMIFS($D$245:$D$595,$B$245:$B$595,AD174)</f>
        <v/>
      </c>
      <c r="AF174" s="76" t="n"/>
    </row>
    <row r="175">
      <c r="A175" t="n">
        <v>18</v>
      </c>
      <c r="G175" s="15" t="inlineStr">
        <is>
          <t>N / LK</t>
        </is>
      </c>
      <c r="H175" s="74" t="n"/>
      <c r="I175" s="75">
        <f>IF(OR(LEFT(H175,6)="HVD302",LEFT(H175,6)="HVD303",LEFT(H175,6)="HVD304"),0,SUMIFS($D$245:$D$595,$B$245:$B$595,H175))</f>
        <v/>
      </c>
      <c r="J175" s="76" t="n"/>
      <c r="K175" s="75">
        <f>SUMIFS($D$245:$D$595,$B$245:$B$595,J175)</f>
        <v/>
      </c>
      <c r="L175" s="76" t="n"/>
      <c r="M175" s="75">
        <f>SUMIFS($D$245:$D$595,$B$245:$B$595,L175)</f>
        <v/>
      </c>
      <c r="N175" s="76" t="n"/>
      <c r="O175" s="75">
        <f>SUMIFS($D$245:$D$595,$B$245:$B$595,N175)</f>
        <v/>
      </c>
      <c r="P175" s="76" t="n"/>
      <c r="Q175" s="75">
        <f>SUMIFS($D$245:$D$595,$B$245:$B$595,P175)</f>
        <v/>
      </c>
      <c r="R175" s="76" t="n"/>
      <c r="S175" s="75">
        <f>SUMIFS($D$245:$D$595,$B$245:$B$595,R175)</f>
        <v/>
      </c>
      <c r="T175" s="76" t="n"/>
      <c r="U175" s="75">
        <f>SUMIFS($D$245:$D$595,$B$245:$B$595,T175)</f>
        <v/>
      </c>
      <c r="V175" s="76" t="n"/>
      <c r="W175" s="75">
        <f>SUMIFS($D$245:$D$595,$B$245:$B$595,V175)</f>
        <v/>
      </c>
      <c r="X175" s="76" t="n"/>
      <c r="Y175" s="75">
        <f>SUMIFS($D$245:$D$595,$B$245:$B$595,X175)</f>
        <v/>
      </c>
      <c r="Z175" s="76" t="n"/>
      <c r="AA175" s="75">
        <f>SUMIFS($D$245:$D$595,$B$245:$B$595,Z175)</f>
        <v/>
      </c>
      <c r="AB175" s="76" t="n"/>
      <c r="AC175" s="75">
        <f>SUMIFS($D$245:$D$595,$B$245:$B$595,AB175)</f>
        <v/>
      </c>
      <c r="AD175" s="76" t="n"/>
      <c r="AE175" s="75">
        <f>SUMIFS($D$245:$D$595,$B$245:$B$595,AD175)</f>
        <v/>
      </c>
      <c r="AF175" s="76" t="n"/>
    </row>
    <row r="176">
      <c r="A176" t="n">
        <v>19</v>
      </c>
      <c r="G176" s="15" t="inlineStr">
        <is>
          <t>N / LK</t>
        </is>
      </c>
      <c r="H176" s="74" t="n"/>
      <c r="I176" s="75">
        <f>IF(OR(LEFT(H176,6)="HVD302",LEFT(H176,6)="HVD303",LEFT(H176,6)="HVD304"),0,SUMIFS($D$245:$D$595,$B$245:$B$595,H176))</f>
        <v/>
      </c>
      <c r="J176" s="76" t="n"/>
      <c r="K176" s="75">
        <f>SUMIFS($D$245:$D$595,$B$245:$B$595,J176)</f>
        <v/>
      </c>
      <c r="L176" s="76" t="n"/>
      <c r="M176" s="75">
        <f>SUMIFS($D$245:$D$595,$B$245:$B$595,L176)</f>
        <v/>
      </c>
      <c r="N176" s="76" t="n"/>
      <c r="O176" s="75">
        <f>SUMIFS($D$245:$D$595,$B$245:$B$595,N176)</f>
        <v/>
      </c>
      <c r="P176" s="76" t="n"/>
      <c r="Q176" s="75">
        <f>SUMIFS($D$245:$D$595,$B$245:$B$595,P176)</f>
        <v/>
      </c>
      <c r="R176" s="76" t="n"/>
      <c r="S176" s="75">
        <f>SUMIFS($D$245:$D$595,$B$245:$B$595,R176)</f>
        <v/>
      </c>
      <c r="T176" s="76" t="n"/>
      <c r="U176" s="75">
        <f>SUMIFS($D$245:$D$595,$B$245:$B$595,T176)</f>
        <v/>
      </c>
      <c r="V176" s="76" t="n"/>
      <c r="W176" s="75">
        <f>SUMIFS($D$245:$D$595,$B$245:$B$595,V176)</f>
        <v/>
      </c>
      <c r="X176" s="76" t="n"/>
      <c r="Y176" s="75">
        <f>SUMIFS($D$245:$D$595,$B$245:$B$595,X176)</f>
        <v/>
      </c>
      <c r="Z176" s="76" t="n"/>
      <c r="AA176" s="75">
        <f>SUMIFS($D$245:$D$595,$B$245:$B$595,Z176)</f>
        <v/>
      </c>
      <c r="AB176" s="76" t="n"/>
      <c r="AC176" s="75">
        <f>SUMIFS($D$245:$D$595,$B$245:$B$595,AB176)</f>
        <v/>
      </c>
      <c r="AD176" s="76" t="n"/>
      <c r="AE176" s="75">
        <f>SUMIFS($D$245:$D$595,$B$245:$B$595,AD176)</f>
        <v/>
      </c>
      <c r="AF176" s="76" t="n"/>
    </row>
    <row r="177">
      <c r="A177" t="n">
        <v>20</v>
      </c>
      <c r="G177" s="15" t="inlineStr">
        <is>
          <t>N / LK</t>
        </is>
      </c>
      <c r="H177" s="74" t="n"/>
      <c r="I177" s="75">
        <f>IF(OR(LEFT(H177,6)="HVD302",LEFT(H177,6)="HVD303",LEFT(H177,6)="HVD304"),0,SUMIFS($D$245:$D$595,$B$245:$B$595,H177))</f>
        <v/>
      </c>
      <c r="J177" s="76" t="n"/>
      <c r="K177" s="75">
        <f>SUMIFS($D$245:$D$595,$B$245:$B$595,J177)</f>
        <v/>
      </c>
      <c r="L177" s="76" t="n"/>
      <c r="M177" s="75">
        <f>SUMIFS($D$245:$D$595,$B$245:$B$595,L177)</f>
        <v/>
      </c>
      <c r="N177" s="76" t="n"/>
      <c r="O177" s="75">
        <f>SUMIFS($D$245:$D$595,$B$245:$B$595,N177)</f>
        <v/>
      </c>
      <c r="P177" s="76" t="n"/>
      <c r="Q177" s="75">
        <f>SUMIFS($D$245:$D$595,$B$245:$B$595,P177)</f>
        <v/>
      </c>
      <c r="R177" s="76" t="n"/>
      <c r="S177" s="75">
        <f>SUMIFS($D$245:$D$595,$B$245:$B$595,R177)</f>
        <v/>
      </c>
      <c r="T177" s="76" t="n"/>
      <c r="U177" s="75">
        <f>SUMIFS($D$245:$D$595,$B$245:$B$595,T177)</f>
        <v/>
      </c>
      <c r="V177" s="76" t="n"/>
      <c r="W177" s="75">
        <f>SUMIFS($D$245:$D$595,$B$245:$B$595,V177)</f>
        <v/>
      </c>
      <c r="X177" s="76" t="n"/>
      <c r="Y177" s="75">
        <f>SUMIFS($D$245:$D$595,$B$245:$B$595,X177)</f>
        <v/>
      </c>
      <c r="Z177" s="76" t="n"/>
      <c r="AA177" s="75">
        <f>SUMIFS($D$245:$D$595,$B$245:$B$595,Z177)</f>
        <v/>
      </c>
      <c r="AB177" s="76" t="n"/>
      <c r="AC177" s="75">
        <f>SUMIFS($D$245:$D$595,$B$245:$B$595,AB177)</f>
        <v/>
      </c>
      <c r="AD177" s="76" t="n"/>
      <c r="AE177" s="75">
        <f>SUMIFS($D$245:$D$595,$B$245:$B$595,AD177)</f>
        <v/>
      </c>
      <c r="AF177" s="76" t="n"/>
    </row>
    <row r="178">
      <c r="A178" t="n">
        <v>21</v>
      </c>
      <c r="G178" s="15" t="inlineStr">
        <is>
          <t>N / LK</t>
        </is>
      </c>
      <c r="H178" s="74" t="n"/>
      <c r="I178" s="75">
        <f>IF(OR(LEFT(H178,6)="HVD302",LEFT(H178,6)="HVD303",LEFT(H178,6)="HVD304"),0,SUMIFS($D$245:$D$595,$B$245:$B$595,H178))</f>
        <v/>
      </c>
      <c r="J178" s="76" t="n"/>
      <c r="K178" s="75">
        <f>SUMIFS($D$245:$D$595,$B$245:$B$595,J178)</f>
        <v/>
      </c>
      <c r="L178" s="76" t="n"/>
      <c r="M178" s="75">
        <f>SUMIFS($D$245:$D$595,$B$245:$B$595,L178)</f>
        <v/>
      </c>
      <c r="N178" s="76" t="n"/>
      <c r="O178" s="75">
        <f>SUMIFS($D$245:$D$595,$B$245:$B$595,N178)</f>
        <v/>
      </c>
      <c r="P178" s="76" t="n"/>
      <c r="Q178" s="75">
        <f>SUMIFS($D$245:$D$595,$B$245:$B$595,P178)</f>
        <v/>
      </c>
      <c r="R178" s="76" t="n"/>
      <c r="S178" s="75">
        <f>SUMIFS($D$245:$D$595,$B$245:$B$595,R178)</f>
        <v/>
      </c>
      <c r="T178" s="76" t="n"/>
      <c r="U178" s="75">
        <f>SUMIFS($D$245:$D$595,$B$245:$B$595,T178)</f>
        <v/>
      </c>
      <c r="V178" s="76" t="n"/>
      <c r="W178" s="75">
        <f>SUMIFS($D$245:$D$595,$B$245:$B$595,V178)</f>
        <v/>
      </c>
      <c r="X178" s="76" t="n"/>
      <c r="Y178" s="75">
        <f>SUMIFS($D$245:$D$595,$B$245:$B$595,X178)</f>
        <v/>
      </c>
      <c r="Z178" s="76" t="n"/>
      <c r="AA178" s="75">
        <f>SUMIFS($D$245:$D$595,$B$245:$B$595,Z178)</f>
        <v/>
      </c>
      <c r="AB178" s="76" t="n"/>
      <c r="AC178" s="75">
        <f>SUMIFS($D$245:$D$595,$B$245:$B$595,AB178)</f>
        <v/>
      </c>
      <c r="AD178" s="76" t="n"/>
      <c r="AE178" s="75">
        <f>SUMIFS($D$245:$D$595,$B$245:$B$595,AD178)</f>
        <v/>
      </c>
      <c r="AF178" s="76" t="n"/>
    </row>
    <row r="179">
      <c r="A179" t="n">
        <v>22</v>
      </c>
      <c r="G179" s="15" t="inlineStr">
        <is>
          <t>N / LK</t>
        </is>
      </c>
      <c r="H179" s="74" t="n"/>
      <c r="I179" s="75">
        <f>IF(OR(LEFT(H179,6)="HVD302",LEFT(H179,6)="HVD303",LEFT(H179,6)="HVD304"),0,SUMIFS($D$245:$D$595,$B$245:$B$595,H179))</f>
        <v/>
      </c>
      <c r="J179" s="76" t="n"/>
      <c r="K179" s="75">
        <f>SUMIFS($D$245:$D$595,$B$245:$B$595,J179)</f>
        <v/>
      </c>
      <c r="L179" s="76" t="n"/>
      <c r="M179" s="75">
        <f>SUMIFS($D$245:$D$595,$B$245:$B$595,L179)</f>
        <v/>
      </c>
      <c r="N179" s="76" t="n"/>
      <c r="O179" s="75">
        <f>SUMIFS($D$245:$D$595,$B$245:$B$595,N179)</f>
        <v/>
      </c>
      <c r="P179" s="76" t="n"/>
      <c r="Q179" s="75">
        <f>SUMIFS($D$245:$D$595,$B$245:$B$595,P179)</f>
        <v/>
      </c>
      <c r="R179" s="76" t="n"/>
      <c r="S179" s="75">
        <f>SUMIFS($D$245:$D$595,$B$245:$B$595,R179)</f>
        <v/>
      </c>
      <c r="T179" s="76" t="n"/>
      <c r="U179" s="75">
        <f>SUMIFS($D$245:$D$595,$B$245:$B$595,T179)</f>
        <v/>
      </c>
      <c r="V179" s="76" t="n"/>
      <c r="W179" s="75">
        <f>SUMIFS($D$245:$D$595,$B$245:$B$595,V179)</f>
        <v/>
      </c>
      <c r="X179" s="76" t="n"/>
      <c r="Y179" s="75">
        <f>SUMIFS($D$245:$D$595,$B$245:$B$595,X179)</f>
        <v/>
      </c>
      <c r="Z179" s="76" t="n"/>
      <c r="AA179" s="75">
        <f>SUMIFS($D$245:$D$595,$B$245:$B$595,Z179)</f>
        <v/>
      </c>
      <c r="AB179" s="76" t="n"/>
      <c r="AC179" s="75">
        <f>SUMIFS($D$245:$D$595,$B$245:$B$595,AB179)</f>
        <v/>
      </c>
      <c r="AD179" s="76" t="n"/>
      <c r="AE179" s="75">
        <f>SUMIFS($D$245:$D$595,$B$245:$B$595,AD179)</f>
        <v/>
      </c>
      <c r="AF179" s="76" t="n"/>
    </row>
    <row r="180">
      <c r="A180" t="n">
        <v>23</v>
      </c>
      <c r="G180" s="15" t="inlineStr">
        <is>
          <t>N / LK</t>
        </is>
      </c>
      <c r="H180" s="74" t="n"/>
      <c r="I180" s="75">
        <f>IF(OR(LEFT(H180,6)="HVD302",LEFT(H180,6)="HVD303",LEFT(H180,6)="HVD304"),0,SUMIFS($D$245:$D$595,$B$245:$B$595,H180))</f>
        <v/>
      </c>
      <c r="J180" s="76" t="n"/>
      <c r="K180" s="75">
        <f>SUMIFS($D$245:$D$595,$B$245:$B$595,J180)</f>
        <v/>
      </c>
      <c r="L180" s="76" t="n"/>
      <c r="M180" s="75">
        <f>SUMIFS($D$245:$D$595,$B$245:$B$595,L180)</f>
        <v/>
      </c>
      <c r="N180" s="76" t="n"/>
      <c r="O180" s="75">
        <f>SUMIFS($D$245:$D$595,$B$245:$B$595,N180)</f>
        <v/>
      </c>
      <c r="P180" s="76" t="n"/>
      <c r="Q180" s="75">
        <f>SUMIFS($D$245:$D$595,$B$245:$B$595,P180)</f>
        <v/>
      </c>
      <c r="R180" s="76" t="n"/>
      <c r="S180" s="75">
        <f>SUMIFS($D$245:$D$595,$B$245:$B$595,R180)</f>
        <v/>
      </c>
      <c r="T180" s="76" t="n"/>
      <c r="U180" s="75">
        <f>SUMIFS($D$245:$D$595,$B$245:$B$595,T180)</f>
        <v/>
      </c>
      <c r="V180" s="76" t="n"/>
      <c r="W180" s="75">
        <f>SUMIFS($D$245:$D$595,$B$245:$B$595,V180)</f>
        <v/>
      </c>
      <c r="X180" s="76" t="n"/>
      <c r="Y180" s="75">
        <f>SUMIFS($D$245:$D$595,$B$245:$B$595,X180)</f>
        <v/>
      </c>
      <c r="Z180" s="76" t="n"/>
      <c r="AA180" s="75">
        <f>SUMIFS($D$245:$D$595,$B$245:$B$595,Z180)</f>
        <v/>
      </c>
      <c r="AB180" s="76" t="n"/>
      <c r="AC180" s="75">
        <f>SUMIFS($D$245:$D$595,$B$245:$B$595,AB180)</f>
        <v/>
      </c>
      <c r="AD180" s="76" t="n"/>
      <c r="AE180" s="75">
        <f>SUMIFS($D$245:$D$595,$B$245:$B$595,AD180)</f>
        <v/>
      </c>
      <c r="AF180" s="76" t="n"/>
    </row>
    <row r="181">
      <c r="A181" t="n">
        <v>24</v>
      </c>
      <c r="G181" s="15" t="inlineStr">
        <is>
          <t>N / LK</t>
        </is>
      </c>
      <c r="H181" s="74" t="n"/>
      <c r="I181" s="75">
        <f>IF(OR(LEFT(H181,6)="HVD302",LEFT(H181,6)="HVD303",LEFT(H181,6)="HVD304"),0,SUMIFS($D$245:$D$595,$B$245:$B$595,H181))</f>
        <v/>
      </c>
      <c r="J181" s="76" t="n"/>
      <c r="K181" s="75">
        <f>SUMIFS($D$245:$D$595,$B$245:$B$595,J181)</f>
        <v/>
      </c>
      <c r="L181" s="76" t="n"/>
      <c r="M181" s="75">
        <f>SUMIFS($D$245:$D$595,$B$245:$B$595,L181)</f>
        <v/>
      </c>
      <c r="N181" s="76" t="n"/>
      <c r="O181" s="75">
        <f>SUMIFS($D$245:$D$595,$B$245:$B$595,N181)</f>
        <v/>
      </c>
      <c r="P181" s="76" t="n"/>
      <c r="Q181" s="75">
        <f>SUMIFS($D$245:$D$595,$B$245:$B$595,P181)</f>
        <v/>
      </c>
      <c r="R181" s="76" t="n"/>
      <c r="S181" s="75">
        <f>SUMIFS($D$245:$D$595,$B$245:$B$595,R181)</f>
        <v/>
      </c>
      <c r="T181" s="76" t="n"/>
      <c r="U181" s="75">
        <f>SUMIFS($D$245:$D$595,$B$245:$B$595,T181)</f>
        <v/>
      </c>
      <c r="V181" s="76" t="n"/>
      <c r="W181" s="75">
        <f>SUMIFS($D$245:$D$595,$B$245:$B$595,V181)</f>
        <v/>
      </c>
      <c r="X181" s="76" t="n"/>
      <c r="Y181" s="75">
        <f>SUMIFS($D$245:$D$595,$B$245:$B$595,X181)</f>
        <v/>
      </c>
      <c r="Z181" s="76" t="n"/>
      <c r="AA181" s="75">
        <f>SUMIFS($D$245:$D$595,$B$245:$B$595,Z181)</f>
        <v/>
      </c>
      <c r="AB181" s="76" t="n"/>
      <c r="AC181" s="75">
        <f>SUMIFS($D$245:$D$595,$B$245:$B$595,AB181)</f>
        <v/>
      </c>
      <c r="AD181" s="76" t="n"/>
      <c r="AE181" s="75">
        <f>SUMIFS($D$245:$D$595,$B$245:$B$595,AD181)</f>
        <v/>
      </c>
      <c r="AF181" s="76" t="n"/>
    </row>
    <row r="182">
      <c r="A182" t="n">
        <v>25</v>
      </c>
      <c r="G182" s="15" t="inlineStr">
        <is>
          <t>N / LK</t>
        </is>
      </c>
      <c r="H182" s="74" t="n"/>
      <c r="I182" s="75">
        <f>IF(OR(LEFT(H182,6)="HVD302",LEFT(H182,6)="HVD303",LEFT(H182,6)="HVD304"),0,SUMIFS($D$245:$D$595,$B$245:$B$595,H182))</f>
        <v/>
      </c>
      <c r="J182" s="76" t="n"/>
      <c r="K182" s="75">
        <f>SUMIFS($D$245:$D$595,$B$245:$B$595,J182)</f>
        <v/>
      </c>
      <c r="L182" s="76" t="n"/>
      <c r="M182" s="75">
        <f>SUMIFS($D$245:$D$595,$B$245:$B$595,L182)</f>
        <v/>
      </c>
      <c r="N182" s="76" t="n"/>
      <c r="O182" s="75">
        <f>SUMIFS($D$245:$D$595,$B$245:$B$595,N182)</f>
        <v/>
      </c>
      <c r="P182" s="76" t="n"/>
      <c r="Q182" s="75">
        <f>SUMIFS($D$245:$D$595,$B$245:$B$595,P182)</f>
        <v/>
      </c>
      <c r="R182" s="76" t="n"/>
      <c r="S182" s="75">
        <f>SUMIFS($D$245:$D$595,$B$245:$B$595,R182)</f>
        <v/>
      </c>
      <c r="T182" s="76" t="n"/>
      <c r="U182" s="75">
        <f>SUMIFS($D$245:$D$595,$B$245:$B$595,T182)</f>
        <v/>
      </c>
      <c r="V182" s="76" t="n"/>
      <c r="W182" s="75">
        <f>SUMIFS($D$245:$D$595,$B$245:$B$595,V182)</f>
        <v/>
      </c>
      <c r="X182" s="76" t="n"/>
      <c r="Y182" s="75">
        <f>SUMIFS($D$245:$D$595,$B$245:$B$595,X182)</f>
        <v/>
      </c>
      <c r="Z182" s="76" t="n"/>
      <c r="AA182" s="75">
        <f>SUMIFS($D$245:$D$595,$B$245:$B$595,Z182)</f>
        <v/>
      </c>
      <c r="AB182" s="76" t="n"/>
      <c r="AC182" s="75">
        <f>SUMIFS($D$245:$D$595,$B$245:$B$595,AB182)</f>
        <v/>
      </c>
      <c r="AD182" s="76" t="n"/>
      <c r="AE182" s="75">
        <f>SUMIFS($D$245:$D$595,$B$245:$B$595,AD182)</f>
        <v/>
      </c>
      <c r="AF182" s="76" t="n"/>
    </row>
    <row r="183">
      <c r="A183" t="n">
        <v>26</v>
      </c>
      <c r="G183" s="15" t="inlineStr">
        <is>
          <t>N / LK</t>
        </is>
      </c>
      <c r="H183" s="74" t="n"/>
      <c r="I183" s="75">
        <f>IF(OR(LEFT(H183,6)="HVD302",LEFT(H183,6)="HVD303",LEFT(H183,6)="HVD304"),0,SUMIFS($D$245:$D$595,$B$245:$B$595,H183))</f>
        <v/>
      </c>
      <c r="J183" s="76" t="n"/>
      <c r="K183" s="75">
        <f>SUMIFS($D$245:$D$595,$B$245:$B$595,J183)</f>
        <v/>
      </c>
      <c r="L183" s="76" t="n"/>
      <c r="M183" s="75">
        <f>SUMIFS($D$245:$D$595,$B$245:$B$595,L183)</f>
        <v/>
      </c>
      <c r="N183" s="76" t="n"/>
      <c r="O183" s="75">
        <f>SUMIFS($D$245:$D$595,$B$245:$B$595,N183)</f>
        <v/>
      </c>
      <c r="P183" s="76" t="n"/>
      <c r="Q183" s="75">
        <f>SUMIFS($D$245:$D$595,$B$245:$B$595,P183)</f>
        <v/>
      </c>
      <c r="R183" s="76" t="n"/>
      <c r="S183" s="75">
        <f>SUMIFS($D$245:$D$595,$B$245:$B$595,R183)</f>
        <v/>
      </c>
      <c r="T183" s="76" t="n"/>
      <c r="U183" s="75">
        <f>SUMIFS($D$245:$D$595,$B$245:$B$595,T183)</f>
        <v/>
      </c>
      <c r="V183" s="76" t="n"/>
      <c r="W183" s="75">
        <f>SUMIFS($D$245:$D$595,$B$245:$B$595,V183)</f>
        <v/>
      </c>
      <c r="X183" s="76" t="n"/>
      <c r="Y183" s="75">
        <f>SUMIFS($D$245:$D$595,$B$245:$B$595,X183)</f>
        <v/>
      </c>
      <c r="Z183" s="76" t="n"/>
      <c r="AA183" s="75">
        <f>SUMIFS($D$245:$D$595,$B$245:$B$595,Z183)</f>
        <v/>
      </c>
      <c r="AB183" s="76" t="n"/>
      <c r="AC183" s="75">
        <f>SUMIFS($D$245:$D$595,$B$245:$B$595,AB183)</f>
        <v/>
      </c>
      <c r="AD183" s="76" t="n"/>
      <c r="AE183" s="75">
        <f>SUMIFS($D$245:$D$595,$B$245:$B$595,AD183)</f>
        <v/>
      </c>
      <c r="AF183" s="76" t="n"/>
    </row>
    <row r="184">
      <c r="A184" t="n">
        <v>27</v>
      </c>
      <c r="G184" s="15" t="inlineStr">
        <is>
          <t>N / LK</t>
        </is>
      </c>
      <c r="H184" s="74" t="n"/>
      <c r="I184" s="75">
        <f>IF(OR(LEFT(H184,6)="HVD302",LEFT(H184,6)="HVD303",LEFT(H184,6)="HVD304"),0,SUMIFS($D$245:$D$595,$B$245:$B$595,H184))</f>
        <v/>
      </c>
      <c r="J184" s="76" t="n"/>
      <c r="K184" s="75">
        <f>SUMIFS($D$245:$D$595,$B$245:$B$595,J184)</f>
        <v/>
      </c>
      <c r="L184" s="76" t="n"/>
      <c r="M184" s="75">
        <f>SUMIFS($D$245:$D$595,$B$245:$B$595,L184)</f>
        <v/>
      </c>
      <c r="N184" s="76" t="n"/>
      <c r="O184" s="75">
        <f>SUMIFS($D$245:$D$595,$B$245:$B$595,N184)</f>
        <v/>
      </c>
      <c r="P184" s="76" t="n"/>
      <c r="Q184" s="75">
        <f>SUMIFS($D$245:$D$595,$B$245:$B$595,P184)</f>
        <v/>
      </c>
      <c r="R184" s="76" t="n"/>
      <c r="S184" s="75">
        <f>SUMIFS($D$245:$D$595,$B$245:$B$595,R184)</f>
        <v/>
      </c>
      <c r="T184" s="76" t="n"/>
      <c r="U184" s="75">
        <f>SUMIFS($D$245:$D$595,$B$245:$B$595,T184)</f>
        <v/>
      </c>
      <c r="V184" s="76" t="n"/>
      <c r="W184" s="75">
        <f>SUMIFS($D$245:$D$595,$B$245:$B$595,V184)</f>
        <v/>
      </c>
      <c r="X184" s="76" t="n"/>
      <c r="Y184" s="75">
        <f>SUMIFS($D$245:$D$595,$B$245:$B$595,X184)</f>
        <v/>
      </c>
      <c r="Z184" s="76" t="n"/>
      <c r="AA184" s="75">
        <f>SUMIFS($D$245:$D$595,$B$245:$B$595,Z184)</f>
        <v/>
      </c>
      <c r="AB184" s="76" t="n"/>
      <c r="AC184" s="75">
        <f>SUMIFS($D$245:$D$595,$B$245:$B$595,AB184)</f>
        <v/>
      </c>
      <c r="AD184" s="76" t="n"/>
      <c r="AE184" s="75">
        <f>SUMIFS($D$245:$D$595,$B$245:$B$595,AD184)</f>
        <v/>
      </c>
      <c r="AF184" s="76" t="n"/>
    </row>
    <row r="185">
      <c r="A185" t="n">
        <v>28</v>
      </c>
      <c r="G185" s="15" t="inlineStr">
        <is>
          <t>N / LK</t>
        </is>
      </c>
      <c r="H185" s="74" t="n"/>
      <c r="I185" s="75">
        <f>IF(OR(LEFT(H185,6)="HVD302",LEFT(H185,6)="HVD303",LEFT(H185,6)="HVD304"),0,SUMIFS($D$245:$D$595,$B$245:$B$595,H185))</f>
        <v/>
      </c>
      <c r="J185" s="76" t="n"/>
      <c r="K185" s="75">
        <f>SUMIFS($D$245:$D$595,$B$245:$B$595,J185)</f>
        <v/>
      </c>
      <c r="L185" s="76" t="n"/>
      <c r="M185" s="75">
        <f>SUMIFS($D$245:$D$595,$B$245:$B$595,L185)</f>
        <v/>
      </c>
      <c r="N185" s="76" t="n"/>
      <c r="O185" s="75">
        <f>SUMIFS($D$245:$D$595,$B$245:$B$595,N185)</f>
        <v/>
      </c>
      <c r="P185" s="76" t="n"/>
      <c r="Q185" s="75">
        <f>SUMIFS($D$245:$D$595,$B$245:$B$595,P185)</f>
        <v/>
      </c>
      <c r="R185" s="76" t="n"/>
      <c r="S185" s="75">
        <f>SUMIFS($D$245:$D$595,$B$245:$B$595,R185)</f>
        <v/>
      </c>
      <c r="T185" s="76" t="n"/>
      <c r="U185" s="75">
        <f>SUMIFS($D$245:$D$595,$B$245:$B$595,T185)</f>
        <v/>
      </c>
      <c r="V185" s="76" t="n"/>
      <c r="W185" s="75">
        <f>SUMIFS($D$245:$D$595,$B$245:$B$595,V185)</f>
        <v/>
      </c>
      <c r="X185" s="76" t="n"/>
      <c r="Y185" s="75">
        <f>SUMIFS($D$245:$D$595,$B$245:$B$595,X185)</f>
        <v/>
      </c>
      <c r="Z185" s="76" t="n"/>
      <c r="AA185" s="75">
        <f>SUMIFS($D$245:$D$595,$B$245:$B$595,Z185)</f>
        <v/>
      </c>
      <c r="AB185" s="76" t="n"/>
      <c r="AC185" s="75">
        <f>SUMIFS($D$245:$D$595,$B$245:$B$595,AB185)</f>
        <v/>
      </c>
      <c r="AD185" s="76" t="n"/>
      <c r="AE185" s="75">
        <f>SUMIFS($D$245:$D$595,$B$245:$B$595,AD185)</f>
        <v/>
      </c>
      <c r="AF185" s="76" t="n"/>
    </row>
    <row r="186">
      <c r="A186" t="n">
        <v>29</v>
      </c>
      <c r="G186" s="15" t="inlineStr">
        <is>
          <t>N / LK</t>
        </is>
      </c>
      <c r="H186" s="74" t="n"/>
      <c r="I186" s="75">
        <f>IF(OR(LEFT(H186,6)="HVD302",LEFT(H186,6)="HVD303",LEFT(H186,6)="HVD304"),0,SUMIFS($D$245:$D$595,$B$245:$B$595,H186))</f>
        <v/>
      </c>
      <c r="J186" s="76" t="n"/>
      <c r="K186" s="75">
        <f>SUMIFS($D$245:$D$595,$B$245:$B$595,J186)</f>
        <v/>
      </c>
      <c r="L186" s="76" t="n"/>
      <c r="M186" s="75">
        <f>SUMIFS($D$245:$D$595,$B$245:$B$595,L186)</f>
        <v/>
      </c>
      <c r="N186" s="76" t="n"/>
      <c r="O186" s="75">
        <f>SUMIFS($D$245:$D$595,$B$245:$B$595,N186)</f>
        <v/>
      </c>
      <c r="P186" s="76" t="n"/>
      <c r="Q186" s="75">
        <f>SUMIFS($D$245:$D$595,$B$245:$B$595,P186)</f>
        <v/>
      </c>
      <c r="R186" s="76" t="n"/>
      <c r="S186" s="75">
        <f>SUMIFS($D$245:$D$595,$B$245:$B$595,R186)</f>
        <v/>
      </c>
      <c r="T186" s="76" t="n"/>
      <c r="U186" s="75">
        <f>SUMIFS($D$245:$D$595,$B$245:$B$595,T186)</f>
        <v/>
      </c>
      <c r="V186" s="76" t="n"/>
      <c r="W186" s="75">
        <f>SUMIFS($D$245:$D$595,$B$245:$B$595,V186)</f>
        <v/>
      </c>
      <c r="X186" s="76" t="n"/>
      <c r="Y186" s="75">
        <f>SUMIFS($D$245:$D$595,$B$245:$B$595,X186)</f>
        <v/>
      </c>
      <c r="Z186" s="76" t="n"/>
      <c r="AA186" s="75">
        <f>SUMIFS($D$245:$D$595,$B$245:$B$595,Z186)</f>
        <v/>
      </c>
      <c r="AB186" s="76" t="n"/>
      <c r="AC186" s="75">
        <f>SUMIFS($D$245:$D$595,$B$245:$B$595,AB186)</f>
        <v/>
      </c>
      <c r="AD186" s="76" t="n"/>
      <c r="AE186" s="75">
        <f>SUMIFS($D$245:$D$595,$B$245:$B$595,AD186)</f>
        <v/>
      </c>
      <c r="AF186" s="76" t="n"/>
    </row>
    <row r="187">
      <c r="A187" t="n">
        <v>30</v>
      </c>
      <c r="G187" s="15" t="inlineStr">
        <is>
          <t>N / LK</t>
        </is>
      </c>
      <c r="H187" s="74" t="n"/>
      <c r="I187" s="75">
        <f>IF(OR(LEFT(H187,6)="HVD302",LEFT(H187,6)="HVD303",LEFT(H187,6)="HVD304"),0,SUMIFS($D$245:$D$595,$B$245:$B$595,H187))</f>
        <v/>
      </c>
      <c r="J187" s="76" t="n"/>
      <c r="K187" s="75">
        <f>SUMIFS($D$245:$D$595,$B$245:$B$595,J187)</f>
        <v/>
      </c>
      <c r="L187" s="76" t="n"/>
      <c r="M187" s="75">
        <f>SUMIFS($D$245:$D$595,$B$245:$B$595,L187)</f>
        <v/>
      </c>
      <c r="N187" s="76" t="n"/>
      <c r="O187" s="75">
        <f>SUMIFS($D$245:$D$595,$B$245:$B$595,N187)</f>
        <v/>
      </c>
      <c r="P187" s="76" t="n"/>
      <c r="Q187" s="75">
        <f>SUMIFS($D$245:$D$595,$B$245:$B$595,P187)</f>
        <v/>
      </c>
      <c r="R187" s="76" t="n"/>
      <c r="S187" s="75">
        <f>SUMIFS($D$245:$D$595,$B$245:$B$595,R187)</f>
        <v/>
      </c>
      <c r="T187" s="76" t="n"/>
      <c r="U187" s="75">
        <f>SUMIFS($D$245:$D$595,$B$245:$B$595,T187)</f>
        <v/>
      </c>
      <c r="V187" s="76" t="n"/>
      <c r="W187" s="75">
        <f>SUMIFS($D$245:$D$595,$B$245:$B$595,V187)</f>
        <v/>
      </c>
      <c r="X187" s="76" t="n"/>
      <c r="Y187" s="75">
        <f>SUMIFS($D$245:$D$595,$B$245:$B$595,X187)</f>
        <v/>
      </c>
      <c r="Z187" s="76" t="n"/>
      <c r="AA187" s="75">
        <f>SUMIFS($D$245:$D$595,$B$245:$B$595,Z187)</f>
        <v/>
      </c>
      <c r="AB187" s="76" t="n"/>
      <c r="AC187" s="75">
        <f>SUMIFS($D$245:$D$595,$B$245:$B$595,AB187)</f>
        <v/>
      </c>
      <c r="AD187" s="76" t="n"/>
      <c r="AE187" s="75">
        <f>SUMIFS($D$245:$D$595,$B$245:$B$595,AD187)</f>
        <v/>
      </c>
      <c r="AF187" s="76" t="n"/>
    </row>
    <row r="188">
      <c r="A188" t="n">
        <v>31</v>
      </c>
      <c r="G188" s="15" t="inlineStr">
        <is>
          <t>N / LK</t>
        </is>
      </c>
      <c r="H188" s="74" t="n"/>
      <c r="I188" s="75">
        <f>IF(OR(LEFT(H188,6)="HVD302",LEFT(H188,6)="HVD303",LEFT(H188,6)="HVD304"),0,SUMIFS($D$245:$D$595,$B$245:$B$595,H188))</f>
        <v/>
      </c>
      <c r="J188" s="76" t="n"/>
      <c r="K188" s="75">
        <f>SUMIFS($D$245:$D$595,$B$245:$B$595,J188)</f>
        <v/>
      </c>
      <c r="L188" s="76" t="n"/>
      <c r="M188" s="75">
        <f>SUMIFS($D$245:$D$595,$B$245:$B$595,L188)</f>
        <v/>
      </c>
      <c r="N188" s="76" t="n"/>
      <c r="O188" s="75">
        <f>SUMIFS($D$245:$D$595,$B$245:$B$595,N188)</f>
        <v/>
      </c>
      <c r="P188" s="76" t="n"/>
      <c r="Q188" s="75">
        <f>SUMIFS($D$245:$D$595,$B$245:$B$595,P188)</f>
        <v/>
      </c>
      <c r="R188" s="76" t="n"/>
      <c r="S188" s="75">
        <f>SUMIFS($D$245:$D$595,$B$245:$B$595,R188)</f>
        <v/>
      </c>
      <c r="T188" s="76" t="n"/>
      <c r="U188" s="75">
        <f>SUMIFS($D$245:$D$595,$B$245:$B$595,T188)</f>
        <v/>
      </c>
      <c r="V188" s="76" t="n"/>
      <c r="W188" s="75">
        <f>SUMIFS($D$245:$D$595,$B$245:$B$595,V188)</f>
        <v/>
      </c>
      <c r="X188" s="76" t="n"/>
      <c r="Y188" s="75">
        <f>SUMIFS($D$245:$D$595,$B$245:$B$595,X188)</f>
        <v/>
      </c>
      <c r="Z188" s="76" t="n"/>
      <c r="AA188" s="75">
        <f>SUMIFS($D$245:$D$595,$B$245:$B$595,Z188)</f>
        <v/>
      </c>
      <c r="AB188" s="76" t="n"/>
      <c r="AC188" s="75">
        <f>SUMIFS($D$245:$D$595,$B$245:$B$595,AB188)</f>
        <v/>
      </c>
      <c r="AD188" s="76" t="n"/>
      <c r="AE188" s="75">
        <f>SUMIFS($D$245:$D$595,$B$245:$B$595,AD188)</f>
        <v/>
      </c>
      <c r="AF188" s="76" t="n"/>
    </row>
    <row r="189">
      <c r="A189" t="n">
        <v>32</v>
      </c>
      <c r="G189" s="15" t="inlineStr">
        <is>
          <t>N / LK</t>
        </is>
      </c>
      <c r="H189" s="74" t="n"/>
      <c r="I189" s="75">
        <f>IF(OR(LEFT(H189,6)="HVD302",LEFT(H189,6)="HVD303",LEFT(H189,6)="HVD304"),0,SUMIFS($D$245:$D$595,$B$245:$B$595,H189))</f>
        <v/>
      </c>
      <c r="J189" s="76" t="n"/>
      <c r="K189" s="75">
        <f>SUMIFS($D$245:$D$595,$B$245:$B$595,J189)</f>
        <v/>
      </c>
      <c r="L189" s="76" t="n"/>
      <c r="M189" s="75">
        <f>SUMIFS($D$245:$D$595,$B$245:$B$595,L189)</f>
        <v/>
      </c>
      <c r="N189" s="76" t="n"/>
      <c r="O189" s="75">
        <f>SUMIFS($D$245:$D$595,$B$245:$B$595,N189)</f>
        <v/>
      </c>
      <c r="P189" s="76" t="n"/>
      <c r="Q189" s="75">
        <f>SUMIFS($D$245:$D$595,$B$245:$B$595,P189)</f>
        <v/>
      </c>
      <c r="R189" s="76" t="n"/>
      <c r="S189" s="75">
        <f>SUMIFS($D$245:$D$595,$B$245:$B$595,R189)</f>
        <v/>
      </c>
      <c r="T189" s="76" t="n"/>
      <c r="U189" s="75">
        <f>SUMIFS($D$245:$D$595,$B$245:$B$595,T189)</f>
        <v/>
      </c>
      <c r="V189" s="76" t="n"/>
      <c r="W189" s="75">
        <f>SUMIFS($D$245:$D$595,$B$245:$B$595,V189)</f>
        <v/>
      </c>
      <c r="X189" s="76" t="n"/>
      <c r="Y189" s="75">
        <f>SUMIFS($D$245:$D$595,$B$245:$B$595,X189)</f>
        <v/>
      </c>
      <c r="Z189" s="76" t="n"/>
      <c r="AA189" s="75">
        <f>SUMIFS($D$245:$D$595,$B$245:$B$595,Z189)</f>
        <v/>
      </c>
      <c r="AB189" s="76" t="n"/>
      <c r="AC189" s="75">
        <f>SUMIFS($D$245:$D$595,$B$245:$B$595,AB189)</f>
        <v/>
      </c>
      <c r="AD189" s="76" t="n"/>
      <c r="AE189" s="75">
        <f>SUMIFS($D$245:$D$595,$B$245:$B$595,AD189)</f>
        <v/>
      </c>
      <c r="AF189" s="76" t="n"/>
    </row>
    <row r="190">
      <c r="A190" t="n">
        <v>33</v>
      </c>
      <c r="G190" s="15" t="inlineStr">
        <is>
          <t>N / LK</t>
        </is>
      </c>
      <c r="H190" s="74" t="n"/>
      <c r="I190" s="75">
        <f>IF(OR(LEFT(H190,6)="HVD302",LEFT(H190,6)="HVD303",LEFT(H190,6)="HVD304"),0,SUMIFS($D$245:$D$595,$B$245:$B$595,H190))</f>
        <v/>
      </c>
      <c r="J190" s="76" t="n"/>
      <c r="K190" s="75">
        <f>SUMIFS($D$245:$D$595,$B$245:$B$595,J190)</f>
        <v/>
      </c>
      <c r="L190" s="76" t="n"/>
      <c r="M190" s="75">
        <f>SUMIFS($D$245:$D$595,$B$245:$B$595,L190)</f>
        <v/>
      </c>
      <c r="N190" s="76" t="n"/>
      <c r="O190" s="75">
        <f>SUMIFS($D$245:$D$595,$B$245:$B$595,N190)</f>
        <v/>
      </c>
      <c r="P190" s="76" t="n"/>
      <c r="Q190" s="75">
        <f>SUMIFS($D$245:$D$595,$B$245:$B$595,P190)</f>
        <v/>
      </c>
      <c r="R190" s="76" t="n"/>
      <c r="S190" s="75">
        <f>SUMIFS($D$245:$D$595,$B$245:$B$595,R190)</f>
        <v/>
      </c>
      <c r="T190" s="76" t="n"/>
      <c r="U190" s="75">
        <f>SUMIFS($D$245:$D$595,$B$245:$B$595,T190)</f>
        <v/>
      </c>
      <c r="V190" s="76" t="n"/>
      <c r="W190" s="75">
        <f>SUMIFS($D$245:$D$595,$B$245:$B$595,V190)</f>
        <v/>
      </c>
      <c r="X190" s="76" t="n"/>
      <c r="Y190" s="75">
        <f>SUMIFS($D$245:$D$595,$B$245:$B$595,X190)</f>
        <v/>
      </c>
      <c r="Z190" s="76" t="n"/>
      <c r="AA190" s="75">
        <f>SUMIFS($D$245:$D$595,$B$245:$B$595,Z190)</f>
        <v/>
      </c>
      <c r="AB190" s="76" t="n"/>
      <c r="AC190" s="75">
        <f>SUMIFS($D$245:$D$595,$B$245:$B$595,AB190)</f>
        <v/>
      </c>
      <c r="AD190" s="76" t="n"/>
      <c r="AE190" s="75">
        <f>SUMIFS($D$245:$D$595,$B$245:$B$595,AD190)</f>
        <v/>
      </c>
      <c r="AF190" s="76" t="n"/>
    </row>
    <row r="191">
      <c r="A191" t="n">
        <v>34</v>
      </c>
      <c r="G191" s="15" t="inlineStr">
        <is>
          <t>N / LK</t>
        </is>
      </c>
      <c r="H191" s="74" t="n"/>
      <c r="I191" s="75">
        <f>IF(OR(LEFT(H191,6)="HVD302",LEFT(H191,6)="HVD303",LEFT(H191,6)="HVD304"),0,SUMIFS($D$245:$D$595,$B$245:$B$595,H191))</f>
        <v/>
      </c>
      <c r="J191" s="76" t="n"/>
      <c r="K191" s="75">
        <f>SUMIFS($D$245:$D$595,$B$245:$B$595,J191)</f>
        <v/>
      </c>
      <c r="L191" s="76" t="n"/>
      <c r="M191" s="75">
        <f>SUMIFS($D$245:$D$595,$B$245:$B$595,L191)</f>
        <v/>
      </c>
      <c r="N191" s="76" t="n"/>
      <c r="O191" s="75">
        <f>SUMIFS($D$245:$D$595,$B$245:$B$595,N191)</f>
        <v/>
      </c>
      <c r="P191" s="76" t="n"/>
      <c r="Q191" s="75">
        <f>SUMIFS($D$245:$D$595,$B$245:$B$595,P191)</f>
        <v/>
      </c>
      <c r="R191" s="76" t="n"/>
      <c r="S191" s="75">
        <f>SUMIFS($D$245:$D$595,$B$245:$B$595,R191)</f>
        <v/>
      </c>
      <c r="T191" s="76" t="n"/>
      <c r="U191" s="75">
        <f>SUMIFS($D$245:$D$595,$B$245:$B$595,T191)</f>
        <v/>
      </c>
      <c r="V191" s="76" t="n"/>
      <c r="W191" s="75">
        <f>SUMIFS($D$245:$D$595,$B$245:$B$595,V191)</f>
        <v/>
      </c>
      <c r="X191" s="76" t="n"/>
      <c r="Y191" s="75">
        <f>SUMIFS($D$245:$D$595,$B$245:$B$595,X191)</f>
        <v/>
      </c>
      <c r="Z191" s="76" t="n"/>
      <c r="AA191" s="75">
        <f>SUMIFS($D$245:$D$595,$B$245:$B$595,Z191)</f>
        <v/>
      </c>
      <c r="AB191" s="76" t="n"/>
      <c r="AC191" s="75">
        <f>SUMIFS($D$245:$D$595,$B$245:$B$595,AB191)</f>
        <v/>
      </c>
      <c r="AD191" s="76" t="n"/>
      <c r="AE191" s="75">
        <f>SUMIFS($D$245:$D$595,$B$245:$B$595,AD191)</f>
        <v/>
      </c>
      <c r="AF191" s="76" t="n"/>
    </row>
    <row r="192">
      <c r="A192" t="n">
        <v>35</v>
      </c>
      <c r="G192" s="15" t="inlineStr">
        <is>
          <t>N / LK</t>
        </is>
      </c>
      <c r="H192" s="74" t="n"/>
      <c r="I192" s="75">
        <f>IF(OR(LEFT(H192,6)="HVD302",LEFT(H192,6)="HVD303",LEFT(H192,6)="HVD304"),0,SUMIFS($D$245:$D$595,$B$245:$B$595,H192))</f>
        <v/>
      </c>
      <c r="J192" s="76" t="n"/>
      <c r="K192" s="75">
        <f>SUMIFS($D$245:$D$595,$B$245:$B$595,J192)</f>
        <v/>
      </c>
      <c r="L192" s="76" t="n"/>
      <c r="M192" s="75">
        <f>SUMIFS($D$245:$D$595,$B$245:$B$595,L192)</f>
        <v/>
      </c>
      <c r="N192" s="76" t="n"/>
      <c r="O192" s="75">
        <f>SUMIFS($D$245:$D$595,$B$245:$B$595,N192)</f>
        <v/>
      </c>
      <c r="P192" s="76" t="n"/>
      <c r="Q192" s="75">
        <f>SUMIFS($D$245:$D$595,$B$245:$B$595,P192)</f>
        <v/>
      </c>
      <c r="R192" s="76" t="n"/>
      <c r="S192" s="75">
        <f>SUMIFS($D$245:$D$595,$B$245:$B$595,R192)</f>
        <v/>
      </c>
      <c r="T192" s="76" t="n"/>
      <c r="U192" s="75">
        <f>SUMIFS($D$245:$D$595,$B$245:$B$595,T192)</f>
        <v/>
      </c>
      <c r="V192" s="76" t="n"/>
      <c r="W192" s="75">
        <f>SUMIFS($D$245:$D$595,$B$245:$B$595,V192)</f>
        <v/>
      </c>
      <c r="X192" s="76" t="n"/>
      <c r="Y192" s="75">
        <f>SUMIFS($D$245:$D$595,$B$245:$B$595,X192)</f>
        <v/>
      </c>
      <c r="Z192" s="76" t="n"/>
      <c r="AA192" s="75">
        <f>SUMIFS($D$245:$D$595,$B$245:$B$595,Z192)</f>
        <v/>
      </c>
      <c r="AB192" s="76" t="n"/>
      <c r="AC192" s="75">
        <f>SUMIFS($D$245:$D$595,$B$245:$B$595,AB192)</f>
        <v/>
      </c>
      <c r="AD192" s="76" t="n"/>
      <c r="AE192" s="75">
        <f>SUMIFS($D$245:$D$595,$B$245:$B$595,AD192)</f>
        <v/>
      </c>
      <c r="AF192" s="76" t="n"/>
    </row>
    <row r="193">
      <c r="A193" t="n">
        <v>36</v>
      </c>
      <c r="G193" s="15" t="inlineStr">
        <is>
          <t>N / LK</t>
        </is>
      </c>
      <c r="H193" s="74" t="n"/>
      <c r="I193" s="75">
        <f>IF(OR(LEFT(H193,6)="HVD302",LEFT(H193,6)="HVD303",LEFT(H193,6)="HVD304"),0,SUMIFS($D$245:$D$595,$B$245:$B$595,H193))</f>
        <v/>
      </c>
      <c r="J193" s="76" t="n"/>
      <c r="K193" s="75">
        <f>SUMIFS($D$245:$D$595,$B$245:$B$595,J193)</f>
        <v/>
      </c>
      <c r="L193" s="76" t="n"/>
      <c r="M193" s="75">
        <f>SUMIFS($D$245:$D$595,$B$245:$B$595,L193)</f>
        <v/>
      </c>
      <c r="N193" s="76" t="n"/>
      <c r="O193" s="75">
        <f>SUMIFS($D$245:$D$595,$B$245:$B$595,N193)</f>
        <v/>
      </c>
      <c r="P193" s="76" t="n"/>
      <c r="Q193" s="75">
        <f>SUMIFS($D$245:$D$595,$B$245:$B$595,P193)</f>
        <v/>
      </c>
      <c r="R193" s="76" t="n"/>
      <c r="S193" s="75">
        <f>SUMIFS($D$245:$D$595,$B$245:$B$595,R193)</f>
        <v/>
      </c>
      <c r="T193" s="76" t="n"/>
      <c r="U193" s="75">
        <f>SUMIFS($D$245:$D$595,$B$245:$B$595,T193)</f>
        <v/>
      </c>
      <c r="V193" s="76" t="n"/>
      <c r="W193" s="75">
        <f>SUMIFS($D$245:$D$595,$B$245:$B$595,V193)</f>
        <v/>
      </c>
      <c r="X193" s="76" t="n"/>
      <c r="Y193" s="75">
        <f>SUMIFS($D$245:$D$595,$B$245:$B$595,X193)</f>
        <v/>
      </c>
      <c r="Z193" s="76" t="n"/>
      <c r="AA193" s="75">
        <f>SUMIFS($D$245:$D$595,$B$245:$B$595,Z193)</f>
        <v/>
      </c>
      <c r="AB193" s="76" t="n"/>
      <c r="AC193" s="75">
        <f>SUMIFS($D$245:$D$595,$B$245:$B$595,AB193)</f>
        <v/>
      </c>
      <c r="AD193" s="76" t="n"/>
      <c r="AE193" s="75">
        <f>SUMIFS($D$245:$D$595,$B$245:$B$595,AD193)</f>
        <v/>
      </c>
      <c r="AF193" s="76" t="n"/>
    </row>
    <row r="194">
      <c r="A194" t="n">
        <v>37</v>
      </c>
      <c r="G194" s="15" t="inlineStr">
        <is>
          <t>N / LK</t>
        </is>
      </c>
      <c r="H194" s="74" t="n"/>
      <c r="I194" s="75">
        <f>IF(OR(LEFT(H194,6)="HVD302",LEFT(H194,6)="HVD303",LEFT(H194,6)="HVD304"),0,SUMIFS($D$245:$D$595,$B$245:$B$595,H194))</f>
        <v/>
      </c>
      <c r="J194" s="76" t="n"/>
      <c r="K194" s="75">
        <f>SUMIFS($D$245:$D$595,$B$245:$B$595,J194)</f>
        <v/>
      </c>
      <c r="L194" s="76" t="n"/>
      <c r="M194" s="75">
        <f>SUMIFS($D$245:$D$595,$B$245:$B$595,L194)</f>
        <v/>
      </c>
      <c r="N194" s="76" t="n"/>
      <c r="O194" s="75">
        <f>SUMIFS($D$245:$D$595,$B$245:$B$595,N194)</f>
        <v/>
      </c>
      <c r="P194" s="76" t="n"/>
      <c r="Q194" s="75">
        <f>SUMIFS($D$245:$D$595,$B$245:$B$595,P194)</f>
        <v/>
      </c>
      <c r="R194" s="76" t="n"/>
      <c r="S194" s="75">
        <f>SUMIFS($D$245:$D$595,$B$245:$B$595,R194)</f>
        <v/>
      </c>
      <c r="T194" s="76" t="n"/>
      <c r="U194" s="75">
        <f>SUMIFS($D$245:$D$595,$B$245:$B$595,T194)</f>
        <v/>
      </c>
      <c r="V194" s="76" t="n"/>
      <c r="W194" s="75">
        <f>SUMIFS($D$245:$D$595,$B$245:$B$595,V194)</f>
        <v/>
      </c>
      <c r="X194" s="76" t="n"/>
      <c r="Y194" s="75">
        <f>SUMIFS($D$245:$D$595,$B$245:$B$595,X194)</f>
        <v/>
      </c>
      <c r="Z194" s="76" t="n"/>
      <c r="AA194" s="75">
        <f>SUMIFS($D$245:$D$595,$B$245:$B$595,Z194)</f>
        <v/>
      </c>
      <c r="AB194" s="76" t="n"/>
      <c r="AC194" s="75">
        <f>SUMIFS($D$245:$D$595,$B$245:$B$595,AB194)</f>
        <v/>
      </c>
      <c r="AD194" s="76" t="n"/>
      <c r="AE194" s="75">
        <f>SUMIFS($D$245:$D$595,$B$245:$B$595,AD194)</f>
        <v/>
      </c>
      <c r="AF194" s="76" t="n"/>
    </row>
    <row r="195">
      <c r="A195" t="n">
        <v>38</v>
      </c>
      <c r="G195" s="15" t="inlineStr">
        <is>
          <t>N / LK</t>
        </is>
      </c>
      <c r="H195" s="74" t="n"/>
      <c r="I195" s="75">
        <f>IF(OR(LEFT(H195,6)="HVD302",LEFT(H195,6)="HVD303",LEFT(H195,6)="HVD304"),0,SUMIFS($D$245:$D$595,$B$245:$B$595,H195))</f>
        <v/>
      </c>
      <c r="J195" s="76" t="n"/>
      <c r="K195" s="75">
        <f>SUMIFS($D$245:$D$595,$B$245:$B$595,J195)</f>
        <v/>
      </c>
      <c r="L195" s="76" t="n"/>
      <c r="M195" s="75">
        <f>SUMIFS($D$245:$D$595,$B$245:$B$595,L195)</f>
        <v/>
      </c>
      <c r="N195" s="76" t="n"/>
      <c r="O195" s="75">
        <f>SUMIFS($D$245:$D$595,$B$245:$B$595,N195)</f>
        <v/>
      </c>
      <c r="P195" s="76" t="n"/>
      <c r="Q195" s="75">
        <f>SUMIFS($D$245:$D$595,$B$245:$B$595,P195)</f>
        <v/>
      </c>
      <c r="R195" s="76" t="n"/>
      <c r="S195" s="75">
        <f>SUMIFS($D$245:$D$595,$B$245:$B$595,R195)</f>
        <v/>
      </c>
      <c r="T195" s="76" t="n"/>
      <c r="U195" s="75">
        <f>SUMIFS($D$245:$D$595,$B$245:$B$595,T195)</f>
        <v/>
      </c>
      <c r="V195" s="76" t="n"/>
      <c r="W195" s="75">
        <f>SUMIFS($D$245:$D$595,$B$245:$B$595,V195)</f>
        <v/>
      </c>
      <c r="X195" s="76" t="n"/>
      <c r="Y195" s="75">
        <f>SUMIFS($D$245:$D$595,$B$245:$B$595,X195)</f>
        <v/>
      </c>
      <c r="Z195" s="76" t="n"/>
      <c r="AA195" s="75">
        <f>SUMIFS($D$245:$D$595,$B$245:$B$595,Z195)</f>
        <v/>
      </c>
      <c r="AB195" s="76" t="n"/>
      <c r="AC195" s="75">
        <f>SUMIFS($D$245:$D$595,$B$245:$B$595,AB195)</f>
        <v/>
      </c>
      <c r="AD195" s="76" t="n"/>
      <c r="AE195" s="75">
        <f>SUMIFS($D$245:$D$595,$B$245:$B$595,AD195)</f>
        <v/>
      </c>
      <c r="AF195" s="76" t="n"/>
    </row>
    <row r="196">
      <c r="A196" t="n">
        <v>39</v>
      </c>
      <c r="G196" s="15" t="inlineStr">
        <is>
          <t>N / LK</t>
        </is>
      </c>
      <c r="H196" s="74" t="n"/>
      <c r="I196" s="75">
        <f>IF(OR(LEFT(H196,6)="HVD302",LEFT(H196,6)="HVD303",LEFT(H196,6)="HVD304"),0,SUMIFS($D$245:$D$595,$B$245:$B$595,H196))</f>
        <v/>
      </c>
      <c r="J196" s="76" t="n"/>
      <c r="K196" s="75">
        <f>SUMIFS($D$245:$D$595,$B$245:$B$595,J196)</f>
        <v/>
      </c>
      <c r="L196" s="76" t="n"/>
      <c r="M196" s="75">
        <f>SUMIFS($D$245:$D$595,$B$245:$B$595,L196)</f>
        <v/>
      </c>
      <c r="N196" s="76" t="n"/>
      <c r="O196" s="75">
        <f>SUMIFS($D$245:$D$595,$B$245:$B$595,N196)</f>
        <v/>
      </c>
      <c r="P196" s="76" t="n"/>
      <c r="Q196" s="75">
        <f>SUMIFS($D$245:$D$595,$B$245:$B$595,P196)</f>
        <v/>
      </c>
      <c r="R196" s="76" t="n"/>
      <c r="S196" s="75">
        <f>SUMIFS($D$245:$D$595,$B$245:$B$595,R196)</f>
        <v/>
      </c>
      <c r="T196" s="76" t="n"/>
      <c r="U196" s="75">
        <f>SUMIFS($D$245:$D$595,$B$245:$B$595,T196)</f>
        <v/>
      </c>
      <c r="V196" s="76" t="n"/>
      <c r="W196" s="75">
        <f>SUMIFS($D$245:$D$595,$B$245:$B$595,V196)</f>
        <v/>
      </c>
      <c r="X196" s="76" t="n"/>
      <c r="Y196" s="75">
        <f>SUMIFS($D$245:$D$595,$B$245:$B$595,X196)</f>
        <v/>
      </c>
      <c r="Z196" s="76" t="n"/>
      <c r="AA196" s="75">
        <f>SUMIFS($D$245:$D$595,$B$245:$B$595,Z196)</f>
        <v/>
      </c>
      <c r="AB196" s="76" t="n"/>
      <c r="AC196" s="75">
        <f>SUMIFS($D$245:$D$595,$B$245:$B$595,AB196)</f>
        <v/>
      </c>
      <c r="AD196" s="76" t="n"/>
      <c r="AE196" s="75">
        <f>SUMIFS($D$245:$D$595,$B$245:$B$595,AD196)</f>
        <v/>
      </c>
      <c r="AF196" s="76" t="n"/>
    </row>
    <row r="197">
      <c r="A197" t="n">
        <v>40</v>
      </c>
      <c r="G197" s="15" t="inlineStr">
        <is>
          <t>N / LK</t>
        </is>
      </c>
      <c r="H197" s="74" t="n"/>
      <c r="I197" s="75">
        <f>IF(OR(LEFT(H197,6)="HVD302",LEFT(H197,6)="HVD303",LEFT(H197,6)="HVD304"),0,SUMIFS($D$245:$D$595,$B$245:$B$595,H197))</f>
        <v/>
      </c>
      <c r="J197" s="76" t="n"/>
      <c r="K197" s="75">
        <f>SUMIFS($D$245:$D$595,$B$245:$B$595,J197)</f>
        <v/>
      </c>
      <c r="L197" s="76" t="n"/>
      <c r="M197" s="75">
        <f>SUMIFS($D$245:$D$595,$B$245:$B$595,L197)</f>
        <v/>
      </c>
      <c r="N197" s="76" t="n"/>
      <c r="O197" s="75">
        <f>SUMIFS($D$245:$D$595,$B$245:$B$595,N197)</f>
        <v/>
      </c>
      <c r="P197" s="76" t="n"/>
      <c r="Q197" s="75">
        <f>SUMIFS($D$245:$D$595,$B$245:$B$595,P197)</f>
        <v/>
      </c>
      <c r="R197" s="76" t="n"/>
      <c r="S197" s="75">
        <f>SUMIFS($D$245:$D$595,$B$245:$B$595,R197)</f>
        <v/>
      </c>
      <c r="T197" s="76" t="n"/>
      <c r="U197" s="75">
        <f>SUMIFS($D$245:$D$595,$B$245:$B$595,T197)</f>
        <v/>
      </c>
      <c r="V197" s="76" t="n"/>
      <c r="W197" s="75">
        <f>SUMIFS($D$245:$D$595,$B$245:$B$595,V197)</f>
        <v/>
      </c>
      <c r="X197" s="76" t="n"/>
      <c r="Y197" s="75">
        <f>SUMIFS($D$245:$D$595,$B$245:$B$595,X197)</f>
        <v/>
      </c>
      <c r="Z197" s="76" t="n"/>
      <c r="AA197" s="75">
        <f>SUMIFS($D$245:$D$595,$B$245:$B$595,Z197)</f>
        <v/>
      </c>
      <c r="AB197" s="76" t="n"/>
      <c r="AC197" s="75">
        <f>SUMIFS($D$245:$D$595,$B$245:$B$595,AB197)</f>
        <v/>
      </c>
      <c r="AD197" s="76" t="n"/>
      <c r="AE197" s="75">
        <f>SUMIFS($D$245:$D$595,$B$245:$B$595,AD197)</f>
        <v/>
      </c>
      <c r="AF197" s="76" t="n"/>
    </row>
    <row r="198">
      <c r="A198" t="n">
        <v>41</v>
      </c>
      <c r="G198" s="15" t="inlineStr">
        <is>
          <t>N / LK</t>
        </is>
      </c>
      <c r="H198" s="74" t="n"/>
      <c r="I198" s="75">
        <f>IF(OR(LEFT(H198,6)="HVD302",LEFT(H198,6)="HVD303",LEFT(H198,6)="HVD304"),0,SUMIFS($D$245:$D$595,$B$245:$B$595,H198))</f>
        <v/>
      </c>
      <c r="J198" s="76" t="n"/>
      <c r="K198" s="75">
        <f>SUMIFS($D$245:$D$595,$B$245:$B$595,J198)</f>
        <v/>
      </c>
      <c r="L198" s="76" t="n"/>
      <c r="M198" s="75">
        <f>SUMIFS($D$245:$D$595,$B$245:$B$595,L198)</f>
        <v/>
      </c>
      <c r="N198" s="76" t="n"/>
      <c r="O198" s="75">
        <f>SUMIFS($D$245:$D$595,$B$245:$B$595,N198)</f>
        <v/>
      </c>
      <c r="P198" s="76" t="n"/>
      <c r="Q198" s="75">
        <f>SUMIFS($D$245:$D$595,$B$245:$B$595,P198)</f>
        <v/>
      </c>
      <c r="R198" s="76" t="n"/>
      <c r="S198" s="75">
        <f>SUMIFS($D$245:$D$595,$B$245:$B$595,R198)</f>
        <v/>
      </c>
      <c r="T198" s="76" t="n"/>
      <c r="U198" s="75">
        <f>SUMIFS($D$245:$D$595,$B$245:$B$595,T198)</f>
        <v/>
      </c>
      <c r="V198" s="76" t="n"/>
      <c r="W198" s="75">
        <f>SUMIFS($D$245:$D$595,$B$245:$B$595,V198)</f>
        <v/>
      </c>
      <c r="X198" s="76" t="n"/>
      <c r="Y198" s="75">
        <f>SUMIFS($D$245:$D$595,$B$245:$B$595,X198)</f>
        <v/>
      </c>
      <c r="Z198" s="76" t="n"/>
      <c r="AA198" s="75">
        <f>SUMIFS($D$245:$D$595,$B$245:$B$595,Z198)</f>
        <v/>
      </c>
      <c r="AB198" s="76" t="n"/>
      <c r="AC198" s="75">
        <f>SUMIFS($D$245:$D$595,$B$245:$B$595,AB198)</f>
        <v/>
      </c>
      <c r="AD198" s="76" t="n"/>
      <c r="AE198" s="75">
        <f>SUMIFS($D$245:$D$595,$B$245:$B$595,AD198)</f>
        <v/>
      </c>
      <c r="AF198" s="76" t="n"/>
    </row>
    <row r="199">
      <c r="A199" t="n">
        <v>42</v>
      </c>
      <c r="G199" s="15" t="inlineStr">
        <is>
          <t>N / LK</t>
        </is>
      </c>
      <c r="H199" s="74" t="n"/>
      <c r="I199" s="75">
        <f>IF(OR(LEFT(H199,6)="HVD302",LEFT(H199,6)="HVD303",LEFT(H199,6)="HVD304"),0,SUMIFS($D$245:$D$595,$B$245:$B$595,H199))</f>
        <v/>
      </c>
      <c r="J199" s="76" t="n"/>
      <c r="K199" s="75">
        <f>SUMIFS($D$245:$D$595,$B$245:$B$595,J199)</f>
        <v/>
      </c>
      <c r="L199" s="76" t="n"/>
      <c r="M199" s="75">
        <f>SUMIFS($D$245:$D$595,$B$245:$B$595,L199)</f>
        <v/>
      </c>
      <c r="N199" s="76" t="n"/>
      <c r="O199" s="75">
        <f>SUMIFS($D$245:$D$595,$B$245:$B$595,N199)</f>
        <v/>
      </c>
      <c r="P199" s="76" t="n"/>
      <c r="Q199" s="75">
        <f>SUMIFS($D$245:$D$595,$B$245:$B$595,P199)</f>
        <v/>
      </c>
      <c r="R199" s="76" t="n"/>
      <c r="S199" s="75">
        <f>SUMIFS($D$245:$D$595,$B$245:$B$595,R199)</f>
        <v/>
      </c>
      <c r="T199" s="76" t="n"/>
      <c r="U199" s="75">
        <f>SUMIFS($D$245:$D$595,$B$245:$B$595,T199)</f>
        <v/>
      </c>
      <c r="V199" s="76" t="n"/>
      <c r="W199" s="75">
        <f>SUMIFS($D$245:$D$595,$B$245:$B$595,V199)</f>
        <v/>
      </c>
      <c r="X199" s="76" t="n"/>
      <c r="Y199" s="75">
        <f>SUMIFS($D$245:$D$595,$B$245:$B$595,X199)</f>
        <v/>
      </c>
      <c r="Z199" s="76" t="n"/>
      <c r="AA199" s="75">
        <f>SUMIFS($D$245:$D$595,$B$245:$B$595,Z199)</f>
        <v/>
      </c>
      <c r="AB199" s="76" t="n"/>
      <c r="AC199" s="75">
        <f>SUMIFS($D$245:$D$595,$B$245:$B$595,AB199)</f>
        <v/>
      </c>
      <c r="AD199" s="76" t="n"/>
      <c r="AE199" s="75">
        <f>SUMIFS($D$245:$D$595,$B$245:$B$595,AD199)</f>
        <v/>
      </c>
      <c r="AF199" s="76" t="n"/>
    </row>
    <row r="200">
      <c r="A200" t="n">
        <v>43</v>
      </c>
      <c r="G200" s="15" t="inlineStr">
        <is>
          <t>N / LK</t>
        </is>
      </c>
      <c r="H200" s="74" t="n"/>
      <c r="I200" s="75">
        <f>IF(OR(LEFT(H200,6)="HVD302",LEFT(H200,6)="HVD303",LEFT(H200,6)="HVD304"),0,SUMIFS($D$245:$D$595,$B$245:$B$595,H200))</f>
        <v/>
      </c>
      <c r="J200" s="76" t="n"/>
      <c r="K200" s="75">
        <f>SUMIFS($D$245:$D$595,$B$245:$B$595,J200)</f>
        <v/>
      </c>
      <c r="L200" s="76" t="n"/>
      <c r="M200" s="75">
        <f>SUMIFS($D$245:$D$595,$B$245:$B$595,L200)</f>
        <v/>
      </c>
      <c r="N200" s="76" t="n"/>
      <c r="O200" s="75">
        <f>SUMIFS($D$245:$D$595,$B$245:$B$595,N200)</f>
        <v/>
      </c>
      <c r="P200" s="76" t="n"/>
      <c r="Q200" s="75">
        <f>SUMIFS($D$245:$D$595,$B$245:$B$595,P200)</f>
        <v/>
      </c>
      <c r="R200" s="76" t="n"/>
      <c r="S200" s="75">
        <f>SUMIFS($D$245:$D$595,$B$245:$B$595,R200)</f>
        <v/>
      </c>
      <c r="T200" s="76" t="n"/>
      <c r="U200" s="75">
        <f>SUMIFS($D$245:$D$595,$B$245:$B$595,T200)</f>
        <v/>
      </c>
      <c r="V200" s="76" t="n"/>
      <c r="W200" s="75">
        <f>SUMIFS($D$245:$D$595,$B$245:$B$595,V200)</f>
        <v/>
      </c>
      <c r="X200" s="76" t="n"/>
      <c r="Y200" s="75">
        <f>SUMIFS($D$245:$D$595,$B$245:$B$595,X200)</f>
        <v/>
      </c>
      <c r="Z200" s="76" t="n"/>
      <c r="AA200" s="75">
        <f>SUMIFS($D$245:$D$595,$B$245:$B$595,Z200)</f>
        <v/>
      </c>
      <c r="AB200" s="76" t="n"/>
      <c r="AC200" s="75">
        <f>SUMIFS($D$245:$D$595,$B$245:$B$595,AB200)</f>
        <v/>
      </c>
      <c r="AD200" s="76" t="n"/>
      <c r="AE200" s="75">
        <f>SUMIFS($D$245:$D$595,$B$245:$B$595,AD200)</f>
        <v/>
      </c>
      <c r="AF200" s="76" t="n"/>
    </row>
    <row r="201">
      <c r="A201" t="n">
        <v>44</v>
      </c>
      <c r="G201" s="15" t="inlineStr">
        <is>
          <t>N / LK</t>
        </is>
      </c>
      <c r="H201" s="74" t="n"/>
      <c r="I201" s="75">
        <f>IF(OR(LEFT(H201,6)="HVD302",LEFT(H201,6)="HVD303",LEFT(H201,6)="HVD304"),0,SUMIFS($D$245:$D$595,$B$245:$B$595,H201))</f>
        <v/>
      </c>
      <c r="J201" s="76" t="n"/>
      <c r="K201" s="75">
        <f>SUMIFS($D$245:$D$595,$B$245:$B$595,J201)</f>
        <v/>
      </c>
      <c r="L201" s="76" t="n"/>
      <c r="M201" s="75">
        <f>SUMIFS($D$245:$D$595,$B$245:$B$595,L201)</f>
        <v/>
      </c>
      <c r="N201" s="76" t="n"/>
      <c r="O201" s="75">
        <f>SUMIFS($D$245:$D$595,$B$245:$B$595,N201)</f>
        <v/>
      </c>
      <c r="P201" s="76" t="n"/>
      <c r="Q201" s="75">
        <f>SUMIFS($D$245:$D$595,$B$245:$B$595,P201)</f>
        <v/>
      </c>
      <c r="R201" s="76" t="n"/>
      <c r="S201" s="75">
        <f>SUMIFS($D$245:$D$595,$B$245:$B$595,R201)</f>
        <v/>
      </c>
      <c r="T201" s="76" t="n"/>
      <c r="U201" s="75">
        <f>SUMIFS($D$245:$D$595,$B$245:$B$595,T201)</f>
        <v/>
      </c>
      <c r="V201" s="76" t="n"/>
      <c r="W201" s="75">
        <f>SUMIFS($D$245:$D$595,$B$245:$B$595,V201)</f>
        <v/>
      </c>
      <c r="X201" s="76" t="n"/>
      <c r="Y201" s="75">
        <f>SUMIFS($D$245:$D$595,$B$245:$B$595,X201)</f>
        <v/>
      </c>
      <c r="Z201" s="76" t="n"/>
      <c r="AA201" s="75">
        <f>SUMIFS($D$245:$D$595,$B$245:$B$595,Z201)</f>
        <v/>
      </c>
      <c r="AB201" s="76" t="n"/>
      <c r="AC201" s="75">
        <f>SUMIFS($D$245:$D$595,$B$245:$B$595,AB201)</f>
        <v/>
      </c>
      <c r="AD201" s="76" t="n"/>
      <c r="AE201" s="75">
        <f>SUMIFS($D$245:$D$595,$B$245:$B$595,AD201)</f>
        <v/>
      </c>
      <c r="AF201" s="76" t="n"/>
    </row>
    <row r="202">
      <c r="A202" t="n">
        <v>45</v>
      </c>
      <c r="G202" s="15" t="inlineStr">
        <is>
          <t>N / LK</t>
        </is>
      </c>
      <c r="H202" s="74" t="n"/>
      <c r="I202" s="75">
        <f>IF(OR(LEFT(H202,6)="HVD302",LEFT(H202,6)="HVD303",LEFT(H202,6)="HVD304"),0,SUMIFS($D$245:$D$595,$B$245:$B$595,H202))</f>
        <v/>
      </c>
      <c r="J202" s="76" t="n"/>
      <c r="K202" s="75">
        <f>SUMIFS($D$245:$D$595,$B$245:$B$595,J202)</f>
        <v/>
      </c>
      <c r="L202" s="76" t="n"/>
      <c r="M202" s="75">
        <f>SUMIFS($D$245:$D$595,$B$245:$B$595,L202)</f>
        <v/>
      </c>
      <c r="N202" s="76" t="n"/>
      <c r="O202" s="75">
        <f>SUMIFS($D$245:$D$595,$B$245:$B$595,N202)</f>
        <v/>
      </c>
      <c r="P202" s="76" t="n"/>
      <c r="Q202" s="75">
        <f>SUMIFS($D$245:$D$595,$B$245:$B$595,P202)</f>
        <v/>
      </c>
      <c r="R202" s="76" t="n"/>
      <c r="S202" s="75">
        <f>SUMIFS($D$245:$D$595,$B$245:$B$595,R202)</f>
        <v/>
      </c>
      <c r="T202" s="76" t="n"/>
      <c r="U202" s="75">
        <f>SUMIFS($D$245:$D$595,$B$245:$B$595,T202)</f>
        <v/>
      </c>
      <c r="V202" s="76" t="n"/>
      <c r="W202" s="75">
        <f>SUMIFS($D$245:$D$595,$B$245:$B$595,V202)</f>
        <v/>
      </c>
      <c r="X202" s="76" t="n"/>
      <c r="Y202" s="75">
        <f>SUMIFS($D$245:$D$595,$B$245:$B$595,X202)</f>
        <v/>
      </c>
      <c r="Z202" s="76" t="n"/>
      <c r="AA202" s="75">
        <f>SUMIFS($D$245:$D$595,$B$245:$B$595,Z202)</f>
        <v/>
      </c>
      <c r="AB202" s="76" t="n"/>
      <c r="AC202" s="75">
        <f>SUMIFS($D$245:$D$595,$B$245:$B$595,AB202)</f>
        <v/>
      </c>
      <c r="AD202" s="76" t="n"/>
      <c r="AE202" s="75">
        <f>SUMIFS($D$245:$D$595,$B$245:$B$595,AD202)</f>
        <v/>
      </c>
      <c r="AF202" s="76" t="n"/>
    </row>
    <row r="203">
      <c r="A203" t="n">
        <v>46</v>
      </c>
      <c r="G203" s="15" t="inlineStr">
        <is>
          <t>N / LK</t>
        </is>
      </c>
      <c r="H203" s="74" t="n"/>
      <c r="I203" s="75">
        <f>IF(OR(LEFT(H203,6)="HVD302",LEFT(H203,6)="HVD303",LEFT(H203,6)="HVD304"),0,SUMIFS($D$245:$D$595,$B$245:$B$595,H203))</f>
        <v/>
      </c>
      <c r="J203" s="76" t="n"/>
      <c r="K203" s="75">
        <f>SUMIFS($D$245:$D$595,$B$245:$B$595,J203)</f>
        <v/>
      </c>
      <c r="L203" s="76" t="n"/>
      <c r="M203" s="75">
        <f>SUMIFS($D$245:$D$595,$B$245:$B$595,L203)</f>
        <v/>
      </c>
      <c r="N203" s="76" t="n"/>
      <c r="O203" s="75">
        <f>SUMIFS($D$245:$D$595,$B$245:$B$595,N203)</f>
        <v/>
      </c>
      <c r="P203" s="76" t="n"/>
      <c r="Q203" s="75">
        <f>SUMIFS($D$245:$D$595,$B$245:$B$595,P203)</f>
        <v/>
      </c>
      <c r="R203" s="76" t="n"/>
      <c r="S203" s="75">
        <f>SUMIFS($D$245:$D$595,$B$245:$B$595,R203)</f>
        <v/>
      </c>
      <c r="T203" s="76" t="n"/>
      <c r="U203" s="75">
        <f>SUMIFS($D$245:$D$595,$B$245:$B$595,T203)</f>
        <v/>
      </c>
      <c r="V203" s="76" t="n"/>
      <c r="W203" s="75">
        <f>SUMIFS($D$245:$D$595,$B$245:$B$595,V203)</f>
        <v/>
      </c>
      <c r="X203" s="76" t="n"/>
      <c r="Y203" s="75">
        <f>SUMIFS($D$245:$D$595,$B$245:$B$595,X203)</f>
        <v/>
      </c>
      <c r="Z203" s="76" t="n"/>
      <c r="AA203" s="75">
        <f>SUMIFS($D$245:$D$595,$B$245:$B$595,Z203)</f>
        <v/>
      </c>
      <c r="AB203" s="76" t="n"/>
      <c r="AC203" s="75">
        <f>SUMIFS($D$245:$D$595,$B$245:$B$595,AB203)</f>
        <v/>
      </c>
      <c r="AD203" s="76" t="n"/>
      <c r="AE203" s="75">
        <f>SUMIFS($D$245:$D$595,$B$245:$B$595,AD203)</f>
        <v/>
      </c>
      <c r="AF203" s="76" t="n"/>
    </row>
    <row r="204">
      <c r="A204" t="n">
        <v>47</v>
      </c>
      <c r="G204" s="15" t="inlineStr">
        <is>
          <t>N / LK</t>
        </is>
      </c>
      <c r="H204" s="74" t="n"/>
      <c r="I204" s="75">
        <f>IF(OR(LEFT(H204,6)="HVD302",LEFT(H204,6)="HVD303",LEFT(H204,6)="HVD304"),0,SUMIFS($D$245:$D$595,$B$245:$B$595,H204))</f>
        <v/>
      </c>
      <c r="J204" s="76" t="n"/>
      <c r="K204" s="75">
        <f>SUMIFS($D$245:$D$595,$B$245:$B$595,J204)</f>
        <v/>
      </c>
      <c r="L204" s="76" t="n"/>
      <c r="M204" s="75">
        <f>SUMIFS($D$245:$D$595,$B$245:$B$595,L204)</f>
        <v/>
      </c>
      <c r="N204" s="76" t="n"/>
      <c r="O204" s="75">
        <f>SUMIFS($D$245:$D$595,$B$245:$B$595,N204)</f>
        <v/>
      </c>
      <c r="P204" s="76" t="n"/>
      <c r="Q204" s="75">
        <f>SUMIFS($D$245:$D$595,$B$245:$B$595,P204)</f>
        <v/>
      </c>
      <c r="R204" s="76" t="n"/>
      <c r="S204" s="75">
        <f>SUMIFS($D$245:$D$595,$B$245:$B$595,R204)</f>
        <v/>
      </c>
      <c r="T204" s="76" t="n"/>
      <c r="U204" s="75">
        <f>SUMIFS($D$245:$D$595,$B$245:$B$595,T204)</f>
        <v/>
      </c>
      <c r="V204" s="76" t="n"/>
      <c r="W204" s="75">
        <f>SUMIFS($D$245:$D$595,$B$245:$B$595,V204)</f>
        <v/>
      </c>
      <c r="X204" s="76" t="n"/>
      <c r="Y204" s="75">
        <f>SUMIFS($D$245:$D$595,$B$245:$B$595,X204)</f>
        <v/>
      </c>
      <c r="Z204" s="76" t="n"/>
      <c r="AA204" s="75">
        <f>SUMIFS($D$245:$D$595,$B$245:$B$595,Z204)</f>
        <v/>
      </c>
      <c r="AB204" s="76" t="n"/>
      <c r="AC204" s="75">
        <f>SUMIFS($D$245:$D$595,$B$245:$B$595,AB204)</f>
        <v/>
      </c>
      <c r="AD204" s="76" t="n"/>
      <c r="AE204" s="75">
        <f>SUMIFS($D$245:$D$595,$B$245:$B$595,AD204)</f>
        <v/>
      </c>
      <c r="AF204" s="76" t="n"/>
    </row>
    <row r="205">
      <c r="A205" t="n">
        <v>48</v>
      </c>
      <c r="G205" s="15" t="inlineStr">
        <is>
          <t>N / LK</t>
        </is>
      </c>
      <c r="H205" s="74" t="n"/>
      <c r="I205" s="75">
        <f>IF(OR(LEFT(H205,6)="HVD302",LEFT(H205,6)="HVD303",LEFT(H205,6)="HVD304"),0,SUMIFS($D$245:$D$595,$B$245:$B$595,H205))</f>
        <v/>
      </c>
      <c r="J205" s="76" t="n"/>
      <c r="K205" s="75">
        <f>SUMIFS($D$245:$D$595,$B$245:$B$595,J205)</f>
        <v/>
      </c>
      <c r="L205" s="76" t="n"/>
      <c r="M205" s="75">
        <f>SUMIFS($D$245:$D$595,$B$245:$B$595,L205)</f>
        <v/>
      </c>
      <c r="N205" s="76" t="n"/>
      <c r="O205" s="75">
        <f>SUMIFS($D$245:$D$595,$B$245:$B$595,N205)</f>
        <v/>
      </c>
      <c r="P205" s="76" t="n"/>
      <c r="Q205" s="75">
        <f>SUMIFS($D$245:$D$595,$B$245:$B$595,P205)</f>
        <v/>
      </c>
      <c r="R205" s="76" t="n"/>
      <c r="S205" s="75">
        <f>SUMIFS($D$245:$D$595,$B$245:$B$595,R205)</f>
        <v/>
      </c>
      <c r="T205" s="76" t="n"/>
      <c r="U205" s="75">
        <f>SUMIFS($D$245:$D$595,$B$245:$B$595,T205)</f>
        <v/>
      </c>
      <c r="V205" s="76" t="n"/>
      <c r="W205" s="75">
        <f>SUMIFS($D$245:$D$595,$B$245:$B$595,V205)</f>
        <v/>
      </c>
      <c r="X205" s="76" t="n"/>
      <c r="Y205" s="75">
        <f>SUMIFS($D$245:$D$595,$B$245:$B$595,X205)</f>
        <v/>
      </c>
      <c r="Z205" s="76" t="n"/>
      <c r="AA205" s="75">
        <f>SUMIFS($D$245:$D$595,$B$245:$B$595,Z205)</f>
        <v/>
      </c>
      <c r="AB205" s="76" t="n"/>
      <c r="AC205" s="75">
        <f>SUMIFS($D$245:$D$595,$B$245:$B$595,AB205)</f>
        <v/>
      </c>
      <c r="AD205" s="76" t="n"/>
      <c r="AE205" s="75">
        <f>SUMIFS($D$245:$D$595,$B$245:$B$595,AD205)</f>
        <v/>
      </c>
      <c r="AF205" s="76" t="n"/>
    </row>
    <row r="206">
      <c r="A206" t="n">
        <v>49</v>
      </c>
      <c r="G206" s="15" t="inlineStr">
        <is>
          <t>N / LK</t>
        </is>
      </c>
      <c r="H206" s="74" t="n"/>
      <c r="I206" s="75">
        <f>IF(OR(LEFT(H206,6)="HVD302",LEFT(H206,6)="HVD303",LEFT(H206,6)="HVD304"),0,SUMIFS($D$245:$D$595,$B$245:$B$595,H206))</f>
        <v/>
      </c>
      <c r="J206" s="76" t="n"/>
      <c r="K206" s="75">
        <f>SUMIFS($D$245:$D$595,$B$245:$B$595,J206)</f>
        <v/>
      </c>
      <c r="L206" s="76" t="n"/>
      <c r="M206" s="75">
        <f>SUMIFS($D$245:$D$595,$B$245:$B$595,L206)</f>
        <v/>
      </c>
      <c r="N206" s="76" t="n"/>
      <c r="O206" s="75">
        <f>SUMIFS($D$245:$D$595,$B$245:$B$595,N206)</f>
        <v/>
      </c>
      <c r="P206" s="76" t="n"/>
      <c r="Q206" s="75">
        <f>SUMIFS($D$245:$D$595,$B$245:$B$595,P206)</f>
        <v/>
      </c>
      <c r="R206" s="76" t="n"/>
      <c r="S206" s="75">
        <f>SUMIFS($D$245:$D$595,$B$245:$B$595,R206)</f>
        <v/>
      </c>
      <c r="T206" s="76" t="n"/>
      <c r="U206" s="75">
        <f>SUMIFS($D$245:$D$595,$B$245:$B$595,T206)</f>
        <v/>
      </c>
      <c r="V206" s="76" t="n"/>
      <c r="W206" s="75">
        <f>SUMIFS($D$245:$D$595,$B$245:$B$595,V206)</f>
        <v/>
      </c>
      <c r="X206" s="76" t="n"/>
      <c r="Y206" s="75">
        <f>SUMIFS($D$245:$D$595,$B$245:$B$595,X206)</f>
        <v/>
      </c>
      <c r="Z206" s="76" t="n"/>
      <c r="AA206" s="75">
        <f>SUMIFS($D$245:$D$595,$B$245:$B$595,Z206)</f>
        <v/>
      </c>
      <c r="AB206" s="76" t="n"/>
      <c r="AC206" s="75">
        <f>SUMIFS($D$245:$D$595,$B$245:$B$595,AB206)</f>
        <v/>
      </c>
      <c r="AD206" s="76" t="n"/>
      <c r="AE206" s="75">
        <f>SUMIFS($D$245:$D$595,$B$245:$B$595,AD206)</f>
        <v/>
      </c>
      <c r="AF206" s="76" t="n"/>
    </row>
    <row r="207">
      <c r="A207" t="n">
        <v>50</v>
      </c>
      <c r="G207" s="15" t="inlineStr">
        <is>
          <t>N / LK</t>
        </is>
      </c>
      <c r="H207" s="74" t="n"/>
      <c r="I207" s="75">
        <f>IF(OR(LEFT(H207,6)="HVD302",LEFT(H207,6)="HVD303",LEFT(H207,6)="HVD304"),0,SUMIFS($D$245:$D$595,$B$245:$B$595,H207))</f>
        <v/>
      </c>
      <c r="J207" s="76" t="n"/>
      <c r="K207" s="75">
        <f>SUMIFS($D$245:$D$595,$B$245:$B$595,J207)</f>
        <v/>
      </c>
      <c r="L207" s="76" t="n"/>
      <c r="M207" s="75">
        <f>SUMIFS($D$245:$D$595,$B$245:$B$595,L207)</f>
        <v/>
      </c>
      <c r="N207" s="76" t="n"/>
      <c r="O207" s="75">
        <f>SUMIFS($D$245:$D$595,$B$245:$B$595,N207)</f>
        <v/>
      </c>
      <c r="P207" s="76" t="n"/>
      <c r="Q207" s="75">
        <f>SUMIFS($D$245:$D$595,$B$245:$B$595,P207)</f>
        <v/>
      </c>
      <c r="R207" s="76" t="n"/>
      <c r="S207" s="75">
        <f>SUMIFS($D$245:$D$595,$B$245:$B$595,R207)</f>
        <v/>
      </c>
      <c r="T207" s="76" t="n"/>
      <c r="U207" s="75">
        <f>SUMIFS($D$245:$D$595,$B$245:$B$595,T207)</f>
        <v/>
      </c>
      <c r="V207" s="76" t="n"/>
      <c r="W207" s="75">
        <f>SUMIFS($D$245:$D$595,$B$245:$B$595,V207)</f>
        <v/>
      </c>
      <c r="X207" s="76" t="n"/>
      <c r="Y207" s="75">
        <f>SUMIFS($D$245:$D$595,$B$245:$B$595,X207)</f>
        <v/>
      </c>
      <c r="Z207" s="76" t="n"/>
      <c r="AA207" s="75">
        <f>SUMIFS($D$245:$D$595,$B$245:$B$595,Z207)</f>
        <v/>
      </c>
      <c r="AB207" s="76" t="n"/>
      <c r="AC207" s="75">
        <f>SUMIFS($D$245:$D$595,$B$245:$B$595,AB207)</f>
        <v/>
      </c>
      <c r="AD207" s="76" t="n"/>
      <c r="AE207" s="75">
        <f>SUMIFS($D$245:$D$595,$B$245:$B$595,AD207)</f>
        <v/>
      </c>
      <c r="AF207" s="76" t="n"/>
    </row>
    <row r="208">
      <c r="A208" t="n">
        <v>51</v>
      </c>
      <c r="G208" s="15" t="inlineStr">
        <is>
          <t>N / LK</t>
        </is>
      </c>
      <c r="H208" s="74" t="n"/>
      <c r="I208" s="75">
        <f>IF(OR(LEFT(H208,6)="HVD302",LEFT(H208,6)="HVD303",LEFT(H208,6)="HVD304"),0,SUMIFS($D$245:$D$595,$B$245:$B$595,H208))</f>
        <v/>
      </c>
      <c r="J208" s="76" t="n"/>
      <c r="K208" s="75">
        <f>SUMIFS($D$245:$D$595,$B$245:$B$595,J208)</f>
        <v/>
      </c>
      <c r="L208" s="76" t="n"/>
      <c r="M208" s="75">
        <f>SUMIFS($D$245:$D$595,$B$245:$B$595,L208)</f>
        <v/>
      </c>
      <c r="N208" s="76" t="n"/>
      <c r="O208" s="75">
        <f>SUMIFS($D$245:$D$595,$B$245:$B$595,N208)</f>
        <v/>
      </c>
      <c r="P208" s="76" t="n"/>
      <c r="Q208" s="75">
        <f>SUMIFS($D$245:$D$595,$B$245:$B$595,P208)</f>
        <v/>
      </c>
      <c r="R208" s="76" t="n"/>
      <c r="S208" s="75">
        <f>SUMIFS($D$245:$D$595,$B$245:$B$595,R208)</f>
        <v/>
      </c>
      <c r="T208" s="76" t="n"/>
      <c r="U208" s="75">
        <f>SUMIFS($D$245:$D$595,$B$245:$B$595,T208)</f>
        <v/>
      </c>
      <c r="V208" s="76" t="n"/>
      <c r="W208" s="75">
        <f>SUMIFS($D$245:$D$595,$B$245:$B$595,V208)</f>
        <v/>
      </c>
      <c r="X208" s="76" t="n"/>
      <c r="Y208" s="75">
        <f>SUMIFS($D$245:$D$595,$B$245:$B$595,X208)</f>
        <v/>
      </c>
      <c r="Z208" s="76" t="n"/>
      <c r="AA208" s="75">
        <f>SUMIFS($D$245:$D$595,$B$245:$B$595,Z208)</f>
        <v/>
      </c>
      <c r="AB208" s="76" t="n"/>
      <c r="AC208" s="75">
        <f>SUMIFS($D$245:$D$595,$B$245:$B$595,AB208)</f>
        <v/>
      </c>
      <c r="AD208" s="76" t="n"/>
      <c r="AE208" s="75">
        <f>SUMIFS($D$245:$D$595,$B$245:$B$595,AD208)</f>
        <v/>
      </c>
      <c r="AF208" s="76" t="n"/>
    </row>
    <row r="209">
      <c r="A209" t="n">
        <v>52</v>
      </c>
      <c r="G209" s="15" t="inlineStr">
        <is>
          <t>N / LK</t>
        </is>
      </c>
      <c r="H209" s="74" t="n"/>
      <c r="I209" s="75">
        <f>IF(OR(LEFT(H209,6)="HVD302",LEFT(H209,6)="HVD303",LEFT(H209,6)="HVD304"),0,SUMIFS($D$245:$D$595,$B$245:$B$595,H209))</f>
        <v/>
      </c>
      <c r="J209" s="76" t="n"/>
      <c r="K209" s="75">
        <f>SUMIFS($D$245:$D$595,$B$245:$B$595,J209)</f>
        <v/>
      </c>
      <c r="L209" s="76" t="n"/>
      <c r="M209" s="75">
        <f>SUMIFS($D$245:$D$595,$B$245:$B$595,L209)</f>
        <v/>
      </c>
      <c r="N209" s="76" t="n"/>
      <c r="O209" s="75">
        <f>SUMIFS($D$245:$D$595,$B$245:$B$595,N209)</f>
        <v/>
      </c>
      <c r="P209" s="76" t="n"/>
      <c r="Q209" s="75">
        <f>SUMIFS($D$245:$D$595,$B$245:$B$595,P209)</f>
        <v/>
      </c>
      <c r="R209" s="76" t="n"/>
      <c r="S209" s="75">
        <f>SUMIFS($D$245:$D$595,$B$245:$B$595,R209)</f>
        <v/>
      </c>
      <c r="T209" s="76" t="n"/>
      <c r="U209" s="75">
        <f>SUMIFS($D$245:$D$595,$B$245:$B$595,T209)</f>
        <v/>
      </c>
      <c r="V209" s="76" t="n"/>
      <c r="W209" s="75">
        <f>SUMIFS($D$245:$D$595,$B$245:$B$595,V209)</f>
        <v/>
      </c>
      <c r="X209" s="76" t="n"/>
      <c r="Y209" s="75">
        <f>SUMIFS($D$245:$D$595,$B$245:$B$595,X209)</f>
        <v/>
      </c>
      <c r="Z209" s="76" t="n"/>
      <c r="AA209" s="75">
        <f>SUMIFS($D$245:$D$595,$B$245:$B$595,Z209)</f>
        <v/>
      </c>
      <c r="AB209" s="76" t="n"/>
      <c r="AC209" s="75">
        <f>SUMIFS($D$245:$D$595,$B$245:$B$595,AB209)</f>
        <v/>
      </c>
      <c r="AD209" s="76" t="n"/>
      <c r="AE209" s="75">
        <f>SUMIFS($D$245:$D$595,$B$245:$B$595,AD209)</f>
        <v/>
      </c>
      <c r="AF209" s="76" t="n"/>
    </row>
    <row r="210">
      <c r="A210" t="n">
        <v>53</v>
      </c>
      <c r="G210" s="15" t="inlineStr">
        <is>
          <t>N / LK</t>
        </is>
      </c>
      <c r="H210" s="74" t="n"/>
      <c r="I210" s="75">
        <f>IF(OR(LEFT(H210,6)="HVD302",LEFT(H210,6)="HVD303",LEFT(H210,6)="HVD304"),0,SUMIFS($D$245:$D$595,$B$245:$B$595,H210))</f>
        <v/>
      </c>
      <c r="J210" s="76" t="n"/>
      <c r="K210" s="75">
        <f>SUMIFS($D$245:$D$595,$B$245:$B$595,J210)</f>
        <v/>
      </c>
      <c r="L210" s="76" t="n"/>
      <c r="M210" s="75">
        <f>SUMIFS($D$245:$D$595,$B$245:$B$595,L210)</f>
        <v/>
      </c>
      <c r="N210" s="76" t="n"/>
      <c r="O210" s="75">
        <f>SUMIFS($D$245:$D$595,$B$245:$B$595,N210)</f>
        <v/>
      </c>
      <c r="P210" s="76" t="n"/>
      <c r="Q210" s="75">
        <f>SUMIFS($D$245:$D$595,$B$245:$B$595,P210)</f>
        <v/>
      </c>
      <c r="R210" s="76" t="n"/>
      <c r="S210" s="75">
        <f>SUMIFS($D$245:$D$595,$B$245:$B$595,R210)</f>
        <v/>
      </c>
      <c r="T210" s="76" t="n"/>
      <c r="U210" s="75">
        <f>SUMIFS($D$245:$D$595,$B$245:$B$595,T210)</f>
        <v/>
      </c>
      <c r="V210" s="76" t="n"/>
      <c r="W210" s="75">
        <f>SUMIFS($D$245:$D$595,$B$245:$B$595,V210)</f>
        <v/>
      </c>
      <c r="X210" s="76" t="n"/>
      <c r="Y210" s="75">
        <f>SUMIFS($D$245:$D$595,$B$245:$B$595,X210)</f>
        <v/>
      </c>
      <c r="Z210" s="76" t="n"/>
      <c r="AA210" s="75">
        <f>SUMIFS($D$245:$D$595,$B$245:$B$595,Z210)</f>
        <v/>
      </c>
      <c r="AB210" s="76" t="n"/>
      <c r="AC210" s="75">
        <f>SUMIFS($D$245:$D$595,$B$245:$B$595,AB210)</f>
        <v/>
      </c>
      <c r="AD210" s="76" t="n"/>
      <c r="AE210" s="75">
        <f>SUMIFS($D$245:$D$595,$B$245:$B$595,AD210)</f>
        <v/>
      </c>
      <c r="AF210" s="76" t="n"/>
    </row>
    <row r="211">
      <c r="A211" t="n">
        <v>54</v>
      </c>
      <c r="G211" s="15" t="inlineStr">
        <is>
          <t>N / LK</t>
        </is>
      </c>
      <c r="H211" s="74" t="n"/>
      <c r="I211" s="75">
        <f>IF(OR(LEFT(H211,6)="HVD302",LEFT(H211,6)="HVD303",LEFT(H211,6)="HVD304"),0,SUMIFS($D$245:$D$595,$B$245:$B$595,H211))</f>
        <v/>
      </c>
      <c r="J211" s="76" t="n"/>
      <c r="K211" s="75">
        <f>SUMIFS($D$245:$D$595,$B$245:$B$595,J211)</f>
        <v/>
      </c>
      <c r="L211" s="76" t="n"/>
      <c r="M211" s="75">
        <f>SUMIFS($D$245:$D$595,$B$245:$B$595,L211)</f>
        <v/>
      </c>
      <c r="N211" s="76" t="n"/>
      <c r="O211" s="75">
        <f>SUMIFS($D$245:$D$595,$B$245:$B$595,N211)</f>
        <v/>
      </c>
      <c r="P211" s="76" t="n"/>
      <c r="Q211" s="75">
        <f>SUMIFS($D$245:$D$595,$B$245:$B$595,P211)</f>
        <v/>
      </c>
      <c r="R211" s="76" t="n"/>
      <c r="S211" s="75">
        <f>SUMIFS($D$245:$D$595,$B$245:$B$595,R211)</f>
        <v/>
      </c>
      <c r="T211" s="76" t="n"/>
      <c r="U211" s="75">
        <f>SUMIFS($D$245:$D$595,$B$245:$B$595,T211)</f>
        <v/>
      </c>
      <c r="V211" s="76" t="n"/>
      <c r="W211" s="75">
        <f>SUMIFS($D$245:$D$595,$B$245:$B$595,V211)</f>
        <v/>
      </c>
      <c r="X211" s="76" t="n"/>
      <c r="Y211" s="75">
        <f>SUMIFS($D$245:$D$595,$B$245:$B$595,X211)</f>
        <v/>
      </c>
      <c r="Z211" s="76" t="n"/>
      <c r="AA211" s="75">
        <f>SUMIFS($D$245:$D$595,$B$245:$B$595,Z211)</f>
        <v/>
      </c>
      <c r="AB211" s="76" t="n"/>
      <c r="AC211" s="75">
        <f>SUMIFS($D$245:$D$595,$B$245:$B$595,AB211)</f>
        <v/>
      </c>
      <c r="AD211" s="76" t="n"/>
      <c r="AE211" s="75">
        <f>SUMIFS($D$245:$D$595,$B$245:$B$595,AD211)</f>
        <v/>
      </c>
      <c r="AF211" s="76" t="n"/>
    </row>
    <row r="212">
      <c r="A212" t="n">
        <v>55</v>
      </c>
      <c r="G212" s="15" t="inlineStr">
        <is>
          <t>N / LK</t>
        </is>
      </c>
      <c r="H212" s="74" t="n"/>
      <c r="I212" s="75">
        <f>IF(OR(LEFT(H212,6)="HVD302",LEFT(H212,6)="HVD303",LEFT(H212,6)="HVD304"),0,SUMIFS($D$245:$D$595,$B$245:$B$595,H212))</f>
        <v/>
      </c>
      <c r="J212" s="76" t="n"/>
      <c r="K212" s="75">
        <f>SUMIFS($D$245:$D$595,$B$245:$B$595,J212)</f>
        <v/>
      </c>
      <c r="L212" s="76" t="n"/>
      <c r="M212" s="75">
        <f>SUMIFS($D$245:$D$595,$B$245:$B$595,L212)</f>
        <v/>
      </c>
      <c r="N212" s="76" t="n"/>
      <c r="O212" s="75">
        <f>SUMIFS($D$245:$D$595,$B$245:$B$595,N212)</f>
        <v/>
      </c>
      <c r="P212" s="76" t="n"/>
      <c r="Q212" s="75">
        <f>SUMIFS($D$245:$D$595,$B$245:$B$595,P212)</f>
        <v/>
      </c>
      <c r="R212" s="76" t="n"/>
      <c r="S212" s="75">
        <f>SUMIFS($D$245:$D$595,$B$245:$B$595,R212)</f>
        <v/>
      </c>
      <c r="T212" s="76" t="n"/>
      <c r="U212" s="75">
        <f>SUMIFS($D$245:$D$595,$B$245:$B$595,T212)</f>
        <v/>
      </c>
      <c r="V212" s="76" t="n"/>
      <c r="W212" s="75">
        <f>SUMIFS($D$245:$D$595,$B$245:$B$595,V212)</f>
        <v/>
      </c>
      <c r="X212" s="76" t="n"/>
      <c r="Y212" s="75">
        <f>SUMIFS($D$245:$D$595,$B$245:$B$595,X212)</f>
        <v/>
      </c>
      <c r="Z212" s="76" t="n"/>
      <c r="AA212" s="75">
        <f>SUMIFS($D$245:$D$595,$B$245:$B$595,Z212)</f>
        <v/>
      </c>
      <c r="AB212" s="76" t="n"/>
      <c r="AC212" s="75">
        <f>SUMIFS($D$245:$D$595,$B$245:$B$595,AB212)</f>
        <v/>
      </c>
      <c r="AD212" s="76" t="n"/>
      <c r="AE212" s="75">
        <f>SUMIFS($D$245:$D$595,$B$245:$B$595,AD212)</f>
        <v/>
      </c>
      <c r="AF212" s="76" t="n"/>
    </row>
    <row r="213">
      <c r="A213" t="n">
        <v>56</v>
      </c>
      <c r="G213" s="15" t="inlineStr">
        <is>
          <t>N / LK</t>
        </is>
      </c>
      <c r="H213" s="74" t="n"/>
      <c r="I213" s="75">
        <f>IF(OR(LEFT(H213,6)="HVD302",LEFT(H213,6)="HVD303",LEFT(H213,6)="HVD304"),0,SUMIFS($D$245:$D$595,$B$245:$B$595,H213))</f>
        <v/>
      </c>
      <c r="J213" s="76" t="n"/>
      <c r="K213" s="75">
        <f>SUMIFS($D$245:$D$595,$B$245:$B$595,J213)</f>
        <v/>
      </c>
      <c r="L213" s="76" t="n"/>
      <c r="M213" s="75">
        <f>SUMIFS($D$245:$D$595,$B$245:$B$595,L213)</f>
        <v/>
      </c>
      <c r="N213" s="76" t="n"/>
      <c r="O213" s="75">
        <f>SUMIFS($D$245:$D$595,$B$245:$B$595,N213)</f>
        <v/>
      </c>
      <c r="P213" s="76" t="n"/>
      <c r="Q213" s="75">
        <f>SUMIFS($D$245:$D$595,$B$245:$B$595,P213)</f>
        <v/>
      </c>
      <c r="R213" s="76" t="n"/>
      <c r="S213" s="75">
        <f>SUMIFS($D$245:$D$595,$B$245:$B$595,R213)</f>
        <v/>
      </c>
      <c r="T213" s="76" t="n"/>
      <c r="U213" s="75">
        <f>SUMIFS($D$245:$D$595,$B$245:$B$595,T213)</f>
        <v/>
      </c>
      <c r="V213" s="76" t="n"/>
      <c r="W213" s="75">
        <f>SUMIFS($D$245:$D$595,$B$245:$B$595,V213)</f>
        <v/>
      </c>
      <c r="X213" s="76" t="n"/>
      <c r="Y213" s="75">
        <f>SUMIFS($D$245:$D$595,$B$245:$B$595,X213)</f>
        <v/>
      </c>
      <c r="Z213" s="76" t="n"/>
      <c r="AA213" s="75">
        <f>SUMIFS($D$245:$D$595,$B$245:$B$595,Z213)</f>
        <v/>
      </c>
      <c r="AB213" s="76" t="n"/>
      <c r="AC213" s="75">
        <f>SUMIFS($D$245:$D$595,$B$245:$B$595,AB213)</f>
        <v/>
      </c>
      <c r="AD213" s="76" t="n"/>
      <c r="AE213" s="75">
        <f>SUMIFS($D$245:$D$595,$B$245:$B$595,AD213)</f>
        <v/>
      </c>
      <c r="AF213" s="76" t="n"/>
    </row>
    <row r="214">
      <c r="A214" t="n">
        <v>57</v>
      </c>
      <c r="G214" s="15" t="inlineStr">
        <is>
          <t>N / LK</t>
        </is>
      </c>
      <c r="H214" s="74" t="n"/>
      <c r="I214" s="75">
        <f>IF(OR(LEFT(H214,6)="HVD302",LEFT(H214,6)="HVD303",LEFT(H214,6)="HVD304"),0,SUMIFS($D$245:$D$595,$B$245:$B$595,H214))</f>
        <v/>
      </c>
      <c r="J214" s="76" t="n"/>
      <c r="K214" s="75">
        <f>SUMIFS($D$245:$D$595,$B$245:$B$595,J214)</f>
        <v/>
      </c>
      <c r="L214" s="76" t="n"/>
      <c r="M214" s="75">
        <f>SUMIFS($D$245:$D$595,$B$245:$B$595,L214)</f>
        <v/>
      </c>
      <c r="N214" s="76" t="n"/>
      <c r="O214" s="75">
        <f>SUMIFS($D$245:$D$595,$B$245:$B$595,N214)</f>
        <v/>
      </c>
      <c r="P214" s="76" t="n"/>
      <c r="Q214" s="75">
        <f>SUMIFS($D$245:$D$595,$B$245:$B$595,P214)</f>
        <v/>
      </c>
      <c r="R214" s="76" t="n"/>
      <c r="S214" s="75">
        <f>SUMIFS($D$245:$D$595,$B$245:$B$595,R214)</f>
        <v/>
      </c>
      <c r="T214" s="76" t="n"/>
      <c r="U214" s="75">
        <f>SUMIFS($D$245:$D$595,$B$245:$B$595,T214)</f>
        <v/>
      </c>
      <c r="V214" s="76" t="n"/>
      <c r="W214" s="75">
        <f>SUMIFS($D$245:$D$595,$B$245:$B$595,V214)</f>
        <v/>
      </c>
      <c r="X214" s="76" t="n"/>
      <c r="Y214" s="75">
        <f>SUMIFS($D$245:$D$595,$B$245:$B$595,X214)</f>
        <v/>
      </c>
      <c r="Z214" s="76" t="n"/>
      <c r="AA214" s="75">
        <f>SUMIFS($D$245:$D$595,$B$245:$B$595,Z214)</f>
        <v/>
      </c>
      <c r="AB214" s="76" t="n"/>
      <c r="AC214" s="75">
        <f>SUMIFS($D$245:$D$595,$B$245:$B$595,AB214)</f>
        <v/>
      </c>
      <c r="AD214" s="76" t="n"/>
      <c r="AE214" s="75">
        <f>SUMIFS($D$245:$D$595,$B$245:$B$595,AD214)</f>
        <v/>
      </c>
      <c r="AF214" s="76" t="n"/>
    </row>
    <row r="215">
      <c r="A215" t="n">
        <v>58</v>
      </c>
      <c r="G215" s="15" t="inlineStr">
        <is>
          <t>N / LK</t>
        </is>
      </c>
      <c r="H215" s="74" t="n"/>
      <c r="I215" s="75">
        <f>IF(OR(LEFT(H215,6)="HVD302",LEFT(H215,6)="HVD303",LEFT(H215,6)="HVD304"),0,SUMIFS($D$245:$D$595,$B$245:$B$595,H215))</f>
        <v/>
      </c>
      <c r="J215" s="76" t="n"/>
      <c r="K215" s="75">
        <f>SUMIFS($D$245:$D$595,$B$245:$B$595,J215)</f>
        <v/>
      </c>
      <c r="L215" s="76" t="n"/>
      <c r="M215" s="75">
        <f>SUMIFS($D$245:$D$595,$B$245:$B$595,L215)</f>
        <v/>
      </c>
      <c r="N215" s="76" t="n"/>
      <c r="O215" s="75">
        <f>SUMIFS($D$245:$D$595,$B$245:$B$595,N215)</f>
        <v/>
      </c>
      <c r="P215" s="76" t="n"/>
      <c r="Q215" s="75">
        <f>SUMIFS($D$245:$D$595,$B$245:$B$595,P215)</f>
        <v/>
      </c>
      <c r="R215" s="76" t="n"/>
      <c r="S215" s="75">
        <f>SUMIFS($D$245:$D$595,$B$245:$B$595,R215)</f>
        <v/>
      </c>
      <c r="T215" s="76" t="n"/>
      <c r="U215" s="75">
        <f>SUMIFS($D$245:$D$595,$B$245:$B$595,T215)</f>
        <v/>
      </c>
      <c r="V215" s="76" t="n"/>
      <c r="W215" s="75">
        <f>SUMIFS($D$245:$D$595,$B$245:$B$595,V215)</f>
        <v/>
      </c>
      <c r="X215" s="76" t="n"/>
      <c r="Y215" s="75">
        <f>SUMIFS($D$245:$D$595,$B$245:$B$595,X215)</f>
        <v/>
      </c>
      <c r="Z215" s="76" t="n"/>
      <c r="AA215" s="75">
        <f>SUMIFS($D$245:$D$595,$B$245:$B$595,Z215)</f>
        <v/>
      </c>
      <c r="AB215" s="76" t="n"/>
      <c r="AC215" s="75">
        <f>SUMIFS($D$245:$D$595,$B$245:$B$595,AB215)</f>
        <v/>
      </c>
      <c r="AD215" s="76" t="n"/>
      <c r="AE215" s="75">
        <f>SUMIFS($D$245:$D$595,$B$245:$B$595,AD215)</f>
        <v/>
      </c>
      <c r="AF215" s="76" t="n"/>
    </row>
    <row r="216">
      <c r="A216" t="n">
        <v>59</v>
      </c>
      <c r="G216" s="15" t="inlineStr">
        <is>
          <t>N / LK</t>
        </is>
      </c>
      <c r="H216" s="74" t="n"/>
      <c r="I216" s="75">
        <f>IF(OR(LEFT(H216,6)="HVD302",LEFT(H216,6)="HVD303",LEFT(H216,6)="HVD304"),0,SUMIFS($D$245:$D$595,$B$245:$B$595,H216))</f>
        <v/>
      </c>
      <c r="J216" s="76" t="n"/>
      <c r="K216" s="75">
        <f>SUMIFS($D$245:$D$595,$B$245:$B$595,J216)</f>
        <v/>
      </c>
      <c r="L216" s="76" t="n"/>
      <c r="M216" s="75">
        <f>SUMIFS($D$245:$D$595,$B$245:$B$595,L216)</f>
        <v/>
      </c>
      <c r="N216" s="76" t="n"/>
      <c r="O216" s="75">
        <f>SUMIFS($D$245:$D$595,$B$245:$B$595,N216)</f>
        <v/>
      </c>
      <c r="P216" s="76" t="n"/>
      <c r="Q216" s="75">
        <f>SUMIFS($D$245:$D$595,$B$245:$B$595,P216)</f>
        <v/>
      </c>
      <c r="R216" s="76" t="n"/>
      <c r="S216" s="75">
        <f>SUMIFS($D$245:$D$595,$B$245:$B$595,R216)</f>
        <v/>
      </c>
      <c r="T216" s="76" t="n"/>
      <c r="U216" s="75">
        <f>SUMIFS($D$245:$D$595,$B$245:$B$595,T216)</f>
        <v/>
      </c>
      <c r="V216" s="76" t="n"/>
      <c r="W216" s="75">
        <f>SUMIFS($D$245:$D$595,$B$245:$B$595,V216)</f>
        <v/>
      </c>
      <c r="X216" s="76" t="n"/>
      <c r="Y216" s="75">
        <f>SUMIFS($D$245:$D$595,$B$245:$B$595,X216)</f>
        <v/>
      </c>
      <c r="Z216" s="76" t="n"/>
      <c r="AA216" s="75">
        <f>SUMIFS($D$245:$D$595,$B$245:$B$595,Z216)</f>
        <v/>
      </c>
      <c r="AB216" s="76" t="n"/>
      <c r="AC216" s="75">
        <f>SUMIFS($D$245:$D$595,$B$245:$B$595,AB216)</f>
        <v/>
      </c>
      <c r="AD216" s="76" t="n"/>
      <c r="AE216" s="75">
        <f>SUMIFS($D$245:$D$595,$B$245:$B$595,AD216)</f>
        <v/>
      </c>
      <c r="AF216" s="76" t="n"/>
    </row>
    <row r="217">
      <c r="A217" t="n">
        <v>60</v>
      </c>
      <c r="G217" s="15" t="inlineStr">
        <is>
          <t>N / LK</t>
        </is>
      </c>
      <c r="H217" s="74" t="n"/>
      <c r="I217" s="75">
        <f>IF(OR(LEFT(H217,6)="HVD302",LEFT(H217,6)="HVD303",LEFT(H217,6)="HVD304"),0,SUMIFS($D$245:$D$595,$B$245:$B$595,H217))</f>
        <v/>
      </c>
      <c r="J217" s="76" t="n"/>
      <c r="K217" s="75">
        <f>SUMIFS($D$245:$D$595,$B$245:$B$595,J217)</f>
        <v/>
      </c>
      <c r="L217" s="76" t="n"/>
      <c r="M217" s="75">
        <f>SUMIFS($D$245:$D$595,$B$245:$B$595,L217)</f>
        <v/>
      </c>
      <c r="N217" s="76" t="n"/>
      <c r="O217" s="75">
        <f>SUMIFS($D$245:$D$595,$B$245:$B$595,N217)</f>
        <v/>
      </c>
      <c r="P217" s="76" t="n"/>
      <c r="Q217" s="75">
        <f>SUMIFS($D$245:$D$595,$B$245:$B$595,P217)</f>
        <v/>
      </c>
      <c r="R217" s="76" t="n"/>
      <c r="S217" s="75">
        <f>SUMIFS($D$245:$D$595,$B$245:$B$595,R217)</f>
        <v/>
      </c>
      <c r="T217" s="76" t="n"/>
      <c r="U217" s="75">
        <f>SUMIFS($D$245:$D$595,$B$245:$B$595,T217)</f>
        <v/>
      </c>
      <c r="V217" s="76" t="n"/>
      <c r="W217" s="75">
        <f>SUMIFS($D$245:$D$595,$B$245:$B$595,V217)</f>
        <v/>
      </c>
      <c r="X217" s="76" t="n"/>
      <c r="Y217" s="75">
        <f>SUMIFS($D$245:$D$595,$B$245:$B$595,X217)</f>
        <v/>
      </c>
      <c r="Z217" s="76" t="n"/>
      <c r="AA217" s="75">
        <f>SUMIFS($D$245:$D$595,$B$245:$B$595,Z217)</f>
        <v/>
      </c>
      <c r="AB217" s="76" t="n"/>
      <c r="AC217" s="75">
        <f>SUMIFS($D$245:$D$595,$B$245:$B$595,AB217)</f>
        <v/>
      </c>
      <c r="AD217" s="76" t="n"/>
      <c r="AE217" s="75">
        <f>SUMIFS($D$245:$D$595,$B$245:$B$595,AD217)</f>
        <v/>
      </c>
      <c r="AF217" s="76" t="n"/>
    </row>
    <row r="218">
      <c r="A218" t="n">
        <v>61</v>
      </c>
      <c r="G218" s="15" t="inlineStr">
        <is>
          <t>N / LK</t>
        </is>
      </c>
      <c r="H218" s="74" t="n"/>
      <c r="I218" s="75">
        <f>IF(OR(LEFT(H218,6)="HVD302",LEFT(H218,6)="HVD303",LEFT(H218,6)="HVD304"),0,SUMIFS($D$245:$D$595,$B$245:$B$595,H218))</f>
        <v/>
      </c>
      <c r="J218" s="76" t="n"/>
      <c r="K218" s="75">
        <f>SUMIFS($D$245:$D$595,$B$245:$B$595,J218)</f>
        <v/>
      </c>
      <c r="L218" s="76" t="n"/>
      <c r="M218" s="75">
        <f>SUMIFS($D$245:$D$595,$B$245:$B$595,L218)</f>
        <v/>
      </c>
      <c r="N218" s="76" t="n"/>
      <c r="O218" s="75">
        <f>SUMIFS($D$245:$D$595,$B$245:$B$595,N218)</f>
        <v/>
      </c>
      <c r="P218" s="76" t="n"/>
      <c r="Q218" s="75">
        <f>SUMIFS($D$245:$D$595,$B$245:$B$595,P218)</f>
        <v/>
      </c>
      <c r="R218" s="76" t="n"/>
      <c r="S218" s="75">
        <f>SUMIFS($D$245:$D$595,$B$245:$B$595,R218)</f>
        <v/>
      </c>
      <c r="T218" s="76" t="n"/>
      <c r="U218" s="75">
        <f>SUMIFS($D$245:$D$595,$B$245:$B$595,T218)</f>
        <v/>
      </c>
      <c r="V218" s="76" t="n"/>
      <c r="W218" s="75">
        <f>SUMIFS($D$245:$D$595,$B$245:$B$595,V218)</f>
        <v/>
      </c>
      <c r="X218" s="76" t="n"/>
      <c r="Y218" s="75">
        <f>SUMIFS($D$245:$D$595,$B$245:$B$595,X218)</f>
        <v/>
      </c>
      <c r="Z218" s="76" t="n"/>
      <c r="AA218" s="75">
        <f>SUMIFS($D$245:$D$595,$B$245:$B$595,Z218)</f>
        <v/>
      </c>
      <c r="AB218" s="76" t="n"/>
      <c r="AC218" s="75">
        <f>SUMIFS($D$245:$D$595,$B$245:$B$595,AB218)</f>
        <v/>
      </c>
      <c r="AD218" s="76" t="n"/>
      <c r="AE218" s="75">
        <f>SUMIFS($D$245:$D$595,$B$245:$B$595,AD218)</f>
        <v/>
      </c>
      <c r="AF218" s="76" t="n"/>
    </row>
    <row r="219">
      <c r="A219" t="n">
        <v>62</v>
      </c>
      <c r="G219" s="15" t="inlineStr">
        <is>
          <t>N / LK</t>
        </is>
      </c>
      <c r="H219" s="74" t="n"/>
      <c r="I219" s="75">
        <f>IF(OR(LEFT(H219,6)="HVD302",LEFT(H219,6)="HVD303",LEFT(H219,6)="HVD304"),0,SUMIFS($D$245:$D$595,$B$245:$B$595,H219))</f>
        <v/>
      </c>
      <c r="J219" s="76" t="n"/>
      <c r="K219" s="75">
        <f>SUMIFS($D$245:$D$595,$B$245:$B$595,J219)</f>
        <v/>
      </c>
      <c r="L219" s="76" t="n"/>
      <c r="M219" s="75">
        <f>SUMIFS($D$245:$D$595,$B$245:$B$595,L219)</f>
        <v/>
      </c>
      <c r="N219" s="76" t="n"/>
      <c r="O219" s="75">
        <f>SUMIFS($D$245:$D$595,$B$245:$B$595,N219)</f>
        <v/>
      </c>
      <c r="P219" s="76" t="n"/>
      <c r="Q219" s="75">
        <f>SUMIFS($D$245:$D$595,$B$245:$B$595,P219)</f>
        <v/>
      </c>
      <c r="R219" s="76" t="n"/>
      <c r="S219" s="75">
        <f>SUMIFS($D$245:$D$595,$B$245:$B$595,R219)</f>
        <v/>
      </c>
      <c r="T219" s="76" t="n"/>
      <c r="U219" s="75">
        <f>SUMIFS($D$245:$D$595,$B$245:$B$595,T219)</f>
        <v/>
      </c>
      <c r="V219" s="76" t="n"/>
      <c r="W219" s="75">
        <f>SUMIFS($D$245:$D$595,$B$245:$B$595,V219)</f>
        <v/>
      </c>
      <c r="X219" s="76" t="n"/>
      <c r="Y219" s="75">
        <f>SUMIFS($D$245:$D$595,$B$245:$B$595,X219)</f>
        <v/>
      </c>
      <c r="Z219" s="76" t="n"/>
      <c r="AA219" s="75">
        <f>SUMIFS($D$245:$D$595,$B$245:$B$595,Z219)</f>
        <v/>
      </c>
      <c r="AB219" s="76" t="n"/>
      <c r="AC219" s="75">
        <f>SUMIFS($D$245:$D$595,$B$245:$B$595,AB219)</f>
        <v/>
      </c>
      <c r="AD219" s="76" t="n"/>
      <c r="AE219" s="75">
        <f>SUMIFS($D$245:$D$595,$B$245:$B$595,AD219)</f>
        <v/>
      </c>
      <c r="AF219" s="76" t="n"/>
    </row>
    <row r="220">
      <c r="A220" t="n">
        <v>63</v>
      </c>
      <c r="G220" s="15" t="inlineStr">
        <is>
          <t>N / LK</t>
        </is>
      </c>
      <c r="H220" s="74" t="n"/>
      <c r="I220" s="75">
        <f>IF(OR(LEFT(H220,6)="HVD302",LEFT(H220,6)="HVD303",LEFT(H220,6)="HVD304"),0,SUMIFS($D$245:$D$595,$B$245:$B$595,H220))</f>
        <v/>
      </c>
      <c r="J220" s="76" t="n"/>
      <c r="K220" s="75">
        <f>SUMIFS($D$245:$D$595,$B$245:$B$595,J220)</f>
        <v/>
      </c>
      <c r="L220" s="76" t="n"/>
      <c r="M220" s="75">
        <f>SUMIFS($D$245:$D$595,$B$245:$B$595,L220)</f>
        <v/>
      </c>
      <c r="N220" s="76" t="n"/>
      <c r="O220" s="75">
        <f>SUMIFS($D$245:$D$595,$B$245:$B$595,N220)</f>
        <v/>
      </c>
      <c r="P220" s="76" t="n"/>
      <c r="Q220" s="75">
        <f>SUMIFS($D$245:$D$595,$B$245:$B$595,P220)</f>
        <v/>
      </c>
      <c r="R220" s="76" t="n"/>
      <c r="S220" s="75">
        <f>SUMIFS($D$245:$D$595,$B$245:$B$595,R220)</f>
        <v/>
      </c>
      <c r="T220" s="76" t="n"/>
      <c r="U220" s="75">
        <f>SUMIFS($D$245:$D$595,$B$245:$B$595,T220)</f>
        <v/>
      </c>
      <c r="V220" s="76" t="n"/>
      <c r="W220" s="75">
        <f>SUMIFS($D$245:$D$595,$B$245:$B$595,V220)</f>
        <v/>
      </c>
      <c r="X220" s="76" t="n"/>
      <c r="Y220" s="75">
        <f>SUMIFS($D$245:$D$595,$B$245:$B$595,X220)</f>
        <v/>
      </c>
      <c r="Z220" s="76" t="n"/>
      <c r="AA220" s="75">
        <f>SUMIFS($D$245:$D$595,$B$245:$B$595,Z220)</f>
        <v/>
      </c>
      <c r="AB220" s="76" t="n"/>
      <c r="AC220" s="75">
        <f>SUMIFS($D$245:$D$595,$B$245:$B$595,AB220)</f>
        <v/>
      </c>
      <c r="AD220" s="76" t="n"/>
      <c r="AE220" s="75">
        <f>SUMIFS($D$245:$D$595,$B$245:$B$595,AD220)</f>
        <v/>
      </c>
      <c r="AF220" s="76" t="n"/>
    </row>
    <row r="221">
      <c r="A221" t="n">
        <v>64</v>
      </c>
      <c r="G221" s="15" t="inlineStr">
        <is>
          <t>N / LK</t>
        </is>
      </c>
      <c r="H221" s="74" t="n"/>
      <c r="I221" s="75">
        <f>IF(OR(LEFT(H221,6)="HVD302",LEFT(H221,6)="HVD303",LEFT(H221,6)="HVD304"),0,SUMIFS($D$245:$D$595,$B$245:$B$595,H221))</f>
        <v/>
      </c>
      <c r="J221" s="76" t="n"/>
      <c r="K221" s="75">
        <f>SUMIFS($D$245:$D$595,$B$245:$B$595,J221)</f>
        <v/>
      </c>
      <c r="L221" s="76" t="n"/>
      <c r="M221" s="75">
        <f>SUMIFS($D$245:$D$595,$B$245:$B$595,L221)</f>
        <v/>
      </c>
      <c r="N221" s="76" t="n"/>
      <c r="O221" s="75">
        <f>SUMIFS($D$245:$D$595,$B$245:$B$595,N221)</f>
        <v/>
      </c>
      <c r="P221" s="76" t="n"/>
      <c r="Q221" s="75">
        <f>SUMIFS($D$245:$D$595,$B$245:$B$595,P221)</f>
        <v/>
      </c>
      <c r="R221" s="76" t="n"/>
      <c r="S221" s="75">
        <f>SUMIFS($D$245:$D$595,$B$245:$B$595,R221)</f>
        <v/>
      </c>
      <c r="T221" s="76" t="n"/>
      <c r="U221" s="75">
        <f>SUMIFS($D$245:$D$595,$B$245:$B$595,T221)</f>
        <v/>
      </c>
      <c r="V221" s="76" t="n"/>
      <c r="W221" s="75">
        <f>SUMIFS($D$245:$D$595,$B$245:$B$595,V221)</f>
        <v/>
      </c>
      <c r="X221" s="76" t="n"/>
      <c r="Y221" s="75">
        <f>SUMIFS($D$245:$D$595,$B$245:$B$595,X221)</f>
        <v/>
      </c>
      <c r="Z221" s="76" t="n"/>
      <c r="AA221" s="75">
        <f>SUMIFS($D$245:$D$595,$B$245:$B$595,Z221)</f>
        <v/>
      </c>
      <c r="AB221" s="76" t="n"/>
      <c r="AC221" s="75">
        <f>SUMIFS($D$245:$D$595,$B$245:$B$595,AB221)</f>
        <v/>
      </c>
      <c r="AD221" s="76" t="n"/>
      <c r="AE221" s="75">
        <f>SUMIFS($D$245:$D$595,$B$245:$B$595,AD221)</f>
        <v/>
      </c>
      <c r="AF221" s="76" t="n"/>
    </row>
    <row r="222">
      <c r="A222" t="n">
        <v>65</v>
      </c>
      <c r="G222" s="15" t="inlineStr">
        <is>
          <t>N / LK</t>
        </is>
      </c>
      <c r="H222" s="74" t="n"/>
      <c r="I222" s="75">
        <f>IF(OR(LEFT(H222,6)="HVD302",LEFT(H222,6)="HVD303",LEFT(H222,6)="HVD304"),0,SUMIFS($D$245:$D$595,$B$245:$B$595,H222))</f>
        <v/>
      </c>
      <c r="J222" s="76" t="n"/>
      <c r="K222" s="75">
        <f>SUMIFS($D$245:$D$595,$B$245:$B$595,J222)</f>
        <v/>
      </c>
      <c r="L222" s="76" t="n"/>
      <c r="M222" s="75">
        <f>SUMIFS($D$245:$D$595,$B$245:$B$595,L222)</f>
        <v/>
      </c>
      <c r="N222" s="76" t="n"/>
      <c r="O222" s="75">
        <f>SUMIFS($D$245:$D$595,$B$245:$B$595,N222)</f>
        <v/>
      </c>
      <c r="P222" s="76" t="n"/>
      <c r="Q222" s="75">
        <f>SUMIFS($D$245:$D$595,$B$245:$B$595,P222)</f>
        <v/>
      </c>
      <c r="R222" s="76" t="n"/>
      <c r="S222" s="75">
        <f>SUMIFS($D$245:$D$595,$B$245:$B$595,R222)</f>
        <v/>
      </c>
      <c r="T222" s="76" t="n"/>
      <c r="U222" s="75">
        <f>SUMIFS($D$245:$D$595,$B$245:$B$595,T222)</f>
        <v/>
      </c>
      <c r="V222" s="76" t="n"/>
      <c r="W222" s="75">
        <f>SUMIFS($D$245:$D$595,$B$245:$B$595,V222)</f>
        <v/>
      </c>
      <c r="X222" s="76" t="n"/>
      <c r="Y222" s="75">
        <f>SUMIFS($D$245:$D$595,$B$245:$B$595,X222)</f>
        <v/>
      </c>
      <c r="Z222" s="76" t="n"/>
      <c r="AA222" s="75">
        <f>SUMIFS($D$245:$D$595,$B$245:$B$595,Z222)</f>
        <v/>
      </c>
      <c r="AB222" s="76" t="n"/>
      <c r="AC222" s="75">
        <f>SUMIFS($D$245:$D$595,$B$245:$B$595,AB222)</f>
        <v/>
      </c>
      <c r="AD222" s="76" t="n"/>
      <c r="AE222" s="75">
        <f>SUMIFS($D$245:$D$595,$B$245:$B$595,AD222)</f>
        <v/>
      </c>
      <c r="AF222" s="76" t="n"/>
    </row>
    <row r="223">
      <c r="A223" t="n">
        <v>66</v>
      </c>
      <c r="G223" s="15" t="inlineStr">
        <is>
          <t>N / LK</t>
        </is>
      </c>
      <c r="H223" s="74" t="n"/>
      <c r="I223" s="75">
        <f>IF(OR(LEFT(H223,6)="HVD302",LEFT(H223,6)="HVD303",LEFT(H223,6)="HVD304"),0,SUMIFS($D$245:$D$595,$B$245:$B$595,H223))</f>
        <v/>
      </c>
      <c r="J223" s="76" t="n"/>
      <c r="K223" s="75">
        <f>SUMIFS($D$245:$D$595,$B$245:$B$595,J223)</f>
        <v/>
      </c>
      <c r="L223" s="76" t="n"/>
      <c r="M223" s="75">
        <f>SUMIFS($D$245:$D$595,$B$245:$B$595,L223)</f>
        <v/>
      </c>
      <c r="N223" s="76" t="n"/>
      <c r="O223" s="75">
        <f>SUMIFS($D$245:$D$595,$B$245:$B$595,N223)</f>
        <v/>
      </c>
      <c r="P223" s="76" t="n"/>
      <c r="Q223" s="75">
        <f>SUMIFS($D$245:$D$595,$B$245:$B$595,P223)</f>
        <v/>
      </c>
      <c r="R223" s="76" t="n"/>
      <c r="S223" s="75">
        <f>SUMIFS($D$245:$D$595,$B$245:$B$595,R223)</f>
        <v/>
      </c>
      <c r="T223" s="76" t="n"/>
      <c r="U223" s="75">
        <f>SUMIFS($D$245:$D$595,$B$245:$B$595,T223)</f>
        <v/>
      </c>
      <c r="V223" s="76" t="n"/>
      <c r="W223" s="75">
        <f>SUMIFS($D$245:$D$595,$B$245:$B$595,V223)</f>
        <v/>
      </c>
      <c r="X223" s="76" t="n"/>
      <c r="Y223" s="75">
        <f>SUMIFS($D$245:$D$595,$B$245:$B$595,X223)</f>
        <v/>
      </c>
      <c r="Z223" s="76" t="n"/>
      <c r="AA223" s="75">
        <f>SUMIFS($D$245:$D$595,$B$245:$B$595,Z223)</f>
        <v/>
      </c>
      <c r="AB223" s="76" t="n"/>
      <c r="AC223" s="75">
        <f>SUMIFS($D$245:$D$595,$B$245:$B$595,AB223)</f>
        <v/>
      </c>
      <c r="AD223" s="76" t="n"/>
      <c r="AE223" s="75">
        <f>SUMIFS($D$245:$D$595,$B$245:$B$595,AD223)</f>
        <v/>
      </c>
      <c r="AF223" s="76" t="n"/>
    </row>
    <row r="224">
      <c r="A224" t="n">
        <v>67</v>
      </c>
      <c r="G224" s="15" t="inlineStr">
        <is>
          <t>N / LK</t>
        </is>
      </c>
      <c r="H224" s="74" t="n"/>
      <c r="I224" s="75">
        <f>IF(OR(LEFT(H224,6)="HVD302",LEFT(H224,6)="HVD303",LEFT(H224,6)="HVD304"),0,SUMIFS($D$245:$D$595,$B$245:$B$595,H224))</f>
        <v/>
      </c>
      <c r="J224" s="76" t="n"/>
      <c r="K224" s="75">
        <f>SUMIFS($D$245:$D$595,$B$245:$B$595,J224)</f>
        <v/>
      </c>
      <c r="L224" s="76" t="n"/>
      <c r="M224" s="75">
        <f>SUMIFS($D$245:$D$595,$B$245:$B$595,L224)</f>
        <v/>
      </c>
      <c r="N224" s="76" t="n"/>
      <c r="O224" s="75">
        <f>SUMIFS($D$245:$D$595,$B$245:$B$595,N224)</f>
        <v/>
      </c>
      <c r="P224" s="76" t="n"/>
      <c r="Q224" s="75">
        <f>SUMIFS($D$245:$D$595,$B$245:$B$595,P224)</f>
        <v/>
      </c>
      <c r="R224" s="76" t="n"/>
      <c r="S224" s="75">
        <f>SUMIFS($D$245:$D$595,$B$245:$B$595,R224)</f>
        <v/>
      </c>
      <c r="T224" s="76" t="n"/>
      <c r="U224" s="75">
        <f>SUMIFS($D$245:$D$595,$B$245:$B$595,T224)</f>
        <v/>
      </c>
      <c r="V224" s="76" t="n"/>
      <c r="W224" s="75">
        <f>SUMIFS($D$245:$D$595,$B$245:$B$595,V224)</f>
        <v/>
      </c>
      <c r="X224" s="76" t="n"/>
      <c r="Y224" s="75">
        <f>SUMIFS($D$245:$D$595,$B$245:$B$595,X224)</f>
        <v/>
      </c>
      <c r="Z224" s="76" t="n"/>
      <c r="AA224" s="75">
        <f>SUMIFS($D$245:$D$595,$B$245:$B$595,Z224)</f>
        <v/>
      </c>
      <c r="AB224" s="76" t="n"/>
      <c r="AC224" s="75">
        <f>SUMIFS($D$245:$D$595,$B$245:$B$595,AB224)</f>
        <v/>
      </c>
      <c r="AD224" s="76" t="n"/>
      <c r="AE224" s="75">
        <f>SUMIFS($D$245:$D$595,$B$245:$B$595,AD224)</f>
        <v/>
      </c>
      <c r="AF224" s="76" t="n"/>
    </row>
    <row r="225">
      <c r="A225" t="n">
        <v>68</v>
      </c>
      <c r="G225" s="15" t="inlineStr">
        <is>
          <t>N / LK</t>
        </is>
      </c>
      <c r="H225" s="74" t="n"/>
      <c r="I225" s="75">
        <f>IF(OR(LEFT(H225,6)="HVD302",LEFT(H225,6)="HVD303",LEFT(H225,6)="HVD304"),0,SUMIFS($D$245:$D$595,$B$245:$B$595,H225))</f>
        <v/>
      </c>
      <c r="J225" s="76" t="n"/>
      <c r="K225" s="75">
        <f>SUMIFS($D$245:$D$595,$B$245:$B$595,J225)</f>
        <v/>
      </c>
      <c r="L225" s="76" t="n"/>
      <c r="M225" s="75">
        <f>SUMIFS($D$245:$D$595,$B$245:$B$595,L225)</f>
        <v/>
      </c>
      <c r="N225" s="76" t="n"/>
      <c r="O225" s="75">
        <f>SUMIFS($D$245:$D$595,$B$245:$B$595,N225)</f>
        <v/>
      </c>
      <c r="P225" s="76" t="n"/>
      <c r="Q225" s="75">
        <f>SUMIFS($D$245:$D$595,$B$245:$B$595,P225)</f>
        <v/>
      </c>
      <c r="R225" s="76" t="n"/>
      <c r="S225" s="75">
        <f>SUMIFS($D$245:$D$595,$B$245:$B$595,R225)</f>
        <v/>
      </c>
      <c r="T225" s="76" t="n"/>
      <c r="U225" s="75">
        <f>SUMIFS($D$245:$D$595,$B$245:$B$595,T225)</f>
        <v/>
      </c>
      <c r="V225" s="76" t="n"/>
      <c r="W225" s="75">
        <f>SUMIFS($D$245:$D$595,$B$245:$B$595,V225)</f>
        <v/>
      </c>
      <c r="X225" s="76" t="n"/>
      <c r="Y225" s="75">
        <f>SUMIFS($D$245:$D$595,$B$245:$B$595,X225)</f>
        <v/>
      </c>
      <c r="Z225" s="76" t="n"/>
      <c r="AA225" s="75">
        <f>SUMIFS($D$245:$D$595,$B$245:$B$595,Z225)</f>
        <v/>
      </c>
      <c r="AB225" s="76" t="n"/>
      <c r="AC225" s="75">
        <f>SUMIFS($D$245:$D$595,$B$245:$B$595,AB225)</f>
        <v/>
      </c>
      <c r="AD225" s="76" t="n"/>
      <c r="AE225" s="75">
        <f>SUMIFS($D$245:$D$595,$B$245:$B$595,AD225)</f>
        <v/>
      </c>
      <c r="AF225" s="76" t="n"/>
    </row>
    <row r="226">
      <c r="A226" t="n">
        <v>69</v>
      </c>
      <c r="G226" s="15" t="inlineStr">
        <is>
          <t>N / LK</t>
        </is>
      </c>
      <c r="H226" s="74" t="n"/>
      <c r="I226" s="75">
        <f>IF(OR(LEFT(H226,6)="HVD302",LEFT(H226,6)="HVD303",LEFT(H226,6)="HVD304"),0,SUMIFS($D$245:$D$595,$B$245:$B$595,H226))</f>
        <v/>
      </c>
      <c r="J226" s="76" t="n"/>
      <c r="K226" s="75">
        <f>SUMIFS($D$245:$D$595,$B$245:$B$595,J226)</f>
        <v/>
      </c>
      <c r="L226" s="76" t="n"/>
      <c r="M226" s="75">
        <f>SUMIFS($D$245:$D$595,$B$245:$B$595,L226)</f>
        <v/>
      </c>
      <c r="N226" s="76" t="n"/>
      <c r="O226" s="75">
        <f>SUMIFS($D$245:$D$595,$B$245:$B$595,N226)</f>
        <v/>
      </c>
      <c r="P226" s="76" t="n"/>
      <c r="Q226" s="75">
        <f>SUMIFS($D$245:$D$595,$B$245:$B$595,P226)</f>
        <v/>
      </c>
      <c r="R226" s="76" t="n"/>
      <c r="S226" s="75">
        <f>SUMIFS($D$245:$D$595,$B$245:$B$595,R226)</f>
        <v/>
      </c>
      <c r="T226" s="76" t="n"/>
      <c r="U226" s="75">
        <f>SUMIFS($D$245:$D$595,$B$245:$B$595,T226)</f>
        <v/>
      </c>
      <c r="V226" s="76" t="n"/>
      <c r="W226" s="75">
        <f>SUMIFS($D$245:$D$595,$B$245:$B$595,V226)</f>
        <v/>
      </c>
      <c r="X226" s="76" t="n"/>
      <c r="Y226" s="75">
        <f>SUMIFS($D$245:$D$595,$B$245:$B$595,X226)</f>
        <v/>
      </c>
      <c r="Z226" s="76" t="n"/>
      <c r="AA226" s="75">
        <f>SUMIFS($D$245:$D$595,$B$245:$B$595,Z226)</f>
        <v/>
      </c>
      <c r="AB226" s="76" t="n"/>
      <c r="AC226" s="75">
        <f>SUMIFS($D$245:$D$595,$B$245:$B$595,AB226)</f>
        <v/>
      </c>
      <c r="AD226" s="76" t="n"/>
      <c r="AE226" s="75">
        <f>SUMIFS($D$245:$D$595,$B$245:$B$595,AD226)</f>
        <v/>
      </c>
      <c r="AF226" s="76" t="n"/>
    </row>
    <row r="227">
      <c r="A227" t="n">
        <v>70</v>
      </c>
      <c r="G227" s="15" t="inlineStr">
        <is>
          <t>N / LK</t>
        </is>
      </c>
      <c r="H227" s="74" t="n"/>
      <c r="I227" s="75">
        <f>IF(OR(LEFT(H227,6)="HVD302",LEFT(H227,6)="HVD303",LEFT(H227,6)="HVD304"),0,SUMIFS($D$245:$D$595,$B$245:$B$595,H227))</f>
        <v/>
      </c>
      <c r="J227" s="76" t="n"/>
      <c r="K227" s="75">
        <f>SUMIFS($D$245:$D$595,$B$245:$B$595,J227)</f>
        <v/>
      </c>
      <c r="L227" s="76" t="n"/>
      <c r="M227" s="75">
        <f>SUMIFS($D$245:$D$595,$B$245:$B$595,L227)</f>
        <v/>
      </c>
      <c r="N227" s="76" t="n"/>
      <c r="O227" s="75">
        <f>SUMIFS($D$245:$D$595,$B$245:$B$595,N227)</f>
        <v/>
      </c>
      <c r="P227" s="76" t="n"/>
      <c r="Q227" s="75">
        <f>SUMIFS($D$245:$D$595,$B$245:$B$595,P227)</f>
        <v/>
      </c>
      <c r="R227" s="76" t="n"/>
      <c r="S227" s="75">
        <f>SUMIFS($D$245:$D$595,$B$245:$B$595,R227)</f>
        <v/>
      </c>
      <c r="T227" s="76" t="n"/>
      <c r="U227" s="75">
        <f>SUMIFS($D$245:$D$595,$B$245:$B$595,T227)</f>
        <v/>
      </c>
      <c r="V227" s="76" t="n"/>
      <c r="W227" s="75">
        <f>SUMIFS($D$245:$D$595,$B$245:$B$595,V227)</f>
        <v/>
      </c>
      <c r="X227" s="76" t="n"/>
      <c r="Y227" s="75">
        <f>SUMIFS($D$245:$D$595,$B$245:$B$595,X227)</f>
        <v/>
      </c>
      <c r="Z227" s="76" t="n"/>
      <c r="AA227" s="75">
        <f>SUMIFS($D$245:$D$595,$B$245:$B$595,Z227)</f>
        <v/>
      </c>
      <c r="AB227" s="76" t="n"/>
      <c r="AC227" s="75">
        <f>SUMIFS($D$245:$D$595,$B$245:$B$595,AB227)</f>
        <v/>
      </c>
      <c r="AD227" s="76" t="n"/>
      <c r="AE227" s="75">
        <f>SUMIFS($D$245:$D$595,$B$245:$B$595,AD227)</f>
        <v/>
      </c>
      <c r="AF227" s="76" t="n"/>
    </row>
    <row r="228">
      <c r="A228" t="n">
        <v>71</v>
      </c>
      <c r="G228" s="15" t="inlineStr">
        <is>
          <t>N / LK</t>
        </is>
      </c>
      <c r="H228" s="74" t="n"/>
      <c r="I228" s="75">
        <f>IF(OR(LEFT(H228,6)="HVD302",LEFT(H228,6)="HVD303",LEFT(H228,6)="HVD304"),0,SUMIFS($D$245:$D$595,$B$245:$B$595,H228))</f>
        <v/>
      </c>
      <c r="J228" s="76" t="n"/>
      <c r="K228" s="75">
        <f>SUMIFS($D$245:$D$595,$B$245:$B$595,J228)</f>
        <v/>
      </c>
      <c r="L228" s="76" t="n"/>
      <c r="M228" s="75">
        <f>SUMIFS($D$245:$D$595,$B$245:$B$595,L228)</f>
        <v/>
      </c>
      <c r="N228" s="76" t="n"/>
      <c r="O228" s="75">
        <f>SUMIFS($D$245:$D$595,$B$245:$B$595,N228)</f>
        <v/>
      </c>
      <c r="P228" s="76" t="n"/>
      <c r="Q228" s="75">
        <f>SUMIFS($D$245:$D$595,$B$245:$B$595,P228)</f>
        <v/>
      </c>
      <c r="R228" s="76" t="n"/>
      <c r="S228" s="75">
        <f>SUMIFS($D$245:$D$595,$B$245:$B$595,R228)</f>
        <v/>
      </c>
      <c r="T228" s="76" t="n"/>
      <c r="U228" s="75">
        <f>SUMIFS($D$245:$D$595,$B$245:$B$595,T228)</f>
        <v/>
      </c>
      <c r="V228" s="76" t="n"/>
      <c r="W228" s="75">
        <f>SUMIFS($D$245:$D$595,$B$245:$B$595,V228)</f>
        <v/>
      </c>
      <c r="X228" s="76" t="n"/>
      <c r="Y228" s="75">
        <f>SUMIFS($D$245:$D$595,$B$245:$B$595,X228)</f>
        <v/>
      </c>
      <c r="Z228" s="76" t="n"/>
      <c r="AA228" s="75">
        <f>SUMIFS($D$245:$D$595,$B$245:$B$595,Z228)</f>
        <v/>
      </c>
      <c r="AB228" s="76" t="n"/>
      <c r="AC228" s="75">
        <f>SUMIFS($D$245:$D$595,$B$245:$B$595,AB228)</f>
        <v/>
      </c>
      <c r="AD228" s="76" t="n"/>
      <c r="AE228" s="75">
        <f>SUMIFS($D$245:$D$595,$B$245:$B$595,AD228)</f>
        <v/>
      </c>
      <c r="AF228" s="76" t="n"/>
    </row>
    <row r="229">
      <c r="A229" t="n">
        <v>72</v>
      </c>
      <c r="G229" s="15" t="inlineStr">
        <is>
          <t>N / LK</t>
        </is>
      </c>
      <c r="H229" s="74" t="n"/>
      <c r="I229" s="75">
        <f>IF(OR(LEFT(H229,6)="HVD302",LEFT(H229,6)="HVD303",LEFT(H229,6)="HVD304"),0,SUMIFS($D$245:$D$595,$B$245:$B$595,H229))</f>
        <v/>
      </c>
      <c r="J229" s="76" t="n"/>
      <c r="K229" s="75">
        <f>SUMIFS($D$245:$D$595,$B$245:$B$595,J229)</f>
        <v/>
      </c>
      <c r="L229" s="76" t="n"/>
      <c r="M229" s="75">
        <f>SUMIFS($D$245:$D$595,$B$245:$B$595,L229)</f>
        <v/>
      </c>
      <c r="N229" s="76" t="n"/>
      <c r="O229" s="75">
        <f>SUMIFS($D$245:$D$595,$B$245:$B$595,N229)</f>
        <v/>
      </c>
      <c r="P229" s="76" t="n"/>
      <c r="Q229" s="75">
        <f>SUMIFS($D$245:$D$595,$B$245:$B$595,P229)</f>
        <v/>
      </c>
      <c r="R229" s="76" t="n"/>
      <c r="S229" s="75">
        <f>SUMIFS($D$245:$D$595,$B$245:$B$595,R229)</f>
        <v/>
      </c>
      <c r="T229" s="76" t="n"/>
      <c r="U229" s="75">
        <f>SUMIFS($D$245:$D$595,$B$245:$B$595,T229)</f>
        <v/>
      </c>
      <c r="V229" s="76" t="n"/>
      <c r="W229" s="75">
        <f>SUMIFS($D$245:$D$595,$B$245:$B$595,V229)</f>
        <v/>
      </c>
      <c r="X229" s="76" t="n"/>
      <c r="Y229" s="75">
        <f>SUMIFS($D$245:$D$595,$B$245:$B$595,X229)</f>
        <v/>
      </c>
      <c r="Z229" s="76" t="n"/>
      <c r="AA229" s="75">
        <f>SUMIFS($D$245:$D$595,$B$245:$B$595,Z229)</f>
        <v/>
      </c>
      <c r="AB229" s="76" t="n"/>
      <c r="AC229" s="75">
        <f>SUMIFS($D$245:$D$595,$B$245:$B$595,AB229)</f>
        <v/>
      </c>
      <c r="AD229" s="76" t="n"/>
      <c r="AE229" s="75">
        <f>SUMIFS($D$245:$D$595,$B$245:$B$595,AD229)</f>
        <v/>
      </c>
      <c r="AF229" s="76" t="n"/>
    </row>
    <row r="230">
      <c r="A230" t="n">
        <v>73</v>
      </c>
      <c r="G230" s="15" t="inlineStr">
        <is>
          <t>N / LK</t>
        </is>
      </c>
      <c r="H230" s="74" t="n"/>
      <c r="I230" s="75">
        <f>IF(OR(LEFT(H230,6)="HVD302",LEFT(H230,6)="HVD303",LEFT(H230,6)="HVD304"),0,SUMIFS($D$245:$D$595,$B$245:$B$595,H230))</f>
        <v/>
      </c>
      <c r="J230" s="76" t="n"/>
      <c r="K230" s="75">
        <f>SUMIFS($D$245:$D$595,$B$245:$B$595,J230)</f>
        <v/>
      </c>
      <c r="L230" s="76" t="n"/>
      <c r="M230" s="75">
        <f>SUMIFS($D$245:$D$595,$B$245:$B$595,L230)</f>
        <v/>
      </c>
      <c r="N230" s="76" t="n"/>
      <c r="O230" s="75">
        <f>SUMIFS($D$245:$D$595,$B$245:$B$595,N230)</f>
        <v/>
      </c>
      <c r="P230" s="76" t="n"/>
      <c r="Q230" s="75">
        <f>SUMIFS($D$245:$D$595,$B$245:$B$595,P230)</f>
        <v/>
      </c>
      <c r="R230" s="76" t="n"/>
      <c r="S230" s="75">
        <f>SUMIFS($D$245:$D$595,$B$245:$B$595,R230)</f>
        <v/>
      </c>
      <c r="T230" s="76" t="n"/>
      <c r="U230" s="75">
        <f>SUMIFS($D$245:$D$595,$B$245:$B$595,T230)</f>
        <v/>
      </c>
      <c r="V230" s="76" t="n"/>
      <c r="W230" s="75">
        <f>SUMIFS($D$245:$D$595,$B$245:$B$595,V230)</f>
        <v/>
      </c>
      <c r="X230" s="76" t="n"/>
      <c r="Y230" s="75">
        <f>SUMIFS($D$245:$D$595,$B$245:$B$595,X230)</f>
        <v/>
      </c>
      <c r="Z230" s="76" t="n"/>
      <c r="AA230" s="75">
        <f>SUMIFS($D$245:$D$595,$B$245:$B$595,Z230)</f>
        <v/>
      </c>
      <c r="AB230" s="76" t="n"/>
      <c r="AC230" s="75">
        <f>SUMIFS($D$245:$D$595,$B$245:$B$595,AB230)</f>
        <v/>
      </c>
      <c r="AD230" s="76" t="n"/>
      <c r="AE230" s="75">
        <f>SUMIFS($D$245:$D$595,$B$245:$B$595,AD230)</f>
        <v/>
      </c>
      <c r="AF230" s="76" t="n"/>
    </row>
    <row r="231">
      <c r="A231" t="n">
        <v>74</v>
      </c>
      <c r="G231" s="15" t="inlineStr">
        <is>
          <t>N / LK</t>
        </is>
      </c>
      <c r="H231" s="74" t="n"/>
      <c r="I231" s="75">
        <f>IF(OR(LEFT(H231,6)="HVD302",LEFT(H231,6)="HVD303",LEFT(H231,6)="HVD304"),0,SUMIFS($D$245:$D$595,$B$245:$B$595,H231))</f>
        <v/>
      </c>
      <c r="J231" s="76" t="n"/>
      <c r="K231" s="75">
        <f>SUMIFS($D$245:$D$595,$B$245:$B$595,J231)</f>
        <v/>
      </c>
      <c r="L231" s="76" t="n"/>
      <c r="M231" s="75">
        <f>SUMIFS($D$245:$D$595,$B$245:$B$595,L231)</f>
        <v/>
      </c>
      <c r="N231" s="76" t="n"/>
      <c r="O231" s="75">
        <f>SUMIFS($D$245:$D$595,$B$245:$B$595,N231)</f>
        <v/>
      </c>
      <c r="P231" s="76" t="n"/>
      <c r="Q231" s="75">
        <f>SUMIFS($D$245:$D$595,$B$245:$B$595,P231)</f>
        <v/>
      </c>
      <c r="R231" s="76" t="n"/>
      <c r="S231" s="75">
        <f>SUMIFS($D$245:$D$595,$B$245:$B$595,R231)</f>
        <v/>
      </c>
      <c r="T231" s="76" t="n"/>
      <c r="U231" s="75">
        <f>SUMIFS($D$245:$D$595,$B$245:$B$595,T231)</f>
        <v/>
      </c>
      <c r="V231" s="76" t="n"/>
      <c r="W231" s="75">
        <f>SUMIFS($D$245:$D$595,$B$245:$B$595,V231)</f>
        <v/>
      </c>
      <c r="X231" s="76" t="n"/>
      <c r="Y231" s="75">
        <f>SUMIFS($D$245:$D$595,$B$245:$B$595,X231)</f>
        <v/>
      </c>
      <c r="Z231" s="76" t="n"/>
      <c r="AA231" s="75">
        <f>SUMIFS($D$245:$D$595,$B$245:$B$595,Z231)</f>
        <v/>
      </c>
      <c r="AB231" s="76" t="n"/>
      <c r="AC231" s="75">
        <f>SUMIFS($D$245:$D$595,$B$245:$B$595,AB231)</f>
        <v/>
      </c>
      <c r="AD231" s="76" t="n"/>
      <c r="AE231" s="75">
        <f>SUMIFS($D$245:$D$595,$B$245:$B$595,AD231)</f>
        <v/>
      </c>
      <c r="AF231" s="76" t="n"/>
    </row>
    <row r="232">
      <c r="A232" t="n">
        <v>75</v>
      </c>
      <c r="G232" s="15" t="inlineStr">
        <is>
          <t>N / LK</t>
        </is>
      </c>
      <c r="H232" s="74" t="n"/>
      <c r="I232" s="75">
        <f>IF(OR(LEFT(H232,6)="HVD302",LEFT(H232,6)="HVD303",LEFT(H232,6)="HVD304"),0,SUMIFS($D$245:$D$595,$B$245:$B$595,H232))</f>
        <v/>
      </c>
      <c r="J232" s="76" t="n"/>
      <c r="K232" s="75">
        <f>SUMIFS($D$245:$D$595,$B$245:$B$595,J232)</f>
        <v/>
      </c>
      <c r="L232" s="76" t="n"/>
      <c r="M232" s="75">
        <f>SUMIFS($D$245:$D$595,$B$245:$B$595,L232)</f>
        <v/>
      </c>
      <c r="N232" s="76" t="n"/>
      <c r="O232" s="75">
        <f>SUMIFS($D$245:$D$595,$B$245:$B$595,N232)</f>
        <v/>
      </c>
      <c r="P232" s="76" t="n"/>
      <c r="Q232" s="75">
        <f>SUMIFS($D$245:$D$595,$B$245:$B$595,P232)</f>
        <v/>
      </c>
      <c r="R232" s="76" t="n"/>
      <c r="S232" s="75">
        <f>SUMIFS($D$245:$D$595,$B$245:$B$595,R232)</f>
        <v/>
      </c>
      <c r="T232" s="76" t="n"/>
      <c r="U232" s="75">
        <f>SUMIFS($D$245:$D$595,$B$245:$B$595,T232)</f>
        <v/>
      </c>
      <c r="V232" s="76" t="n"/>
      <c r="W232" s="75">
        <f>SUMIFS($D$245:$D$595,$B$245:$B$595,V232)</f>
        <v/>
      </c>
      <c r="X232" s="76" t="n"/>
      <c r="Y232" s="75">
        <f>SUMIFS($D$245:$D$595,$B$245:$B$595,X232)</f>
        <v/>
      </c>
      <c r="Z232" s="76" t="n"/>
      <c r="AA232" s="75">
        <f>SUMIFS($D$245:$D$595,$B$245:$B$595,Z232)</f>
        <v/>
      </c>
      <c r="AB232" s="76" t="n"/>
      <c r="AC232" s="75">
        <f>SUMIFS($D$245:$D$595,$B$245:$B$595,AB232)</f>
        <v/>
      </c>
      <c r="AD232" s="76" t="n"/>
      <c r="AE232" s="75">
        <f>SUMIFS($D$245:$D$595,$B$245:$B$595,AD232)</f>
        <v/>
      </c>
      <c r="AF232" s="76" t="n"/>
    </row>
    <row r="233">
      <c r="A233" t="n">
        <v>76</v>
      </c>
      <c r="G233" s="15" t="inlineStr">
        <is>
          <t>N / LK</t>
        </is>
      </c>
      <c r="H233" s="74" t="n"/>
      <c r="I233" s="75">
        <f>IF(OR(LEFT(H233,6)="HVD302",LEFT(H233,6)="HVD303",LEFT(H233,6)="HVD304"),0,SUMIFS($D$245:$D$595,$B$245:$B$595,H233))</f>
        <v/>
      </c>
      <c r="J233" s="76" t="n"/>
      <c r="K233" s="75">
        <f>SUMIFS($D$245:$D$595,$B$245:$B$595,J233)</f>
        <v/>
      </c>
      <c r="L233" s="76" t="n"/>
      <c r="M233" s="75">
        <f>SUMIFS($D$245:$D$595,$B$245:$B$595,L233)</f>
        <v/>
      </c>
      <c r="N233" s="76" t="n"/>
      <c r="O233" s="75">
        <f>SUMIFS($D$245:$D$595,$B$245:$B$595,N233)</f>
        <v/>
      </c>
      <c r="P233" s="76" t="n"/>
      <c r="Q233" s="75">
        <f>SUMIFS($D$245:$D$595,$B$245:$B$595,P233)</f>
        <v/>
      </c>
      <c r="R233" s="76" t="n"/>
      <c r="S233" s="75">
        <f>SUMIFS($D$245:$D$595,$B$245:$B$595,R233)</f>
        <v/>
      </c>
      <c r="T233" s="76" t="n"/>
      <c r="U233" s="75">
        <f>SUMIFS($D$245:$D$595,$B$245:$B$595,T233)</f>
        <v/>
      </c>
      <c r="V233" s="76" t="n"/>
      <c r="W233" s="75">
        <f>SUMIFS($D$245:$D$595,$B$245:$B$595,V233)</f>
        <v/>
      </c>
      <c r="X233" s="76" t="n"/>
      <c r="Y233" s="75">
        <f>SUMIFS($D$245:$D$595,$B$245:$B$595,X233)</f>
        <v/>
      </c>
      <c r="Z233" s="76" t="n"/>
      <c r="AA233" s="75">
        <f>SUMIFS($D$245:$D$595,$B$245:$B$595,Z233)</f>
        <v/>
      </c>
      <c r="AB233" s="76" t="n"/>
      <c r="AC233" s="75">
        <f>SUMIFS($D$245:$D$595,$B$245:$B$595,AB233)</f>
        <v/>
      </c>
      <c r="AD233" s="76" t="n"/>
      <c r="AE233" s="75">
        <f>SUMIFS($D$245:$D$595,$B$245:$B$595,AD233)</f>
        <v/>
      </c>
      <c r="AF233" s="76" t="n"/>
    </row>
    <row r="234">
      <c r="A234" t="n">
        <v>77</v>
      </c>
      <c r="G234" s="15" t="inlineStr">
        <is>
          <t>N / LK</t>
        </is>
      </c>
      <c r="H234" s="74" t="n"/>
      <c r="I234" s="75">
        <f>IF(OR(LEFT(H234,6)="HVD302",LEFT(H234,6)="HVD303",LEFT(H234,6)="HVD304"),0,SUMIFS($D$245:$D$595,$B$245:$B$595,H234))</f>
        <v/>
      </c>
      <c r="J234" s="76" t="n"/>
      <c r="K234" s="75">
        <f>SUMIFS($D$245:$D$595,$B$245:$B$595,J234)</f>
        <v/>
      </c>
      <c r="L234" s="76" t="n"/>
      <c r="M234" s="75">
        <f>SUMIFS($D$245:$D$595,$B$245:$B$595,L234)</f>
        <v/>
      </c>
      <c r="N234" s="76" t="n"/>
      <c r="O234" s="75">
        <f>SUMIFS($D$245:$D$595,$B$245:$B$595,N234)</f>
        <v/>
      </c>
      <c r="P234" s="76" t="n"/>
      <c r="Q234" s="75">
        <f>SUMIFS($D$245:$D$595,$B$245:$B$595,P234)</f>
        <v/>
      </c>
      <c r="R234" s="76" t="n"/>
      <c r="S234" s="75">
        <f>SUMIFS($D$245:$D$595,$B$245:$B$595,R234)</f>
        <v/>
      </c>
      <c r="T234" s="76" t="n"/>
      <c r="U234" s="75">
        <f>SUMIFS($D$245:$D$595,$B$245:$B$595,T234)</f>
        <v/>
      </c>
      <c r="V234" s="76" t="n"/>
      <c r="W234" s="75">
        <f>SUMIFS($D$245:$D$595,$B$245:$B$595,V234)</f>
        <v/>
      </c>
      <c r="X234" s="76" t="n"/>
      <c r="Y234" s="75">
        <f>SUMIFS($D$245:$D$595,$B$245:$B$595,X234)</f>
        <v/>
      </c>
      <c r="Z234" s="76" t="n"/>
      <c r="AA234" s="75">
        <f>SUMIFS($D$245:$D$595,$B$245:$B$595,Z234)</f>
        <v/>
      </c>
      <c r="AB234" s="76" t="n"/>
      <c r="AC234" s="75">
        <f>SUMIFS($D$245:$D$595,$B$245:$B$595,AB234)</f>
        <v/>
      </c>
      <c r="AD234" s="76" t="n"/>
      <c r="AE234" s="75">
        <f>SUMIFS($D$245:$D$595,$B$245:$B$595,AD234)</f>
        <v/>
      </c>
      <c r="AF234" s="76" t="n"/>
    </row>
    <row r="235">
      <c r="A235" t="n">
        <v>78</v>
      </c>
      <c r="G235" s="15" t="inlineStr">
        <is>
          <t>N / LK</t>
        </is>
      </c>
      <c r="H235" s="74" t="n"/>
      <c r="I235" s="75">
        <f>IF(OR(LEFT(H235,6)="HVD302",LEFT(H235,6)="HVD303",LEFT(H235,6)="HVD304"),0,SUMIFS($D$245:$D$595,$B$245:$B$595,H235))</f>
        <v/>
      </c>
      <c r="J235" s="76" t="n"/>
      <c r="K235" s="75">
        <f>SUMIFS($D$245:$D$595,$B$245:$B$595,J235)</f>
        <v/>
      </c>
      <c r="L235" s="76" t="n"/>
      <c r="M235" s="75">
        <f>SUMIFS($D$245:$D$595,$B$245:$B$595,L235)</f>
        <v/>
      </c>
      <c r="N235" s="76" t="n"/>
      <c r="O235" s="75">
        <f>SUMIFS($D$245:$D$595,$B$245:$B$595,N235)</f>
        <v/>
      </c>
      <c r="P235" s="76" t="n"/>
      <c r="Q235" s="75">
        <f>SUMIFS($D$245:$D$595,$B$245:$B$595,P235)</f>
        <v/>
      </c>
      <c r="R235" s="76" t="n"/>
      <c r="S235" s="75">
        <f>SUMIFS($D$245:$D$595,$B$245:$B$595,R235)</f>
        <v/>
      </c>
      <c r="T235" s="76" t="n"/>
      <c r="U235" s="75">
        <f>SUMIFS($D$245:$D$595,$B$245:$B$595,T235)</f>
        <v/>
      </c>
      <c r="V235" s="76" t="n"/>
      <c r="W235" s="75">
        <f>SUMIFS($D$245:$D$595,$B$245:$B$595,V235)</f>
        <v/>
      </c>
      <c r="X235" s="76" t="n"/>
      <c r="Y235" s="75">
        <f>SUMIFS($D$245:$D$595,$B$245:$B$595,X235)</f>
        <v/>
      </c>
      <c r="Z235" s="76" t="n"/>
      <c r="AA235" s="75">
        <f>SUMIFS($D$245:$D$595,$B$245:$B$595,Z235)</f>
        <v/>
      </c>
      <c r="AB235" s="76" t="n"/>
      <c r="AC235" s="75">
        <f>SUMIFS($D$245:$D$595,$B$245:$B$595,AB235)</f>
        <v/>
      </c>
      <c r="AD235" s="76" t="n"/>
      <c r="AE235" s="75">
        <f>SUMIFS($D$245:$D$595,$B$245:$B$595,AD235)</f>
        <v/>
      </c>
      <c r="AF235" s="76" t="n"/>
    </row>
    <row r="236">
      <c r="A236" t="n">
        <v>79</v>
      </c>
      <c r="G236" s="15" t="inlineStr">
        <is>
          <t>N / LK</t>
        </is>
      </c>
      <c r="H236" s="74" t="n"/>
      <c r="I236" s="75">
        <f>IF(OR(LEFT(H236,6)="HVD302",LEFT(H236,6)="HVD303",LEFT(H236,6)="HVD304"),0,SUMIFS($D$245:$D$595,$B$245:$B$595,H236))</f>
        <v/>
      </c>
      <c r="J236" s="76" t="n"/>
      <c r="K236" s="75">
        <f>SUMIFS($D$245:$D$595,$B$245:$B$595,J236)</f>
        <v/>
      </c>
      <c r="L236" s="76" t="n"/>
      <c r="M236" s="75">
        <f>SUMIFS($D$245:$D$595,$B$245:$B$595,L236)</f>
        <v/>
      </c>
      <c r="N236" s="76" t="n"/>
      <c r="O236" s="75">
        <f>SUMIFS($D$245:$D$595,$B$245:$B$595,N236)</f>
        <v/>
      </c>
      <c r="P236" s="76" t="n"/>
      <c r="Q236" s="75">
        <f>SUMIFS($D$245:$D$595,$B$245:$B$595,P236)</f>
        <v/>
      </c>
      <c r="R236" s="76" t="n"/>
      <c r="S236" s="75">
        <f>SUMIFS($D$245:$D$595,$B$245:$B$595,R236)</f>
        <v/>
      </c>
      <c r="T236" s="76" t="n"/>
      <c r="U236" s="75">
        <f>SUMIFS($D$245:$D$595,$B$245:$B$595,T236)</f>
        <v/>
      </c>
      <c r="V236" s="76" t="n"/>
      <c r="W236" s="75">
        <f>SUMIFS($D$245:$D$595,$B$245:$B$595,V236)</f>
        <v/>
      </c>
      <c r="X236" s="76" t="n"/>
      <c r="Y236" s="75">
        <f>SUMIFS($D$245:$D$595,$B$245:$B$595,X236)</f>
        <v/>
      </c>
      <c r="Z236" s="76" t="n"/>
      <c r="AA236" s="75">
        <f>SUMIFS($D$245:$D$595,$B$245:$B$595,Z236)</f>
        <v/>
      </c>
      <c r="AB236" s="76" t="n"/>
      <c r="AC236" s="75">
        <f>SUMIFS($D$245:$D$595,$B$245:$B$595,AB236)</f>
        <v/>
      </c>
      <c r="AD236" s="76" t="n"/>
      <c r="AE236" s="75">
        <f>SUMIFS($D$245:$D$595,$B$245:$B$595,AD236)</f>
        <v/>
      </c>
      <c r="AF236" s="76" t="n"/>
    </row>
    <row r="237">
      <c r="A237" t="n">
        <v>80</v>
      </c>
      <c r="G237" s="15" t="inlineStr">
        <is>
          <t>N / LK</t>
        </is>
      </c>
      <c r="H237" s="74" t="n"/>
      <c r="I237" s="75">
        <f>IF(OR(LEFT(H237,6)="HVD302",LEFT(H237,6)="HVD303",LEFT(H237,6)="HVD304"),0,SUMIFS($D$245:$D$595,$B$245:$B$595,H237))</f>
        <v/>
      </c>
      <c r="J237" s="76" t="n"/>
      <c r="K237" s="75">
        <f>SUMIFS($D$245:$D$595,$B$245:$B$595,J237)</f>
        <v/>
      </c>
      <c r="L237" s="76" t="n"/>
      <c r="M237" s="75">
        <f>SUMIFS($D$245:$D$595,$B$245:$B$595,L237)</f>
        <v/>
      </c>
      <c r="N237" s="76" t="n"/>
      <c r="O237" s="75">
        <f>SUMIFS($D$245:$D$595,$B$245:$B$595,N237)</f>
        <v/>
      </c>
      <c r="P237" s="76" t="n"/>
      <c r="Q237" s="75">
        <f>SUMIFS($D$245:$D$595,$B$245:$B$595,P237)</f>
        <v/>
      </c>
      <c r="R237" s="76" t="n"/>
      <c r="S237" s="75">
        <f>SUMIFS($D$245:$D$595,$B$245:$B$595,R237)</f>
        <v/>
      </c>
      <c r="T237" s="76" t="n"/>
      <c r="U237" s="75">
        <f>SUMIFS($D$245:$D$595,$B$245:$B$595,T237)</f>
        <v/>
      </c>
      <c r="V237" s="76" t="n"/>
      <c r="W237" s="75">
        <f>SUMIFS($D$245:$D$595,$B$245:$B$595,V237)</f>
        <v/>
      </c>
      <c r="X237" s="76" t="n"/>
      <c r="Y237" s="75">
        <f>SUMIFS($D$245:$D$595,$B$245:$B$595,X237)</f>
        <v/>
      </c>
      <c r="Z237" s="76" t="n"/>
      <c r="AA237" s="75">
        <f>SUMIFS($D$245:$D$595,$B$245:$B$595,Z237)</f>
        <v/>
      </c>
      <c r="AB237" s="76" t="n"/>
      <c r="AC237" s="75">
        <f>SUMIFS($D$245:$D$595,$B$245:$B$595,AB237)</f>
        <v/>
      </c>
      <c r="AD237" s="76" t="n"/>
      <c r="AE237" s="75">
        <f>SUMIFS($D$245:$D$595,$B$245:$B$595,AD237)</f>
        <v/>
      </c>
      <c r="AF237" s="76" t="n"/>
    </row>
    <row r="238">
      <c r="A238" t="n">
        <v>81</v>
      </c>
      <c r="G238" s="15" t="inlineStr">
        <is>
          <t>N / LK</t>
        </is>
      </c>
      <c r="H238" s="74" t="n"/>
      <c r="I238" s="75">
        <f>IF(OR(LEFT(H238,6)="HVD302",LEFT(H238,6)="HVD303",LEFT(H238,6)="HVD304"),0,SUMIFS($D$245:$D$595,$B$245:$B$595,H238))</f>
        <v/>
      </c>
      <c r="J238" s="76" t="n"/>
      <c r="K238" s="75">
        <f>SUMIFS($D$245:$D$595,$B$245:$B$595,J238)</f>
        <v/>
      </c>
      <c r="L238" s="76" t="n"/>
      <c r="M238" s="75">
        <f>SUMIFS($D$245:$D$595,$B$245:$B$595,L238)</f>
        <v/>
      </c>
      <c r="N238" s="76" t="n"/>
      <c r="O238" s="75">
        <f>SUMIFS($D$245:$D$595,$B$245:$B$595,N238)</f>
        <v/>
      </c>
      <c r="P238" s="76" t="n"/>
      <c r="Q238" s="75">
        <f>SUMIFS($D$245:$D$595,$B$245:$B$595,P238)</f>
        <v/>
      </c>
      <c r="R238" s="76" t="n"/>
      <c r="S238" s="75">
        <f>SUMIFS($D$245:$D$595,$B$245:$B$595,R238)</f>
        <v/>
      </c>
      <c r="T238" s="76" t="n"/>
      <c r="U238" s="75">
        <f>SUMIFS($D$245:$D$595,$B$245:$B$595,T238)</f>
        <v/>
      </c>
      <c r="V238" s="76" t="n"/>
      <c r="W238" s="75">
        <f>SUMIFS($D$245:$D$595,$B$245:$B$595,V238)</f>
        <v/>
      </c>
      <c r="X238" s="76" t="n"/>
      <c r="Y238" s="75">
        <f>SUMIFS($D$245:$D$595,$B$245:$B$595,X238)</f>
        <v/>
      </c>
      <c r="Z238" s="76" t="n"/>
      <c r="AA238" s="75">
        <f>SUMIFS($D$245:$D$595,$B$245:$B$595,Z238)</f>
        <v/>
      </c>
      <c r="AB238" s="76" t="n"/>
      <c r="AC238" s="75">
        <f>SUMIFS($D$245:$D$595,$B$245:$B$595,AB238)</f>
        <v/>
      </c>
      <c r="AD238" s="76" t="n"/>
      <c r="AE238" s="75">
        <f>SUMIFS($D$245:$D$595,$B$245:$B$595,AD238)</f>
        <v/>
      </c>
      <c r="AF238" s="76" t="n"/>
    </row>
    <row r="239">
      <c r="A239" t="n">
        <v>82</v>
      </c>
      <c r="G239" s="15" t="inlineStr">
        <is>
          <t>N / LK</t>
        </is>
      </c>
      <c r="H239" s="74" t="n"/>
      <c r="I239" s="75">
        <f>IF(OR(LEFT(H239,6)="HVD302",LEFT(H239,6)="HVD303",LEFT(H239,6)="HVD304"),0,SUMIFS($D$245:$D$595,$B$245:$B$595,H239))</f>
        <v/>
      </c>
      <c r="J239" s="76" t="n"/>
      <c r="K239" s="75">
        <f>SUMIFS($D$245:$D$595,$B$245:$B$595,J239)</f>
        <v/>
      </c>
      <c r="L239" s="76" t="n"/>
      <c r="M239" s="75">
        <f>SUMIFS($D$245:$D$595,$B$245:$B$595,L239)</f>
        <v/>
      </c>
      <c r="N239" s="76" t="n"/>
      <c r="O239" s="75">
        <f>SUMIFS($D$245:$D$595,$B$245:$B$595,N239)</f>
        <v/>
      </c>
      <c r="P239" s="76" t="n"/>
      <c r="Q239" s="75">
        <f>SUMIFS($D$245:$D$595,$B$245:$B$595,P239)</f>
        <v/>
      </c>
      <c r="R239" s="76" t="n"/>
      <c r="S239" s="75">
        <f>SUMIFS($D$245:$D$595,$B$245:$B$595,R239)</f>
        <v/>
      </c>
      <c r="T239" s="76" t="n"/>
      <c r="U239" s="75">
        <f>SUMIFS($D$245:$D$595,$B$245:$B$595,T239)</f>
        <v/>
      </c>
      <c r="V239" s="76" t="n"/>
      <c r="W239" s="75">
        <f>SUMIFS($D$245:$D$595,$B$245:$B$595,V239)</f>
        <v/>
      </c>
      <c r="X239" s="76" t="n"/>
      <c r="Y239" s="75">
        <f>SUMIFS($D$245:$D$595,$B$245:$B$595,X239)</f>
        <v/>
      </c>
      <c r="Z239" s="76" t="n"/>
      <c r="AA239" s="75">
        <f>SUMIFS($D$245:$D$595,$B$245:$B$595,Z239)</f>
        <v/>
      </c>
      <c r="AB239" s="76" t="n"/>
      <c r="AC239" s="75">
        <f>SUMIFS($D$245:$D$595,$B$245:$B$595,AB239)</f>
        <v/>
      </c>
      <c r="AD239" s="76" t="n"/>
      <c r="AE239" s="75">
        <f>SUMIFS($D$245:$D$595,$B$245:$B$595,AD239)</f>
        <v/>
      </c>
      <c r="AF239" s="76" t="n"/>
    </row>
    <row r="240">
      <c r="A240" t="n">
        <v>83</v>
      </c>
      <c r="G240" s="15" t="inlineStr">
        <is>
          <t>N / LK</t>
        </is>
      </c>
      <c r="H240" s="74" t="n"/>
      <c r="I240" s="75">
        <f>IF(OR(LEFT(H240,6)="HVD302",LEFT(H240,6)="HVD303",LEFT(H240,6)="HVD304"),0,SUMIFS($D$245:$D$595,$B$245:$B$595,H240))</f>
        <v/>
      </c>
      <c r="J240" s="76" t="n"/>
      <c r="K240" s="75">
        <f>SUMIFS($D$245:$D$595,$B$245:$B$595,J240)</f>
        <v/>
      </c>
      <c r="L240" s="76" t="n"/>
      <c r="M240" s="75">
        <f>SUMIFS($D$245:$D$595,$B$245:$B$595,L240)</f>
        <v/>
      </c>
      <c r="N240" s="76" t="n"/>
      <c r="O240" s="75">
        <f>SUMIFS($D$245:$D$595,$B$245:$B$595,N240)</f>
        <v/>
      </c>
      <c r="P240" s="76" t="n"/>
      <c r="Q240" s="75">
        <f>SUMIFS($D$245:$D$595,$B$245:$B$595,P240)</f>
        <v/>
      </c>
      <c r="R240" s="76" t="n"/>
      <c r="S240" s="75">
        <f>SUMIFS($D$245:$D$595,$B$245:$B$595,R240)</f>
        <v/>
      </c>
      <c r="T240" s="76" t="n"/>
      <c r="U240" s="75">
        <f>SUMIFS($D$245:$D$595,$B$245:$B$595,T240)</f>
        <v/>
      </c>
      <c r="V240" s="76" t="n"/>
      <c r="W240" s="75">
        <f>SUMIFS($D$245:$D$595,$B$245:$B$595,V240)</f>
        <v/>
      </c>
      <c r="X240" s="76" t="n"/>
      <c r="Y240" s="75">
        <f>SUMIFS($D$245:$D$595,$B$245:$B$595,X240)</f>
        <v/>
      </c>
      <c r="Z240" s="76" t="n"/>
      <c r="AA240" s="75">
        <f>SUMIFS($D$245:$D$595,$B$245:$B$595,Z240)</f>
        <v/>
      </c>
      <c r="AB240" s="76" t="n"/>
      <c r="AC240" s="75">
        <f>SUMIFS($D$245:$D$595,$B$245:$B$595,AB240)</f>
        <v/>
      </c>
      <c r="AD240" s="76" t="n"/>
      <c r="AE240" s="75">
        <f>SUMIFS($D$245:$D$595,$B$245:$B$595,AD240)</f>
        <v/>
      </c>
      <c r="AF240" s="76" t="n"/>
    </row>
    <row r="241">
      <c r="A241" t="n">
        <v>84</v>
      </c>
      <c r="G241" s="15" t="inlineStr">
        <is>
          <t>N / LK</t>
        </is>
      </c>
      <c r="H241" s="74" t="n"/>
    </row>
    <row r="242">
      <c r="A242" t="inlineStr"/>
    </row>
    <row r="243">
      <c r="A243" t="inlineStr"/>
    </row>
    <row r="244">
      <c r="A244" s="14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</row>
    <row r="245">
      <c r="A245" s="14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24">
        <f>_xlfn.UNIQUE(_xlfn.FILTER(E243:E593,(F243:F593=0)))</f>
        <v/>
      </c>
      <c r="I245" s="26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77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77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77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77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77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77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77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77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77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77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77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</row>
    <row r="246">
      <c r="A246" s="14">
        <f>mid(E246, 3, 1)</f>
        <v/>
      </c>
      <c r="B246" s="14" t="inlineStr"/>
      <c r="C246" s="19">
        <f>SUMIFS('Investor Exit List'!$AC:$AC,'Investor Exit List'!$AB:$AB,B246)</f>
        <v/>
      </c>
      <c r="D246" s="14">
        <f>SUMIFS('Investor Exit List'!$Q:$Q,'Investor Exit List'!$AB:$AB,B246)</f>
        <v/>
      </c>
      <c r="E246" s="29">
        <f>LEFT(B246,6)</f>
        <v/>
      </c>
      <c r="F246" s="14">
        <f>IF(SUMIFS($E$119:$E$151,$D$119:$D$151,E246)&lt;&gt;0,E246,0)</f>
        <v/>
      </c>
      <c r="G246" s="24" t="n"/>
      <c r="I246" s="26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77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77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77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77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77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77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77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77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77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77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77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</row>
    <row r="247">
      <c r="A247" s="14">
        <f>mid(E247, 3, 1)</f>
        <v/>
      </c>
      <c r="B247" s="14" t="inlineStr"/>
      <c r="C247" s="19">
        <f>SUMIFS('Investor Exit List'!$AC:$AC,'Investor Exit List'!$AB:$AB,B247)</f>
        <v/>
      </c>
      <c r="D247" s="14">
        <f>SUMIFS('Investor Exit List'!$Q:$Q,'Investor Exit List'!$AB:$AB,B247)</f>
        <v/>
      </c>
      <c r="E247" s="29">
        <f>LEFT(B247,6)</f>
        <v/>
      </c>
      <c r="F247" s="14">
        <f>IF(SUMIFS($E$119:$E$151,$D$119:$D$151,E247)&lt;&gt;0,E247,0)</f>
        <v/>
      </c>
      <c r="G247" s="24" t="n"/>
      <c r="I247" s="26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77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77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77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77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77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77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77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77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77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77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77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</row>
    <row r="248">
      <c r="A248" s="14">
        <f>mid(E248, 3, 1)</f>
        <v/>
      </c>
      <c r="B248" s="14" t="inlineStr"/>
      <c r="C248" s="19">
        <f>SUMIFS('Investor Exit List'!$AC:$AC,'Investor Exit List'!$AB:$AB,B248)</f>
        <v/>
      </c>
      <c r="D248" s="14">
        <f>SUMIFS('Investor Exit List'!$Q:$Q,'Investor Exit List'!$AB:$AB,B248)</f>
        <v/>
      </c>
      <c r="E248" s="29">
        <f>LEFT(B248,6)</f>
        <v/>
      </c>
      <c r="F248" s="14">
        <f>IF(SUMIFS($E$119:$E$151,$D$119:$D$151,E248)&lt;&gt;0,E248,0)</f>
        <v/>
      </c>
      <c r="G248" s="24" t="n"/>
      <c r="I248" s="26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77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77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77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77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77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77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77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77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77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77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77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</row>
    <row r="249">
      <c r="A249" s="14">
        <f>mid(E249, 3, 1)</f>
        <v/>
      </c>
      <c r="B249" s="14" t="inlineStr"/>
      <c r="C249" s="19">
        <f>SUMIFS('Investor Exit List'!$AC:$AC,'Investor Exit List'!$AB:$AB,B249)</f>
        <v/>
      </c>
      <c r="D249" s="14">
        <f>SUMIFS('Investor Exit List'!$Q:$Q,'Investor Exit List'!$AB:$AB,B249)</f>
        <v/>
      </c>
      <c r="E249" s="29">
        <f>LEFT(B249,6)</f>
        <v/>
      </c>
      <c r="F249" s="14">
        <f>IF(SUMIFS($E$119:$E$151,$D$119:$D$151,E249)&lt;&gt;0,E249,0)</f>
        <v/>
      </c>
      <c r="G249" s="24" t="n"/>
      <c r="I249" s="26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77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77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77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77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77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77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77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77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77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77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77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</row>
    <row r="250">
      <c r="A250" s="14">
        <f>mid(E250, 3, 1)</f>
        <v/>
      </c>
      <c r="B250" s="14" t="inlineStr"/>
      <c r="C250" s="19">
        <f>SUMIFS('Investor Exit List'!$AC:$AC,'Investor Exit List'!$AB:$AB,B250)</f>
        <v/>
      </c>
      <c r="D250" s="14">
        <f>SUMIFS('Investor Exit List'!$Q:$Q,'Investor Exit List'!$AB:$AB,B250)</f>
        <v/>
      </c>
      <c r="E250" s="29">
        <f>LEFT(B250,6)</f>
        <v/>
      </c>
      <c r="F250" s="14">
        <f>IF(SUMIFS($E$119:$E$151,$D$119:$D$151,E250)&lt;&gt;0,E250,0)</f>
        <v/>
      </c>
      <c r="G250" s="24" t="n"/>
      <c r="I250" s="26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77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77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77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77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77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77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77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77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77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77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77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</row>
    <row r="251">
      <c r="A251" s="14">
        <f>mid(E251, 3, 1)</f>
        <v/>
      </c>
      <c r="B251" s="14" t="inlineStr"/>
      <c r="C251" s="19">
        <f>SUMIFS('Investor Exit List'!$AC:$AC,'Investor Exit List'!$AB:$AB,B251)</f>
        <v/>
      </c>
      <c r="D251" s="14">
        <f>SUMIFS('Investor Exit List'!$Q:$Q,'Investor Exit List'!$AB:$AB,B251)</f>
        <v/>
      </c>
      <c r="E251" s="29">
        <f>LEFT(B251,6)</f>
        <v/>
      </c>
      <c r="F251" s="14">
        <f>IF(SUMIFS($E$119:$E$151,$D$119:$D$151,E251)&lt;&gt;0,E251,0)</f>
        <v/>
      </c>
      <c r="G251" s="24" t="n"/>
      <c r="I251" s="26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77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77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77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77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77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77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77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77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77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77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77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</row>
    <row r="252">
      <c r="A252" s="14">
        <f>mid(E252, 3, 1)</f>
        <v/>
      </c>
      <c r="B252" s="14" t="inlineStr"/>
      <c r="C252" s="19">
        <f>SUMIFS('Investor Exit List'!$AC:$AC,'Investor Exit List'!$AB:$AB,B252)</f>
        <v/>
      </c>
      <c r="D252" s="14">
        <f>SUMIFS('Investor Exit List'!$Q:$Q,'Investor Exit List'!$AB:$AB,B252)</f>
        <v/>
      </c>
      <c r="E252" s="29">
        <f>LEFT(B252,6)</f>
        <v/>
      </c>
      <c r="F252" s="14">
        <f>IF(SUMIFS($E$119:$E$151,$D$119:$D$151,E252)&lt;&gt;0,E252,0)</f>
        <v/>
      </c>
      <c r="G252" s="24" t="n"/>
      <c r="I252" s="26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77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77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77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77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77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77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77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77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77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77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77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</row>
    <row r="253">
      <c r="A253" s="14">
        <f>mid(E253, 3, 1)</f>
        <v/>
      </c>
      <c r="B253" s="14" t="inlineStr"/>
      <c r="C253" s="19">
        <f>SUMIFS('Investor Exit List'!$AC:$AC,'Investor Exit List'!$AB:$AB,B253)</f>
        <v/>
      </c>
      <c r="D253" s="14">
        <f>SUMIFS('Investor Exit List'!$Q:$Q,'Investor Exit List'!$AB:$AB,B253)</f>
        <v/>
      </c>
      <c r="E253" s="29">
        <f>LEFT(B253,6)</f>
        <v/>
      </c>
      <c r="F253" s="14">
        <f>IF(SUMIFS($E$119:$E$151,$D$119:$D$151,E253)&lt;&gt;0,E253,0)</f>
        <v/>
      </c>
      <c r="G253" s="24" t="n"/>
      <c r="I253" s="26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77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77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77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77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77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77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77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77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77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77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77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</row>
    <row r="254">
      <c r="A254" s="14">
        <f>mid(E254, 3, 1)</f>
        <v/>
      </c>
      <c r="B254" s="14" t="inlineStr"/>
      <c r="C254" s="19">
        <f>SUMIFS('Investor Exit List'!$AC:$AC,'Investor Exit List'!$AB:$AB,B254)</f>
        <v/>
      </c>
      <c r="D254" s="14">
        <f>SUMIFS('Investor Exit List'!$Q:$Q,'Investor Exit List'!$AB:$AB,B254)</f>
        <v/>
      </c>
      <c r="E254" s="29">
        <f>LEFT(B254,6)</f>
        <v/>
      </c>
      <c r="F254" s="14">
        <f>IF(SUMIFS($E$119:$E$151,$D$119:$D$151,E254)&lt;&gt;0,E254,0)</f>
        <v/>
      </c>
      <c r="G254" s="24" t="n"/>
      <c r="I254" s="26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77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77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77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77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77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77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77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77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77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77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77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</row>
    <row r="255">
      <c r="A255" s="14">
        <f>mid(E255, 3, 1)</f>
        <v/>
      </c>
      <c r="B255" s="14" t="inlineStr"/>
      <c r="C255" s="19">
        <f>SUMIFS('Investor Exit List'!$AC:$AC,'Investor Exit List'!$AB:$AB,B255)</f>
        <v/>
      </c>
      <c r="D255" s="14">
        <f>SUMIFS('Investor Exit List'!$Q:$Q,'Investor Exit List'!$AB:$AB,B255)</f>
        <v/>
      </c>
      <c r="E255" s="29">
        <f>LEFT(B255,6)</f>
        <v/>
      </c>
      <c r="F255" s="14">
        <f>IF(SUMIFS($E$119:$E$151,$D$119:$D$151,E255)&lt;&gt;0,E255,0)</f>
        <v/>
      </c>
      <c r="G255" s="24" t="n"/>
      <c r="I255" s="26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77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77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77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77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77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77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77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77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77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77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77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29">
        <f>LEFT(B256,6)</f>
        <v/>
      </c>
      <c r="F256" s="14">
        <f>IF(SUMIFS($E$119:$E$151,$D$119:$D$151,E256)&lt;&gt;0,E256,0)</f>
        <v/>
      </c>
      <c r="G256" s="24" t="n"/>
      <c r="I256" s="26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77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77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77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77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77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77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77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77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77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77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77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29">
        <f>LEFT(B257,6)</f>
        <v/>
      </c>
      <c r="F257" s="14">
        <f>IF(SUMIFS($E$119:$E$151,$D$119:$D$151,E257)&lt;&gt;0,E257,0)</f>
        <v/>
      </c>
      <c r="G257" s="24" t="n"/>
      <c r="I257" s="26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77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77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77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77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77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77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77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77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77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77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77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29">
        <f>LEFT(B258,6)</f>
        <v/>
      </c>
      <c r="F258" s="14">
        <f>IF(SUMIFS($E$119:$E$151,$D$119:$D$151,E258)&lt;&gt;0,E258,0)</f>
        <v/>
      </c>
      <c r="G258" s="24" t="n"/>
      <c r="I258" s="26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77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77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77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77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77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77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77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77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77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77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77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29">
        <f>LEFT(B259,6)</f>
        <v/>
      </c>
      <c r="F259" s="14">
        <f>IF(SUMIFS($E$119:$E$151,$D$119:$D$151,E259)&lt;&gt;0,E259,0)</f>
        <v/>
      </c>
      <c r="G259" s="24" t="n"/>
      <c r="I259" s="26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77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77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77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77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77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77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77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77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77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77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77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29">
        <f>LEFT(B260,6)</f>
        <v/>
      </c>
      <c r="F260" s="14">
        <f>IF(SUMIFS($E$119:$E$151,$D$119:$D$151,E260)&lt;&gt;0,E260,0)</f>
        <v/>
      </c>
      <c r="G260" s="24" t="n"/>
      <c r="I260" s="26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77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77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77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77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77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77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77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77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77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77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77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29">
        <f>LEFT(B261,6)</f>
        <v/>
      </c>
      <c r="F261" s="14">
        <f>IF(SUMIFS($E$119:$E$151,$D$119:$D$151,E261)&lt;&gt;0,E261,0)</f>
        <v/>
      </c>
      <c r="G261" s="24" t="n"/>
      <c r="I261" s="26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77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77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77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77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77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77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77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77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77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77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77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29">
        <f>LEFT(B262,6)</f>
        <v/>
      </c>
      <c r="F262" s="14">
        <f>IF(SUMIFS($E$119:$E$151,$D$119:$D$151,E262)&lt;&gt;0,E262,0)</f>
        <v/>
      </c>
      <c r="G262" s="24" t="n"/>
      <c r="I262" s="26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77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77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77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77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77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77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77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77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77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77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77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29">
        <f>LEFT(B263,6)</f>
        <v/>
      </c>
      <c r="F263" s="14">
        <f>IF(SUMIFS($E$119:$E$151,$D$119:$D$151,E263)&lt;&gt;0,E263,0)</f>
        <v/>
      </c>
      <c r="G263" s="24" t="n"/>
      <c r="I263" s="26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77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77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77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77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77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77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77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77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77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77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77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29">
        <f>LEFT(B264,6)</f>
        <v/>
      </c>
      <c r="F264" s="14">
        <f>IF(SUMIFS($E$119:$E$151,$D$119:$D$151,E264)&lt;&gt;0,E264,0)</f>
        <v/>
      </c>
      <c r="G264" s="24" t="n"/>
      <c r="I264" s="26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77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77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77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77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77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77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77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77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77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77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77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29">
        <f>LEFT(B265,6)</f>
        <v/>
      </c>
      <c r="F265" s="14">
        <f>IF(SUMIFS($E$119:$E$151,$D$119:$D$151,E265)&lt;&gt;0,E265,0)</f>
        <v/>
      </c>
      <c r="G265" s="24" t="n"/>
      <c r="I265" s="26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77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77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77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77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77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77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77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77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77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77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77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29">
        <f>LEFT(B266,6)</f>
        <v/>
      </c>
      <c r="F266" s="14">
        <f>IF(SUMIFS($E$119:$E$151,$D$119:$D$151,E266)&lt;&gt;0,E266,0)</f>
        <v/>
      </c>
      <c r="G266" s="24" t="n"/>
      <c r="I266" s="26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77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77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77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77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77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77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77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77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77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77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77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29">
        <f>LEFT(B267,6)</f>
        <v/>
      </c>
      <c r="F267" s="14">
        <f>IF(SUMIFS($E$119:$E$151,$D$119:$D$151,E267)&lt;&gt;0,E267,0)</f>
        <v/>
      </c>
      <c r="G267" s="24" t="n"/>
      <c r="I267" s="26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77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77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77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77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77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77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77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77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77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77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77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29">
        <f>LEFT(B268,6)</f>
        <v/>
      </c>
      <c r="F268" s="14">
        <f>IF(SUMIFS($E$119:$E$151,$D$119:$D$151,E268)&lt;&gt;0,E268,0)</f>
        <v/>
      </c>
      <c r="G268" s="24" t="n"/>
      <c r="I268" s="26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77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77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77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77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77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77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77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77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77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77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77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29">
        <f>LEFT(B269,6)</f>
        <v/>
      </c>
      <c r="F269" s="14">
        <f>IF(SUMIFS($E$119:$E$151,$D$119:$D$151,E269)&lt;&gt;0,E269,0)</f>
        <v/>
      </c>
      <c r="G269" s="24" t="n"/>
      <c r="I269" s="26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77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77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77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77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77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77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77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77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77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77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77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29">
        <f>LEFT(B270,6)</f>
        <v/>
      </c>
      <c r="F270" s="14">
        <f>IF(SUMIFS($E$119:$E$151,$D$119:$D$151,E270)&lt;&gt;0,E270,0)</f>
        <v/>
      </c>
      <c r="G270" s="24" t="n"/>
      <c r="I270" s="26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77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77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77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77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77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77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77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77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77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77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77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29">
        <f>LEFT(B271,6)</f>
        <v/>
      </c>
      <c r="F271" s="14">
        <f>IF(SUMIFS($E$119:$E$151,$D$119:$D$151,E271)&lt;&gt;0,E271,0)</f>
        <v/>
      </c>
      <c r="G271" s="24" t="n"/>
      <c r="I271" s="26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77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77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77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77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77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77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77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77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77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77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77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29">
        <f>LEFT(B272,6)</f>
        <v/>
      </c>
      <c r="F272" s="14">
        <f>IF(SUMIFS($E$119:$E$151,$D$119:$D$151,E272)&lt;&gt;0,E272,0)</f>
        <v/>
      </c>
      <c r="G272" s="24" t="n"/>
      <c r="I272" s="26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77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77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77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77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77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77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77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77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77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77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77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29">
        <f>LEFT(B273,6)</f>
        <v/>
      </c>
      <c r="F273" s="14">
        <f>IF(SUMIFS($E$119:$E$151,$D$119:$D$151,E273)&lt;&gt;0,E273,0)</f>
        <v/>
      </c>
      <c r="G273" s="24" t="n"/>
      <c r="I273" s="26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77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77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77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77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77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77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77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77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77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77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77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29">
        <f>LEFT(B274,6)</f>
        <v/>
      </c>
      <c r="F274" s="14">
        <f>IF(SUMIFS($E$119:$E$151,$D$119:$D$151,E274)&lt;&gt;0,E274,0)</f>
        <v/>
      </c>
      <c r="G274" s="24" t="n"/>
      <c r="I274" s="26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77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77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77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77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77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77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77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77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77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77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77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29">
        <f>LEFT(B275,6)</f>
        <v/>
      </c>
      <c r="F275" s="14">
        <f>IF(SUMIFS($E$119:$E$151,$D$119:$D$151,E275)&lt;&gt;0,E275,0)</f>
        <v/>
      </c>
      <c r="G275" s="24" t="n"/>
      <c r="I275" s="26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77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77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77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77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77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77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77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77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77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77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77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29">
        <f>LEFT(B276,6)</f>
        <v/>
      </c>
      <c r="F276" s="14">
        <f>IF(SUMIFS($E$119:$E$151,$D$119:$D$151,E276)&lt;&gt;0,E276,0)</f>
        <v/>
      </c>
      <c r="G276" s="24" t="n"/>
      <c r="I276" s="26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77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77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77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77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77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77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77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77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77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77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77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29">
        <f>LEFT(B277,6)</f>
        <v/>
      </c>
      <c r="F277" s="14">
        <f>IF(SUMIFS($E$119:$E$151,$D$119:$D$151,E277)&lt;&gt;0,E277,0)</f>
        <v/>
      </c>
      <c r="G277" s="24" t="n"/>
      <c r="I277" s="26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77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77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77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77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77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77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77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77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77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77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77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29">
        <f>LEFT(B278,6)</f>
        <v/>
      </c>
      <c r="F278" s="14">
        <f>IF(SUMIFS($E$119:$E$151,$D$119:$D$151,E278)&lt;&gt;0,E278,0)</f>
        <v/>
      </c>
      <c r="G278" s="24" t="n"/>
      <c r="I278" s="26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77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77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77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77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77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77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77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77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77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77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77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29">
        <f>LEFT(B279,6)</f>
        <v/>
      </c>
      <c r="F279" s="14">
        <f>IF(SUMIFS($E$119:$E$151,$D$119:$D$151,E279)&lt;&gt;0,E279,0)</f>
        <v/>
      </c>
      <c r="G279" s="24" t="n"/>
      <c r="I279" s="26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77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77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77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77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77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77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77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77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77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77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77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29">
        <f>LEFT(B280,6)</f>
        <v/>
      </c>
      <c r="F280" s="14">
        <f>IF(SUMIFS($E$119:$E$151,$D$119:$D$151,E280)&lt;&gt;0,E280,0)</f>
        <v/>
      </c>
      <c r="G280" s="24" t="n"/>
      <c r="I280" s="26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77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77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77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77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77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77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77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77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77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77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77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29">
        <f>LEFT(B281,6)</f>
        <v/>
      </c>
      <c r="F281" s="14">
        <f>IF(SUMIFS($E$119:$E$151,$D$119:$D$151,E281)&lt;&gt;0,E281,0)</f>
        <v/>
      </c>
      <c r="G281" s="24" t="n"/>
      <c r="I281" s="26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77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77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77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77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77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77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77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77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77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77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77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29">
        <f>LEFT(B282,6)</f>
        <v/>
      </c>
      <c r="F282" s="14">
        <f>IF(SUMIFS($E$119:$E$151,$D$119:$D$151,E282)&lt;&gt;0,E282,0)</f>
        <v/>
      </c>
      <c r="G282" s="24" t="n"/>
      <c r="I282" s="26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77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77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77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77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77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77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77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77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77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77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77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29">
        <f>LEFT(B283,6)</f>
        <v/>
      </c>
      <c r="F283" s="14">
        <f>IF(SUMIFS($E$119:$E$151,$D$119:$D$151,E283)&lt;&gt;0,E283,0)</f>
        <v/>
      </c>
      <c r="G283" s="24" t="n"/>
      <c r="I283" s="26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77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77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77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77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77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77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77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77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77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77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77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29">
        <f>LEFT(B284,6)</f>
        <v/>
      </c>
      <c r="F284" s="14">
        <f>IF(SUMIFS($E$119:$E$151,$D$119:$D$151,E284)&lt;&gt;0,E284,0)</f>
        <v/>
      </c>
      <c r="G284" s="24" t="n"/>
      <c r="I284" s="26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77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77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77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77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77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77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77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77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77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77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77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29">
        <f>LEFT(B285,6)</f>
        <v/>
      </c>
      <c r="F285" s="14">
        <f>IF(SUMIFS($E$119:$E$151,$D$119:$D$151,E285)&lt;&gt;0,E285,0)</f>
        <v/>
      </c>
      <c r="G285" s="24" t="n"/>
      <c r="I285" s="26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77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77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77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77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77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77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77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77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77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77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77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29">
        <f>LEFT(B286,6)</f>
        <v/>
      </c>
      <c r="F286" s="14">
        <f>IF(SUMIFS($E$119:$E$151,$D$119:$D$151,E286)&lt;&gt;0,E286,0)</f>
        <v/>
      </c>
      <c r="G286" s="24" t="n"/>
      <c r="I286" s="26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77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77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77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77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77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77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77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77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77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77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77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29">
        <f>LEFT(B287,6)</f>
        <v/>
      </c>
      <c r="F287" s="14">
        <f>IF(SUMIFS($E$119:$E$151,$D$119:$D$151,E287)&lt;&gt;0,E287,0)</f>
        <v/>
      </c>
      <c r="G287" s="24" t="n"/>
      <c r="I287" s="26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77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77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77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77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77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77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77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77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77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77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77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29">
        <f>LEFT(B288,6)</f>
        <v/>
      </c>
      <c r="F288" s="14">
        <f>IF(SUMIFS($E$119:$E$151,$D$119:$D$151,E288)&lt;&gt;0,E288,0)</f>
        <v/>
      </c>
      <c r="G288" s="24" t="n"/>
      <c r="I288" s="26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77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77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77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77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77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77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77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77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77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77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77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29">
        <f>LEFT(B289,6)</f>
        <v/>
      </c>
      <c r="F289" s="14">
        <f>IF(SUMIFS($E$119:$E$151,$D$119:$D$151,E289)&lt;&gt;0,E289,0)</f>
        <v/>
      </c>
      <c r="G289" s="24" t="n"/>
      <c r="I289" s="26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77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77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77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77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77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77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77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77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77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77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77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29">
        <f>LEFT(B290,6)</f>
        <v/>
      </c>
      <c r="F290" s="14">
        <f>IF(SUMIFS($E$119:$E$151,$D$119:$D$151,E290)&lt;&gt;0,E290,0)</f>
        <v/>
      </c>
      <c r="G290" s="24" t="n"/>
      <c r="I290" s="26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77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77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77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77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77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77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77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77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77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77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77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29">
        <f>LEFT(B291,6)</f>
        <v/>
      </c>
      <c r="F291" s="14">
        <f>IF(SUMIFS($E$119:$E$151,$D$119:$D$151,E291)&lt;&gt;0,E291,0)</f>
        <v/>
      </c>
      <c r="G291" s="24" t="n"/>
      <c r="I291" s="26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77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77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77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77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77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77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77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77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77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77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77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29">
        <f>LEFT(B292,6)</f>
        <v/>
      </c>
      <c r="F292" s="14">
        <f>IF(SUMIFS($E$119:$E$151,$D$119:$D$151,E292)&lt;&gt;0,E292,0)</f>
        <v/>
      </c>
      <c r="G292" s="24" t="n"/>
      <c r="I292" s="26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77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77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77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77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77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77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77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77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77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77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77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29">
        <f>LEFT(B293,6)</f>
        <v/>
      </c>
      <c r="F293" s="14">
        <f>IF(SUMIFS($E$119:$E$151,$D$119:$D$151,E293)&lt;&gt;0,E293,0)</f>
        <v/>
      </c>
      <c r="G293" s="24" t="n"/>
      <c r="I293" s="26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77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77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77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77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77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77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77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77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77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77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77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29">
        <f>LEFT(B294,6)</f>
        <v/>
      </c>
      <c r="F294" s="14">
        <f>IF(SUMIFS($E$119:$E$151,$D$119:$D$151,E294)&lt;&gt;0,E294,0)</f>
        <v/>
      </c>
      <c r="G294" s="24" t="n"/>
      <c r="I294" s="26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77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77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77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77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77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77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77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77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77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77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77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29">
        <f>LEFT(B295,6)</f>
        <v/>
      </c>
      <c r="F295" s="14">
        <f>IF(SUMIFS($E$119:$E$151,$D$119:$D$151,E295)&lt;&gt;0,E295,0)</f>
        <v/>
      </c>
      <c r="G295" s="24" t="n"/>
      <c r="I295" s="26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77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77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77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77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77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77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77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77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77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77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77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29">
        <f>LEFT(B296,6)</f>
        <v/>
      </c>
      <c r="F296" s="14">
        <f>IF(SUMIFS($E$119:$E$151,$D$119:$D$151,E296)&lt;&gt;0,E296,0)</f>
        <v/>
      </c>
      <c r="G296" s="24" t="n"/>
      <c r="I296" s="26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77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77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77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77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77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77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77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77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77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77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77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29">
        <f>LEFT(B297,6)</f>
        <v/>
      </c>
      <c r="F297" s="14">
        <f>IF(SUMIFS($E$119:$E$151,$D$119:$D$151,E297)&lt;&gt;0,E297,0)</f>
        <v/>
      </c>
      <c r="G297" s="24" t="n"/>
      <c r="I297" s="26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77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77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77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77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77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77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77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77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77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77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77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29">
        <f>LEFT(B298,6)</f>
        <v/>
      </c>
      <c r="F298" s="14">
        <f>IF(SUMIFS($E$119:$E$151,$D$119:$D$151,E298)&lt;&gt;0,E298,0)</f>
        <v/>
      </c>
      <c r="G298" s="24" t="n"/>
      <c r="I298" s="26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77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77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77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77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77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77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77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77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77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77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77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29">
        <f>LEFT(B299,6)</f>
        <v/>
      </c>
      <c r="F299" s="14">
        <f>IF(SUMIFS($E$119:$E$151,$D$119:$D$151,E299)&lt;&gt;0,E299,0)</f>
        <v/>
      </c>
      <c r="G299" s="24" t="n"/>
      <c r="I299" s="26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77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77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77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77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77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77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77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77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77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77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77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29">
        <f>LEFT(B300,6)</f>
        <v/>
      </c>
      <c r="F300" s="14">
        <f>IF(SUMIFS($E$119:$E$151,$D$119:$D$151,E300)&lt;&gt;0,E300,0)</f>
        <v/>
      </c>
      <c r="G300" s="24" t="n"/>
      <c r="I300" s="26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77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77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77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77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77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77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77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77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77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77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77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29">
        <f>LEFT(B301,6)</f>
        <v/>
      </c>
      <c r="F301" s="14">
        <f>IF(SUMIFS($E$119:$E$151,$D$119:$D$151,E301)&lt;&gt;0,E301,0)</f>
        <v/>
      </c>
      <c r="G301" s="24" t="n"/>
      <c r="I301" s="26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77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77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77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77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77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77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77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77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77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77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77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29">
        <f>LEFT(B302,6)</f>
        <v/>
      </c>
      <c r="F302" s="14">
        <f>IF(SUMIFS($E$119:$E$151,$D$119:$D$151,E302)&lt;&gt;0,E302,0)</f>
        <v/>
      </c>
      <c r="G302" s="24" t="n"/>
      <c r="I302" s="26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77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77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77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77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77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77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77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77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77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77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77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29">
        <f>LEFT(B303,6)</f>
        <v/>
      </c>
      <c r="F303" s="14">
        <f>IF(SUMIFS($E$119:$E$151,$D$119:$D$151,E303)&lt;&gt;0,E303,0)</f>
        <v/>
      </c>
      <c r="G303" s="24" t="n"/>
      <c r="I303" s="26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77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77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77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77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77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77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77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77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77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77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77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29">
        <f>LEFT(B304,6)</f>
        <v/>
      </c>
      <c r="F304" s="14">
        <f>IF(SUMIFS($E$119:$E$151,$D$119:$D$151,E304)&lt;&gt;0,E304,0)</f>
        <v/>
      </c>
      <c r="G304" s="24" t="n"/>
      <c r="I304" s="26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77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77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77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77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77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77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77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77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77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77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77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29">
        <f>LEFT(B305,6)</f>
        <v/>
      </c>
      <c r="F305" s="14">
        <f>IF(SUMIFS($E$119:$E$151,$D$119:$D$151,E305)&lt;&gt;0,E305,0)</f>
        <v/>
      </c>
      <c r="G305" s="24" t="n"/>
      <c r="I305" s="26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77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77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77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77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77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77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77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77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77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77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77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29">
        <f>LEFT(B306,6)</f>
        <v/>
      </c>
      <c r="F306" s="14">
        <f>IF(SUMIFS($E$119:$E$151,$D$119:$D$151,E306)&lt;&gt;0,E306,0)</f>
        <v/>
      </c>
      <c r="G306" s="24" t="n"/>
      <c r="I306" s="26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77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77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77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77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77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77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77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77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77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77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77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29">
        <f>LEFT(B307,6)</f>
        <v/>
      </c>
      <c r="F307" s="14">
        <f>IF(SUMIFS($E$119:$E$151,$D$119:$D$151,E307)&lt;&gt;0,E307,0)</f>
        <v/>
      </c>
      <c r="G307" s="24" t="n"/>
      <c r="I307" s="26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77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77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77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77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77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77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77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77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77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77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77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29">
        <f>LEFT(B308,6)</f>
        <v/>
      </c>
      <c r="F308" s="14">
        <f>IF(SUMIFS($E$119:$E$151,$D$119:$D$151,E308)&lt;&gt;0,E308,0)</f>
        <v/>
      </c>
      <c r="G308" s="24" t="n"/>
      <c r="I308" s="26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77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77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77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77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77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77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77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77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77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77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77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29">
        <f>LEFT(B309,6)</f>
        <v/>
      </c>
      <c r="F309" s="14">
        <f>IF(SUMIFS($E$119:$E$151,$D$119:$D$151,E309)&lt;&gt;0,E309,0)</f>
        <v/>
      </c>
      <c r="G309" s="24" t="n"/>
      <c r="I309" s="26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77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77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77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77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77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77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77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77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77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77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77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29">
        <f>LEFT(B310,6)</f>
        <v/>
      </c>
      <c r="F310" s="14">
        <f>IF(SUMIFS($E$119:$E$151,$D$119:$D$151,E310)&lt;&gt;0,E310,0)</f>
        <v/>
      </c>
      <c r="G310" s="24" t="n"/>
      <c r="I310" s="26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77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77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77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77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77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77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77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77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77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77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77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29">
        <f>LEFT(B311,6)</f>
        <v/>
      </c>
      <c r="F311" s="14">
        <f>IF(SUMIFS($E$119:$E$151,$D$119:$D$151,E311)&lt;&gt;0,E311,0)</f>
        <v/>
      </c>
      <c r="G311" s="24" t="n"/>
      <c r="I311" s="26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77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77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77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77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77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77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77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77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77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77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77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29">
        <f>LEFT(B312,6)</f>
        <v/>
      </c>
      <c r="F312" s="14">
        <f>IF(SUMIFS($E$119:$E$151,$D$119:$D$151,E312)&lt;&gt;0,E312,0)</f>
        <v/>
      </c>
      <c r="G312" s="24" t="n"/>
      <c r="I312" s="26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77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77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77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77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77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77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77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77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77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77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77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29">
        <f>LEFT(B313,6)</f>
        <v/>
      </c>
      <c r="F313" s="14">
        <f>IF(SUMIFS($E$119:$E$151,$D$119:$D$151,E313)&lt;&gt;0,E313,0)</f>
        <v/>
      </c>
      <c r="G313" s="24" t="n"/>
      <c r="I313" s="26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77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77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77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77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77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77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77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77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77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77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77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29">
        <f>LEFT(B314,6)</f>
        <v/>
      </c>
      <c r="F314" s="14">
        <f>IF(SUMIFS($E$119:$E$151,$D$119:$D$151,E314)&lt;&gt;0,E314,0)</f>
        <v/>
      </c>
      <c r="G314" s="24" t="n"/>
      <c r="I314" s="26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77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77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77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77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77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77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77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77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77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77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77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29">
        <f>LEFT(B315,6)</f>
        <v/>
      </c>
      <c r="F315" s="14">
        <f>IF(SUMIFS($E$119:$E$151,$D$119:$D$151,E315)&lt;&gt;0,E315,0)</f>
        <v/>
      </c>
      <c r="G315" s="24" t="n"/>
      <c r="I315" s="26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77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77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77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77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77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77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77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77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77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77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77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29">
        <f>LEFT(B316,6)</f>
        <v/>
      </c>
      <c r="F316" s="14">
        <f>IF(SUMIFS($E$119:$E$151,$D$119:$D$151,E316)&lt;&gt;0,E316,0)</f>
        <v/>
      </c>
      <c r="G316" s="24" t="n"/>
      <c r="I316" s="26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77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77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77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77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77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77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77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77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77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77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77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29">
        <f>LEFT(B317,6)</f>
        <v/>
      </c>
      <c r="F317" s="14">
        <f>IF(SUMIFS($E$119:$E$151,$D$119:$D$151,E317)&lt;&gt;0,E317,0)</f>
        <v/>
      </c>
      <c r="G317" s="24" t="n"/>
      <c r="I317" s="26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77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77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77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77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77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77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77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77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77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77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77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29">
        <f>LEFT(B318,6)</f>
        <v/>
      </c>
      <c r="F318" s="14">
        <f>IF(SUMIFS($E$119:$E$151,$D$119:$D$151,E318)&lt;&gt;0,E318,0)</f>
        <v/>
      </c>
      <c r="G318" s="24" t="n"/>
      <c r="I318" s="26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77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77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77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77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77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77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77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77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77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77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77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29">
        <f>LEFT(B319,6)</f>
        <v/>
      </c>
      <c r="F319" s="14">
        <f>IF(SUMIFS($E$119:$E$151,$D$119:$D$151,E319)&lt;&gt;0,E319,0)</f>
        <v/>
      </c>
      <c r="G319" s="24" t="n"/>
      <c r="I319" s="26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77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77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77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77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77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77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77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77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77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77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77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29">
        <f>LEFT(B320,6)</f>
        <v/>
      </c>
      <c r="F320" s="14">
        <f>IF(SUMIFS($E$119:$E$151,$D$119:$D$151,E320)&lt;&gt;0,E320,0)</f>
        <v/>
      </c>
      <c r="G320" s="24" t="n"/>
      <c r="I320" s="26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77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77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77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77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77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77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77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77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77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77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77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29">
        <f>LEFT(B321,6)</f>
        <v/>
      </c>
      <c r="F321" s="14">
        <f>IF(SUMIFS($E$119:$E$151,$D$119:$D$151,E321)&lt;&gt;0,E321,0)</f>
        <v/>
      </c>
      <c r="G321" s="24" t="n"/>
      <c r="I321" s="26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77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77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77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77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77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77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77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77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77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77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77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29">
        <f>LEFT(B322,6)</f>
        <v/>
      </c>
      <c r="F322" s="14">
        <f>IF(SUMIFS($E$119:$E$151,$D$119:$D$151,E322)&lt;&gt;0,E322,0)</f>
        <v/>
      </c>
      <c r="G322" s="24" t="n"/>
      <c r="I322" s="26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77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77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77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77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77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77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77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77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77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77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77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29">
        <f>LEFT(B323,6)</f>
        <v/>
      </c>
      <c r="F323" s="14">
        <f>IF(SUMIFS($E$119:$E$151,$D$119:$D$151,E323)&lt;&gt;0,E323,0)</f>
        <v/>
      </c>
      <c r="G323" s="24" t="n"/>
      <c r="I323" s="26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77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77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77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77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77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77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77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77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77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77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77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29">
        <f>LEFT(B324,6)</f>
        <v/>
      </c>
      <c r="F324" s="14">
        <f>IF(SUMIFS($E$119:$E$151,$D$119:$D$151,E324)&lt;&gt;0,E324,0)</f>
        <v/>
      </c>
      <c r="G324" s="24" t="n"/>
      <c r="I324" s="26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77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77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77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77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77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77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77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77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77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77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77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29">
        <f>LEFT(B325,6)</f>
        <v/>
      </c>
      <c r="F325" s="14">
        <f>IF(SUMIFS($E$119:$E$151,$D$119:$D$151,E325)&lt;&gt;0,E325,0)</f>
        <v/>
      </c>
      <c r="G325" s="24" t="n"/>
      <c r="I325" s="26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77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77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77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77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77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77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77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77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77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77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77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29">
        <f>LEFT(B326,6)</f>
        <v/>
      </c>
      <c r="F326" s="14">
        <f>IF(SUMIFS($E$119:$E$151,$D$119:$D$151,E326)&lt;&gt;0,E326,0)</f>
        <v/>
      </c>
      <c r="G326" s="24" t="n"/>
      <c r="I326" s="26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77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77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77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77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77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77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77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77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77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77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77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29">
        <f>LEFT(B327,6)</f>
        <v/>
      </c>
      <c r="F327" s="14">
        <f>IF(SUMIFS($E$119:$E$151,$D$119:$D$151,E327)&lt;&gt;0,E327,0)</f>
        <v/>
      </c>
      <c r="G327" s="24" t="n"/>
      <c r="I327" s="26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77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77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77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77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77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77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77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77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77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77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77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29">
        <f>LEFT(B328,6)</f>
        <v/>
      </c>
      <c r="F328" s="14">
        <f>IF(SUMIFS($E$119:$E$151,$D$119:$D$151,E328)&lt;&gt;0,E328,0)</f>
        <v/>
      </c>
      <c r="G328" s="24" t="n"/>
      <c r="I328" s="26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77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77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77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77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77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77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77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77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77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77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77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29">
        <f>LEFT(B329,6)</f>
        <v/>
      </c>
      <c r="F329" s="14">
        <f>IF(SUMIFS($E$119:$E$151,$D$119:$D$151,E329)&lt;&gt;0,E329,0)</f>
        <v/>
      </c>
      <c r="G329" s="24" t="n"/>
      <c r="I329" s="26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77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77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77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77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77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77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77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77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77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77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77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29">
        <f>LEFT(B330,6)</f>
        <v/>
      </c>
      <c r="F330" s="14">
        <f>IF(SUMIFS($E$119:$E$151,$D$119:$D$151,E330)&lt;&gt;0,E330,0)</f>
        <v/>
      </c>
      <c r="G330" s="24" t="n"/>
      <c r="I330" s="26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77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77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77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77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77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77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77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77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77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77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77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29">
        <f>LEFT(B331,6)</f>
        <v/>
      </c>
      <c r="F331" s="14">
        <f>IF(SUMIFS($E$119:$E$151,$D$119:$D$151,E331)&lt;&gt;0,E331,0)</f>
        <v/>
      </c>
      <c r="G331" s="24" t="n"/>
      <c r="I331" s="26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77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77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77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77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77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77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77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77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77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77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77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29">
        <f>LEFT(B332,6)</f>
        <v/>
      </c>
      <c r="F332" s="14">
        <f>IF(SUMIFS($E$119:$E$151,$D$119:$D$151,E332)&lt;&gt;0,E332,0)</f>
        <v/>
      </c>
      <c r="G332" s="24" t="n"/>
      <c r="I332" s="26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77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77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77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77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77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77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77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77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77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77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77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29">
        <f>LEFT(B333,6)</f>
        <v/>
      </c>
      <c r="F333" s="14">
        <f>IF(SUMIFS($E$119:$E$151,$D$119:$D$151,E333)&lt;&gt;0,E333,0)</f>
        <v/>
      </c>
      <c r="G333" s="24" t="n"/>
      <c r="I333" s="26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77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77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77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77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77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77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77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77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77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77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77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29">
        <f>LEFT(B334,6)</f>
        <v/>
      </c>
      <c r="F334" s="14">
        <f>IF(SUMIFS($E$119:$E$151,$D$119:$D$151,E334)&lt;&gt;0,E334,0)</f>
        <v/>
      </c>
      <c r="G334" s="24" t="n"/>
      <c r="I334" s="26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77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77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77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77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77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77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77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77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77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77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77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29">
        <f>LEFT(B335,6)</f>
        <v/>
      </c>
      <c r="F335" s="14">
        <f>IF(SUMIFS($E$119:$E$151,$D$119:$D$151,E335)&lt;&gt;0,E335,0)</f>
        <v/>
      </c>
      <c r="G335" s="24" t="n"/>
      <c r="I335" s="26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77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77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77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77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77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77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77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77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77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77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77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29">
        <f>LEFT(B336,6)</f>
        <v/>
      </c>
      <c r="F336" s="14">
        <f>IF(SUMIFS($E$119:$E$151,$D$119:$D$151,E336)&lt;&gt;0,E336,0)</f>
        <v/>
      </c>
      <c r="G336" s="24" t="n"/>
      <c r="I336" s="26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77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77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77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77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77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77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77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77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77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77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77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29">
        <f>LEFT(B337,6)</f>
        <v/>
      </c>
      <c r="F337" s="14">
        <f>IF(SUMIFS($E$119:$E$151,$D$119:$D$151,E337)&lt;&gt;0,E337,0)</f>
        <v/>
      </c>
      <c r="G337" s="24" t="n"/>
      <c r="I337" s="26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77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77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77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77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77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77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77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77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77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77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77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29">
        <f>LEFT(B338,6)</f>
        <v/>
      </c>
      <c r="F338" s="14">
        <f>IF(SUMIFS($E$119:$E$151,$D$119:$D$151,E338)&lt;&gt;0,E338,0)</f>
        <v/>
      </c>
      <c r="G338" s="24" t="n"/>
      <c r="I338" s="26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77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77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77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77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77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77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77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77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77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77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77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29">
        <f>LEFT(B339,6)</f>
        <v/>
      </c>
      <c r="F339" s="14">
        <f>IF(SUMIFS($E$119:$E$151,$D$119:$D$151,E339)&lt;&gt;0,E339,0)</f>
        <v/>
      </c>
      <c r="G339" s="24" t="n"/>
      <c r="I339" s="26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77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77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77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77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77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77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77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77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77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77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77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29">
        <f>LEFT(B340,6)</f>
        <v/>
      </c>
      <c r="F340" s="14">
        <f>IF(SUMIFS($E$119:$E$151,$D$119:$D$151,E340)&lt;&gt;0,E340,0)</f>
        <v/>
      </c>
      <c r="G340" s="24" t="n"/>
      <c r="I340" s="26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77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77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77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77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77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77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77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77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77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77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77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29">
        <f>LEFT(B341,6)</f>
        <v/>
      </c>
      <c r="F341" s="14">
        <f>IF(SUMIFS($E$119:$E$151,$D$119:$D$151,E341)&lt;&gt;0,E341,0)</f>
        <v/>
      </c>
      <c r="G341" s="24" t="n"/>
      <c r="I341" s="26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77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77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77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77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77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77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77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77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77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77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77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29">
        <f>LEFT(B342,6)</f>
        <v/>
      </c>
      <c r="F342" s="14">
        <f>IF(SUMIFS($E$119:$E$151,$D$119:$D$151,E342)&lt;&gt;0,E342,0)</f>
        <v/>
      </c>
      <c r="G342" s="24" t="n"/>
      <c r="I342" s="26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77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77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77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77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77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77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77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77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77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77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77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29">
        <f>LEFT(B343,6)</f>
        <v/>
      </c>
      <c r="F343" s="14">
        <f>IF(SUMIFS($E$119:$E$151,$D$119:$D$151,E343)&lt;&gt;0,E343,0)</f>
        <v/>
      </c>
      <c r="G343" s="24" t="n"/>
      <c r="I343" s="26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77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77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77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77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77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77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77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77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77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77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77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29">
        <f>LEFT(B344,6)</f>
        <v/>
      </c>
      <c r="F344" s="14">
        <f>IF(SUMIFS($E$119:$E$151,$D$119:$D$151,E344)&lt;&gt;0,E344,0)</f>
        <v/>
      </c>
      <c r="G344" s="24" t="n"/>
      <c r="I344" s="26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77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77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77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77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77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77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77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77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77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77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77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29">
        <f>LEFT(B345,6)</f>
        <v/>
      </c>
      <c r="F345" s="14">
        <f>IF(SUMIFS($E$119:$E$151,$D$119:$D$151,E345)&lt;&gt;0,E345,0)</f>
        <v/>
      </c>
      <c r="G345" s="24" t="n"/>
      <c r="I345" s="26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77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77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77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77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77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77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77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77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77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77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77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29">
        <f>LEFT(B346,6)</f>
        <v/>
      </c>
      <c r="F346" s="14">
        <f>IF(SUMIFS($E$119:$E$151,$D$119:$D$151,E346)&lt;&gt;0,E346,0)</f>
        <v/>
      </c>
      <c r="G346" s="24" t="n"/>
      <c r="I346" s="26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77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77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77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77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77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77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77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77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77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77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77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29">
        <f>LEFT(B347,6)</f>
        <v/>
      </c>
      <c r="F347" s="14">
        <f>IF(SUMIFS($E$119:$E$151,$D$119:$D$151,E347)&lt;&gt;0,E347,0)</f>
        <v/>
      </c>
      <c r="G347" s="24" t="n"/>
      <c r="I347" s="26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77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77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77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77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77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77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77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77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77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77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77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29">
        <f>LEFT(B348,6)</f>
        <v/>
      </c>
      <c r="F348" s="14">
        <f>IF(SUMIFS($E$119:$E$151,$D$119:$D$151,E348)&lt;&gt;0,E348,0)</f>
        <v/>
      </c>
      <c r="G348" s="24" t="n"/>
      <c r="I348" s="26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77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77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77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77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77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77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77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77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77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77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77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29">
        <f>LEFT(B349,6)</f>
        <v/>
      </c>
      <c r="F349" s="14">
        <f>IF(SUMIFS($E$119:$E$151,$D$119:$D$151,E349)&lt;&gt;0,E349,0)</f>
        <v/>
      </c>
      <c r="G349" s="24" t="n"/>
      <c r="I349" s="26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77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77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77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77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77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77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77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77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77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77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77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29">
        <f>LEFT(B350,6)</f>
        <v/>
      </c>
      <c r="F350" s="14">
        <f>IF(SUMIFS($E$119:$E$151,$D$119:$D$151,E350)&lt;&gt;0,E350,0)</f>
        <v/>
      </c>
      <c r="G350" s="24" t="n"/>
      <c r="I350" s="26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77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77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77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77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77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77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77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77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77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77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77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29">
        <f>LEFT(B351,6)</f>
        <v/>
      </c>
      <c r="F351" s="14">
        <f>IF(SUMIFS($E$119:$E$151,$D$119:$D$151,E351)&lt;&gt;0,E351,0)</f>
        <v/>
      </c>
      <c r="G351" s="24" t="n"/>
      <c r="I351" s="26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77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77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77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77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77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77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77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77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77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77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77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29">
        <f>LEFT(B352,6)</f>
        <v/>
      </c>
      <c r="F352" s="14">
        <f>IF(SUMIFS($E$119:$E$151,$D$119:$D$151,E352)&lt;&gt;0,E352,0)</f>
        <v/>
      </c>
      <c r="G352" s="24" t="n"/>
      <c r="I352" s="26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77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77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77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77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77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77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77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77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77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77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77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29">
        <f>LEFT(B353,6)</f>
        <v/>
      </c>
      <c r="F353" s="14">
        <f>IF(SUMIFS($E$119:$E$151,$D$119:$D$151,E353)&lt;&gt;0,E353,0)</f>
        <v/>
      </c>
      <c r="G353" s="24" t="n"/>
      <c r="I353" s="26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77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77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77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77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77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77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77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77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77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77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77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29">
        <f>LEFT(B354,6)</f>
        <v/>
      </c>
      <c r="F354" s="14">
        <f>IF(SUMIFS($E$119:$E$151,$D$119:$D$151,E354)&lt;&gt;0,E354,0)</f>
        <v/>
      </c>
      <c r="G354" s="24" t="n"/>
      <c r="I354" s="26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77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77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77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77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77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77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77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77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77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77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77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29">
        <f>LEFT(B355,6)</f>
        <v/>
      </c>
      <c r="F355" s="14">
        <f>IF(SUMIFS($E$119:$E$151,$D$119:$D$151,E355)&lt;&gt;0,E355,0)</f>
        <v/>
      </c>
      <c r="G355" s="24" t="n"/>
      <c r="I355" s="26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77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77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77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77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77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77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77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77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77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77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77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29">
        <f>LEFT(B356,6)</f>
        <v/>
      </c>
      <c r="F356" s="14">
        <f>IF(SUMIFS($E$119:$E$151,$D$119:$D$151,E356)&lt;&gt;0,E356,0)</f>
        <v/>
      </c>
      <c r="G356" s="24" t="n"/>
      <c r="I356" s="26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77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77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77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77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77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77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77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77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77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77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77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29">
        <f>LEFT(B357,6)</f>
        <v/>
      </c>
      <c r="F357" s="14">
        <f>IF(SUMIFS($E$119:$E$151,$D$119:$D$151,E357)&lt;&gt;0,E357,0)</f>
        <v/>
      </c>
      <c r="G357" s="24" t="n"/>
      <c r="I357" s="26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77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77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77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77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77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77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77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77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77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77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77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29">
        <f>LEFT(B358,6)</f>
        <v/>
      </c>
      <c r="F358" s="14">
        <f>IF(SUMIFS($E$119:$E$151,$D$119:$D$151,E358)&lt;&gt;0,E358,0)</f>
        <v/>
      </c>
      <c r="G358" s="24" t="n"/>
      <c r="I358" s="26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77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77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77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77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77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77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77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77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77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77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77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29">
        <f>LEFT(B359,6)</f>
        <v/>
      </c>
      <c r="F359" s="14">
        <f>IF(SUMIFS($E$119:$E$151,$D$119:$D$151,E359)&lt;&gt;0,E359,0)</f>
        <v/>
      </c>
      <c r="G359" s="24" t="n"/>
      <c r="I359" s="26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77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77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77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77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77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77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77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77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77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77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77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29">
        <f>LEFT(B360,6)</f>
        <v/>
      </c>
      <c r="F360" s="14">
        <f>IF(SUMIFS($E$119:$E$151,$D$119:$D$151,E360)&lt;&gt;0,E360,0)</f>
        <v/>
      </c>
      <c r="G360" s="24" t="n"/>
      <c r="I360" s="26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77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77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77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77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77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77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77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77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77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77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77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29">
        <f>LEFT(B361,6)</f>
        <v/>
      </c>
      <c r="F361" s="14">
        <f>IF(SUMIFS($E$119:$E$151,$D$119:$D$151,E361)&lt;&gt;0,E361,0)</f>
        <v/>
      </c>
      <c r="G361" s="24" t="n"/>
      <c r="I361" s="26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77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77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77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77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77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77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77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77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77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77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77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29">
        <f>LEFT(B362,6)</f>
        <v/>
      </c>
      <c r="F362" s="14">
        <f>IF(SUMIFS($E$119:$E$151,$D$119:$D$151,E362)&lt;&gt;0,E362,0)</f>
        <v/>
      </c>
      <c r="G362" s="24" t="n"/>
      <c r="I362" s="26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77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77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77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77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77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77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77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77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77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77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77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29">
        <f>LEFT(B363,6)</f>
        <v/>
      </c>
      <c r="F363" s="14">
        <f>IF(SUMIFS($E$119:$E$151,$D$119:$D$151,E363)&lt;&gt;0,E363,0)</f>
        <v/>
      </c>
      <c r="G363" s="24" t="n"/>
      <c r="I363" s="26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77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77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77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77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77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77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77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77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77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77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77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29">
        <f>LEFT(B364,6)</f>
        <v/>
      </c>
      <c r="F364" s="14">
        <f>IF(SUMIFS($E$119:$E$151,$D$119:$D$151,E364)&lt;&gt;0,E364,0)</f>
        <v/>
      </c>
      <c r="G364" s="24" t="n"/>
      <c r="I364" s="26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77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77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77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77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77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77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77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77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77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77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77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29">
        <f>LEFT(B365,6)</f>
        <v/>
      </c>
      <c r="F365" s="14">
        <f>IF(SUMIFS($E$119:$E$151,$D$119:$D$151,E365)&lt;&gt;0,E365,0)</f>
        <v/>
      </c>
      <c r="G365" s="24" t="n"/>
      <c r="I365" s="26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77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77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77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77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77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77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77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77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77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77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77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29">
        <f>LEFT(B366,6)</f>
        <v/>
      </c>
      <c r="F366" s="14">
        <f>IF(SUMIFS($E$119:$E$151,$D$119:$D$151,E366)&lt;&gt;0,E366,0)</f>
        <v/>
      </c>
      <c r="G366" s="24" t="n"/>
      <c r="I366" s="26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77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77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77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77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77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77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77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77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77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77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77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29">
        <f>LEFT(B367,6)</f>
        <v/>
      </c>
      <c r="F367" s="14">
        <f>IF(SUMIFS($E$119:$E$151,$D$119:$D$151,E367)&lt;&gt;0,E367,0)</f>
        <v/>
      </c>
      <c r="G367" s="24" t="n"/>
      <c r="I367" s="26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77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77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77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77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77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77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77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77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77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77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77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29">
        <f>LEFT(B368,6)</f>
        <v/>
      </c>
      <c r="F368" s="14">
        <f>IF(SUMIFS($E$119:$E$151,$D$119:$D$151,E368)&lt;&gt;0,E368,0)</f>
        <v/>
      </c>
      <c r="G368" s="24" t="n"/>
      <c r="I368" s="26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77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77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77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77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77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77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77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77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77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77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77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29">
        <f>LEFT(B369,6)</f>
        <v/>
      </c>
      <c r="F369" s="14">
        <f>IF(SUMIFS($E$119:$E$151,$D$119:$D$151,E369)&lt;&gt;0,E369,0)</f>
        <v/>
      </c>
      <c r="G369" s="24" t="n"/>
      <c r="I369" s="26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77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77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77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77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77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77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77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77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77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77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77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29">
        <f>LEFT(B370,6)</f>
        <v/>
      </c>
      <c r="F370" s="14">
        <f>IF(SUMIFS($E$119:$E$151,$D$119:$D$151,E370)&lt;&gt;0,E370,0)</f>
        <v/>
      </c>
      <c r="G370" s="24" t="n"/>
      <c r="I370" s="26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77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77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77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77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77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77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77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77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77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77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77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29">
        <f>LEFT(B371,6)</f>
        <v/>
      </c>
      <c r="F371" s="14">
        <f>IF(SUMIFS($E$119:$E$151,$D$119:$D$151,E371)&lt;&gt;0,E371,0)</f>
        <v/>
      </c>
      <c r="G371" s="24" t="n"/>
      <c r="I371" s="26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77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77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77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77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77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77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77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77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77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77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77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29">
        <f>LEFT(B372,6)</f>
        <v/>
      </c>
      <c r="F372" s="14">
        <f>IF(SUMIFS($E$119:$E$151,$D$119:$D$151,E372)&lt;&gt;0,E372,0)</f>
        <v/>
      </c>
      <c r="G372" s="24" t="n"/>
      <c r="I372" s="26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77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77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77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77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77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77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77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77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77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77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77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29">
        <f>LEFT(B373,6)</f>
        <v/>
      </c>
      <c r="F373" s="14">
        <f>IF(SUMIFS($E$119:$E$151,$D$119:$D$151,E373)&lt;&gt;0,E373,0)</f>
        <v/>
      </c>
      <c r="G373" s="24" t="n"/>
      <c r="I373" s="26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77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77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77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77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77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77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77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77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77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77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77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29">
        <f>LEFT(B374,6)</f>
        <v/>
      </c>
      <c r="F374" s="14">
        <f>IF(SUMIFS($E$119:$E$151,$D$119:$D$151,E374)&lt;&gt;0,E374,0)</f>
        <v/>
      </c>
      <c r="G374" s="24" t="n"/>
      <c r="I374" s="26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77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77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77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77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77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77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77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77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77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77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77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29">
        <f>LEFT(B375,6)</f>
        <v/>
      </c>
      <c r="F375" s="14">
        <f>IF(SUMIFS($E$119:$E$151,$D$119:$D$151,E375)&lt;&gt;0,E375,0)</f>
        <v/>
      </c>
      <c r="G375" s="24" t="n"/>
      <c r="I375" s="26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77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77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77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77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77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77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77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77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77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77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77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29">
        <f>LEFT(B376,6)</f>
        <v/>
      </c>
      <c r="F376" s="14">
        <f>IF(SUMIFS($E$119:$E$151,$D$119:$D$151,E376)&lt;&gt;0,E376,0)</f>
        <v/>
      </c>
      <c r="G376" s="24" t="n"/>
      <c r="I376" s="26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77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77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77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77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77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77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77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77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77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77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77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29">
        <f>LEFT(B377,6)</f>
        <v/>
      </c>
      <c r="F377" s="14">
        <f>IF(SUMIFS($E$119:$E$151,$D$119:$D$151,E377)&lt;&gt;0,E377,0)</f>
        <v/>
      </c>
      <c r="G377" s="24" t="n"/>
      <c r="I377" s="26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77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77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77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77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77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77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77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77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77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77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77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29">
        <f>LEFT(B378,6)</f>
        <v/>
      </c>
      <c r="F378" s="14">
        <f>IF(SUMIFS($E$119:$E$151,$D$119:$D$151,E378)&lt;&gt;0,E378,0)</f>
        <v/>
      </c>
      <c r="G378" s="24" t="n"/>
      <c r="I378" s="26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77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77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77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77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77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77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77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77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77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77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77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29">
        <f>LEFT(B379,6)</f>
        <v/>
      </c>
      <c r="F379" s="14">
        <f>IF(SUMIFS($E$119:$E$151,$D$119:$D$151,E379)&lt;&gt;0,E379,0)</f>
        <v/>
      </c>
      <c r="G379" s="24" t="n"/>
      <c r="I379" s="26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77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77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77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77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77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77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77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77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77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77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77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29">
        <f>LEFT(B380,6)</f>
        <v/>
      </c>
      <c r="F380" s="14">
        <f>IF(SUMIFS($E$119:$E$151,$D$119:$D$151,E380)&lt;&gt;0,E380,0)</f>
        <v/>
      </c>
      <c r="G380" s="24" t="n"/>
      <c r="I380" s="26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77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77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77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77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77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77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77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77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77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77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77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29">
        <f>LEFT(B381,6)</f>
        <v/>
      </c>
      <c r="F381" s="14">
        <f>IF(SUMIFS($E$119:$E$151,$D$119:$D$151,E381)&lt;&gt;0,E381,0)</f>
        <v/>
      </c>
      <c r="G381" s="24" t="n"/>
      <c r="I381" s="26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77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77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77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77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77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77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77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77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77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77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77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29">
        <f>LEFT(B382,6)</f>
        <v/>
      </c>
      <c r="F382" s="14">
        <f>IF(SUMIFS($E$119:$E$151,$D$119:$D$151,E382)&lt;&gt;0,E382,0)</f>
        <v/>
      </c>
      <c r="G382" s="24" t="n"/>
      <c r="I382" s="26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77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77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77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77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77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77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77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77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77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77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77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29">
        <f>LEFT(B383,6)</f>
        <v/>
      </c>
      <c r="F383" s="14">
        <f>IF(SUMIFS($E$119:$E$151,$D$119:$D$151,E383)&lt;&gt;0,E383,0)</f>
        <v/>
      </c>
      <c r="G383" s="24" t="n"/>
      <c r="I383" s="26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77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77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77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77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77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77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77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77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77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77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77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29">
        <f>LEFT(B384,6)</f>
        <v/>
      </c>
      <c r="F384" s="14">
        <f>IF(SUMIFS($E$119:$E$151,$D$119:$D$151,E384)&lt;&gt;0,E384,0)</f>
        <v/>
      </c>
      <c r="G384" s="24" t="n"/>
      <c r="I384" s="26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77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77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77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77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77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77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77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77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77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77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77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29">
        <f>LEFT(B385,6)</f>
        <v/>
      </c>
      <c r="F385" s="14">
        <f>IF(SUMIFS($E$119:$E$151,$D$119:$D$151,E385)&lt;&gt;0,E385,0)</f>
        <v/>
      </c>
      <c r="G385" s="24" t="n"/>
      <c r="I385" s="26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77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77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77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77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77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77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77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77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77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77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77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29">
        <f>LEFT(B386,6)</f>
        <v/>
      </c>
      <c r="F386" s="14">
        <f>IF(SUMIFS($E$119:$E$151,$D$119:$D$151,E386)&lt;&gt;0,E386,0)</f>
        <v/>
      </c>
      <c r="G386" s="24" t="n"/>
      <c r="I386" s="26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77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77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77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77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77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77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77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77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77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77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77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29">
        <f>LEFT(B387,6)</f>
        <v/>
      </c>
      <c r="F387" s="14">
        <f>IF(SUMIFS($E$119:$E$151,$D$119:$D$151,E387)&lt;&gt;0,E387,0)</f>
        <v/>
      </c>
      <c r="G387" s="24" t="n"/>
      <c r="I387" s="26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77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77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77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77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77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77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77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77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77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77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77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29">
        <f>LEFT(B388,6)</f>
        <v/>
      </c>
      <c r="F388" s="14">
        <f>IF(SUMIFS($E$119:$E$151,$D$119:$D$151,E388)&lt;&gt;0,E388,0)</f>
        <v/>
      </c>
      <c r="G388" s="24" t="n"/>
      <c r="I388" s="26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77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77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77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77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77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77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77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77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77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77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77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29">
        <f>LEFT(B389,6)</f>
        <v/>
      </c>
      <c r="F389" s="14">
        <f>IF(SUMIFS($E$119:$E$151,$D$119:$D$151,E389)&lt;&gt;0,E389,0)</f>
        <v/>
      </c>
      <c r="G389" s="24" t="n"/>
      <c r="I389" s="26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77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77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77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77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77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77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77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77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77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77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77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29">
        <f>LEFT(B390,6)</f>
        <v/>
      </c>
      <c r="F390" s="14">
        <f>IF(SUMIFS($E$119:$E$151,$D$119:$D$151,E390)&lt;&gt;0,E390,0)</f>
        <v/>
      </c>
      <c r="G390" s="24" t="n"/>
      <c r="I390" s="26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77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77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77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77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77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77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77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77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77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77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77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29">
        <f>LEFT(B391,6)</f>
        <v/>
      </c>
      <c r="F391" s="14">
        <f>IF(SUMIFS($E$119:$E$151,$D$119:$D$151,E391)&lt;&gt;0,E391,0)</f>
        <v/>
      </c>
      <c r="G391" s="24" t="n"/>
      <c r="I391" s="26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77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77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77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77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77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77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77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77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77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77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77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29">
        <f>LEFT(B392,6)</f>
        <v/>
      </c>
      <c r="F392" s="14">
        <f>IF(SUMIFS($E$119:$E$151,$D$119:$D$151,E392)&lt;&gt;0,E392,0)</f>
        <v/>
      </c>
      <c r="G392" s="24" t="n"/>
      <c r="I392" s="26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77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77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77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77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77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77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77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77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77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77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77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29">
        <f>LEFT(B393,6)</f>
        <v/>
      </c>
      <c r="F393" s="14">
        <f>IF(SUMIFS($E$119:$E$151,$D$119:$D$151,E393)&lt;&gt;0,E393,0)</f>
        <v/>
      </c>
      <c r="G393" s="24" t="n"/>
      <c r="I393" s="26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77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77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77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77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77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77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77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77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77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77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77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29">
        <f>LEFT(B394,6)</f>
        <v/>
      </c>
      <c r="F394" s="14">
        <f>IF(SUMIFS($E$119:$E$151,$D$119:$D$151,E394)&lt;&gt;0,E394,0)</f>
        <v/>
      </c>
      <c r="G394" s="24" t="n"/>
      <c r="I394" s="26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77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77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77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77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77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77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77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77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77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77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77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29">
        <f>LEFT(B395,6)</f>
        <v/>
      </c>
      <c r="F395" s="14">
        <f>IF(SUMIFS($E$119:$E$151,$D$119:$D$151,E395)&lt;&gt;0,E395,0)</f>
        <v/>
      </c>
      <c r="G395" s="24" t="n"/>
      <c r="I395" s="26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77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77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77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77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77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77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77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77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77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77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77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29">
        <f>LEFT(B396,6)</f>
        <v/>
      </c>
      <c r="F396" s="14">
        <f>IF(SUMIFS($E$119:$E$151,$D$119:$D$151,E396)&lt;&gt;0,E396,0)</f>
        <v/>
      </c>
      <c r="G396" s="24" t="n"/>
      <c r="I396" s="26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77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77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77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77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77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77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77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77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77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77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77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29">
        <f>LEFT(B397,6)</f>
        <v/>
      </c>
      <c r="F397" s="14">
        <f>IF(SUMIFS($E$119:$E$151,$D$119:$D$151,E397)&lt;&gt;0,E397,0)</f>
        <v/>
      </c>
      <c r="G397" s="24" t="n"/>
      <c r="I397" s="26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77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77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77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77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77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77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77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77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77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77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77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29">
        <f>LEFT(B398,6)</f>
        <v/>
      </c>
      <c r="F398" s="14">
        <f>IF(SUMIFS($E$119:$E$151,$D$119:$D$151,E398)&lt;&gt;0,E398,0)</f>
        <v/>
      </c>
      <c r="G398" s="24" t="n"/>
      <c r="I398" s="26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77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77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77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77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77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77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77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77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77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77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77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29">
        <f>LEFT(B399,6)</f>
        <v/>
      </c>
      <c r="F399" s="14">
        <f>IF(SUMIFS($E$119:$E$151,$D$119:$D$151,E399)&lt;&gt;0,E399,0)</f>
        <v/>
      </c>
      <c r="G399" s="24" t="n"/>
      <c r="I399" s="26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77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77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77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77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77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77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77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77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77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77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77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29">
        <f>LEFT(B400,6)</f>
        <v/>
      </c>
      <c r="F400" s="14">
        <f>IF(SUMIFS($E$119:$E$151,$D$119:$D$151,E400)&lt;&gt;0,E400,0)</f>
        <v/>
      </c>
      <c r="G400" s="24" t="n"/>
      <c r="I400" s="26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77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77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77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77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77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77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77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77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77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77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77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29">
        <f>LEFT(B401,6)</f>
        <v/>
      </c>
      <c r="F401" s="14">
        <f>IF(SUMIFS($E$119:$E$151,$D$119:$D$151,E401)&lt;&gt;0,E401,0)</f>
        <v/>
      </c>
      <c r="G401" s="24" t="n"/>
      <c r="I401" s="26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77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77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77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77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77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77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77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77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77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77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77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29">
        <f>LEFT(B402,6)</f>
        <v/>
      </c>
      <c r="F402" s="14">
        <f>IF(SUMIFS($E$119:$E$151,$D$119:$D$151,E402)&lt;&gt;0,E402,0)</f>
        <v/>
      </c>
      <c r="G402" s="24" t="n"/>
      <c r="I402" s="26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77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77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77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77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77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77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77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77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77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77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77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29">
        <f>LEFT(B403,6)</f>
        <v/>
      </c>
      <c r="F403" s="14">
        <f>IF(SUMIFS($E$119:$E$151,$D$119:$D$151,E403)&lt;&gt;0,E403,0)</f>
        <v/>
      </c>
      <c r="G403" s="24" t="n"/>
      <c r="I403" s="26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77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77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77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77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77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77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77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77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77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77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77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29">
        <f>LEFT(B404,6)</f>
        <v/>
      </c>
      <c r="F404" s="14">
        <f>IF(SUMIFS($E$119:$E$151,$D$119:$D$151,E404)&lt;&gt;0,E404,0)</f>
        <v/>
      </c>
      <c r="G404" s="24" t="n"/>
      <c r="I404" s="26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77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77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77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77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77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77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77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77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77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77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77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29">
        <f>LEFT(B405,6)</f>
        <v/>
      </c>
      <c r="F405" s="14">
        <f>IF(SUMIFS($E$119:$E$151,$D$119:$D$151,E405)&lt;&gt;0,E405,0)</f>
        <v/>
      </c>
      <c r="G405" s="24" t="n"/>
      <c r="I405" s="26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77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77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77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77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77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77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77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77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77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77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77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29">
        <f>LEFT(B406,6)</f>
        <v/>
      </c>
      <c r="F406" s="14">
        <f>IF(SUMIFS($E$119:$E$151,$D$119:$D$151,E406)&lt;&gt;0,E406,0)</f>
        <v/>
      </c>
      <c r="G406" s="24" t="n"/>
      <c r="I406" s="26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77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77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77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77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77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77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77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77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77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77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77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29">
        <f>LEFT(B407,6)</f>
        <v/>
      </c>
      <c r="F407" s="14">
        <f>IF(SUMIFS($E$119:$E$151,$D$119:$D$151,E407)&lt;&gt;0,E407,0)</f>
        <v/>
      </c>
      <c r="G407" s="24" t="n"/>
      <c r="I407" s="26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77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77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77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77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77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77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77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77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77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77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77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29">
        <f>LEFT(B408,6)</f>
        <v/>
      </c>
      <c r="F408" s="14">
        <f>IF(SUMIFS($E$119:$E$151,$D$119:$D$151,E408)&lt;&gt;0,E408,0)</f>
        <v/>
      </c>
      <c r="G408" s="24" t="n"/>
      <c r="I408" s="26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77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77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77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77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77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77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77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77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77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77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77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29">
        <f>LEFT(B409,6)</f>
        <v/>
      </c>
      <c r="F409" s="14">
        <f>IF(SUMIFS($E$119:$E$151,$D$119:$D$151,E409)&lt;&gt;0,E409,0)</f>
        <v/>
      </c>
      <c r="G409" s="24" t="n"/>
      <c r="I409" s="26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77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77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77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77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77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77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77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77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77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77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77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29">
        <f>LEFT(B410,6)</f>
        <v/>
      </c>
      <c r="F410" s="14">
        <f>IF(SUMIFS($E$119:$E$151,$D$119:$D$151,E410)&lt;&gt;0,E410,0)</f>
        <v/>
      </c>
      <c r="G410" s="24" t="n"/>
      <c r="I410" s="26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77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77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77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77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77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77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77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77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77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77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77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29">
        <f>LEFT(B411,6)</f>
        <v/>
      </c>
      <c r="F411" s="14">
        <f>IF(SUMIFS($E$119:$E$151,$D$119:$D$151,E411)&lt;&gt;0,E411,0)</f>
        <v/>
      </c>
      <c r="G411" s="24" t="n"/>
      <c r="I411" s="26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77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77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77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77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77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77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77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77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77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77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77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29">
        <f>LEFT(B412,6)</f>
        <v/>
      </c>
      <c r="F412" s="14">
        <f>IF(SUMIFS($E$119:$E$151,$D$119:$D$151,E412)&lt;&gt;0,E412,0)</f>
        <v/>
      </c>
      <c r="G412" s="24" t="n"/>
      <c r="I412" s="26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77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77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77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77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77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77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77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77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77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77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77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29">
        <f>LEFT(B413,6)</f>
        <v/>
      </c>
      <c r="F413" s="14">
        <f>IF(SUMIFS($E$119:$E$151,$D$119:$D$151,E413)&lt;&gt;0,E413,0)</f>
        <v/>
      </c>
      <c r="G413" s="24" t="n"/>
      <c r="I413" s="26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77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77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77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77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77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77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77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77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77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77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77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29">
        <f>LEFT(B414,6)</f>
        <v/>
      </c>
      <c r="F414" s="14">
        <f>IF(SUMIFS($E$119:$E$151,$D$119:$D$151,E414)&lt;&gt;0,E414,0)</f>
        <v/>
      </c>
      <c r="G414" s="24" t="n"/>
      <c r="I414" s="26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77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77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77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77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77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77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77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77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77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77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77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29">
        <f>LEFT(B415,6)</f>
        <v/>
      </c>
      <c r="F415" s="14">
        <f>IF(SUMIFS($E$119:$E$151,$D$119:$D$151,E415)&lt;&gt;0,E415,0)</f>
        <v/>
      </c>
      <c r="G415" s="24" t="n"/>
      <c r="I415" s="26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77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77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77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77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77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77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77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77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77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77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77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29">
        <f>LEFT(B416,6)</f>
        <v/>
      </c>
      <c r="F416" s="14">
        <f>IF(SUMIFS($E$119:$E$151,$D$119:$D$151,E416)&lt;&gt;0,E416,0)</f>
        <v/>
      </c>
      <c r="G416" s="24" t="n"/>
      <c r="I416" s="26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77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77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77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77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77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77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77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77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77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77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77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29">
        <f>LEFT(B417,6)</f>
        <v/>
      </c>
      <c r="F417" s="14">
        <f>IF(SUMIFS($E$119:$E$151,$D$119:$D$151,E417)&lt;&gt;0,E417,0)</f>
        <v/>
      </c>
      <c r="G417" s="24" t="n"/>
      <c r="I417" s="26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77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77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77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77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77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77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77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77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77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77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77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29">
        <f>LEFT(B418,6)</f>
        <v/>
      </c>
      <c r="F418" s="14">
        <f>IF(SUMIFS($E$119:$E$151,$D$119:$D$151,E418)&lt;&gt;0,E418,0)</f>
        <v/>
      </c>
      <c r="G418" s="24" t="n"/>
      <c r="I418" s="26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77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77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77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77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77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77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77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77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77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77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77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29">
        <f>LEFT(B419,6)</f>
        <v/>
      </c>
      <c r="F419" s="14">
        <f>IF(SUMIFS($E$119:$E$151,$D$119:$D$151,E419)&lt;&gt;0,E419,0)</f>
        <v/>
      </c>
      <c r="G419" s="24" t="n"/>
      <c r="I419" s="26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77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77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77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77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77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77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77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77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77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77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77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29">
        <f>LEFT(B420,6)</f>
        <v/>
      </c>
      <c r="F420" s="14">
        <f>IF(SUMIFS($E$119:$E$151,$D$119:$D$151,E420)&lt;&gt;0,E420,0)</f>
        <v/>
      </c>
      <c r="G420" s="24" t="n"/>
      <c r="I420" s="26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77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77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77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77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77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77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77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77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77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77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77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29">
        <f>LEFT(B421,6)</f>
        <v/>
      </c>
      <c r="F421" s="14">
        <f>IF(SUMIFS($E$119:$E$151,$D$119:$D$151,E421)&lt;&gt;0,E421,0)</f>
        <v/>
      </c>
      <c r="G421" s="24" t="n"/>
      <c r="I421" s="26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77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77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77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77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77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77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77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77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77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77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77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29">
        <f>LEFT(B422,6)</f>
        <v/>
      </c>
      <c r="F422" s="14">
        <f>IF(SUMIFS($E$119:$E$151,$D$119:$D$151,E422)&lt;&gt;0,E422,0)</f>
        <v/>
      </c>
      <c r="G422" s="24" t="n"/>
      <c r="I422" s="26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77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77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77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77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77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77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77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77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77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77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77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29">
        <f>LEFT(B423,6)</f>
        <v/>
      </c>
      <c r="F423" s="14">
        <f>IF(SUMIFS($E$119:$E$151,$D$119:$D$151,E423)&lt;&gt;0,E423,0)</f>
        <v/>
      </c>
      <c r="G423" s="24" t="n"/>
      <c r="I423" s="26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77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77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77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77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77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77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77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77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77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77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77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29">
        <f>LEFT(B424,6)</f>
        <v/>
      </c>
      <c r="F424" s="14">
        <f>IF(SUMIFS($E$119:$E$151,$D$119:$D$151,E424)&lt;&gt;0,E424,0)</f>
        <v/>
      </c>
      <c r="G424" s="24" t="n"/>
      <c r="I424" s="26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77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77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77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77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77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77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77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77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77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77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77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29">
        <f>LEFT(B425,6)</f>
        <v/>
      </c>
      <c r="F425" s="14">
        <f>IF(SUMIFS($E$119:$E$151,$D$119:$D$151,E425)&lt;&gt;0,E425,0)</f>
        <v/>
      </c>
      <c r="G425" s="24" t="n"/>
      <c r="I425" s="26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77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77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77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77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77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77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77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77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77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77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77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29">
        <f>LEFT(B426,6)</f>
        <v/>
      </c>
      <c r="F426" s="14">
        <f>IF(SUMIFS($E$119:$E$151,$D$119:$D$151,E426)&lt;&gt;0,E426,0)</f>
        <v/>
      </c>
      <c r="G426" s="24" t="n"/>
      <c r="I426" s="26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77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77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77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77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77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77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77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77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77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77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77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29">
        <f>LEFT(B427,6)</f>
        <v/>
      </c>
      <c r="F427" s="14">
        <f>IF(SUMIFS($E$119:$E$151,$D$119:$D$151,E427)&lt;&gt;0,E427,0)</f>
        <v/>
      </c>
      <c r="G427" s="24" t="n"/>
      <c r="I427" s="26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77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77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77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77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77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77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77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77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77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77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77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29">
        <f>LEFT(B428,6)</f>
        <v/>
      </c>
      <c r="F428" s="14">
        <f>IF(SUMIFS($E$119:$E$151,$D$119:$D$151,E428)&lt;&gt;0,E428,0)</f>
        <v/>
      </c>
      <c r="G428" s="24" t="n"/>
      <c r="I428" s="26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77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77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77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77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77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77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77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77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77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77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77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29">
        <f>LEFT(B429,6)</f>
        <v/>
      </c>
      <c r="F429" s="14">
        <f>IF(SUMIFS($E$119:$E$151,$D$119:$D$151,E429)&lt;&gt;0,E429,0)</f>
        <v/>
      </c>
      <c r="G429" s="24" t="n"/>
      <c r="I429" s="26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77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77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77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77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77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77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77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77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77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77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77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29">
        <f>LEFT(B430,6)</f>
        <v/>
      </c>
      <c r="F430" s="14">
        <f>IF(SUMIFS($E$119:$E$151,$D$119:$D$151,E430)&lt;&gt;0,E430,0)</f>
        <v/>
      </c>
      <c r="G430" s="24" t="n"/>
      <c r="I430" s="26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77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77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77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77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77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77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77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77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77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77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77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29">
        <f>LEFT(B431,6)</f>
        <v/>
      </c>
      <c r="F431" s="14">
        <f>IF(SUMIFS($E$119:$E$151,$D$119:$D$151,E431)&lt;&gt;0,E431,0)</f>
        <v/>
      </c>
      <c r="G431" s="24" t="n"/>
      <c r="I431" s="26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77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77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77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77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77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77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77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77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77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77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77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29">
        <f>LEFT(B432,6)</f>
        <v/>
      </c>
      <c r="F432" s="14">
        <f>IF(SUMIFS($E$119:$E$151,$D$119:$D$151,E432)&lt;&gt;0,E432,0)</f>
        <v/>
      </c>
      <c r="G432" s="24" t="n"/>
      <c r="I432" s="26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77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77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77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77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77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77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77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77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77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77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77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29">
        <f>LEFT(B433,6)</f>
        <v/>
      </c>
      <c r="F433" s="14">
        <f>IF(SUMIFS($E$119:$E$151,$D$119:$D$151,E433)&lt;&gt;0,E433,0)</f>
        <v/>
      </c>
      <c r="G433" s="24" t="n"/>
      <c r="I433" s="26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77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77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77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77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77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77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77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77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77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77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77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29">
        <f>LEFT(B434,6)</f>
        <v/>
      </c>
      <c r="F434" s="14">
        <f>IF(SUMIFS($E$119:$E$151,$D$119:$D$151,E434)&lt;&gt;0,E434,0)</f>
        <v/>
      </c>
      <c r="G434" s="24" t="n"/>
      <c r="I434" s="26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77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77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77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77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77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77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77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77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77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77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77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29">
        <f>LEFT(B435,6)</f>
        <v/>
      </c>
      <c r="F435" s="14">
        <f>IF(SUMIFS($E$119:$E$151,$D$119:$D$151,E435)&lt;&gt;0,E435,0)</f>
        <v/>
      </c>
      <c r="G435" s="24" t="n"/>
      <c r="I435" s="26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77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77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77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77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77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77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77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77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77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77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77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29">
        <f>LEFT(B436,6)</f>
        <v/>
      </c>
      <c r="F436" s="14">
        <f>IF(SUMIFS($E$119:$E$151,$D$119:$D$151,E436)&lt;&gt;0,E436,0)</f>
        <v/>
      </c>
      <c r="G436" s="24" t="n"/>
      <c r="I436" s="26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77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77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77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77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77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77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77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77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77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77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77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29">
        <f>LEFT(B437,6)</f>
        <v/>
      </c>
      <c r="F437" s="14">
        <f>IF(SUMIFS($E$119:$E$151,$D$119:$D$151,E437)&lt;&gt;0,E437,0)</f>
        <v/>
      </c>
      <c r="G437" s="24" t="n"/>
      <c r="I437" s="26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77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77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77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77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77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77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77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77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77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77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77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29">
        <f>LEFT(B438,6)</f>
        <v/>
      </c>
      <c r="F438" s="14">
        <f>IF(SUMIFS($E$119:$E$151,$D$119:$D$151,E438)&lt;&gt;0,E438,0)</f>
        <v/>
      </c>
      <c r="G438" s="24" t="n"/>
      <c r="I438" s="26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77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77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77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77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77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77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77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77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77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77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77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29">
        <f>LEFT(B439,6)</f>
        <v/>
      </c>
      <c r="F439" s="14">
        <f>IF(SUMIFS($E$119:$E$151,$D$119:$D$151,E439)&lt;&gt;0,E439,0)</f>
        <v/>
      </c>
      <c r="G439" s="24" t="n"/>
      <c r="I439" s="26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77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77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77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77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77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77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77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77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77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77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77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29">
        <f>LEFT(B440,6)</f>
        <v/>
      </c>
      <c r="F440" s="14">
        <f>IF(SUMIFS($E$119:$E$151,$D$119:$D$151,E440)&lt;&gt;0,E440,0)</f>
        <v/>
      </c>
      <c r="G440" s="24" t="n"/>
      <c r="I440" s="26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77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77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77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77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77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77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77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77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77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77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77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29">
        <f>LEFT(B441,6)</f>
        <v/>
      </c>
      <c r="F441" s="14">
        <f>IF(SUMIFS($E$119:$E$151,$D$119:$D$151,E441)&lt;&gt;0,E441,0)</f>
        <v/>
      </c>
      <c r="G441" s="24" t="n"/>
      <c r="I441" s="26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77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77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77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77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77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77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77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77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77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77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77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29">
        <f>LEFT(B442,6)</f>
        <v/>
      </c>
      <c r="F442" s="14">
        <f>IF(SUMIFS($E$119:$E$151,$D$119:$D$151,E442)&lt;&gt;0,E442,0)</f>
        <v/>
      </c>
      <c r="G442" s="24" t="n"/>
      <c r="I442" s="26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77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77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77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77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77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77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77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77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77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77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77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29">
        <f>LEFT(B443,6)</f>
        <v/>
      </c>
      <c r="F443" s="14">
        <f>IF(SUMIFS($E$119:$E$151,$D$119:$D$151,E443)&lt;&gt;0,E443,0)</f>
        <v/>
      </c>
      <c r="G443" s="24" t="n"/>
      <c r="I443" s="26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77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77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77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77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77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77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77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77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77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77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77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29">
        <f>LEFT(B444,6)</f>
        <v/>
      </c>
      <c r="F444" s="14">
        <f>IF(SUMIFS($E$119:$E$151,$D$119:$D$151,E444)&lt;&gt;0,E444,0)</f>
        <v/>
      </c>
      <c r="G444" s="24" t="n"/>
      <c r="I444" s="26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77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77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77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77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77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77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77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77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77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77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77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29">
        <f>LEFT(B445,6)</f>
        <v/>
      </c>
      <c r="F445" s="14">
        <f>IF(SUMIFS($E$119:$E$151,$D$119:$D$151,E445)&lt;&gt;0,E445,0)</f>
        <v/>
      </c>
      <c r="G445" s="24" t="n"/>
      <c r="I445" s="26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77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77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77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77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77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77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77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77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77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77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77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29">
        <f>LEFT(B446,6)</f>
        <v/>
      </c>
      <c r="F446" s="14">
        <f>IF(SUMIFS($E$119:$E$151,$D$119:$D$151,E446)&lt;&gt;0,E446,0)</f>
        <v/>
      </c>
      <c r="G446" s="24" t="n"/>
      <c r="I446" s="26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77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77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77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77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77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77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77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77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77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77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77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29">
        <f>LEFT(B447,6)</f>
        <v/>
      </c>
      <c r="F447" s="14">
        <f>IF(SUMIFS($E$119:$E$151,$D$119:$D$151,E447)&lt;&gt;0,E447,0)</f>
        <v/>
      </c>
      <c r="G447" s="24" t="n"/>
      <c r="I447" s="26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77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77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77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77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77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77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77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77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77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77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77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29">
        <f>LEFT(B448,6)</f>
        <v/>
      </c>
      <c r="F448" s="14">
        <f>IF(SUMIFS($E$119:$E$151,$D$119:$D$151,E448)&lt;&gt;0,E448,0)</f>
        <v/>
      </c>
      <c r="G448" s="24" t="n"/>
      <c r="I448" s="26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77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77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77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77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77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77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77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77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77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77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77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29">
        <f>LEFT(B449,6)</f>
        <v/>
      </c>
      <c r="F449" s="14">
        <f>IF(SUMIFS($E$119:$E$151,$D$119:$D$151,E449)&lt;&gt;0,E449,0)</f>
        <v/>
      </c>
      <c r="G449" s="24" t="n"/>
      <c r="I449" s="26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77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77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77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77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77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77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77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77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77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77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77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29">
        <f>LEFT(B450,6)</f>
        <v/>
      </c>
      <c r="F450" s="14">
        <f>IF(SUMIFS($E$119:$E$151,$D$119:$D$151,E450)&lt;&gt;0,E450,0)</f>
        <v/>
      </c>
      <c r="G450" s="24" t="n"/>
      <c r="I450" s="26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77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77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77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77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77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77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77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77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77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77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77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29">
        <f>LEFT(B451,6)</f>
        <v/>
      </c>
      <c r="F451" s="14">
        <f>IF(SUMIFS($E$119:$E$151,$D$119:$D$151,E451)&lt;&gt;0,E451,0)</f>
        <v/>
      </c>
      <c r="G451" s="24" t="n"/>
      <c r="I451" s="26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77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77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77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77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77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77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77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77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77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77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77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29">
        <f>LEFT(B452,6)</f>
        <v/>
      </c>
      <c r="F452" s="14">
        <f>IF(SUMIFS($E$119:$E$151,$D$119:$D$151,E452)&lt;&gt;0,E452,0)</f>
        <v/>
      </c>
      <c r="G452" s="24" t="n"/>
      <c r="I452" s="26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77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77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77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77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77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77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77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77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77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77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77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29">
        <f>LEFT(B453,6)</f>
        <v/>
      </c>
      <c r="F453" s="14">
        <f>IF(SUMIFS($E$119:$E$151,$D$119:$D$151,E453)&lt;&gt;0,E453,0)</f>
        <v/>
      </c>
      <c r="G453" s="24" t="n"/>
      <c r="I453" s="26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77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77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77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77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77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77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77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77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77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77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77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29">
        <f>LEFT(B454,6)</f>
        <v/>
      </c>
      <c r="F454" s="14">
        <f>IF(SUMIFS($E$119:$E$151,$D$119:$D$151,E454)&lt;&gt;0,E454,0)</f>
        <v/>
      </c>
      <c r="G454" s="24" t="n"/>
      <c r="I454" s="26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77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77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77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77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77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77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77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77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77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77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77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29">
        <f>LEFT(B455,6)</f>
        <v/>
      </c>
      <c r="F455" s="14">
        <f>IF(SUMIFS($E$119:$E$151,$D$119:$D$151,E455)&lt;&gt;0,E455,0)</f>
        <v/>
      </c>
      <c r="G455" s="24" t="n"/>
      <c r="I455" s="26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77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77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77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77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77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77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77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77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77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77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77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29">
        <f>LEFT(B456,6)</f>
        <v/>
      </c>
      <c r="F456" s="14">
        <f>IF(SUMIFS($E$119:$E$151,$D$119:$D$151,E456)&lt;&gt;0,E456,0)</f>
        <v/>
      </c>
      <c r="G456" s="24" t="n"/>
      <c r="I456" s="26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77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77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77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77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77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77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77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77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77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77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77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29">
        <f>LEFT(B457,6)</f>
        <v/>
      </c>
      <c r="F457" s="14">
        <f>IF(SUMIFS($E$119:$E$151,$D$119:$D$151,E457)&lt;&gt;0,E457,0)</f>
        <v/>
      </c>
      <c r="G457" s="24" t="n"/>
      <c r="I457" s="26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77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77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77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77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77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77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77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77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77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77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77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29">
        <f>LEFT(B458,6)</f>
        <v/>
      </c>
      <c r="F458" s="14">
        <f>IF(SUMIFS($E$119:$E$151,$D$119:$D$151,E458)&lt;&gt;0,E458,0)</f>
        <v/>
      </c>
      <c r="G458" s="24" t="n"/>
      <c r="I458" s="26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77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77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77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77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77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77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77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77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77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77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77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29">
        <f>LEFT(B459,6)</f>
        <v/>
      </c>
      <c r="F459" s="14">
        <f>IF(SUMIFS($E$119:$E$151,$D$119:$D$151,E459)&lt;&gt;0,E459,0)</f>
        <v/>
      </c>
      <c r="G459" s="24" t="n"/>
      <c r="I459" s="26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77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77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77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77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77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77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77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77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77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77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77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29">
        <f>LEFT(B460,6)</f>
        <v/>
      </c>
      <c r="F460" s="14">
        <f>IF(SUMIFS($E$119:$E$151,$D$119:$D$151,E460)&lt;&gt;0,E460,0)</f>
        <v/>
      </c>
      <c r="G460" s="24" t="n"/>
      <c r="I460" s="26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77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77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77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77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77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77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77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77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77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77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77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29">
        <f>LEFT(B461,6)</f>
        <v/>
      </c>
      <c r="F461" s="14">
        <f>IF(SUMIFS($E$119:$E$151,$D$119:$D$151,E461)&lt;&gt;0,E461,0)</f>
        <v/>
      </c>
      <c r="G461" s="24" t="n"/>
      <c r="I461" s="26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77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77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77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77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77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77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77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77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77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77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77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29">
        <f>LEFT(B462,6)</f>
        <v/>
      </c>
      <c r="F462" s="14">
        <f>IF(SUMIFS($E$119:$E$151,$D$119:$D$151,E462)&lt;&gt;0,E462,0)</f>
        <v/>
      </c>
      <c r="G462" s="24" t="n"/>
      <c r="I462" s="26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77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77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77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77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77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77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77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77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77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77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77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29">
        <f>LEFT(B463,6)</f>
        <v/>
      </c>
      <c r="F463" s="14">
        <f>IF(SUMIFS($E$119:$E$151,$D$119:$D$151,E463)&lt;&gt;0,E463,0)</f>
        <v/>
      </c>
      <c r="G463" s="24" t="n"/>
      <c r="I463" s="26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77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77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77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77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77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77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77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77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77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77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77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29">
        <f>LEFT(B464,6)</f>
        <v/>
      </c>
      <c r="F464" s="14">
        <f>IF(SUMIFS($E$119:$E$151,$D$119:$D$151,E464)&lt;&gt;0,E464,0)</f>
        <v/>
      </c>
      <c r="G464" s="24" t="n"/>
      <c r="I464" s="26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77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77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77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77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77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77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77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77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77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77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77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29">
        <f>LEFT(B465,6)</f>
        <v/>
      </c>
      <c r="F465" s="14">
        <f>IF(SUMIFS($E$119:$E$151,$D$119:$D$151,E465)&lt;&gt;0,E465,0)</f>
        <v/>
      </c>
      <c r="G465" s="24" t="n"/>
      <c r="I465" s="26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77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77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77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77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77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77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77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77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77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77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77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29">
        <f>LEFT(B466,6)</f>
        <v/>
      </c>
      <c r="F466" s="14">
        <f>IF(SUMIFS($E$119:$E$151,$D$119:$D$151,E466)&lt;&gt;0,E466,0)</f>
        <v/>
      </c>
      <c r="G466" s="24" t="n"/>
      <c r="I466" s="26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77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77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77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77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77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77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77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77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77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77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77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29">
        <f>LEFT(B467,6)</f>
        <v/>
      </c>
      <c r="F467" s="14">
        <f>IF(SUMIFS($E$119:$E$151,$D$119:$D$151,E467)&lt;&gt;0,E467,0)</f>
        <v/>
      </c>
      <c r="G467" s="24" t="n"/>
      <c r="I467" s="26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77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77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77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77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77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77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77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77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77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77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77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29">
        <f>LEFT(B468,6)</f>
        <v/>
      </c>
      <c r="F468" s="14">
        <f>IF(SUMIFS($E$119:$E$151,$D$119:$D$151,E468)&lt;&gt;0,E468,0)</f>
        <v/>
      </c>
      <c r="G468" s="24" t="n"/>
      <c r="I468" s="26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77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77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77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77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77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77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77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77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77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77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77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29">
        <f>LEFT(B469,6)</f>
        <v/>
      </c>
      <c r="F469" s="14">
        <f>IF(SUMIFS($E$119:$E$151,$D$119:$D$151,E469)&lt;&gt;0,E469,0)</f>
        <v/>
      </c>
      <c r="G469" s="24" t="n"/>
      <c r="I469" s="26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77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77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77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77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77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77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77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77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77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77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77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29">
        <f>LEFT(B470,6)</f>
        <v/>
      </c>
      <c r="F470" s="14">
        <f>IF(SUMIFS($E$119:$E$151,$D$119:$D$151,E470)&lt;&gt;0,E470,0)</f>
        <v/>
      </c>
      <c r="G470" s="24" t="n"/>
      <c r="I470" s="26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77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77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77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77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77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77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77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77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77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77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77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29">
        <f>LEFT(B471,6)</f>
        <v/>
      </c>
      <c r="F471" s="14">
        <f>IF(SUMIFS($E$119:$E$151,$D$119:$D$151,E471)&lt;&gt;0,E471,0)</f>
        <v/>
      </c>
      <c r="G471" s="24" t="n"/>
      <c r="I471" s="26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77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77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77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77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77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77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77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77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77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77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77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29">
        <f>LEFT(B472,6)</f>
        <v/>
      </c>
      <c r="F472" s="14">
        <f>IF(SUMIFS($E$119:$E$151,$D$119:$D$151,E472)&lt;&gt;0,E472,0)</f>
        <v/>
      </c>
      <c r="G472" s="24" t="n"/>
      <c r="I472" s="26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77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77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77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77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77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77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77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77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77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77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77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29">
        <f>LEFT(B473,6)</f>
        <v/>
      </c>
      <c r="F473" s="14">
        <f>IF(SUMIFS($E$119:$E$151,$D$119:$D$151,E473)&lt;&gt;0,E473,0)</f>
        <v/>
      </c>
      <c r="G473" s="24" t="n"/>
      <c r="I473" s="26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77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77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77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77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77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77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77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77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77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77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77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29">
        <f>LEFT(B474,6)</f>
        <v/>
      </c>
      <c r="F474" s="14">
        <f>IF(SUMIFS($E$119:$E$151,$D$119:$D$151,E474)&lt;&gt;0,E474,0)</f>
        <v/>
      </c>
      <c r="G474" s="24" t="n"/>
      <c r="I474" s="26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77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77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77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77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77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77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77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77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77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77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77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29">
        <f>LEFT(B475,6)</f>
        <v/>
      </c>
      <c r="F475" s="14">
        <f>IF(SUMIFS($E$119:$E$151,$D$119:$D$151,E475)&lt;&gt;0,E475,0)</f>
        <v/>
      </c>
      <c r="G475" s="24" t="n"/>
      <c r="I475" s="26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77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77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77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77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77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77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77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77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77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77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77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29">
        <f>LEFT(B476,6)</f>
        <v/>
      </c>
      <c r="F476" s="14">
        <f>IF(SUMIFS($E$119:$E$151,$D$119:$D$151,E476)&lt;&gt;0,E476,0)</f>
        <v/>
      </c>
      <c r="G476" s="24" t="n"/>
      <c r="I476" s="26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77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77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77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77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77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77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77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77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77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77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77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29">
        <f>LEFT(B477,6)</f>
        <v/>
      </c>
      <c r="F477" s="14">
        <f>IF(SUMIFS($E$119:$E$151,$D$119:$D$151,E477)&lt;&gt;0,E477,0)</f>
        <v/>
      </c>
      <c r="G477" s="24" t="n"/>
      <c r="I477" s="26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77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77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77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77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77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77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77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77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77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77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77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29">
        <f>LEFT(B478,6)</f>
        <v/>
      </c>
      <c r="F478" s="14">
        <f>IF(SUMIFS($E$119:$E$151,$D$119:$D$151,E478)&lt;&gt;0,E478,0)</f>
        <v/>
      </c>
      <c r="G478" s="24" t="n"/>
      <c r="I478" s="26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77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77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77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77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77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77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77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77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77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77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77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29">
        <f>LEFT(B479,6)</f>
        <v/>
      </c>
      <c r="F479" s="14">
        <f>IF(SUMIFS($E$119:$E$151,$D$119:$D$151,E479)&lt;&gt;0,E479,0)</f>
        <v/>
      </c>
      <c r="G479" s="24" t="n"/>
      <c r="I479" s="26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77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77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77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77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77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77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77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77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77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77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77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29">
        <f>LEFT(B480,6)</f>
        <v/>
      </c>
      <c r="F480" s="14">
        <f>IF(SUMIFS($E$119:$E$151,$D$119:$D$151,E480)&lt;&gt;0,E480,0)</f>
        <v/>
      </c>
      <c r="G480" s="24" t="n"/>
      <c r="I480" s="26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77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77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77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77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77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77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77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77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77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77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77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29">
        <f>LEFT(B481,6)</f>
        <v/>
      </c>
      <c r="F481" s="14">
        <f>IF(SUMIFS($E$119:$E$151,$D$119:$D$151,E481)&lt;&gt;0,E481,0)</f>
        <v/>
      </c>
      <c r="G481" s="24" t="n"/>
      <c r="I481" s="26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77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77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77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77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77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77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77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77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77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77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77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29">
        <f>LEFT(B482,6)</f>
        <v/>
      </c>
      <c r="F482" s="14">
        <f>IF(SUMIFS($E$119:$E$151,$D$119:$D$151,E482)&lt;&gt;0,E482,0)</f>
        <v/>
      </c>
      <c r="G482" s="24" t="n"/>
      <c r="I482" s="26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77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77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77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77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77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77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77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77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77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77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77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29">
        <f>LEFT(B483,6)</f>
        <v/>
      </c>
      <c r="F483" s="14">
        <f>IF(SUMIFS($E$119:$E$151,$D$119:$D$151,E483)&lt;&gt;0,E483,0)</f>
        <v/>
      </c>
      <c r="G483" s="24" t="n"/>
      <c r="I483" s="26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77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77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77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77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77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77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77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77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77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77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77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29">
        <f>LEFT(B484,6)</f>
        <v/>
      </c>
      <c r="F484" s="14">
        <f>IF(SUMIFS($E$119:$E$151,$D$119:$D$151,E484)&lt;&gt;0,E484,0)</f>
        <v/>
      </c>
      <c r="G484" s="24" t="n"/>
      <c r="I484" s="26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77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77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77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77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77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77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77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77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77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77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77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29">
        <f>LEFT(B485,6)</f>
        <v/>
      </c>
      <c r="F485" s="14">
        <f>IF(SUMIFS($E$119:$E$151,$D$119:$D$151,E485)&lt;&gt;0,E485,0)</f>
        <v/>
      </c>
      <c r="G485" s="24" t="n"/>
      <c r="I485" s="26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77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77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77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77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77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77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77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77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77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77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77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29">
        <f>LEFT(B486,6)</f>
        <v/>
      </c>
      <c r="F486" s="14">
        <f>IF(SUMIFS($E$119:$E$151,$D$119:$D$151,E486)&lt;&gt;0,E486,0)</f>
        <v/>
      </c>
      <c r="G486" s="24" t="n"/>
      <c r="I486" s="26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77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77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77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77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77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77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77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77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77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77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77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29">
        <f>LEFT(B487,6)</f>
        <v/>
      </c>
      <c r="F487" s="14">
        <f>IF(SUMIFS($E$119:$E$151,$D$119:$D$151,E487)&lt;&gt;0,E487,0)</f>
        <v/>
      </c>
      <c r="G487" s="24" t="n"/>
      <c r="I487" s="26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77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77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77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77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77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77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77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77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77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77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77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29">
        <f>LEFT(B488,6)</f>
        <v/>
      </c>
      <c r="F488" s="14">
        <f>IF(SUMIFS($E$119:$E$151,$D$119:$D$151,E488)&lt;&gt;0,E488,0)</f>
        <v/>
      </c>
      <c r="G488" s="24" t="n"/>
      <c r="I488" s="26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77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77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77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77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77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77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77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77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77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77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77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29">
        <f>LEFT(B489,6)</f>
        <v/>
      </c>
      <c r="F489" s="14">
        <f>IF(SUMIFS($E$119:$E$151,$D$119:$D$151,E489)&lt;&gt;0,E489,0)</f>
        <v/>
      </c>
      <c r="G489" s="24" t="n"/>
      <c r="I489" s="26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77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77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77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77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77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77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77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77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77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77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77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29">
        <f>LEFT(B490,6)</f>
        <v/>
      </c>
      <c r="F490" s="14">
        <f>IF(SUMIFS($E$119:$E$151,$D$119:$D$151,E490)&lt;&gt;0,E490,0)</f>
        <v/>
      </c>
      <c r="G490" s="24" t="n"/>
      <c r="I490" s="26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77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77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77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77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77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77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77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77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77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77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77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29">
        <f>LEFT(B491,6)</f>
        <v/>
      </c>
      <c r="F491" s="14">
        <f>IF(SUMIFS($E$119:$E$151,$D$119:$D$151,E491)&lt;&gt;0,E491,0)</f>
        <v/>
      </c>
      <c r="G491" s="24" t="n"/>
      <c r="I491" s="26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77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77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77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77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77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77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77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77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77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77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77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29">
        <f>LEFT(B492,6)</f>
        <v/>
      </c>
      <c r="F492" s="14">
        <f>IF(SUMIFS($E$119:$E$151,$D$119:$D$151,E492)&lt;&gt;0,E492,0)</f>
        <v/>
      </c>
      <c r="G492" s="24" t="n"/>
      <c r="I492" s="26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77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77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77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77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77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77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77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77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77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77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77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29">
        <f>LEFT(B493,6)</f>
        <v/>
      </c>
      <c r="F493" s="14">
        <f>IF(SUMIFS($E$119:$E$151,$D$119:$D$151,E493)&lt;&gt;0,E493,0)</f>
        <v/>
      </c>
      <c r="G493" s="24" t="n"/>
      <c r="I493" s="26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77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77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77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77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77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77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77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77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77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77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77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29">
        <f>LEFT(B494,6)</f>
        <v/>
      </c>
      <c r="F494" s="14">
        <f>IF(SUMIFS($E$119:$E$151,$D$119:$D$151,E494)&lt;&gt;0,E494,0)</f>
        <v/>
      </c>
      <c r="G494" s="24" t="n"/>
      <c r="I494" s="26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77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77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77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77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77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77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77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77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77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77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77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29">
        <f>LEFT(B495,6)</f>
        <v/>
      </c>
      <c r="F495" s="14">
        <f>IF(SUMIFS($E$119:$E$151,$D$119:$D$151,E495)&lt;&gt;0,E495,0)</f>
        <v/>
      </c>
      <c r="G495" s="24" t="n"/>
      <c r="I495" s="26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77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77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77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77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77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77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77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77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77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77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77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29">
        <f>LEFT(B496,6)</f>
        <v/>
      </c>
      <c r="F496" s="14">
        <f>IF(SUMIFS($E$119:$E$151,$D$119:$D$151,E496)&lt;&gt;0,E496,0)</f>
        <v/>
      </c>
      <c r="G496" s="24" t="n"/>
      <c r="I496" s="26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77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77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77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77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77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77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77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77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77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77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77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29">
        <f>LEFT(B497,6)</f>
        <v/>
      </c>
      <c r="F497" s="14">
        <f>IF(SUMIFS($E$119:$E$151,$D$119:$D$151,E497)&lt;&gt;0,E497,0)</f>
        <v/>
      </c>
      <c r="G497" s="24" t="n"/>
      <c r="I497" s="26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77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77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77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77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77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77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77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77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77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77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77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29">
        <f>LEFT(B498,6)</f>
        <v/>
      </c>
      <c r="F498" s="14">
        <f>IF(SUMIFS($E$119:$E$151,$D$119:$D$151,E498)&lt;&gt;0,E498,0)</f>
        <v/>
      </c>
      <c r="G498" s="24" t="n"/>
      <c r="I498" s="26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77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77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77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77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77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77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77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77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77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77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77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29">
        <f>LEFT(B499,6)</f>
        <v/>
      </c>
      <c r="F499" s="14">
        <f>IF(SUMIFS($E$119:$E$151,$D$119:$D$151,E499)&lt;&gt;0,E499,0)</f>
        <v/>
      </c>
      <c r="G499" s="24" t="n"/>
      <c r="I499" s="26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77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77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77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77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77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77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77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77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77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77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77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29">
        <f>LEFT(B500,6)</f>
        <v/>
      </c>
      <c r="F500" s="14">
        <f>IF(SUMIFS($E$119:$E$151,$D$119:$D$151,E500)&lt;&gt;0,E500,0)</f>
        <v/>
      </c>
      <c r="G500" s="24" t="n"/>
      <c r="I500" s="26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77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77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77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77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77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77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77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77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77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77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77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29">
        <f>LEFT(B501,6)</f>
        <v/>
      </c>
      <c r="F501" s="14">
        <f>IF(SUMIFS($E$119:$E$151,$D$119:$D$151,E501)&lt;&gt;0,E501,0)</f>
        <v/>
      </c>
      <c r="G501" s="24" t="n"/>
      <c r="I501" s="26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77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77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77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77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77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77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77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77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77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77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77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29">
        <f>LEFT(B502,6)</f>
        <v/>
      </c>
      <c r="F502" s="14">
        <f>IF(SUMIFS($E$119:$E$151,$D$119:$D$151,E502)&lt;&gt;0,E502,0)</f>
        <v/>
      </c>
      <c r="G502" s="24" t="n"/>
      <c r="I502" s="26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77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77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77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77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77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77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77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77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77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77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77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29">
        <f>LEFT(B503,6)</f>
        <v/>
      </c>
      <c r="F503" s="14">
        <f>IF(SUMIFS($E$119:$E$151,$D$119:$D$151,E503)&lt;&gt;0,E503,0)</f>
        <v/>
      </c>
      <c r="G503" s="24" t="n"/>
      <c r="I503" s="26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77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77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77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77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77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77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77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77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77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77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77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29">
        <f>LEFT(B504,6)</f>
        <v/>
      </c>
      <c r="F504" s="14">
        <f>IF(SUMIFS($E$119:$E$151,$D$119:$D$151,E504)&lt;&gt;0,E504,0)</f>
        <v/>
      </c>
      <c r="G504" s="24" t="n"/>
      <c r="I504" s="26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77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77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77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77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77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77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77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77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77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77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77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29">
        <f>LEFT(B505,6)</f>
        <v/>
      </c>
      <c r="F505" s="14">
        <f>IF(SUMIFS($E$119:$E$151,$D$119:$D$151,E505)&lt;&gt;0,E505,0)</f>
        <v/>
      </c>
      <c r="G505" s="24" t="n"/>
      <c r="I505" s="26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77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77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77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77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77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77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77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77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77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77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77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29">
        <f>LEFT(B506,6)</f>
        <v/>
      </c>
      <c r="F506" s="14">
        <f>IF(SUMIFS($E$119:$E$151,$D$119:$D$151,E506)&lt;&gt;0,E506,0)</f>
        <v/>
      </c>
      <c r="G506" s="24" t="n"/>
      <c r="I506" s="26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77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77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77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77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77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77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77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77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77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77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77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29">
        <f>LEFT(B507,6)</f>
        <v/>
      </c>
      <c r="F507" s="14">
        <f>IF(SUMIFS($E$119:$E$151,$D$119:$D$151,E507)&lt;&gt;0,E507,0)</f>
        <v/>
      </c>
      <c r="G507" s="24" t="n"/>
      <c r="I507" s="26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77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77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77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77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77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77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77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77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77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77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77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29">
        <f>LEFT(B508,6)</f>
        <v/>
      </c>
      <c r="F508" s="14">
        <f>IF(SUMIFS($E$119:$E$151,$D$119:$D$151,E508)&lt;&gt;0,E508,0)</f>
        <v/>
      </c>
      <c r="G508" s="24" t="n"/>
      <c r="I508" s="26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77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77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77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77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77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77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77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77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77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77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77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29">
        <f>LEFT(B509,6)</f>
        <v/>
      </c>
      <c r="F509" s="14">
        <f>IF(SUMIFS($E$119:$E$151,$D$119:$D$151,E509)&lt;&gt;0,E509,0)</f>
        <v/>
      </c>
      <c r="G509" s="24" t="n"/>
      <c r="I509" s="26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77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77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77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77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77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77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77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77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77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77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77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29">
        <f>LEFT(B510,6)</f>
        <v/>
      </c>
      <c r="F510" s="14">
        <f>IF(SUMIFS($E$119:$E$151,$D$119:$D$151,E510)&lt;&gt;0,E510,0)</f>
        <v/>
      </c>
      <c r="G510" s="24" t="n"/>
      <c r="I510" s="26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77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77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77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77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77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77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77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77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77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77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77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29">
        <f>LEFT(B511,6)</f>
        <v/>
      </c>
      <c r="F511" s="14">
        <f>IF(SUMIFS($E$119:$E$151,$D$119:$D$151,E511)&lt;&gt;0,E511,0)</f>
        <v/>
      </c>
      <c r="G511" s="24" t="n"/>
      <c r="I511" s="26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77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77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77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77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77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77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77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77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77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77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77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29">
        <f>LEFT(B512,6)</f>
        <v/>
      </c>
      <c r="F512" s="14">
        <f>IF(SUMIFS($E$119:$E$151,$D$119:$D$151,E512)&lt;&gt;0,E512,0)</f>
        <v/>
      </c>
      <c r="G512" s="24" t="n"/>
      <c r="I512" s="26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77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77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77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77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77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77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77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77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77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77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77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29">
        <f>LEFT(B513,6)</f>
        <v/>
      </c>
      <c r="F513" s="14">
        <f>IF(SUMIFS($E$119:$E$151,$D$119:$D$151,E513)&lt;&gt;0,E513,0)</f>
        <v/>
      </c>
      <c r="G513" s="24" t="n"/>
      <c r="I513" s="26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77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77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77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77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77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77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77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77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77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77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77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29">
        <f>LEFT(B514,6)</f>
        <v/>
      </c>
      <c r="F514" s="14">
        <f>IF(SUMIFS($E$119:$E$151,$D$119:$D$151,E514)&lt;&gt;0,E514,0)</f>
        <v/>
      </c>
      <c r="G514" s="24" t="n"/>
      <c r="I514" s="26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77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77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77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77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77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77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77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77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77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77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77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29">
        <f>LEFT(B515,6)</f>
        <v/>
      </c>
      <c r="F515" s="14">
        <f>IF(SUMIFS($E$119:$E$151,$D$119:$D$151,E515)&lt;&gt;0,E515,0)</f>
        <v/>
      </c>
      <c r="G515" s="24" t="n"/>
      <c r="I515" s="26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77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77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77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77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77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77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77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77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77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77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77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29">
        <f>LEFT(B516,6)</f>
        <v/>
      </c>
      <c r="F516" s="14">
        <f>IF(SUMIFS($E$119:$E$151,$D$119:$D$151,E516)&lt;&gt;0,E516,0)</f>
        <v/>
      </c>
      <c r="G516" s="24" t="n"/>
      <c r="I516" s="26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77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77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77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77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77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77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77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77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77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77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77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29">
        <f>LEFT(B517,6)</f>
        <v/>
      </c>
      <c r="F517" s="14">
        <f>IF(SUMIFS($E$119:$E$151,$D$119:$D$151,E517)&lt;&gt;0,E517,0)</f>
        <v/>
      </c>
      <c r="G517" s="24" t="n"/>
      <c r="I517" s="26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77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77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77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77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77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77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77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77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77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77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77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29">
        <f>LEFT(B518,6)</f>
        <v/>
      </c>
      <c r="F518" s="14">
        <f>IF(SUMIFS($E$119:$E$151,$D$119:$D$151,E518)&lt;&gt;0,E518,0)</f>
        <v/>
      </c>
      <c r="G518" s="24" t="n"/>
      <c r="I518" s="26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77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77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77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77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77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77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77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77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77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77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77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29">
        <f>LEFT(B519,6)</f>
        <v/>
      </c>
      <c r="F519" s="14">
        <f>IF(SUMIFS($E$119:$E$151,$D$119:$D$151,E519)&lt;&gt;0,E519,0)</f>
        <v/>
      </c>
      <c r="G519" s="24" t="n"/>
      <c r="I519" s="26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77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77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77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77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77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77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77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77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77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77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77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29">
        <f>LEFT(B520,6)</f>
        <v/>
      </c>
      <c r="F520" s="14">
        <f>IF(SUMIFS($E$119:$E$151,$D$119:$D$151,E520)&lt;&gt;0,E520,0)</f>
        <v/>
      </c>
      <c r="G520" s="24" t="n"/>
      <c r="I520" s="26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77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77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77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77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77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77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77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77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77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77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77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29">
        <f>LEFT(B521,6)</f>
        <v/>
      </c>
      <c r="F521" s="14">
        <f>IF(SUMIFS($E$119:$E$151,$D$119:$D$151,E521)&lt;&gt;0,E521,0)</f>
        <v/>
      </c>
      <c r="G521" s="24" t="n"/>
      <c r="I521" s="26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77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77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77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77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77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77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77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77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77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77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77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29">
        <f>LEFT(B522,6)</f>
        <v/>
      </c>
      <c r="F522" s="14">
        <f>IF(SUMIFS($E$119:$E$151,$D$119:$D$151,E522)&lt;&gt;0,E522,0)</f>
        <v/>
      </c>
      <c r="G522" s="24" t="n"/>
      <c r="I522" s="26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77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77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77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77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77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77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77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77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77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77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77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29">
        <f>LEFT(B523,6)</f>
        <v/>
      </c>
      <c r="F523" s="14">
        <f>IF(SUMIFS($E$119:$E$151,$D$119:$D$151,E523)&lt;&gt;0,E523,0)</f>
        <v/>
      </c>
      <c r="G523" s="24" t="n"/>
      <c r="I523" s="26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77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77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77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77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77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77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77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77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77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77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77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29">
        <f>LEFT(B524,6)</f>
        <v/>
      </c>
      <c r="F524" s="14">
        <f>IF(SUMIFS($E$119:$E$151,$D$119:$D$151,E524)&lt;&gt;0,E524,0)</f>
        <v/>
      </c>
      <c r="G524" s="24" t="n"/>
      <c r="I524" s="26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77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77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77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77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77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77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77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77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77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77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77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29">
        <f>LEFT(B525,6)</f>
        <v/>
      </c>
      <c r="F525" s="14">
        <f>IF(SUMIFS($E$119:$E$151,$D$119:$D$151,E525)&lt;&gt;0,E525,0)</f>
        <v/>
      </c>
      <c r="G525" s="24" t="n"/>
      <c r="I525" s="26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77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77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77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77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77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77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77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77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77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77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77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29">
        <f>LEFT(B526,6)</f>
        <v/>
      </c>
      <c r="F526" s="14">
        <f>IF(SUMIFS($E$119:$E$151,$D$119:$D$151,E526)&lt;&gt;0,E526,0)</f>
        <v/>
      </c>
      <c r="G526" s="24" t="n"/>
      <c r="I526" s="26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77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77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77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77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77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77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77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77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77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77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77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29">
        <f>LEFT(B527,6)</f>
        <v/>
      </c>
      <c r="F527" s="14">
        <f>IF(SUMIFS($E$119:$E$151,$D$119:$D$151,E527)&lt;&gt;0,E527,0)</f>
        <v/>
      </c>
      <c r="G527" s="24" t="n"/>
      <c r="I527" s="26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77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77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77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77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77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77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77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77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77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77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77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29">
        <f>LEFT(B528,6)</f>
        <v/>
      </c>
      <c r="F528" s="14">
        <f>IF(SUMIFS($E$119:$E$151,$D$119:$D$151,E528)&lt;&gt;0,E528,0)</f>
        <v/>
      </c>
      <c r="G528" s="24" t="n"/>
      <c r="I528" s="26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77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77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77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77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77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77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77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77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77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77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77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29">
        <f>LEFT(B529,6)</f>
        <v/>
      </c>
      <c r="F529" s="14">
        <f>IF(SUMIFS($E$119:$E$151,$D$119:$D$151,E529)&lt;&gt;0,E529,0)</f>
        <v/>
      </c>
      <c r="G529" s="24" t="n"/>
      <c r="I529" s="26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77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77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77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77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77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77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77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77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77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77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77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29">
        <f>LEFT(B530,6)</f>
        <v/>
      </c>
      <c r="F530" s="14">
        <f>IF(SUMIFS($E$119:$E$151,$D$119:$D$151,E530)&lt;&gt;0,E530,0)</f>
        <v/>
      </c>
      <c r="G530" s="24" t="n"/>
      <c r="I530" s="26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77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77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77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77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77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77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77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77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77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77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77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29">
        <f>LEFT(B531,6)</f>
        <v/>
      </c>
      <c r="F531" s="14">
        <f>IF(SUMIFS($E$119:$E$151,$D$119:$D$151,E531)&lt;&gt;0,E531,0)</f>
        <v/>
      </c>
      <c r="G531" s="24" t="n"/>
      <c r="I531" s="26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77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77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77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77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77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77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77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77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77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77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77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29">
        <f>LEFT(B532,6)</f>
        <v/>
      </c>
      <c r="F532" s="14">
        <f>IF(SUMIFS($E$119:$E$151,$D$119:$D$151,E532)&lt;&gt;0,E532,0)</f>
        <v/>
      </c>
      <c r="G532" s="24" t="n"/>
      <c r="I532" s="26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77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77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77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77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77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77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77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77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77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77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77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29">
        <f>LEFT(B533,6)</f>
        <v/>
      </c>
      <c r="F533" s="14">
        <f>IF(SUMIFS($E$119:$E$151,$D$119:$D$151,E533)&lt;&gt;0,E533,0)</f>
        <v/>
      </c>
      <c r="G533" s="24" t="n"/>
      <c r="I533" s="26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77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77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77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77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77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77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77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77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77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77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77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29">
        <f>LEFT(B534,6)</f>
        <v/>
      </c>
      <c r="F534" s="14">
        <f>IF(SUMIFS($E$119:$E$151,$D$119:$D$151,E534)&lt;&gt;0,E534,0)</f>
        <v/>
      </c>
      <c r="G534" s="24" t="n"/>
      <c r="I534" s="26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77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77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77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77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77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77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77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77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77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77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77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29">
        <f>LEFT(B535,6)</f>
        <v/>
      </c>
      <c r="F535" s="14">
        <f>IF(SUMIFS($E$119:$E$151,$D$119:$D$151,E535)&lt;&gt;0,E535,0)</f>
        <v/>
      </c>
      <c r="G535" s="24" t="n"/>
      <c r="I535" s="26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77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77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77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77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77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77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77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77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77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77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77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29">
        <f>LEFT(B536,6)</f>
        <v/>
      </c>
      <c r="F536" s="14">
        <f>IF(SUMIFS($E$119:$E$151,$D$119:$D$151,E536)&lt;&gt;0,E536,0)</f>
        <v/>
      </c>
      <c r="G536" s="24" t="n"/>
      <c r="I536" s="26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77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77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77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77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77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77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77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77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77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77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77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29">
        <f>LEFT(B537,6)</f>
        <v/>
      </c>
      <c r="F537" s="14">
        <f>IF(SUMIFS($E$119:$E$151,$D$119:$D$151,E537)&lt;&gt;0,E537,0)</f>
        <v/>
      </c>
      <c r="G537" s="24" t="n"/>
      <c r="I537" s="26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77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77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77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77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77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77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77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77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77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77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77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29">
        <f>LEFT(B538,6)</f>
        <v/>
      </c>
      <c r="F538" s="14">
        <f>IF(SUMIFS($E$119:$E$151,$D$119:$D$151,E538)&lt;&gt;0,E538,0)</f>
        <v/>
      </c>
      <c r="G538" s="24" t="n"/>
      <c r="I538" s="26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77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77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77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77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77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77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77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77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77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77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77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29">
        <f>LEFT(B539,6)</f>
        <v/>
      </c>
      <c r="F539" s="14">
        <f>IF(SUMIFS($E$119:$E$151,$D$119:$D$151,E539)&lt;&gt;0,E539,0)</f>
        <v/>
      </c>
      <c r="G539" s="24" t="n"/>
      <c r="I539" s="26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77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77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77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77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77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77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77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77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77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77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77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29">
        <f>LEFT(B540,6)</f>
        <v/>
      </c>
      <c r="F540" s="14">
        <f>IF(SUMIFS($E$119:$E$151,$D$119:$D$151,E540)&lt;&gt;0,E540,0)</f>
        <v/>
      </c>
      <c r="G540" s="24" t="n"/>
      <c r="I540" s="26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77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77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77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77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77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77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77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77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77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77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77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29">
        <f>LEFT(B541,6)</f>
        <v/>
      </c>
      <c r="F541" s="14">
        <f>IF(SUMIFS($E$119:$E$151,$D$119:$D$151,E541)&lt;&gt;0,E541,0)</f>
        <v/>
      </c>
      <c r="G541" s="24" t="n"/>
      <c r="I541" s="26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77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77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77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77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77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77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77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77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77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77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77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29">
        <f>LEFT(B542,6)</f>
        <v/>
      </c>
      <c r="F542" s="14">
        <f>IF(SUMIFS($E$119:$E$151,$D$119:$D$151,E542)&lt;&gt;0,E542,0)</f>
        <v/>
      </c>
      <c r="G542" s="24" t="n"/>
      <c r="I542" s="26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77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77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77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77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77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77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77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77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77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77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77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29">
        <f>LEFT(B543,6)</f>
        <v/>
      </c>
      <c r="F543" s="14">
        <f>IF(SUMIFS($E$119:$E$151,$D$119:$D$151,E543)&lt;&gt;0,E543,0)</f>
        <v/>
      </c>
      <c r="G543" s="24" t="n"/>
      <c r="I543" s="26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77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77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77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77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77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77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77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77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77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77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77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29">
        <f>LEFT(B544,6)</f>
        <v/>
      </c>
      <c r="F544" s="14">
        <f>IF(SUMIFS($E$119:$E$151,$D$119:$D$151,E544)&lt;&gt;0,E544,0)</f>
        <v/>
      </c>
      <c r="G544" s="24" t="n"/>
      <c r="I544" s="26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77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77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77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77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77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77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77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77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77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77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77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29">
        <f>LEFT(B545,6)</f>
        <v/>
      </c>
      <c r="F545" s="14">
        <f>IF(SUMIFS($E$119:$E$151,$D$119:$D$151,E545)&lt;&gt;0,E545,0)</f>
        <v/>
      </c>
      <c r="G545" s="24" t="n"/>
      <c r="I545" s="26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77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77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77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77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77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77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77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77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77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77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77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29">
        <f>LEFT(B546,6)</f>
        <v/>
      </c>
      <c r="F546" s="14">
        <f>IF(SUMIFS($E$119:$E$151,$D$119:$D$151,E546)&lt;&gt;0,E546,0)</f>
        <v/>
      </c>
      <c r="G546" s="24" t="n"/>
      <c r="I546" s="26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77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77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77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77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77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77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77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77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77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77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77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29">
        <f>LEFT(B547,6)</f>
        <v/>
      </c>
      <c r="F547" s="14">
        <f>IF(SUMIFS($E$119:$E$151,$D$119:$D$151,E547)&lt;&gt;0,E547,0)</f>
        <v/>
      </c>
      <c r="G547" s="24" t="n"/>
      <c r="I547" s="26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77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77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77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77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77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77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77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77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77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77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77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29">
        <f>LEFT(B548,6)</f>
        <v/>
      </c>
      <c r="F548" s="14">
        <f>IF(SUMIFS($E$119:$E$151,$D$119:$D$151,E548)&lt;&gt;0,E548,0)</f>
        <v/>
      </c>
      <c r="G548" s="24" t="n"/>
      <c r="I548" s="26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77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77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77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77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77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77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77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77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77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77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77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29">
        <f>LEFT(B549,6)</f>
        <v/>
      </c>
      <c r="F549" s="14">
        <f>IF(SUMIFS($E$119:$E$151,$D$119:$D$151,E549)&lt;&gt;0,E549,0)</f>
        <v/>
      </c>
      <c r="G549" s="24" t="n"/>
      <c r="I549" s="26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77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77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77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77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77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77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77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77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77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77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77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29">
        <f>LEFT(B550,6)</f>
        <v/>
      </c>
      <c r="F550" s="14">
        <f>IF(SUMIFS($E$119:$E$151,$D$119:$D$151,E550)&lt;&gt;0,E550,0)</f>
        <v/>
      </c>
      <c r="G550" s="24" t="n"/>
      <c r="I550" s="26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77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77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77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77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77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77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77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77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77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77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77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29">
        <f>LEFT(B551,6)</f>
        <v/>
      </c>
      <c r="F551" s="14">
        <f>IF(SUMIFS($E$119:$E$151,$D$119:$D$151,E551)&lt;&gt;0,E551,0)</f>
        <v/>
      </c>
      <c r="G551" s="24" t="n"/>
      <c r="I551" s="26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77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77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77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77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77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77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77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77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77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77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77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29">
        <f>LEFT(B552,6)</f>
        <v/>
      </c>
      <c r="F552" s="14">
        <f>IF(SUMIFS($E$119:$E$151,$D$119:$D$151,E552)&lt;&gt;0,E552,0)</f>
        <v/>
      </c>
      <c r="G552" s="24" t="n"/>
      <c r="I552" s="26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77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77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77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77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77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77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77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77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77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77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77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29">
        <f>LEFT(B553,6)</f>
        <v/>
      </c>
      <c r="F553" s="14">
        <f>IF(SUMIFS($E$119:$E$151,$D$119:$D$151,E553)&lt;&gt;0,E553,0)</f>
        <v/>
      </c>
      <c r="G553" s="24" t="n"/>
      <c r="I553" s="26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77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77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77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77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77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77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77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77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77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77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77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29">
        <f>LEFT(B554,6)</f>
        <v/>
      </c>
      <c r="F554" s="14">
        <f>IF(SUMIFS($E$119:$E$151,$D$119:$D$151,E554)&lt;&gt;0,E554,0)</f>
        <v/>
      </c>
      <c r="G554" s="24" t="n"/>
      <c r="I554" s="26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77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77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77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77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77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77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77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77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77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77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77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29">
        <f>LEFT(B555,6)</f>
        <v/>
      </c>
      <c r="F555" s="14">
        <f>IF(SUMIFS($E$119:$E$151,$D$119:$D$151,E555)&lt;&gt;0,E555,0)</f>
        <v/>
      </c>
      <c r="G555" s="24" t="n"/>
      <c r="I555" s="26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77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77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77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77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77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77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77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77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77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77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77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29">
        <f>LEFT(B556,6)</f>
        <v/>
      </c>
      <c r="F556" s="14">
        <f>IF(SUMIFS($E$119:$E$151,$D$119:$D$151,E556)&lt;&gt;0,E556,0)</f>
        <v/>
      </c>
      <c r="G556" s="24" t="n"/>
      <c r="I556" s="26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77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77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77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77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77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77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77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77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77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77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77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29">
        <f>LEFT(B557,6)</f>
        <v/>
      </c>
      <c r="F557" s="14">
        <f>IF(SUMIFS($E$119:$E$151,$D$119:$D$151,E557)&lt;&gt;0,E557,0)</f>
        <v/>
      </c>
      <c r="G557" s="24" t="n"/>
      <c r="I557" s="26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77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77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77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77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77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77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77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77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77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77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77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29">
        <f>LEFT(B558,6)</f>
        <v/>
      </c>
      <c r="F558" s="14">
        <f>IF(SUMIFS($E$119:$E$151,$D$119:$D$151,E558)&lt;&gt;0,E558,0)</f>
        <v/>
      </c>
      <c r="G558" s="24" t="n"/>
      <c r="I558" s="26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77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77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77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77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77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77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77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77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77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77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77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29">
        <f>LEFT(B559,6)</f>
        <v/>
      </c>
      <c r="F559" s="14">
        <f>IF(SUMIFS($E$119:$E$151,$D$119:$D$151,E559)&lt;&gt;0,E559,0)</f>
        <v/>
      </c>
      <c r="G559" s="24" t="n"/>
      <c r="I559" s="26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77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77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77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77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77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77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77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77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77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77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77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29">
        <f>LEFT(B560,6)</f>
        <v/>
      </c>
      <c r="F560" s="14">
        <f>IF(SUMIFS($E$119:$E$151,$D$119:$D$151,E560)&lt;&gt;0,E560,0)</f>
        <v/>
      </c>
      <c r="G560" s="24" t="n"/>
      <c r="I560" s="26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77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77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77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77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77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77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77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77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77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77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77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29">
        <f>LEFT(B561,6)</f>
        <v/>
      </c>
      <c r="F561" s="14">
        <f>IF(SUMIFS($E$119:$E$151,$D$119:$D$151,E561)&lt;&gt;0,E561,0)</f>
        <v/>
      </c>
      <c r="G561" s="24" t="n"/>
      <c r="I561" s="26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77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77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77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77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77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77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77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77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77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77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77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29">
        <f>LEFT(B562,6)</f>
        <v/>
      </c>
      <c r="F562" s="14">
        <f>IF(SUMIFS($E$119:$E$151,$D$119:$D$151,E562)&lt;&gt;0,E562,0)</f>
        <v/>
      </c>
      <c r="G562" s="24" t="n"/>
      <c r="I562" s="26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77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77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77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77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77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77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77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77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77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77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77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29">
        <f>LEFT(B563,6)</f>
        <v/>
      </c>
      <c r="F563" s="14">
        <f>IF(SUMIFS($E$119:$E$151,$D$119:$D$151,E563)&lt;&gt;0,E563,0)</f>
        <v/>
      </c>
      <c r="G563" s="24" t="n"/>
      <c r="I563" s="26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77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77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77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77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77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77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77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77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77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77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77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29">
        <f>LEFT(B564,6)</f>
        <v/>
      </c>
      <c r="F564" s="14">
        <f>IF(SUMIFS($E$119:$E$151,$D$119:$D$151,E564)&lt;&gt;0,E564,0)</f>
        <v/>
      </c>
      <c r="G564" s="24" t="n"/>
      <c r="I564" s="26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77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77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77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77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77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77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77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77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77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77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77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29">
        <f>LEFT(B565,6)</f>
        <v/>
      </c>
      <c r="F565" s="14">
        <f>IF(SUMIFS($E$119:$E$151,$D$119:$D$151,E565)&lt;&gt;0,E565,0)</f>
        <v/>
      </c>
      <c r="G565" s="24" t="n"/>
      <c r="I565" s="26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77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77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77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77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77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77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77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77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77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77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77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29">
        <f>LEFT(B566,6)</f>
        <v/>
      </c>
      <c r="F566" s="14">
        <f>IF(SUMIFS($E$119:$E$151,$D$119:$D$151,E566)&lt;&gt;0,E566,0)</f>
        <v/>
      </c>
      <c r="G566" s="24" t="n"/>
      <c r="I566" s="26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77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77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77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77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77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77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77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77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77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77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77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29">
        <f>LEFT(B567,6)</f>
        <v/>
      </c>
      <c r="F567" s="14">
        <f>IF(SUMIFS($E$119:$E$151,$D$119:$D$151,E567)&lt;&gt;0,E567,0)</f>
        <v/>
      </c>
      <c r="G567" s="24" t="n"/>
      <c r="I567" s="26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77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77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77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77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77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77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77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77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77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77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77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29">
        <f>LEFT(B568,6)</f>
        <v/>
      </c>
      <c r="F568" s="14">
        <f>IF(SUMIFS($E$119:$E$151,$D$119:$D$151,E568)&lt;&gt;0,E568,0)</f>
        <v/>
      </c>
      <c r="G568" s="24" t="n"/>
      <c r="I568" s="26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77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77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77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77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77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77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77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77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77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77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77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29">
        <f>LEFT(B569,6)</f>
        <v/>
      </c>
      <c r="F569" s="14">
        <f>IF(SUMIFS($E$119:$E$151,$D$119:$D$151,E569)&lt;&gt;0,E569,0)</f>
        <v/>
      </c>
      <c r="G569" s="24" t="n"/>
      <c r="I569" s="26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77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77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77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77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77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77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77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77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77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77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77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29">
        <f>LEFT(B570,6)</f>
        <v/>
      </c>
      <c r="F570" s="14">
        <f>IF(SUMIFS($E$119:$E$151,$D$119:$D$151,E570)&lt;&gt;0,E570,0)</f>
        <v/>
      </c>
      <c r="G570" s="24" t="n"/>
      <c r="I570" s="26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77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77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77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77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77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77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77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77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77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77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77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29">
        <f>LEFT(B571,6)</f>
        <v/>
      </c>
      <c r="F571" s="14">
        <f>IF(SUMIFS($E$119:$E$151,$D$119:$D$151,E571)&lt;&gt;0,E571,0)</f>
        <v/>
      </c>
      <c r="G571" s="24" t="n"/>
      <c r="I571" s="26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77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77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77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77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77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77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77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77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77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77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77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29">
        <f>LEFT(B572,6)</f>
        <v/>
      </c>
      <c r="F572" s="14">
        <f>IF(SUMIFS($E$119:$E$151,$D$119:$D$151,E572)&lt;&gt;0,E572,0)</f>
        <v/>
      </c>
      <c r="G572" s="24" t="n"/>
      <c r="I572" s="26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77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77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77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77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77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77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77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77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77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77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77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29">
        <f>LEFT(B573,6)</f>
        <v/>
      </c>
      <c r="F573" s="14">
        <f>IF(SUMIFS($E$119:$E$151,$D$119:$D$151,E573)&lt;&gt;0,E573,0)</f>
        <v/>
      </c>
      <c r="G573" s="24" t="n"/>
      <c r="I573" s="26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77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77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77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77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77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77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77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77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77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77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77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29">
        <f>LEFT(B574,6)</f>
        <v/>
      </c>
      <c r="F574" s="14">
        <f>IF(SUMIFS($E$119:$E$151,$D$119:$D$151,E574)&lt;&gt;0,E574,0)</f>
        <v/>
      </c>
      <c r="G574" s="24" t="n"/>
      <c r="I574" s="26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77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77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77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77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77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77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77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77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77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77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77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29">
        <f>LEFT(B575,6)</f>
        <v/>
      </c>
      <c r="F575" s="14">
        <f>IF(SUMIFS($E$119:$E$151,$D$119:$D$151,E575)&lt;&gt;0,E575,0)</f>
        <v/>
      </c>
      <c r="G575" s="24" t="n"/>
      <c r="I575" s="26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77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77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77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77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77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77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77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77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77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77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77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29">
        <f>LEFT(B576,6)</f>
        <v/>
      </c>
      <c r="F576" s="14">
        <f>IF(SUMIFS($E$119:$E$151,$D$119:$D$151,E576)&lt;&gt;0,E576,0)</f>
        <v/>
      </c>
      <c r="G576" s="24" t="n"/>
      <c r="I576" s="26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77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77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77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77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77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77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77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77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77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77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77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29">
        <f>LEFT(B577,6)</f>
        <v/>
      </c>
      <c r="F577" s="14">
        <f>IF(SUMIFS($E$119:$E$151,$D$119:$D$151,E577)&lt;&gt;0,E577,0)</f>
        <v/>
      </c>
      <c r="G577" s="24" t="n"/>
      <c r="I577" s="26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77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77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77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77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77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77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77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77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77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77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77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29">
        <f>LEFT(B578,6)</f>
        <v/>
      </c>
      <c r="F578" s="14">
        <f>IF(SUMIFS($E$119:$E$151,$D$119:$D$151,E578)&lt;&gt;0,E578,0)</f>
        <v/>
      </c>
      <c r="G578" s="24" t="n"/>
      <c r="I578" s="26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77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77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77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77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77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77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77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77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77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77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77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29">
        <f>LEFT(B579,6)</f>
        <v/>
      </c>
      <c r="F579" s="14">
        <f>IF(SUMIFS($E$119:$E$151,$D$119:$D$151,E579)&lt;&gt;0,E579,0)</f>
        <v/>
      </c>
      <c r="G579" s="24" t="n"/>
      <c r="I579" s="26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77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77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77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77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77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77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77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77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77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77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77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29">
        <f>LEFT(B580,6)</f>
        <v/>
      </c>
      <c r="F580" s="14">
        <f>IF(SUMIFS($E$119:$E$151,$D$119:$D$151,E580)&lt;&gt;0,E580,0)</f>
        <v/>
      </c>
      <c r="G580" s="24" t="n"/>
      <c r="I580" s="26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77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77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77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77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77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77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77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77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77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77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77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29">
        <f>LEFT(B581,6)</f>
        <v/>
      </c>
      <c r="F581" s="14">
        <f>IF(SUMIFS($E$119:$E$151,$D$119:$D$151,E581)&lt;&gt;0,E581,0)</f>
        <v/>
      </c>
      <c r="G581" s="24" t="n"/>
      <c r="I581" s="26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77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77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77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77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77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77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77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77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77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77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77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29">
        <f>LEFT(B582,6)</f>
        <v/>
      </c>
      <c r="F582" s="14">
        <f>IF(SUMIFS($E$119:$E$151,$D$119:$D$151,E582)&lt;&gt;0,E582,0)</f>
        <v/>
      </c>
      <c r="G582" s="24" t="n"/>
      <c r="I582" s="26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77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77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77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77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77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77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77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77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77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77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77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29">
        <f>LEFT(B583,6)</f>
        <v/>
      </c>
      <c r="F583" s="14">
        <f>IF(SUMIFS($E$119:$E$151,$D$119:$D$151,E583)&lt;&gt;0,E583,0)</f>
        <v/>
      </c>
      <c r="G583" s="24" t="n"/>
      <c r="I583" s="26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77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77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77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77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77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77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77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77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77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77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77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29">
        <f>LEFT(B584,6)</f>
        <v/>
      </c>
      <c r="F584" s="14">
        <f>IF(SUMIFS($E$119:$E$151,$D$119:$D$151,E584)&lt;&gt;0,E584,0)</f>
        <v/>
      </c>
      <c r="G584" s="24" t="n"/>
      <c r="I584" s="26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77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77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77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77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77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77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77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77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77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77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77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29">
        <f>LEFT(B585,6)</f>
        <v/>
      </c>
      <c r="F585" s="14">
        <f>IF(SUMIFS($E$119:$E$151,$D$119:$D$151,E585)&lt;&gt;0,E585,0)</f>
        <v/>
      </c>
      <c r="G585" s="24" t="n"/>
      <c r="I585" s="26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77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77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77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77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77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77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77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77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77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77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77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29">
        <f>LEFT(B586,6)</f>
        <v/>
      </c>
      <c r="F586" s="14">
        <f>IF(SUMIFS($E$119:$E$151,$D$119:$D$151,E586)&lt;&gt;0,E586,0)</f>
        <v/>
      </c>
      <c r="G586" s="24" t="n"/>
      <c r="I586" s="26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77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77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77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77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77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77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77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77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77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77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77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29">
        <f>LEFT(B587,6)</f>
        <v/>
      </c>
      <c r="F587" s="14">
        <f>IF(SUMIFS($E$119:$E$151,$D$119:$D$151,E587)&lt;&gt;0,E587,0)</f>
        <v/>
      </c>
      <c r="G587" s="24" t="n"/>
      <c r="I587" s="26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77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77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77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77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77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77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77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77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77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77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77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29">
        <f>LEFT(B588,6)</f>
        <v/>
      </c>
      <c r="F588" s="14">
        <f>IF(SUMIFS($E$119:$E$151,$D$119:$D$151,E588)&lt;&gt;0,E588,0)</f>
        <v/>
      </c>
      <c r="G588" s="24" t="n"/>
      <c r="I588" s="26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77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77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77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77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77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77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77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77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77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77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77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29">
        <f>LEFT(B589,6)</f>
        <v/>
      </c>
      <c r="F589" s="14">
        <f>IF(SUMIFS($E$119:$E$151,$D$119:$D$151,E589)&lt;&gt;0,E589,0)</f>
        <v/>
      </c>
      <c r="G589" s="24" t="n"/>
      <c r="I589" s="26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77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77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77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77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77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77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77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77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77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77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77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29">
        <f>LEFT(B590,6)</f>
        <v/>
      </c>
      <c r="F590" s="14">
        <f>IF(SUMIFS($E$119:$E$151,$D$119:$D$151,E590)&lt;&gt;0,E590,0)</f>
        <v/>
      </c>
      <c r="G590" s="24" t="n"/>
      <c r="I590" s="26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77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77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77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77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77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77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77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77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77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77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77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29">
        <f>LEFT(B591,6)</f>
        <v/>
      </c>
      <c r="F591" s="14">
        <f>IF(SUMIFS($E$119:$E$151,$D$119:$D$151,E591)&lt;&gt;0,E591,0)</f>
        <v/>
      </c>
      <c r="G591" s="24" t="n"/>
      <c r="I591" s="26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77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77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77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77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77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77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77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77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77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77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77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29">
        <f>LEFT(B592,6)</f>
        <v/>
      </c>
      <c r="F592" s="14">
        <f>IF(SUMIFS($E$119:$E$151,$D$119:$D$151,E592)&lt;&gt;0,E592,0)</f>
        <v/>
      </c>
      <c r="G592" s="24" t="n"/>
      <c r="I592" s="26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77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77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77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77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77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77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77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77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77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77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77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29">
        <f>LEFT(B593,6)</f>
        <v/>
      </c>
      <c r="F593" s="14">
        <f>IF(SUMIFS($E$119:$E$151,$D$119:$D$151,E593)&lt;&gt;0,E593,0)</f>
        <v/>
      </c>
      <c r="G593" s="24" t="n"/>
      <c r="I593" s="26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77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77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77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77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77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77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77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77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77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77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77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29">
        <f>LEFT(B594,6)</f>
        <v/>
      </c>
      <c r="F594" s="14">
        <f>IF(SUMIFS($E$119:$E$151,$D$119:$D$151,E594)&lt;&gt;0,E594,0)</f>
        <v/>
      </c>
      <c r="G594" s="24" t="n"/>
      <c r="I594" s="26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77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77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77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77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77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77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77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77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77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77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77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29">
        <f>LEFT(B595,6)</f>
        <v/>
      </c>
      <c r="F595" s="14">
        <f>IF(SUMIFS($E$119:$E$151,$D$119:$D$151,E595)&lt;&gt;0,E595,0)</f>
        <v/>
      </c>
      <c r="G595" s="24" t="n"/>
      <c r="I595" s="26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77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77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77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77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77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77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77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77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77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77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77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</row>
    <row r="596">
      <c r="A596" s="78" t="n"/>
      <c r="B596" s="79" t="n"/>
      <c r="C596" s="79" t="n"/>
      <c r="D596" s="79" t="n"/>
      <c r="E596" s="79" t="n"/>
      <c r="F596" s="79" t="n"/>
      <c r="G596" s="79" t="n"/>
      <c r="H596" s="79" t="n"/>
      <c r="I596" s="79" t="n"/>
      <c r="J596" s="79" t="n"/>
      <c r="K596" s="79" t="n"/>
      <c r="L596" s="79" t="n"/>
      <c r="M596" s="79" t="n"/>
      <c r="N596" s="79" t="n"/>
      <c r="O596" s="79" t="n"/>
      <c r="P596" s="79" t="n"/>
      <c r="Q596" s="79" t="n"/>
      <c r="R596" s="79" t="n"/>
      <c r="S596" s="79" t="n"/>
      <c r="T596" s="79" t="n"/>
      <c r="U596" s="79" t="n"/>
      <c r="V596" s="79" t="n"/>
      <c r="W596" s="79" t="n"/>
      <c r="X596" s="79" t="n"/>
      <c r="Y596" s="79" t="n"/>
      <c r="Z596" s="79" t="n"/>
      <c r="AA596" s="79" t="n"/>
      <c r="AB596" s="79" t="n"/>
      <c r="AC596" s="79" t="n"/>
      <c r="AD596" s="79" t="n"/>
      <c r="AE596" s="79" t="n"/>
      <c r="AF596" s="80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1" t="inlineStr">
        <is>
          <t>C.3.f</t>
        </is>
      </c>
    </row>
    <row r="2">
      <c r="A2" s="82" t="inlineStr">
        <is>
          <t>CASHFLOW DASHBOARD</t>
        </is>
      </c>
      <c r="B2" s="83" t="n"/>
      <c r="C2" s="84" t="n"/>
    </row>
    <row r="3">
      <c r="A3" s="85" t="inlineStr"/>
      <c r="B3" s="86" t="inlineStr">
        <is>
          <t>Projected</t>
        </is>
      </c>
      <c r="C3" s="87" t="inlineStr">
        <is>
          <t>Actual</t>
        </is>
      </c>
    </row>
    <row r="4">
      <c r="A4" s="88" t="n"/>
      <c r="B4" s="89" t="n"/>
    </row>
    <row r="5" hidden="1">
      <c r="A5" s="90" t="inlineStr">
        <is>
          <t>Actual Transfer Income to hit FNB - Endulini Sold</t>
        </is>
      </c>
      <c r="B5" s="91">
        <f>SUMIFS(Sales!$S:$S,Sales!$A:$A,"="&amp;"Endulini",Sales!$D:$D,TRUE,Sales!$E:$E,FALSE)</f>
        <v/>
      </c>
      <c r="C5" s="92">
        <f>SUMIFS(Sales!$S:$S,Sales!$A:$A,"="&amp;"Endulini",Sales!$D:$D,TRUE,Sales!$E:$E,FALSE)</f>
        <v/>
      </c>
    </row>
    <row r="6">
      <c r="A6" s="90" t="inlineStr">
        <is>
          <t>Actual Transfer Income to hit FNB - Heron Sold</t>
        </is>
      </c>
      <c r="B6" s="91">
        <f>SUMIFS(Sales!$S:$S,Sales!$A:$A,"&lt;&gt;"&amp;"Endulini",Sales!$D:$D,TRUE,Sales!$E:$E,FALSE)</f>
        <v/>
      </c>
      <c r="C6" s="92">
        <f>SUMIFS(Sales!$S:$S,Sales!$A:$A,"&lt;&gt;"&amp;"Endulini",Sales!$D:$D,TRUE,Sales!$E:$E,FALSE)</f>
        <v/>
      </c>
    </row>
    <row r="7">
      <c r="A7" s="90" t="inlineStr">
        <is>
          <t>Projected Transfer Income  - Endulini  Not yet Sold (Profit)</t>
        </is>
      </c>
      <c r="B7" s="91">
        <f>SUMIFS(Sales!$S:$S,Sales!$A:$A,"="&amp;"Endulini",Sales!$D:$D,FALSE,Sales!$E:$E,FALSE)</f>
        <v/>
      </c>
      <c r="C7" s="92" t="n"/>
    </row>
    <row r="8">
      <c r="A8" s="90" t="inlineStr">
        <is>
          <t>Projected Transfer Income  - Heron Not yet Sold (Profit)</t>
        </is>
      </c>
      <c r="B8" s="91">
        <f>SUMIFS(Sales!$S:$S,Sales!$A:$A,"&lt;&gt;"&amp;"Endulini",Sales!$D:$D,FALSE,Sales!$E:$E,FALSE,Sales!$F:$F,1)</f>
        <v/>
      </c>
      <c r="C8" s="92" t="n"/>
    </row>
    <row r="9" hidden="1">
      <c r="A9" s="90" t="inlineStr">
        <is>
          <t>Projected Not Allocated asd yet</t>
        </is>
      </c>
      <c r="B9" s="91">
        <f>'Cashflow Projection'!D33-Dashboard!B5-Dashboard!B6-Dashboard!B7-Dashboard!B8</f>
        <v/>
      </c>
      <c r="C9" s="92" t="n"/>
    </row>
    <row r="10">
      <c r="A10" s="90" t="n"/>
      <c r="B10" s="91" t="n"/>
      <c r="C10" s="92" t="n"/>
    </row>
    <row r="11">
      <c r="A11" s="93" t="inlineStr">
        <is>
          <t>Total Income</t>
        </is>
      </c>
      <c r="B11" s="94">
        <f>sum(B5:B9)</f>
        <v/>
      </c>
      <c r="C11" s="95">
        <f>sum(C5:C9)</f>
        <v/>
      </c>
    </row>
    <row r="12">
      <c r="A12" s="90" t="n"/>
      <c r="B12" s="91" t="n"/>
      <c r="C12" s="92" t="n"/>
    </row>
    <row r="13">
      <c r="A13" s="90" t="inlineStr">
        <is>
          <t>Momentum funds available to draw</t>
        </is>
      </c>
      <c r="B13" s="91">
        <f>SUMIFS(Xero!$G:$G,Xero!$E:$E,"Momentum Investors Account RU502229930",Xero!$B:$B,'Cashflow Projection'!$B$2)</f>
        <v/>
      </c>
      <c r="C13" s="92">
        <f>SUMIFS(Xero!$G:$G,Xero!$E:$E,"Momentum Investors Account RU502229930",Xero!$B:$B,'Cashflow Projection'!$B$2)</f>
        <v/>
      </c>
    </row>
    <row r="14">
      <c r="A14" s="90" t="inlineStr">
        <is>
          <t>FNB Bank</t>
        </is>
      </c>
      <c r="B14" s="91">
        <f>SUMIFS(Xero!$G:$G, Xero!$B:$B, 'Cashflow Projection'!$B$2, Xero!$D:$D, "84*")-SUMIFS(Xero!$G:$G, Xero!$B:$B, 'Cashflow Projection'!$B$2, Xero!$D:$D, "8480*")-B13</f>
        <v/>
      </c>
      <c r="C14" s="92">
        <f>SUMIFS(Xero!$G:$G, Xero!$B:$B, 'Cashflow Projection'!$B$2, Xero!$D:$D, "84*")-B13</f>
        <v/>
      </c>
    </row>
    <row r="15">
      <c r="A15" s="90" t="inlineStr">
        <is>
          <t>New Investors</t>
        </is>
      </c>
      <c r="B15" s="91" t="n">
        <v>0</v>
      </c>
      <c r="C15" s="92" t="n">
        <v>0</v>
      </c>
    </row>
    <row r="16">
      <c r="A16" s="90" t="inlineStr">
        <is>
          <t>Deposit made</t>
        </is>
      </c>
      <c r="B16" s="91" t="n">
        <v>0</v>
      </c>
      <c r="C16" s="92" t="n">
        <v>0</v>
      </c>
    </row>
    <row r="17" hidden="1">
      <c r="A17" s="90" t="inlineStr">
        <is>
          <t>Momentum interest to be earned</t>
        </is>
      </c>
      <c r="B17" s="91" t="n">
        <v>0</v>
      </c>
      <c r="C17" s="92" t="n">
        <v>0</v>
      </c>
    </row>
    <row r="18" hidden="1">
      <c r="A18" s="90" t="inlineStr">
        <is>
          <t>Investor funds to hit Momentum Account to draw</t>
        </is>
      </c>
      <c r="B18" s="91" t="n">
        <v>0</v>
      </c>
      <c r="C18" s="92" t="n">
        <v>0</v>
      </c>
    </row>
    <row r="19">
      <c r="A19" s="90" t="n"/>
      <c r="B19" s="91" t="n"/>
      <c r="C19" s="92" t="n"/>
    </row>
    <row r="20">
      <c r="A20" s="93" t="inlineStr">
        <is>
          <t>Total Cash</t>
        </is>
      </c>
      <c r="B20" s="94">
        <f>sum(B13:B18)</f>
        <v/>
      </c>
      <c r="C20" s="95">
        <f>sum(B13:B18)</f>
        <v/>
      </c>
    </row>
    <row r="21">
      <c r="A21" s="90" t="n"/>
      <c r="B21" s="91" t="n"/>
      <c r="C21" s="92" t="n"/>
    </row>
    <row r="22">
      <c r="A22" s="93" t="inlineStr">
        <is>
          <t>Total funds available to draw</t>
        </is>
      </c>
      <c r="B22" s="94">
        <f>B20+B11</f>
        <v/>
      </c>
      <c r="C22" s="95">
        <f>C20+C11</f>
        <v/>
      </c>
    </row>
    <row r="23">
      <c r="A23" s="90" t="n"/>
      <c r="B23" s="91" t="n"/>
      <c r="C23" s="92" t="n"/>
    </row>
    <row r="24">
      <c r="A24" s="90" t="inlineStr">
        <is>
          <t>Cost to complete Heron Projects (CPC)</t>
        </is>
      </c>
      <c r="B24" s="91">
        <f>'Cashflow Projection'!D49</f>
        <v/>
      </c>
      <c r="C24" s="92">
        <f>'Cashflow Projection'!D49</f>
        <v/>
      </c>
    </row>
    <row r="25">
      <c r="A25" s="90" t="inlineStr">
        <is>
          <t>Company Running Costs</t>
        </is>
      </c>
      <c r="B25" s="91">
        <f>'Cashflow Projection'!D68</f>
        <v/>
      </c>
      <c r="C25" s="92">
        <f>'Cashflow Projection'!D68</f>
        <v/>
      </c>
    </row>
    <row r="26">
      <c r="A26" s="90" t="inlineStr">
        <is>
          <t>VAT Payable</t>
        </is>
      </c>
      <c r="B26" s="91">
        <f>'Cashflow Projection'!D26+'Cashflow Projection'!D55</f>
        <v/>
      </c>
      <c r="C26" s="92">
        <f>'Cashflow Projection'!D26+'Cashflow Projection'!D55</f>
        <v/>
      </c>
    </row>
    <row r="27">
      <c r="A27" s="90" t="n"/>
      <c r="B27" s="91" t="n"/>
      <c r="C27" s="92" t="n"/>
    </row>
    <row r="28">
      <c r="A28" s="93" t="inlineStr">
        <is>
          <t>Project Costs</t>
        </is>
      </c>
      <c r="B28" s="94">
        <f>B24+B25+B26</f>
        <v/>
      </c>
      <c r="C28" s="95">
        <f>C24+C25+C26</f>
        <v/>
      </c>
    </row>
    <row r="29">
      <c r="A29" s="90" t="n"/>
      <c r="B29" s="91" t="n"/>
      <c r="C29" s="92" t="n"/>
    </row>
    <row r="30">
      <c r="A30" s="93" t="inlineStr">
        <is>
          <t>NETT EFFECT</t>
        </is>
      </c>
      <c r="B30" s="94">
        <f>B22+B28</f>
        <v/>
      </c>
      <c r="C30" s="95">
        <f>C22+C28</f>
        <v/>
      </c>
    </row>
    <row r="31">
      <c r="A31" s="88" t="n"/>
      <c r="B31" s="89" t="n"/>
    </row>
    <row r="32">
      <c r="A32" s="88" t="n"/>
      <c r="B32" s="89" t="n"/>
    </row>
    <row r="33">
      <c r="A33" s="78" t="n"/>
      <c r="B33" s="80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96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97" t="inlineStr">
        <is>
          <t>Month</t>
        </is>
      </c>
      <c r="B9" s="97" t="inlineStr"/>
      <c r="C9" s="97" t="inlineStr"/>
      <c r="D9" s="98" t="n">
        <v>44286</v>
      </c>
      <c r="E9" s="98" t="n">
        <v>44316</v>
      </c>
      <c r="F9" s="98" t="n">
        <v>44347</v>
      </c>
      <c r="G9" s="98" t="n">
        <v>44377</v>
      </c>
      <c r="H9" s="98" t="n">
        <v>44408</v>
      </c>
      <c r="I9" s="98" t="n">
        <v>44439</v>
      </c>
      <c r="J9" s="98" t="n">
        <v>44469</v>
      </c>
      <c r="K9" s="98" t="n">
        <v>44500</v>
      </c>
      <c r="L9" s="98" t="n">
        <v>44530</v>
      </c>
      <c r="M9" s="98" t="n">
        <v>44561</v>
      </c>
      <c r="N9" s="98" t="n">
        <v>44592</v>
      </c>
      <c r="O9" s="98" t="n">
        <v>44620</v>
      </c>
      <c r="P9" s="98" t="n">
        <v>44651</v>
      </c>
      <c r="Q9" s="98" t="n">
        <v>44681</v>
      </c>
      <c r="R9" s="98" t="n">
        <v>44712</v>
      </c>
      <c r="S9" s="98" t="n">
        <v>44742</v>
      </c>
      <c r="T9" s="98" t="n">
        <v>44773</v>
      </c>
      <c r="U9" s="98" t="n">
        <v>44804</v>
      </c>
      <c r="V9" s="98" t="n">
        <v>44834</v>
      </c>
      <c r="W9" s="98" t="n">
        <v>44865</v>
      </c>
      <c r="X9" s="98" t="n">
        <v>44895</v>
      </c>
      <c r="Y9" s="98" t="n">
        <v>44926</v>
      </c>
      <c r="Z9" s="98" t="n">
        <v>44957</v>
      </c>
      <c r="AA9" s="98" t="n">
        <v>44985</v>
      </c>
      <c r="AB9" s="98" t="n">
        <v>45016</v>
      </c>
      <c r="AC9" s="98" t="n">
        <v>45046</v>
      </c>
      <c r="AD9" s="98" t="n">
        <v>45077</v>
      </c>
      <c r="AE9" s="98" t="n">
        <v>45107</v>
      </c>
      <c r="AF9" s="98" t="n">
        <v>45138</v>
      </c>
      <c r="AG9" s="98" t="n">
        <v>45169</v>
      </c>
      <c r="AH9" s="98" t="n">
        <v>45199</v>
      </c>
      <c r="AI9" s="98" t="n">
        <v>45230</v>
      </c>
      <c r="AJ9" s="98" t="n">
        <v>45260</v>
      </c>
      <c r="AK9" s="98" t="n">
        <v>45291</v>
      </c>
      <c r="AL9" s="98" t="n">
        <v>45322</v>
      </c>
      <c r="AM9" s="98" t="n">
        <v>45323</v>
      </c>
      <c r="AN9" s="98" t="n">
        <v>45351</v>
      </c>
      <c r="AO9" s="98" t="n">
        <v>45352</v>
      </c>
      <c r="AP9" s="98" t="n">
        <v>45382</v>
      </c>
      <c r="AQ9" s="98" t="n">
        <v>45412</v>
      </c>
      <c r="AR9" s="98" t="n">
        <v>45443</v>
      </c>
      <c r="AS9" s="98">
        <f>EOMONTH(EDATE(AR9, 0),1)</f>
        <v/>
      </c>
      <c r="AT9" s="98">
        <f>EOMONTH(EDATE(AS9, 0),1)</f>
        <v/>
      </c>
      <c r="AU9" s="98">
        <f>EOMONTH(EDATE(AT9, 0),1)</f>
        <v/>
      </c>
      <c r="AV9" s="98">
        <f>EOMONTH(EDATE(AU9, 0),1)</f>
        <v/>
      </c>
      <c r="AW9" s="98">
        <f>EOMONTH(EDATE(AV9, 0),1)</f>
        <v/>
      </c>
      <c r="AX9" s="98">
        <f>EOMONTH(EDATE(AW9, 0),1)</f>
        <v/>
      </c>
      <c r="AY9" s="98">
        <f>EOMONTH(EDATE(AX9, 0),1)</f>
        <v/>
      </c>
      <c r="AZ9" s="98">
        <f>EOMONTH(EDATE(AY9, 0),1)</f>
        <v/>
      </c>
      <c r="BA9" s="98">
        <f>EOMONTH(EDATE(AZ9, 0),1)</f>
        <v/>
      </c>
      <c r="BB9" s="98">
        <f>EOMONTH(EDATE(BA9, 0),1)</f>
        <v/>
      </c>
      <c r="BC9" s="98">
        <f>EOMONTH(EDATE(BB9, 0),1)</f>
        <v/>
      </c>
      <c r="BD9" s="98">
        <f>EOMONTH(EDATE(BC9, 0),1)</f>
        <v/>
      </c>
      <c r="BE9" s="98">
        <f>EOMONTH(EDATE(BD9, 0),1)</f>
        <v/>
      </c>
      <c r="BF9" s="98">
        <f>EOMONTH(EDATE(BE9, 0),1)</f>
        <v/>
      </c>
      <c r="BG9" s="98">
        <f>EOMONTH(EDATE(BF9, 0),1)</f>
        <v/>
      </c>
      <c r="BH9" s="98">
        <f>EOMONTH(EDATE(BG9, 0),1)</f>
        <v/>
      </c>
      <c r="BI9" s="98">
        <f>EOMONTH(EDATE(BH9, 0),1)</f>
        <v/>
      </c>
      <c r="BJ9" s="98">
        <f>EOMONTH(EDATE(BI9, 0),1)</f>
        <v/>
      </c>
      <c r="BK9" s="97" t="inlineStr">
        <is>
          <t>Total</t>
        </is>
      </c>
      <c r="BL9" s="97" t="inlineStr">
        <is>
          <t>NSST</t>
        </is>
      </c>
    </row>
    <row r="10"/>
    <row r="11">
      <c r="A11" s="99" t="inlineStr">
        <is>
          <t>Income</t>
        </is>
      </c>
    </row>
    <row r="13">
      <c r="A13" s="100" t="inlineStr">
        <is>
          <t>Bond Origination</t>
        </is>
      </c>
      <c r="D13" s="101">
        <f>-SUMIFS(Xero!$F:$F,Xero!$B:$B,Heron!D$9,Xero!$A:$A,Heron!$A$4,Xero!$E:$E,Heron!$A13)-SUMIFS(Xero!$F:$F,Xero!$B:$B,Heron!D$9,Xero!$A:$A,Heron!$A$5,Xero!$E:$E,Heron!$A13)</f>
        <v/>
      </c>
      <c r="E13" s="101">
        <f>-SUMIFS(Xero!$F:$F,Xero!$B:$B,Heron!E$9,Xero!$A:$A,Heron!$A$4,Xero!$E:$E,Heron!$A13)-SUMIFS(Xero!$F:$F,Xero!$B:$B,Heron!E$9,Xero!$A:$A,Heron!$A$5,Xero!$E:$E,Heron!$A13)</f>
        <v/>
      </c>
      <c r="F13" s="101">
        <f>-SUMIFS(Xero!$F:$F,Xero!$B:$B,Heron!F$9,Xero!$A:$A,Heron!$A$4,Xero!$E:$E,Heron!$A13)-SUMIFS(Xero!$F:$F,Xero!$B:$B,Heron!F$9,Xero!$A:$A,Heron!$A$5,Xero!$E:$E,Heron!$A13)</f>
        <v/>
      </c>
      <c r="G13" s="101">
        <f>-SUMIFS(Xero!$F:$F,Xero!$B:$B,Heron!G$9,Xero!$A:$A,Heron!$A$4,Xero!$E:$E,Heron!$A13)-SUMIFS(Xero!$F:$F,Xero!$B:$B,Heron!G$9,Xero!$A:$A,Heron!$A$5,Xero!$E:$E,Heron!$A13)</f>
        <v/>
      </c>
      <c r="H13" s="101">
        <f>-SUMIFS(Xero!$F:$F,Xero!$B:$B,Heron!H$9,Xero!$A:$A,Heron!$A$4,Xero!$E:$E,Heron!$A13)-SUMIFS(Xero!$F:$F,Xero!$B:$B,Heron!H$9,Xero!$A:$A,Heron!$A$5,Xero!$E:$E,Heron!$A13)</f>
        <v/>
      </c>
      <c r="I13" s="101">
        <f>-SUMIFS(Xero!$F:$F,Xero!$B:$B,Heron!I$9,Xero!$A:$A,Heron!$A$4,Xero!$E:$E,Heron!$A13)-SUMIFS(Xero!$F:$F,Xero!$B:$B,Heron!I$9,Xero!$A:$A,Heron!$A$5,Xero!$E:$E,Heron!$A13)</f>
        <v/>
      </c>
      <c r="J13" s="101">
        <f>-SUMIFS(Xero!$F:$F,Xero!$B:$B,Heron!J$9,Xero!$A:$A,Heron!$A$4,Xero!$E:$E,Heron!$A13)-SUMIFS(Xero!$F:$F,Xero!$B:$B,Heron!J$9,Xero!$A:$A,Heron!$A$5,Xero!$E:$E,Heron!$A13)</f>
        <v/>
      </c>
      <c r="K13" s="101">
        <f>-SUMIFS(Xero!$F:$F,Xero!$B:$B,Heron!K$9,Xero!$A:$A,Heron!$A$4,Xero!$E:$E,Heron!$A13)-SUMIFS(Xero!$F:$F,Xero!$B:$B,Heron!K$9,Xero!$A:$A,Heron!$A$5,Xero!$E:$E,Heron!$A13)</f>
        <v/>
      </c>
      <c r="L13" s="101">
        <f>-SUMIFS(Xero!$F:$F,Xero!$B:$B,Heron!L$9,Xero!$A:$A,Heron!$A$4,Xero!$E:$E,Heron!$A13)-SUMIFS(Xero!$F:$F,Xero!$B:$B,Heron!L$9,Xero!$A:$A,Heron!$A$5,Xero!$E:$E,Heron!$A13)</f>
        <v/>
      </c>
      <c r="M13" s="101">
        <f>-SUMIFS(Xero!$F:$F,Xero!$B:$B,Heron!M$9,Xero!$A:$A,Heron!$A$4,Xero!$E:$E,Heron!$A13)-SUMIFS(Xero!$F:$F,Xero!$B:$B,Heron!M$9,Xero!$A:$A,Heron!$A$5,Xero!$E:$E,Heron!$A13)</f>
        <v/>
      </c>
      <c r="N13" s="101">
        <f>-SUMIFS(Xero!$F:$F,Xero!$B:$B,Heron!N$9,Xero!$A:$A,Heron!$A$4,Xero!$E:$E,Heron!$A13)-SUMIFS(Xero!$F:$F,Xero!$B:$B,Heron!N$9,Xero!$A:$A,Heron!$A$5,Xero!$E:$E,Heron!$A13)</f>
        <v/>
      </c>
      <c r="O13" s="101">
        <f>-SUMIFS(Xero!$F:$F,Xero!$B:$B,Heron!O$9,Xero!$A:$A,Heron!$A$4,Xero!$E:$E,Heron!$A13)-SUMIFS(Xero!$F:$F,Xero!$B:$B,Heron!O$9,Xero!$A:$A,Heron!$A$5,Xero!$E:$E,Heron!$A13)</f>
        <v/>
      </c>
      <c r="P13" s="101">
        <f>-SUMIFS(Xero!$F:$F,Xero!$B:$B,Heron!P$9,Xero!$A:$A,Heron!$A$4,Xero!$E:$E,Heron!$A13)-SUMIFS(Xero!$F:$F,Xero!$B:$B,Heron!P$9,Xero!$A:$A,Heron!$A$5,Xero!$E:$E,Heron!$A13)</f>
        <v/>
      </c>
      <c r="Q13" s="101">
        <f>-SUMIFS(Xero!$F:$F,Xero!$B:$B,Heron!Q$9,Xero!$A:$A,Heron!$A$4,Xero!$E:$E,Heron!$A13)-SUMIFS(Xero!$F:$F,Xero!$B:$B,Heron!Q$9,Xero!$A:$A,Heron!$A$5,Xero!$E:$E,Heron!$A13)</f>
        <v/>
      </c>
      <c r="R13" s="101">
        <f>-SUMIFS(Xero!$F:$F,Xero!$B:$B,Heron!R$9,Xero!$A:$A,Heron!$A$4,Xero!$E:$E,Heron!$A13)-SUMIFS(Xero!$F:$F,Xero!$B:$B,Heron!R$9,Xero!$A:$A,Heron!$A$5,Xero!$E:$E,Heron!$A13)</f>
        <v/>
      </c>
      <c r="S13" s="101">
        <f>-SUMIFS(Xero!$F:$F,Xero!$B:$B,Heron!S$9,Xero!$A:$A,Heron!$A$4,Xero!$E:$E,Heron!$A13)-SUMIFS(Xero!$F:$F,Xero!$B:$B,Heron!S$9,Xero!$A:$A,Heron!$A$5,Xero!$E:$E,Heron!$A13)</f>
        <v/>
      </c>
      <c r="T13" s="101">
        <f>-SUMIFS(Xero!$F:$F,Xero!$B:$B,Heron!T$9,Xero!$A:$A,Heron!$A$4,Xero!$E:$E,Heron!$A13)-SUMIFS(Xero!$F:$F,Xero!$B:$B,Heron!T$9,Xero!$A:$A,Heron!$A$5,Xero!$E:$E,Heron!$A13)</f>
        <v/>
      </c>
      <c r="U13" s="101">
        <f>-SUMIFS(Xero!$F:$F,Xero!$B:$B,Heron!U$9,Xero!$A:$A,Heron!$A$4,Xero!$E:$E,Heron!$A13)-SUMIFS(Xero!$F:$F,Xero!$B:$B,Heron!U$9,Xero!$A:$A,Heron!$A$5,Xero!$E:$E,Heron!$A13)</f>
        <v/>
      </c>
      <c r="V13" s="101">
        <f>-SUMIFS(Xero!$F:$F,Xero!$B:$B,Heron!V$9,Xero!$A:$A,Heron!$A$4,Xero!$E:$E,Heron!$A13)-SUMIFS(Xero!$F:$F,Xero!$B:$B,Heron!V$9,Xero!$A:$A,Heron!$A$5,Xero!$E:$E,Heron!$A13)</f>
        <v/>
      </c>
      <c r="W13" s="101">
        <f>-SUMIFS(Xero!$F:$F,Xero!$B:$B,Heron!W$9,Xero!$A:$A,Heron!$A$4,Xero!$E:$E,Heron!$A13)-SUMIFS(Xero!$F:$F,Xero!$B:$B,Heron!W$9,Xero!$A:$A,Heron!$A$5,Xero!$E:$E,Heron!$A13)</f>
        <v/>
      </c>
      <c r="X13" s="101">
        <f>-SUMIFS(Xero!$F:$F,Xero!$B:$B,Heron!X$9,Xero!$A:$A,Heron!$A$4,Xero!$E:$E,Heron!$A13)-SUMIFS(Xero!$F:$F,Xero!$B:$B,Heron!X$9,Xero!$A:$A,Heron!$A$5,Xero!$E:$E,Heron!$A13)</f>
        <v/>
      </c>
      <c r="Y13" s="101">
        <f>-SUMIFS(Xero!$F:$F,Xero!$B:$B,Heron!Y$9,Xero!$A:$A,Heron!$A$4,Xero!$E:$E,Heron!$A13)-SUMIFS(Xero!$F:$F,Xero!$B:$B,Heron!Y$9,Xero!$A:$A,Heron!$A$5,Xero!$E:$E,Heron!$A13)</f>
        <v/>
      </c>
      <c r="Z13" s="101">
        <f>-SUMIFS(Xero!$F:$F,Xero!$B:$B,Heron!Z$9,Xero!$A:$A,Heron!$A$4,Xero!$E:$E,Heron!$A13)-SUMIFS(Xero!$F:$F,Xero!$B:$B,Heron!Z$9,Xero!$A:$A,Heron!$A$5,Xero!$E:$E,Heron!$A13)</f>
        <v/>
      </c>
      <c r="AA13" s="101">
        <f>-SUMIFS(Xero!$F:$F,Xero!$B:$B,Heron!AA$9,Xero!$A:$A,Heron!$A$4,Xero!$E:$E,Heron!$A13)-SUMIFS(Xero!$F:$F,Xero!$B:$B,Heron!AA$9,Xero!$A:$A,Heron!$A$5,Xero!$E:$E,Heron!$A13)</f>
        <v/>
      </c>
      <c r="AB13" s="101">
        <f>-SUMIFS(Xero!$F:$F,Xero!$B:$B,Heron!AB$9,Xero!$A:$A,Heron!$A$4,Xero!$E:$E,Heron!$A13)-SUMIFS(Xero!$F:$F,Xero!$B:$B,Heron!AB$9,Xero!$A:$A,Heron!$A$5,Xero!$E:$E,Heron!$A13)</f>
        <v/>
      </c>
      <c r="AC13" s="101">
        <f>-SUMIFS(Xero!$F:$F,Xero!$B:$B,Heron!AC$9,Xero!$A:$A,Heron!$A$4,Xero!$E:$E,Heron!$A13)-SUMIFS(Xero!$F:$F,Xero!$B:$B,Heron!AC$9,Xero!$A:$A,Heron!$A$5,Xero!$E:$E,Heron!$A13)</f>
        <v/>
      </c>
      <c r="AD13" s="101">
        <f>-SUMIFS(Xero!$F:$F,Xero!$B:$B,Heron!AD$9,Xero!$A:$A,Heron!$A$4,Xero!$E:$E,Heron!$A13)-SUMIFS(Xero!$F:$F,Xero!$B:$B,Heron!AD$9,Xero!$A:$A,Heron!$A$5,Xero!$E:$E,Heron!$A13)</f>
        <v/>
      </c>
      <c r="AE13" s="101">
        <f>-SUMIFS(Xero!$F:$F,Xero!$B:$B,Heron!AE$9,Xero!$A:$A,Heron!$A$4,Xero!$E:$E,Heron!$A13)-SUMIFS(Xero!$F:$F,Xero!$B:$B,Heron!AE$9,Xero!$A:$A,Heron!$A$5,Xero!$E:$E,Heron!$A13)</f>
        <v/>
      </c>
      <c r="AF13" s="101">
        <f>-SUMIFS(Xero!$F:$F,Xero!$B:$B,Heron!AF$9,Xero!$A:$A,Heron!$A$4,Xero!$E:$E,Heron!$A13)-SUMIFS(Xero!$F:$F,Xero!$B:$B,Heron!AF$9,Xero!$A:$A,Heron!$A$5,Xero!$E:$E,Heron!$A13)</f>
        <v/>
      </c>
      <c r="AG13" s="101">
        <f>-SUMIFS(Xero!$F:$F,Xero!$B:$B,Heron!AG$9,Xero!$A:$A,Heron!$A$4,Xero!$E:$E,Heron!$A13)-SUMIFS(Xero!$F:$F,Xero!$B:$B,Heron!AG$9,Xero!$A:$A,Heron!$A$5,Xero!$E:$E,Heron!$A13)</f>
        <v/>
      </c>
      <c r="AH13" s="101">
        <f>-SUMIFS(Xero!$F:$F,Xero!$B:$B,Heron!AH$9,Xero!$A:$A,Heron!$A$4,Xero!$E:$E,Heron!$A13)-SUMIFS(Xero!$F:$F,Xero!$B:$B,Heron!AH$9,Xero!$A:$A,Heron!$A$5,Xero!$E:$E,Heron!$A13)</f>
        <v/>
      </c>
      <c r="AI13" s="101">
        <f>-SUMIFS(Xero!$F:$F,Xero!$B:$B,Heron!AI$9,Xero!$A:$A,Heron!$A$4,Xero!$E:$E,Heron!$A13)-SUMIFS(Xero!$F:$F,Xero!$B:$B,Heron!AI$9,Xero!$A:$A,Heron!$A$5,Xero!$E:$E,Heron!$A13)</f>
        <v/>
      </c>
      <c r="AJ13" s="101">
        <f>-SUMIFS(Xero!$F:$F,Xero!$B:$B,Heron!AJ$9,Xero!$A:$A,Heron!$A$4,Xero!$E:$E,Heron!$A13)-SUMIFS(Xero!$F:$F,Xero!$B:$B,Heron!AJ$9,Xero!$A:$A,Heron!$A$5,Xero!$E:$E,Heron!$A13)</f>
        <v/>
      </c>
      <c r="AK13" s="101">
        <f>-SUMIFS(Xero!$F:$F,Xero!$B:$B,Heron!AK$9,Xero!$A:$A,Heron!$A$4,Xero!$E:$E,Heron!$A13)-SUMIFS(Xero!$F:$F,Xero!$B:$B,Heron!AK$9,Xero!$A:$A,Heron!$A$5,Xero!$E:$E,Heron!$A13)</f>
        <v/>
      </c>
      <c r="AL13" s="101">
        <f>-SUMIFS(Xero!$F:$F,Xero!$B:$B,Heron!AL$9,Xero!$A:$A,Heron!$A$4,Xero!$E:$E,Heron!$A13)-SUMIFS(Xero!$F:$F,Xero!$B:$B,Heron!AL$9,Xero!$A:$A,Heron!$A$5,Xero!$E:$E,Heron!$A13)</f>
        <v/>
      </c>
      <c r="AM13" s="101">
        <f>-SUMIFS(Xero!$F:$F,Xero!$B:$B,Heron!AM$9,Xero!$A:$A,Heron!$A$4,Xero!$E:$E,Heron!$A13)-SUMIFS(Xero!$F:$F,Xero!$B:$B,Heron!AM$9,Xero!$A:$A,Heron!$A$5,Xero!$E:$E,Heron!$A13)</f>
        <v/>
      </c>
      <c r="AN13" s="101">
        <f>-SUMIFS(Xero!$F:$F,Xero!$B:$B,Heron!AN$9,Xero!$A:$A,Heron!$A$4,Xero!$E:$E,Heron!$A13)-SUMIFS(Xero!$F:$F,Xero!$B:$B,Heron!AN$9,Xero!$A:$A,Heron!$A$5,Xero!$E:$E,Heron!$A13)</f>
        <v/>
      </c>
      <c r="AO13" s="101">
        <f>-SUMIFS(Xero!$F:$F,Xero!$B:$B,Heron!AO$9,Xero!$A:$A,Heron!$A$4,Xero!$E:$E,Heron!$A13)-SUMIFS(Xero!$F:$F,Xero!$B:$B,Heron!AO$9,Xero!$A:$A,Heron!$A$5,Xero!$E:$E,Heron!$A13)</f>
        <v/>
      </c>
      <c r="AP13" s="101">
        <f>-SUMIFS(Xero!$F:$F,Xero!$B:$B,Heron!AP$9,Xero!$A:$A,Heron!$A$4,Xero!$E:$E,Heron!$A13)-SUMIFS(Xero!$F:$F,Xero!$B:$B,Heron!AP$9,Xero!$A:$A,Heron!$A$5,Xero!$E:$E,Heron!$A13)</f>
        <v/>
      </c>
      <c r="AQ13" s="101">
        <f>-SUMIFS(Xero!$F:$F,Xero!$B:$B,Heron!AQ$9,Xero!$A:$A,Heron!$A$4,Xero!$E:$E,Heron!$A13)-SUMIFS(Xero!$F:$F,Xero!$B:$B,Heron!AQ$9,Xero!$A:$A,Heron!$A$5,Xero!$E:$E,Heron!$A13)</f>
        <v/>
      </c>
      <c r="AR13" s="101">
        <f>-SUMIFS(Xero!$F:$F,Xero!$B:$B,Heron!AR$9,Xero!$A:$A,Heron!$A$4,Xero!$E:$E,Heron!$A13)-SUMIFS(Xero!$F:$F,Xero!$B:$B,Heron!AR$9,Xero!$A:$A,Heron!$A$5,Xero!$E:$E,Heron!$A13)</f>
        <v/>
      </c>
      <c r="AS13" s="101">
        <f>-SUMIFS(Xero!$F:$F,Xero!$B:$B,Heron!AS$9,Xero!$A:$A,Heron!$A$4,Xero!$E:$E,Heron!$A13)-SUMIFS(Xero!$F:$F,Xero!$B:$B,Heron!AS$9,Xero!$A:$A,Heron!$A$5,Xero!$E:$E,Heron!$A13)</f>
        <v/>
      </c>
      <c r="AT13" s="101">
        <f>-SUMIFS(Xero!$F:$F,Xero!$B:$B,Heron!AT$9,Xero!$A:$A,Heron!$A$4,Xero!$E:$E,Heron!$A13)-SUMIFS(Xero!$F:$F,Xero!$B:$B,Heron!AT$9,Xero!$A:$A,Heron!$A$5,Xero!$E:$E,Heron!$A13)</f>
        <v/>
      </c>
      <c r="AU13" s="101">
        <f>-SUMIFS(Xero!$F:$F,Xero!$B:$B,Heron!AU$9,Xero!$A:$A,Heron!$A$4,Xero!$E:$E,Heron!$A13)-SUMIFS(Xero!$F:$F,Xero!$B:$B,Heron!AU$9,Xero!$A:$A,Heron!$A$5,Xero!$E:$E,Heron!$A13)</f>
        <v/>
      </c>
      <c r="AV13" s="101">
        <f>-SUMIFS(Xero!$F:$F,Xero!$B:$B,Heron!AV$9,Xero!$A:$A,Heron!$A$4,Xero!$E:$E,Heron!$A13)-SUMIFS(Xero!$F:$F,Xero!$B:$B,Heron!AV$9,Xero!$A:$A,Heron!$A$5,Xero!$E:$E,Heron!$A13)</f>
        <v/>
      </c>
      <c r="AW13" s="101">
        <f>-SUMIFS(Xero!$F:$F,Xero!$B:$B,Heron!AW$9,Xero!$A:$A,Heron!$A$4,Xero!$E:$E,Heron!$A13)-SUMIFS(Xero!$F:$F,Xero!$B:$B,Heron!AW$9,Xero!$A:$A,Heron!$A$5,Xero!$E:$E,Heron!$A13)</f>
        <v/>
      </c>
      <c r="AX13" s="101">
        <f>-SUMIFS(Xero!$F:$F,Xero!$B:$B,Heron!AX$9,Xero!$A:$A,Heron!$A$4,Xero!$E:$E,Heron!$A13)-SUMIFS(Xero!$F:$F,Xero!$B:$B,Heron!AX$9,Xero!$A:$A,Heron!$A$5,Xero!$E:$E,Heron!$A13)</f>
        <v/>
      </c>
      <c r="AY13" s="101">
        <f>-SUMIFS(Xero!$F:$F,Xero!$B:$B,Heron!AY$9,Xero!$A:$A,Heron!$A$4,Xero!$E:$E,Heron!$A13)-SUMIFS(Xero!$F:$F,Xero!$B:$B,Heron!AY$9,Xero!$A:$A,Heron!$A$5,Xero!$E:$E,Heron!$A13)</f>
        <v/>
      </c>
      <c r="AZ13" s="101">
        <f>-SUMIFS(Xero!$F:$F,Xero!$B:$B,Heron!AZ$9,Xero!$A:$A,Heron!$A$4,Xero!$E:$E,Heron!$A13)-SUMIFS(Xero!$F:$F,Xero!$B:$B,Heron!AZ$9,Xero!$A:$A,Heron!$A$5,Xero!$E:$E,Heron!$A13)</f>
        <v/>
      </c>
      <c r="BA13" s="101">
        <f>-SUMIFS(Xero!$F:$F,Xero!$B:$B,Heron!BA$9,Xero!$A:$A,Heron!$A$4,Xero!$E:$E,Heron!$A13)-SUMIFS(Xero!$F:$F,Xero!$B:$B,Heron!BA$9,Xero!$A:$A,Heron!$A$5,Xero!$E:$E,Heron!$A13)</f>
        <v/>
      </c>
      <c r="BB13" s="101">
        <f>-SUMIFS(Xero!$F:$F,Xero!$B:$B,Heron!BB$9,Xero!$A:$A,Heron!$A$4,Xero!$E:$E,Heron!$A13)-SUMIFS(Xero!$F:$F,Xero!$B:$B,Heron!BB$9,Xero!$A:$A,Heron!$A$5,Xero!$E:$E,Heron!$A13)</f>
        <v/>
      </c>
      <c r="BC13" s="101">
        <f>-SUMIFS(Xero!$F:$F,Xero!$B:$B,Heron!BC$9,Xero!$A:$A,Heron!$A$4,Xero!$E:$E,Heron!$A13)-SUMIFS(Xero!$F:$F,Xero!$B:$B,Heron!BC$9,Xero!$A:$A,Heron!$A$5,Xero!$E:$E,Heron!$A13)</f>
        <v/>
      </c>
      <c r="BD13" s="101">
        <f>-SUMIFS(Xero!$F:$F,Xero!$B:$B,Heron!BD$9,Xero!$A:$A,Heron!$A$4,Xero!$E:$E,Heron!$A13)-SUMIFS(Xero!$F:$F,Xero!$B:$B,Heron!BD$9,Xero!$A:$A,Heron!$A$5,Xero!$E:$E,Heron!$A13)</f>
        <v/>
      </c>
      <c r="BE13" s="101">
        <f>-SUMIFS(Xero!$F:$F,Xero!$B:$B,Heron!BE$9,Xero!$A:$A,Heron!$A$4,Xero!$E:$E,Heron!$A13)-SUMIFS(Xero!$F:$F,Xero!$B:$B,Heron!BE$9,Xero!$A:$A,Heron!$A$5,Xero!$E:$E,Heron!$A13)</f>
        <v/>
      </c>
      <c r="BF13" s="101">
        <f>-SUMIFS(Xero!$F:$F,Xero!$B:$B,Heron!BF$9,Xero!$A:$A,Heron!$A$4,Xero!$E:$E,Heron!$A13)-SUMIFS(Xero!$F:$F,Xero!$B:$B,Heron!BF$9,Xero!$A:$A,Heron!$A$5,Xero!$E:$E,Heron!$A13)</f>
        <v/>
      </c>
      <c r="BG13" s="101">
        <f>-SUMIFS(Xero!$F:$F,Xero!$B:$B,Heron!BG$9,Xero!$A:$A,Heron!$A$4,Xero!$E:$E,Heron!$A13)-SUMIFS(Xero!$F:$F,Xero!$B:$B,Heron!BG$9,Xero!$A:$A,Heron!$A$5,Xero!$E:$E,Heron!$A13)</f>
        <v/>
      </c>
      <c r="BH13" s="101">
        <f>-SUMIFS(Xero!$F:$F,Xero!$B:$B,Heron!BH$9,Xero!$A:$A,Heron!$A$4,Xero!$E:$E,Heron!$A13)-SUMIFS(Xero!$F:$F,Xero!$B:$B,Heron!BH$9,Xero!$A:$A,Heron!$A$5,Xero!$E:$E,Heron!$A13)</f>
        <v/>
      </c>
      <c r="BI13" s="101">
        <f>-SUMIFS(Xero!$F:$F,Xero!$B:$B,Heron!BI$9,Xero!$A:$A,Heron!$A$4,Xero!$E:$E,Heron!$A13)-SUMIFS(Xero!$F:$F,Xero!$B:$B,Heron!BI$9,Xero!$A:$A,Heron!$A$5,Xero!$E:$E,Heron!$A13)</f>
        <v/>
      </c>
      <c r="BJ13" s="101">
        <f>-SUMIFS(Xero!$F:$F,Xero!$B:$B,Heron!BJ$9,Xero!$A:$A,Heron!$A$4,Xero!$E:$E,Heron!$A13)-SUMIFS(Xero!$F:$F,Xero!$B:$B,Heron!BJ$9,Xero!$A:$A,Heron!$A$5,Xero!$E:$E,Heron!$A13)</f>
        <v/>
      </c>
      <c r="BK13" s="101">
        <f>sum(D13:BJ13)</f>
        <v/>
      </c>
    </row>
    <row r="14">
      <c r="A14" s="100" t="inlineStr">
        <is>
          <t>CPC - Accounting Management Fee</t>
        </is>
      </c>
      <c r="D14" s="101">
        <f>-SUMIFS(Xero!$F:$F,Xero!$B:$B,Heron!D$9,Xero!$A:$A,Heron!$A$4,Xero!$E:$E,Heron!$A14)-SUMIFS(Xero!$F:$F,Xero!$B:$B,Heron!D$9,Xero!$A:$A,Heron!$A$5,Xero!$E:$E,Heron!$A14)</f>
        <v/>
      </c>
      <c r="E14" s="101">
        <f>-SUMIFS(Xero!$F:$F,Xero!$B:$B,Heron!E$9,Xero!$A:$A,Heron!$A$4,Xero!$E:$E,Heron!$A14)-SUMIFS(Xero!$F:$F,Xero!$B:$B,Heron!E$9,Xero!$A:$A,Heron!$A$5,Xero!$E:$E,Heron!$A14)</f>
        <v/>
      </c>
      <c r="F14" s="101">
        <f>-SUMIFS(Xero!$F:$F,Xero!$B:$B,Heron!F$9,Xero!$A:$A,Heron!$A$4,Xero!$E:$E,Heron!$A14)-SUMIFS(Xero!$F:$F,Xero!$B:$B,Heron!F$9,Xero!$A:$A,Heron!$A$5,Xero!$E:$E,Heron!$A14)</f>
        <v/>
      </c>
      <c r="G14" s="101">
        <f>-SUMIFS(Xero!$F:$F,Xero!$B:$B,Heron!G$9,Xero!$A:$A,Heron!$A$4,Xero!$E:$E,Heron!$A14)-SUMIFS(Xero!$F:$F,Xero!$B:$B,Heron!G$9,Xero!$A:$A,Heron!$A$5,Xero!$E:$E,Heron!$A14)</f>
        <v/>
      </c>
      <c r="H14" s="101">
        <f>-SUMIFS(Xero!$F:$F,Xero!$B:$B,Heron!H$9,Xero!$A:$A,Heron!$A$4,Xero!$E:$E,Heron!$A14)-SUMIFS(Xero!$F:$F,Xero!$B:$B,Heron!H$9,Xero!$A:$A,Heron!$A$5,Xero!$E:$E,Heron!$A14)</f>
        <v/>
      </c>
      <c r="I14" s="101">
        <f>-SUMIFS(Xero!$F:$F,Xero!$B:$B,Heron!I$9,Xero!$A:$A,Heron!$A$4,Xero!$E:$E,Heron!$A14)-SUMIFS(Xero!$F:$F,Xero!$B:$B,Heron!I$9,Xero!$A:$A,Heron!$A$5,Xero!$E:$E,Heron!$A14)</f>
        <v/>
      </c>
      <c r="J14" s="101">
        <f>-SUMIFS(Xero!$F:$F,Xero!$B:$B,Heron!J$9,Xero!$A:$A,Heron!$A$4,Xero!$E:$E,Heron!$A14)-SUMIFS(Xero!$F:$F,Xero!$B:$B,Heron!J$9,Xero!$A:$A,Heron!$A$5,Xero!$E:$E,Heron!$A14)</f>
        <v/>
      </c>
      <c r="K14" s="101">
        <f>-SUMIFS(Xero!$F:$F,Xero!$B:$B,Heron!K$9,Xero!$A:$A,Heron!$A$4,Xero!$E:$E,Heron!$A14)-SUMIFS(Xero!$F:$F,Xero!$B:$B,Heron!K$9,Xero!$A:$A,Heron!$A$5,Xero!$E:$E,Heron!$A14)</f>
        <v/>
      </c>
      <c r="L14" s="101">
        <f>-SUMIFS(Xero!$F:$F,Xero!$B:$B,Heron!L$9,Xero!$A:$A,Heron!$A$4,Xero!$E:$E,Heron!$A14)-SUMIFS(Xero!$F:$F,Xero!$B:$B,Heron!L$9,Xero!$A:$A,Heron!$A$5,Xero!$E:$E,Heron!$A14)</f>
        <v/>
      </c>
      <c r="M14" s="101">
        <f>-SUMIFS(Xero!$F:$F,Xero!$B:$B,Heron!M$9,Xero!$A:$A,Heron!$A$4,Xero!$E:$E,Heron!$A14)-SUMIFS(Xero!$F:$F,Xero!$B:$B,Heron!M$9,Xero!$A:$A,Heron!$A$5,Xero!$E:$E,Heron!$A14)</f>
        <v/>
      </c>
      <c r="N14" s="101">
        <f>-SUMIFS(Xero!$F:$F,Xero!$B:$B,Heron!N$9,Xero!$A:$A,Heron!$A$4,Xero!$E:$E,Heron!$A14)-SUMIFS(Xero!$F:$F,Xero!$B:$B,Heron!N$9,Xero!$A:$A,Heron!$A$5,Xero!$E:$E,Heron!$A14)</f>
        <v/>
      </c>
      <c r="O14" s="101">
        <f>-SUMIFS(Xero!$F:$F,Xero!$B:$B,Heron!O$9,Xero!$A:$A,Heron!$A$4,Xero!$E:$E,Heron!$A14)-SUMIFS(Xero!$F:$F,Xero!$B:$B,Heron!O$9,Xero!$A:$A,Heron!$A$5,Xero!$E:$E,Heron!$A14)</f>
        <v/>
      </c>
      <c r="P14" s="101">
        <f>-SUMIFS(Xero!$F:$F,Xero!$B:$B,Heron!P$9,Xero!$A:$A,Heron!$A$4,Xero!$E:$E,Heron!$A14)-SUMIFS(Xero!$F:$F,Xero!$B:$B,Heron!P$9,Xero!$A:$A,Heron!$A$5,Xero!$E:$E,Heron!$A14)</f>
        <v/>
      </c>
      <c r="Q14" s="101">
        <f>-SUMIFS(Xero!$F:$F,Xero!$B:$B,Heron!Q$9,Xero!$A:$A,Heron!$A$4,Xero!$E:$E,Heron!$A14)-SUMIFS(Xero!$F:$F,Xero!$B:$B,Heron!Q$9,Xero!$A:$A,Heron!$A$5,Xero!$E:$E,Heron!$A14)</f>
        <v/>
      </c>
      <c r="R14" s="101">
        <f>-SUMIFS(Xero!$F:$F,Xero!$B:$B,Heron!R$9,Xero!$A:$A,Heron!$A$4,Xero!$E:$E,Heron!$A14)-SUMIFS(Xero!$F:$F,Xero!$B:$B,Heron!R$9,Xero!$A:$A,Heron!$A$5,Xero!$E:$E,Heron!$A14)</f>
        <v/>
      </c>
      <c r="S14" s="101">
        <f>-SUMIFS(Xero!$F:$F,Xero!$B:$B,Heron!S$9,Xero!$A:$A,Heron!$A$4,Xero!$E:$E,Heron!$A14)-SUMIFS(Xero!$F:$F,Xero!$B:$B,Heron!S$9,Xero!$A:$A,Heron!$A$5,Xero!$E:$E,Heron!$A14)</f>
        <v/>
      </c>
      <c r="T14" s="101">
        <f>-SUMIFS(Xero!$F:$F,Xero!$B:$B,Heron!T$9,Xero!$A:$A,Heron!$A$4,Xero!$E:$E,Heron!$A14)-SUMIFS(Xero!$F:$F,Xero!$B:$B,Heron!T$9,Xero!$A:$A,Heron!$A$5,Xero!$E:$E,Heron!$A14)</f>
        <v/>
      </c>
      <c r="U14" s="101">
        <f>-SUMIFS(Xero!$F:$F,Xero!$B:$B,Heron!U$9,Xero!$A:$A,Heron!$A$4,Xero!$E:$E,Heron!$A14)-SUMIFS(Xero!$F:$F,Xero!$B:$B,Heron!U$9,Xero!$A:$A,Heron!$A$5,Xero!$E:$E,Heron!$A14)</f>
        <v/>
      </c>
      <c r="V14" s="101">
        <f>-SUMIFS(Xero!$F:$F,Xero!$B:$B,Heron!V$9,Xero!$A:$A,Heron!$A$4,Xero!$E:$E,Heron!$A14)-SUMIFS(Xero!$F:$F,Xero!$B:$B,Heron!V$9,Xero!$A:$A,Heron!$A$5,Xero!$E:$E,Heron!$A14)</f>
        <v/>
      </c>
      <c r="W14" s="101">
        <f>-SUMIFS(Xero!$F:$F,Xero!$B:$B,Heron!W$9,Xero!$A:$A,Heron!$A$4,Xero!$E:$E,Heron!$A14)-SUMIFS(Xero!$F:$F,Xero!$B:$B,Heron!W$9,Xero!$A:$A,Heron!$A$5,Xero!$E:$E,Heron!$A14)</f>
        <v/>
      </c>
      <c r="X14" s="101">
        <f>-SUMIFS(Xero!$F:$F,Xero!$B:$B,Heron!X$9,Xero!$A:$A,Heron!$A$4,Xero!$E:$E,Heron!$A14)-SUMIFS(Xero!$F:$F,Xero!$B:$B,Heron!X$9,Xero!$A:$A,Heron!$A$5,Xero!$E:$E,Heron!$A14)</f>
        <v/>
      </c>
      <c r="Y14" s="101">
        <f>-SUMIFS(Xero!$F:$F,Xero!$B:$B,Heron!Y$9,Xero!$A:$A,Heron!$A$4,Xero!$E:$E,Heron!$A14)-SUMIFS(Xero!$F:$F,Xero!$B:$B,Heron!Y$9,Xero!$A:$A,Heron!$A$5,Xero!$E:$E,Heron!$A14)</f>
        <v/>
      </c>
      <c r="Z14" s="101">
        <f>-SUMIFS(Xero!$F:$F,Xero!$B:$B,Heron!Z$9,Xero!$A:$A,Heron!$A$4,Xero!$E:$E,Heron!$A14)-SUMIFS(Xero!$F:$F,Xero!$B:$B,Heron!Z$9,Xero!$A:$A,Heron!$A$5,Xero!$E:$E,Heron!$A14)</f>
        <v/>
      </c>
      <c r="AA14" s="101">
        <f>-SUMIFS(Xero!$F:$F,Xero!$B:$B,Heron!AA$9,Xero!$A:$A,Heron!$A$4,Xero!$E:$E,Heron!$A14)-SUMIFS(Xero!$F:$F,Xero!$B:$B,Heron!AA$9,Xero!$A:$A,Heron!$A$5,Xero!$E:$E,Heron!$A14)</f>
        <v/>
      </c>
      <c r="AB14" s="101">
        <f>-SUMIFS(Xero!$F:$F,Xero!$B:$B,Heron!AB$9,Xero!$A:$A,Heron!$A$4,Xero!$E:$E,Heron!$A14)-SUMIFS(Xero!$F:$F,Xero!$B:$B,Heron!AB$9,Xero!$A:$A,Heron!$A$5,Xero!$E:$E,Heron!$A14)</f>
        <v/>
      </c>
      <c r="AC14" s="101">
        <f>-SUMIFS(Xero!$F:$F,Xero!$B:$B,Heron!AC$9,Xero!$A:$A,Heron!$A$4,Xero!$E:$E,Heron!$A14)-SUMIFS(Xero!$F:$F,Xero!$B:$B,Heron!AC$9,Xero!$A:$A,Heron!$A$5,Xero!$E:$E,Heron!$A14)</f>
        <v/>
      </c>
      <c r="AD14" s="101">
        <f>-SUMIFS(Xero!$F:$F,Xero!$B:$B,Heron!AD$9,Xero!$A:$A,Heron!$A$4,Xero!$E:$E,Heron!$A14)-SUMIFS(Xero!$F:$F,Xero!$B:$B,Heron!AD$9,Xero!$A:$A,Heron!$A$5,Xero!$E:$E,Heron!$A14)</f>
        <v/>
      </c>
      <c r="AE14" s="101">
        <f>-SUMIFS(Xero!$F:$F,Xero!$B:$B,Heron!AE$9,Xero!$A:$A,Heron!$A$4,Xero!$E:$E,Heron!$A14)-SUMIFS(Xero!$F:$F,Xero!$B:$B,Heron!AE$9,Xero!$A:$A,Heron!$A$5,Xero!$E:$E,Heron!$A14)</f>
        <v/>
      </c>
      <c r="AF14" s="101">
        <f>-SUMIFS(Xero!$F:$F,Xero!$B:$B,Heron!AF$9,Xero!$A:$A,Heron!$A$4,Xero!$E:$E,Heron!$A14)-SUMIFS(Xero!$F:$F,Xero!$B:$B,Heron!AF$9,Xero!$A:$A,Heron!$A$5,Xero!$E:$E,Heron!$A14)</f>
        <v/>
      </c>
      <c r="AG14" s="101">
        <f>-SUMIFS(Xero!$F:$F,Xero!$B:$B,Heron!AG$9,Xero!$A:$A,Heron!$A$4,Xero!$E:$E,Heron!$A14)-SUMIFS(Xero!$F:$F,Xero!$B:$B,Heron!AG$9,Xero!$A:$A,Heron!$A$5,Xero!$E:$E,Heron!$A14)</f>
        <v/>
      </c>
      <c r="AH14" s="101">
        <f>-SUMIFS(Xero!$F:$F,Xero!$B:$B,Heron!AH$9,Xero!$A:$A,Heron!$A$4,Xero!$E:$E,Heron!$A14)-SUMIFS(Xero!$F:$F,Xero!$B:$B,Heron!AH$9,Xero!$A:$A,Heron!$A$5,Xero!$E:$E,Heron!$A14)</f>
        <v/>
      </c>
      <c r="AI14" s="101">
        <f>-SUMIFS(Xero!$F:$F,Xero!$B:$B,Heron!AI$9,Xero!$A:$A,Heron!$A$4,Xero!$E:$E,Heron!$A14)-SUMIFS(Xero!$F:$F,Xero!$B:$B,Heron!AI$9,Xero!$A:$A,Heron!$A$5,Xero!$E:$E,Heron!$A14)</f>
        <v/>
      </c>
      <c r="AJ14" s="101">
        <f>-SUMIFS(Xero!$F:$F,Xero!$B:$B,Heron!AJ$9,Xero!$A:$A,Heron!$A$4,Xero!$E:$E,Heron!$A14)-SUMIFS(Xero!$F:$F,Xero!$B:$B,Heron!AJ$9,Xero!$A:$A,Heron!$A$5,Xero!$E:$E,Heron!$A14)</f>
        <v/>
      </c>
      <c r="AK14" s="101">
        <f>-SUMIFS(Xero!$F:$F,Xero!$B:$B,Heron!AK$9,Xero!$A:$A,Heron!$A$4,Xero!$E:$E,Heron!$A14)-SUMIFS(Xero!$F:$F,Xero!$B:$B,Heron!AK$9,Xero!$A:$A,Heron!$A$5,Xero!$E:$E,Heron!$A14)</f>
        <v/>
      </c>
      <c r="AL14" s="101">
        <f>-SUMIFS(Xero!$F:$F,Xero!$B:$B,Heron!AL$9,Xero!$A:$A,Heron!$A$4,Xero!$E:$E,Heron!$A14)-SUMIFS(Xero!$F:$F,Xero!$B:$B,Heron!AL$9,Xero!$A:$A,Heron!$A$5,Xero!$E:$E,Heron!$A14)</f>
        <v/>
      </c>
      <c r="AM14" s="101">
        <f>-SUMIFS(Xero!$F:$F,Xero!$B:$B,Heron!AM$9,Xero!$A:$A,Heron!$A$4,Xero!$E:$E,Heron!$A14)-SUMIFS(Xero!$F:$F,Xero!$B:$B,Heron!AM$9,Xero!$A:$A,Heron!$A$5,Xero!$E:$E,Heron!$A14)</f>
        <v/>
      </c>
      <c r="AN14" s="101">
        <f>-SUMIFS(Xero!$F:$F,Xero!$B:$B,Heron!AN$9,Xero!$A:$A,Heron!$A$4,Xero!$E:$E,Heron!$A14)-SUMIFS(Xero!$F:$F,Xero!$B:$B,Heron!AN$9,Xero!$A:$A,Heron!$A$5,Xero!$E:$E,Heron!$A14)</f>
        <v/>
      </c>
      <c r="AO14" s="101">
        <f>-SUMIFS(Xero!$F:$F,Xero!$B:$B,Heron!AO$9,Xero!$A:$A,Heron!$A$4,Xero!$E:$E,Heron!$A14)-SUMIFS(Xero!$F:$F,Xero!$B:$B,Heron!AO$9,Xero!$A:$A,Heron!$A$5,Xero!$E:$E,Heron!$A14)</f>
        <v/>
      </c>
      <c r="AP14" s="101">
        <f>-SUMIFS(Xero!$F:$F,Xero!$B:$B,Heron!AP$9,Xero!$A:$A,Heron!$A$4,Xero!$E:$E,Heron!$A14)-SUMIFS(Xero!$F:$F,Xero!$B:$B,Heron!AP$9,Xero!$A:$A,Heron!$A$5,Xero!$E:$E,Heron!$A14)</f>
        <v/>
      </c>
      <c r="AQ14" s="101">
        <f>-SUMIFS(Xero!$F:$F,Xero!$B:$B,Heron!AQ$9,Xero!$A:$A,Heron!$A$4,Xero!$E:$E,Heron!$A14)-SUMIFS(Xero!$F:$F,Xero!$B:$B,Heron!AQ$9,Xero!$A:$A,Heron!$A$5,Xero!$E:$E,Heron!$A14)</f>
        <v/>
      </c>
      <c r="AR14" s="101">
        <f>-SUMIFS(Xero!$F:$F,Xero!$B:$B,Heron!AR$9,Xero!$A:$A,Heron!$A$4,Xero!$E:$E,Heron!$A14)-SUMIFS(Xero!$F:$F,Xero!$B:$B,Heron!AR$9,Xero!$A:$A,Heron!$A$5,Xero!$E:$E,Heron!$A14)</f>
        <v/>
      </c>
      <c r="AS14" s="101">
        <f>-SUMIFS(Xero!$F:$F,Xero!$B:$B,Heron!AS$9,Xero!$A:$A,Heron!$A$4,Xero!$E:$E,Heron!$A14)-SUMIFS(Xero!$F:$F,Xero!$B:$B,Heron!AS$9,Xero!$A:$A,Heron!$A$5,Xero!$E:$E,Heron!$A14)</f>
        <v/>
      </c>
      <c r="AT14" s="101">
        <f>-SUMIFS(Xero!$F:$F,Xero!$B:$B,Heron!AT$9,Xero!$A:$A,Heron!$A$4,Xero!$E:$E,Heron!$A14)-SUMIFS(Xero!$F:$F,Xero!$B:$B,Heron!AT$9,Xero!$A:$A,Heron!$A$5,Xero!$E:$E,Heron!$A14)</f>
        <v/>
      </c>
      <c r="AU14" s="101">
        <f>-SUMIFS(Xero!$F:$F,Xero!$B:$B,Heron!AU$9,Xero!$A:$A,Heron!$A$4,Xero!$E:$E,Heron!$A14)-SUMIFS(Xero!$F:$F,Xero!$B:$B,Heron!AU$9,Xero!$A:$A,Heron!$A$5,Xero!$E:$E,Heron!$A14)</f>
        <v/>
      </c>
      <c r="AV14" s="101">
        <f>-SUMIFS(Xero!$F:$F,Xero!$B:$B,Heron!AV$9,Xero!$A:$A,Heron!$A$4,Xero!$E:$E,Heron!$A14)-SUMIFS(Xero!$F:$F,Xero!$B:$B,Heron!AV$9,Xero!$A:$A,Heron!$A$5,Xero!$E:$E,Heron!$A14)</f>
        <v/>
      </c>
      <c r="AW14" s="101">
        <f>-SUMIFS(Xero!$F:$F,Xero!$B:$B,Heron!AW$9,Xero!$A:$A,Heron!$A$4,Xero!$E:$E,Heron!$A14)-SUMIFS(Xero!$F:$F,Xero!$B:$B,Heron!AW$9,Xero!$A:$A,Heron!$A$5,Xero!$E:$E,Heron!$A14)</f>
        <v/>
      </c>
      <c r="AX14" s="101">
        <f>-SUMIFS(Xero!$F:$F,Xero!$B:$B,Heron!AX$9,Xero!$A:$A,Heron!$A$4,Xero!$E:$E,Heron!$A14)-SUMIFS(Xero!$F:$F,Xero!$B:$B,Heron!AX$9,Xero!$A:$A,Heron!$A$5,Xero!$E:$E,Heron!$A14)</f>
        <v/>
      </c>
      <c r="AY14" s="101">
        <f>-SUMIFS(Xero!$F:$F,Xero!$B:$B,Heron!AY$9,Xero!$A:$A,Heron!$A$4,Xero!$E:$E,Heron!$A14)-SUMIFS(Xero!$F:$F,Xero!$B:$B,Heron!AY$9,Xero!$A:$A,Heron!$A$5,Xero!$E:$E,Heron!$A14)</f>
        <v/>
      </c>
      <c r="AZ14" s="101">
        <f>-SUMIFS(Xero!$F:$F,Xero!$B:$B,Heron!AZ$9,Xero!$A:$A,Heron!$A$4,Xero!$E:$E,Heron!$A14)-SUMIFS(Xero!$F:$F,Xero!$B:$B,Heron!AZ$9,Xero!$A:$A,Heron!$A$5,Xero!$E:$E,Heron!$A14)</f>
        <v/>
      </c>
      <c r="BA14" s="101">
        <f>-SUMIFS(Xero!$F:$F,Xero!$B:$B,Heron!BA$9,Xero!$A:$A,Heron!$A$4,Xero!$E:$E,Heron!$A14)-SUMIFS(Xero!$F:$F,Xero!$B:$B,Heron!BA$9,Xero!$A:$A,Heron!$A$5,Xero!$E:$E,Heron!$A14)</f>
        <v/>
      </c>
      <c r="BB14" s="101">
        <f>-SUMIFS(Xero!$F:$F,Xero!$B:$B,Heron!BB$9,Xero!$A:$A,Heron!$A$4,Xero!$E:$E,Heron!$A14)-SUMIFS(Xero!$F:$F,Xero!$B:$B,Heron!BB$9,Xero!$A:$A,Heron!$A$5,Xero!$E:$E,Heron!$A14)</f>
        <v/>
      </c>
      <c r="BC14" s="101">
        <f>-SUMIFS(Xero!$F:$F,Xero!$B:$B,Heron!BC$9,Xero!$A:$A,Heron!$A$4,Xero!$E:$E,Heron!$A14)-SUMIFS(Xero!$F:$F,Xero!$B:$B,Heron!BC$9,Xero!$A:$A,Heron!$A$5,Xero!$E:$E,Heron!$A14)</f>
        <v/>
      </c>
      <c r="BD14" s="101">
        <f>-SUMIFS(Xero!$F:$F,Xero!$B:$B,Heron!BD$9,Xero!$A:$A,Heron!$A$4,Xero!$E:$E,Heron!$A14)-SUMIFS(Xero!$F:$F,Xero!$B:$B,Heron!BD$9,Xero!$A:$A,Heron!$A$5,Xero!$E:$E,Heron!$A14)</f>
        <v/>
      </c>
      <c r="BE14" s="101">
        <f>-SUMIFS(Xero!$F:$F,Xero!$B:$B,Heron!BE$9,Xero!$A:$A,Heron!$A$4,Xero!$E:$E,Heron!$A14)-SUMIFS(Xero!$F:$F,Xero!$B:$B,Heron!BE$9,Xero!$A:$A,Heron!$A$5,Xero!$E:$E,Heron!$A14)</f>
        <v/>
      </c>
      <c r="BF14" s="101">
        <f>-SUMIFS(Xero!$F:$F,Xero!$B:$B,Heron!BF$9,Xero!$A:$A,Heron!$A$4,Xero!$E:$E,Heron!$A14)-SUMIFS(Xero!$F:$F,Xero!$B:$B,Heron!BF$9,Xero!$A:$A,Heron!$A$5,Xero!$E:$E,Heron!$A14)</f>
        <v/>
      </c>
      <c r="BG14" s="101">
        <f>-SUMIFS(Xero!$F:$F,Xero!$B:$B,Heron!BG$9,Xero!$A:$A,Heron!$A$4,Xero!$E:$E,Heron!$A14)-SUMIFS(Xero!$F:$F,Xero!$B:$B,Heron!BG$9,Xero!$A:$A,Heron!$A$5,Xero!$E:$E,Heron!$A14)</f>
        <v/>
      </c>
      <c r="BH14" s="101">
        <f>-SUMIFS(Xero!$F:$F,Xero!$B:$B,Heron!BH$9,Xero!$A:$A,Heron!$A$4,Xero!$E:$E,Heron!$A14)-SUMIFS(Xero!$F:$F,Xero!$B:$B,Heron!BH$9,Xero!$A:$A,Heron!$A$5,Xero!$E:$E,Heron!$A14)</f>
        <v/>
      </c>
      <c r="BI14" s="101">
        <f>-SUMIFS(Xero!$F:$F,Xero!$B:$B,Heron!BI$9,Xero!$A:$A,Heron!$A$4,Xero!$E:$E,Heron!$A14)-SUMIFS(Xero!$F:$F,Xero!$B:$B,Heron!BI$9,Xero!$A:$A,Heron!$A$5,Xero!$E:$E,Heron!$A14)</f>
        <v/>
      </c>
      <c r="BJ14" s="101">
        <f>-SUMIFS(Xero!$F:$F,Xero!$B:$B,Heron!BJ$9,Xero!$A:$A,Heron!$A$4,Xero!$E:$E,Heron!$A14)-SUMIFS(Xero!$F:$F,Xero!$B:$B,Heron!BJ$9,Xero!$A:$A,Heron!$A$5,Xero!$E:$E,Heron!$A14)</f>
        <v/>
      </c>
      <c r="BK14" s="101">
        <f>sum(D14:BJ14)</f>
        <v/>
      </c>
    </row>
    <row r="15">
      <c r="A15" s="100" t="inlineStr">
        <is>
          <t>Interest Received - Deposit Grey Heron</t>
        </is>
      </c>
      <c r="D15" s="101">
        <f>-SUMIFS(Xero!$F:$F,Xero!$B:$B,Heron!D$9,Xero!$A:$A,Heron!$A$4,Xero!$E:$E,Heron!$A15)-SUMIFS(Xero!$F:$F,Xero!$B:$B,Heron!D$9,Xero!$A:$A,Heron!$A$5,Xero!$E:$E,Heron!$A15)</f>
        <v/>
      </c>
      <c r="E15" s="101">
        <f>-SUMIFS(Xero!$F:$F,Xero!$B:$B,Heron!E$9,Xero!$A:$A,Heron!$A$4,Xero!$E:$E,Heron!$A15)-SUMIFS(Xero!$F:$F,Xero!$B:$B,Heron!E$9,Xero!$A:$A,Heron!$A$5,Xero!$E:$E,Heron!$A15)</f>
        <v/>
      </c>
      <c r="F15" s="101">
        <f>-SUMIFS(Xero!$F:$F,Xero!$B:$B,Heron!F$9,Xero!$A:$A,Heron!$A$4,Xero!$E:$E,Heron!$A15)-SUMIFS(Xero!$F:$F,Xero!$B:$B,Heron!F$9,Xero!$A:$A,Heron!$A$5,Xero!$E:$E,Heron!$A15)</f>
        <v/>
      </c>
      <c r="G15" s="101">
        <f>-SUMIFS(Xero!$F:$F,Xero!$B:$B,Heron!G$9,Xero!$A:$A,Heron!$A$4,Xero!$E:$E,Heron!$A15)-SUMIFS(Xero!$F:$F,Xero!$B:$B,Heron!G$9,Xero!$A:$A,Heron!$A$5,Xero!$E:$E,Heron!$A15)</f>
        <v/>
      </c>
      <c r="H15" s="101">
        <f>-SUMIFS(Xero!$F:$F,Xero!$B:$B,Heron!H$9,Xero!$A:$A,Heron!$A$4,Xero!$E:$E,Heron!$A15)-SUMIFS(Xero!$F:$F,Xero!$B:$B,Heron!H$9,Xero!$A:$A,Heron!$A$5,Xero!$E:$E,Heron!$A15)</f>
        <v/>
      </c>
      <c r="I15" s="101">
        <f>-SUMIFS(Xero!$F:$F,Xero!$B:$B,Heron!I$9,Xero!$A:$A,Heron!$A$4,Xero!$E:$E,Heron!$A15)-SUMIFS(Xero!$F:$F,Xero!$B:$B,Heron!I$9,Xero!$A:$A,Heron!$A$5,Xero!$E:$E,Heron!$A15)</f>
        <v/>
      </c>
      <c r="J15" s="101">
        <f>-SUMIFS(Xero!$F:$F,Xero!$B:$B,Heron!J$9,Xero!$A:$A,Heron!$A$4,Xero!$E:$E,Heron!$A15)-SUMIFS(Xero!$F:$F,Xero!$B:$B,Heron!J$9,Xero!$A:$A,Heron!$A$5,Xero!$E:$E,Heron!$A15)</f>
        <v/>
      </c>
      <c r="K15" s="101">
        <f>-SUMIFS(Xero!$F:$F,Xero!$B:$B,Heron!K$9,Xero!$A:$A,Heron!$A$4,Xero!$E:$E,Heron!$A15)-SUMIFS(Xero!$F:$F,Xero!$B:$B,Heron!K$9,Xero!$A:$A,Heron!$A$5,Xero!$E:$E,Heron!$A15)</f>
        <v/>
      </c>
      <c r="L15" s="101">
        <f>-SUMIFS(Xero!$F:$F,Xero!$B:$B,Heron!L$9,Xero!$A:$A,Heron!$A$4,Xero!$E:$E,Heron!$A15)-SUMIFS(Xero!$F:$F,Xero!$B:$B,Heron!L$9,Xero!$A:$A,Heron!$A$5,Xero!$E:$E,Heron!$A15)</f>
        <v/>
      </c>
      <c r="M15" s="101">
        <f>-SUMIFS(Xero!$F:$F,Xero!$B:$B,Heron!M$9,Xero!$A:$A,Heron!$A$4,Xero!$E:$E,Heron!$A15)-SUMIFS(Xero!$F:$F,Xero!$B:$B,Heron!M$9,Xero!$A:$A,Heron!$A$5,Xero!$E:$E,Heron!$A15)</f>
        <v/>
      </c>
      <c r="N15" s="101">
        <f>-SUMIFS(Xero!$F:$F,Xero!$B:$B,Heron!N$9,Xero!$A:$A,Heron!$A$4,Xero!$E:$E,Heron!$A15)-SUMIFS(Xero!$F:$F,Xero!$B:$B,Heron!N$9,Xero!$A:$A,Heron!$A$5,Xero!$E:$E,Heron!$A15)</f>
        <v/>
      </c>
      <c r="O15" s="101">
        <f>-SUMIFS(Xero!$F:$F,Xero!$B:$B,Heron!O$9,Xero!$A:$A,Heron!$A$4,Xero!$E:$E,Heron!$A15)-SUMIFS(Xero!$F:$F,Xero!$B:$B,Heron!O$9,Xero!$A:$A,Heron!$A$5,Xero!$E:$E,Heron!$A15)</f>
        <v/>
      </c>
      <c r="P15" s="101">
        <f>-SUMIFS(Xero!$F:$F,Xero!$B:$B,Heron!P$9,Xero!$A:$A,Heron!$A$4,Xero!$E:$E,Heron!$A15)-SUMIFS(Xero!$F:$F,Xero!$B:$B,Heron!P$9,Xero!$A:$A,Heron!$A$5,Xero!$E:$E,Heron!$A15)</f>
        <v/>
      </c>
      <c r="Q15" s="101">
        <f>-SUMIFS(Xero!$F:$F,Xero!$B:$B,Heron!Q$9,Xero!$A:$A,Heron!$A$4,Xero!$E:$E,Heron!$A15)-SUMIFS(Xero!$F:$F,Xero!$B:$B,Heron!Q$9,Xero!$A:$A,Heron!$A$5,Xero!$E:$E,Heron!$A15)</f>
        <v/>
      </c>
      <c r="R15" s="101">
        <f>-SUMIFS(Xero!$F:$F,Xero!$B:$B,Heron!R$9,Xero!$A:$A,Heron!$A$4,Xero!$E:$E,Heron!$A15)-SUMIFS(Xero!$F:$F,Xero!$B:$B,Heron!R$9,Xero!$A:$A,Heron!$A$5,Xero!$E:$E,Heron!$A15)</f>
        <v/>
      </c>
      <c r="S15" s="101">
        <f>-SUMIFS(Xero!$F:$F,Xero!$B:$B,Heron!S$9,Xero!$A:$A,Heron!$A$4,Xero!$E:$E,Heron!$A15)-SUMIFS(Xero!$F:$F,Xero!$B:$B,Heron!S$9,Xero!$A:$A,Heron!$A$5,Xero!$E:$E,Heron!$A15)</f>
        <v/>
      </c>
      <c r="T15" s="101">
        <f>-SUMIFS(Xero!$F:$F,Xero!$B:$B,Heron!T$9,Xero!$A:$A,Heron!$A$4,Xero!$E:$E,Heron!$A15)-SUMIFS(Xero!$F:$F,Xero!$B:$B,Heron!T$9,Xero!$A:$A,Heron!$A$5,Xero!$E:$E,Heron!$A15)</f>
        <v/>
      </c>
      <c r="U15" s="101">
        <f>-SUMIFS(Xero!$F:$F,Xero!$B:$B,Heron!U$9,Xero!$A:$A,Heron!$A$4,Xero!$E:$E,Heron!$A15)-SUMIFS(Xero!$F:$F,Xero!$B:$B,Heron!U$9,Xero!$A:$A,Heron!$A$5,Xero!$E:$E,Heron!$A15)</f>
        <v/>
      </c>
      <c r="V15" s="101">
        <f>-SUMIFS(Xero!$F:$F,Xero!$B:$B,Heron!V$9,Xero!$A:$A,Heron!$A$4,Xero!$E:$E,Heron!$A15)-SUMIFS(Xero!$F:$F,Xero!$B:$B,Heron!V$9,Xero!$A:$A,Heron!$A$5,Xero!$E:$E,Heron!$A15)</f>
        <v/>
      </c>
      <c r="W15" s="101">
        <f>-SUMIFS(Xero!$F:$F,Xero!$B:$B,Heron!W$9,Xero!$A:$A,Heron!$A$4,Xero!$E:$E,Heron!$A15)-SUMIFS(Xero!$F:$F,Xero!$B:$B,Heron!W$9,Xero!$A:$A,Heron!$A$5,Xero!$E:$E,Heron!$A15)</f>
        <v/>
      </c>
      <c r="X15" s="101">
        <f>-SUMIFS(Xero!$F:$F,Xero!$B:$B,Heron!X$9,Xero!$A:$A,Heron!$A$4,Xero!$E:$E,Heron!$A15)-SUMIFS(Xero!$F:$F,Xero!$B:$B,Heron!X$9,Xero!$A:$A,Heron!$A$5,Xero!$E:$E,Heron!$A15)</f>
        <v/>
      </c>
      <c r="Y15" s="101">
        <f>-SUMIFS(Xero!$F:$F,Xero!$B:$B,Heron!Y$9,Xero!$A:$A,Heron!$A$4,Xero!$E:$E,Heron!$A15)-SUMIFS(Xero!$F:$F,Xero!$B:$B,Heron!Y$9,Xero!$A:$A,Heron!$A$5,Xero!$E:$E,Heron!$A15)</f>
        <v/>
      </c>
      <c r="Z15" s="101">
        <f>-SUMIFS(Xero!$F:$F,Xero!$B:$B,Heron!Z$9,Xero!$A:$A,Heron!$A$4,Xero!$E:$E,Heron!$A15)-SUMIFS(Xero!$F:$F,Xero!$B:$B,Heron!Z$9,Xero!$A:$A,Heron!$A$5,Xero!$E:$E,Heron!$A15)</f>
        <v/>
      </c>
      <c r="AA15" s="101">
        <f>-SUMIFS(Xero!$F:$F,Xero!$B:$B,Heron!AA$9,Xero!$A:$A,Heron!$A$4,Xero!$E:$E,Heron!$A15)-SUMIFS(Xero!$F:$F,Xero!$B:$B,Heron!AA$9,Xero!$A:$A,Heron!$A$5,Xero!$E:$E,Heron!$A15)</f>
        <v/>
      </c>
      <c r="AB15" s="101">
        <f>-SUMIFS(Xero!$F:$F,Xero!$B:$B,Heron!AB$9,Xero!$A:$A,Heron!$A$4,Xero!$E:$E,Heron!$A15)-SUMIFS(Xero!$F:$F,Xero!$B:$B,Heron!AB$9,Xero!$A:$A,Heron!$A$5,Xero!$E:$E,Heron!$A15)</f>
        <v/>
      </c>
      <c r="AC15" s="101">
        <f>-SUMIFS(Xero!$F:$F,Xero!$B:$B,Heron!AC$9,Xero!$A:$A,Heron!$A$4,Xero!$E:$E,Heron!$A15)-SUMIFS(Xero!$F:$F,Xero!$B:$B,Heron!AC$9,Xero!$A:$A,Heron!$A$5,Xero!$E:$E,Heron!$A15)</f>
        <v/>
      </c>
      <c r="AD15" s="101">
        <f>-SUMIFS(Xero!$F:$F,Xero!$B:$B,Heron!AD$9,Xero!$A:$A,Heron!$A$4,Xero!$E:$E,Heron!$A15)-SUMIFS(Xero!$F:$F,Xero!$B:$B,Heron!AD$9,Xero!$A:$A,Heron!$A$5,Xero!$E:$E,Heron!$A15)</f>
        <v/>
      </c>
      <c r="AE15" s="101">
        <f>-SUMIFS(Xero!$F:$F,Xero!$B:$B,Heron!AE$9,Xero!$A:$A,Heron!$A$4,Xero!$E:$E,Heron!$A15)-SUMIFS(Xero!$F:$F,Xero!$B:$B,Heron!AE$9,Xero!$A:$A,Heron!$A$5,Xero!$E:$E,Heron!$A15)</f>
        <v/>
      </c>
      <c r="AF15" s="101">
        <f>-SUMIFS(Xero!$F:$F,Xero!$B:$B,Heron!AF$9,Xero!$A:$A,Heron!$A$4,Xero!$E:$E,Heron!$A15)-SUMIFS(Xero!$F:$F,Xero!$B:$B,Heron!AF$9,Xero!$A:$A,Heron!$A$5,Xero!$E:$E,Heron!$A15)</f>
        <v/>
      </c>
      <c r="AG15" s="101">
        <f>-SUMIFS(Xero!$F:$F,Xero!$B:$B,Heron!AG$9,Xero!$A:$A,Heron!$A$4,Xero!$E:$E,Heron!$A15)-SUMIFS(Xero!$F:$F,Xero!$B:$B,Heron!AG$9,Xero!$A:$A,Heron!$A$5,Xero!$E:$E,Heron!$A15)</f>
        <v/>
      </c>
      <c r="AH15" s="101">
        <f>-SUMIFS(Xero!$F:$F,Xero!$B:$B,Heron!AH$9,Xero!$A:$A,Heron!$A$4,Xero!$E:$E,Heron!$A15)-SUMIFS(Xero!$F:$F,Xero!$B:$B,Heron!AH$9,Xero!$A:$A,Heron!$A$5,Xero!$E:$E,Heron!$A15)</f>
        <v/>
      </c>
      <c r="AI15" s="101">
        <f>-SUMIFS(Xero!$F:$F,Xero!$B:$B,Heron!AI$9,Xero!$A:$A,Heron!$A$4,Xero!$E:$E,Heron!$A15)-SUMIFS(Xero!$F:$F,Xero!$B:$B,Heron!AI$9,Xero!$A:$A,Heron!$A$5,Xero!$E:$E,Heron!$A15)</f>
        <v/>
      </c>
      <c r="AJ15" s="101">
        <f>-SUMIFS(Xero!$F:$F,Xero!$B:$B,Heron!AJ$9,Xero!$A:$A,Heron!$A$4,Xero!$E:$E,Heron!$A15)-SUMIFS(Xero!$F:$F,Xero!$B:$B,Heron!AJ$9,Xero!$A:$A,Heron!$A$5,Xero!$E:$E,Heron!$A15)</f>
        <v/>
      </c>
      <c r="AK15" s="101">
        <f>-SUMIFS(Xero!$F:$F,Xero!$B:$B,Heron!AK$9,Xero!$A:$A,Heron!$A$4,Xero!$E:$E,Heron!$A15)-SUMIFS(Xero!$F:$F,Xero!$B:$B,Heron!AK$9,Xero!$A:$A,Heron!$A$5,Xero!$E:$E,Heron!$A15)</f>
        <v/>
      </c>
      <c r="AL15" s="101">
        <f>-SUMIFS(Xero!$F:$F,Xero!$B:$B,Heron!AL$9,Xero!$A:$A,Heron!$A$4,Xero!$E:$E,Heron!$A15)-SUMIFS(Xero!$F:$F,Xero!$B:$B,Heron!AL$9,Xero!$A:$A,Heron!$A$5,Xero!$E:$E,Heron!$A15)</f>
        <v/>
      </c>
      <c r="AM15" s="101">
        <f>-SUMIFS(Xero!$F:$F,Xero!$B:$B,Heron!AM$9,Xero!$A:$A,Heron!$A$4,Xero!$E:$E,Heron!$A15)-SUMIFS(Xero!$F:$F,Xero!$B:$B,Heron!AM$9,Xero!$A:$A,Heron!$A$5,Xero!$E:$E,Heron!$A15)</f>
        <v/>
      </c>
      <c r="AN15" s="101">
        <f>-SUMIFS(Xero!$F:$F,Xero!$B:$B,Heron!AN$9,Xero!$A:$A,Heron!$A$4,Xero!$E:$E,Heron!$A15)-SUMIFS(Xero!$F:$F,Xero!$B:$B,Heron!AN$9,Xero!$A:$A,Heron!$A$5,Xero!$E:$E,Heron!$A15)</f>
        <v/>
      </c>
      <c r="AO15" s="101">
        <f>-SUMIFS(Xero!$F:$F,Xero!$B:$B,Heron!AO$9,Xero!$A:$A,Heron!$A$4,Xero!$E:$E,Heron!$A15)-SUMIFS(Xero!$F:$F,Xero!$B:$B,Heron!AO$9,Xero!$A:$A,Heron!$A$5,Xero!$E:$E,Heron!$A15)</f>
        <v/>
      </c>
      <c r="AP15" s="101">
        <f>-SUMIFS(Xero!$F:$F,Xero!$B:$B,Heron!AP$9,Xero!$A:$A,Heron!$A$4,Xero!$E:$E,Heron!$A15)-SUMIFS(Xero!$F:$F,Xero!$B:$B,Heron!AP$9,Xero!$A:$A,Heron!$A$5,Xero!$E:$E,Heron!$A15)</f>
        <v/>
      </c>
      <c r="AQ15" s="101">
        <f>-SUMIFS(Xero!$F:$F,Xero!$B:$B,Heron!AQ$9,Xero!$A:$A,Heron!$A$4,Xero!$E:$E,Heron!$A15)-SUMIFS(Xero!$F:$F,Xero!$B:$B,Heron!AQ$9,Xero!$A:$A,Heron!$A$5,Xero!$E:$E,Heron!$A15)</f>
        <v/>
      </c>
      <c r="AR15" s="101">
        <f>-SUMIFS(Xero!$F:$F,Xero!$B:$B,Heron!AR$9,Xero!$A:$A,Heron!$A$4,Xero!$E:$E,Heron!$A15)-SUMIFS(Xero!$F:$F,Xero!$B:$B,Heron!AR$9,Xero!$A:$A,Heron!$A$5,Xero!$E:$E,Heron!$A15)</f>
        <v/>
      </c>
      <c r="AS15" s="101">
        <f>-SUMIFS(Xero!$F:$F,Xero!$B:$B,Heron!AS$9,Xero!$A:$A,Heron!$A$4,Xero!$E:$E,Heron!$A15)-SUMIFS(Xero!$F:$F,Xero!$B:$B,Heron!AS$9,Xero!$A:$A,Heron!$A$5,Xero!$E:$E,Heron!$A15)</f>
        <v/>
      </c>
      <c r="AT15" s="101">
        <f>-SUMIFS(Xero!$F:$F,Xero!$B:$B,Heron!AT$9,Xero!$A:$A,Heron!$A$4,Xero!$E:$E,Heron!$A15)-SUMIFS(Xero!$F:$F,Xero!$B:$B,Heron!AT$9,Xero!$A:$A,Heron!$A$5,Xero!$E:$E,Heron!$A15)</f>
        <v/>
      </c>
      <c r="AU15" s="101">
        <f>-SUMIFS(Xero!$F:$F,Xero!$B:$B,Heron!AU$9,Xero!$A:$A,Heron!$A$4,Xero!$E:$E,Heron!$A15)-SUMIFS(Xero!$F:$F,Xero!$B:$B,Heron!AU$9,Xero!$A:$A,Heron!$A$5,Xero!$E:$E,Heron!$A15)</f>
        <v/>
      </c>
      <c r="AV15" s="101">
        <f>-SUMIFS(Xero!$F:$F,Xero!$B:$B,Heron!AV$9,Xero!$A:$A,Heron!$A$4,Xero!$E:$E,Heron!$A15)-SUMIFS(Xero!$F:$F,Xero!$B:$B,Heron!AV$9,Xero!$A:$A,Heron!$A$5,Xero!$E:$E,Heron!$A15)</f>
        <v/>
      </c>
      <c r="AW15" s="101">
        <f>-SUMIFS(Xero!$F:$F,Xero!$B:$B,Heron!AW$9,Xero!$A:$A,Heron!$A$4,Xero!$E:$E,Heron!$A15)-SUMIFS(Xero!$F:$F,Xero!$B:$B,Heron!AW$9,Xero!$A:$A,Heron!$A$5,Xero!$E:$E,Heron!$A15)</f>
        <v/>
      </c>
      <c r="AX15" s="101">
        <f>-SUMIFS(Xero!$F:$F,Xero!$B:$B,Heron!AX$9,Xero!$A:$A,Heron!$A$4,Xero!$E:$E,Heron!$A15)-SUMIFS(Xero!$F:$F,Xero!$B:$B,Heron!AX$9,Xero!$A:$A,Heron!$A$5,Xero!$E:$E,Heron!$A15)</f>
        <v/>
      </c>
      <c r="AY15" s="101">
        <f>-SUMIFS(Xero!$F:$F,Xero!$B:$B,Heron!AY$9,Xero!$A:$A,Heron!$A$4,Xero!$E:$E,Heron!$A15)-SUMIFS(Xero!$F:$F,Xero!$B:$B,Heron!AY$9,Xero!$A:$A,Heron!$A$5,Xero!$E:$E,Heron!$A15)</f>
        <v/>
      </c>
      <c r="AZ15" s="101">
        <f>-SUMIFS(Xero!$F:$F,Xero!$B:$B,Heron!AZ$9,Xero!$A:$A,Heron!$A$4,Xero!$E:$E,Heron!$A15)-SUMIFS(Xero!$F:$F,Xero!$B:$B,Heron!AZ$9,Xero!$A:$A,Heron!$A$5,Xero!$E:$E,Heron!$A15)</f>
        <v/>
      </c>
      <c r="BA15" s="101">
        <f>-SUMIFS(Xero!$F:$F,Xero!$B:$B,Heron!BA$9,Xero!$A:$A,Heron!$A$4,Xero!$E:$E,Heron!$A15)-SUMIFS(Xero!$F:$F,Xero!$B:$B,Heron!BA$9,Xero!$A:$A,Heron!$A$5,Xero!$E:$E,Heron!$A15)</f>
        <v/>
      </c>
      <c r="BB15" s="101">
        <f>-SUMIFS(Xero!$F:$F,Xero!$B:$B,Heron!BB$9,Xero!$A:$A,Heron!$A$4,Xero!$E:$E,Heron!$A15)-SUMIFS(Xero!$F:$F,Xero!$B:$B,Heron!BB$9,Xero!$A:$A,Heron!$A$5,Xero!$E:$E,Heron!$A15)</f>
        <v/>
      </c>
      <c r="BC15" s="101">
        <f>-SUMIFS(Xero!$F:$F,Xero!$B:$B,Heron!BC$9,Xero!$A:$A,Heron!$A$4,Xero!$E:$E,Heron!$A15)-SUMIFS(Xero!$F:$F,Xero!$B:$B,Heron!BC$9,Xero!$A:$A,Heron!$A$5,Xero!$E:$E,Heron!$A15)</f>
        <v/>
      </c>
      <c r="BD15" s="101">
        <f>-SUMIFS(Xero!$F:$F,Xero!$B:$B,Heron!BD$9,Xero!$A:$A,Heron!$A$4,Xero!$E:$E,Heron!$A15)-SUMIFS(Xero!$F:$F,Xero!$B:$B,Heron!BD$9,Xero!$A:$A,Heron!$A$5,Xero!$E:$E,Heron!$A15)</f>
        <v/>
      </c>
      <c r="BE15" s="101">
        <f>-SUMIFS(Xero!$F:$F,Xero!$B:$B,Heron!BE$9,Xero!$A:$A,Heron!$A$4,Xero!$E:$E,Heron!$A15)-SUMIFS(Xero!$F:$F,Xero!$B:$B,Heron!BE$9,Xero!$A:$A,Heron!$A$5,Xero!$E:$E,Heron!$A15)</f>
        <v/>
      </c>
      <c r="BF15" s="101">
        <f>-SUMIFS(Xero!$F:$F,Xero!$B:$B,Heron!BF$9,Xero!$A:$A,Heron!$A$4,Xero!$E:$E,Heron!$A15)-SUMIFS(Xero!$F:$F,Xero!$B:$B,Heron!BF$9,Xero!$A:$A,Heron!$A$5,Xero!$E:$E,Heron!$A15)</f>
        <v/>
      </c>
      <c r="BG15" s="101">
        <f>-SUMIFS(Xero!$F:$F,Xero!$B:$B,Heron!BG$9,Xero!$A:$A,Heron!$A$4,Xero!$E:$E,Heron!$A15)-SUMIFS(Xero!$F:$F,Xero!$B:$B,Heron!BG$9,Xero!$A:$A,Heron!$A$5,Xero!$E:$E,Heron!$A15)</f>
        <v/>
      </c>
      <c r="BH15" s="101">
        <f>-SUMIFS(Xero!$F:$F,Xero!$B:$B,Heron!BH$9,Xero!$A:$A,Heron!$A$4,Xero!$E:$E,Heron!$A15)-SUMIFS(Xero!$F:$F,Xero!$B:$B,Heron!BH$9,Xero!$A:$A,Heron!$A$5,Xero!$E:$E,Heron!$A15)</f>
        <v/>
      </c>
      <c r="BI15" s="101">
        <f>-SUMIFS(Xero!$F:$F,Xero!$B:$B,Heron!BI$9,Xero!$A:$A,Heron!$A$4,Xero!$E:$E,Heron!$A15)-SUMIFS(Xero!$F:$F,Xero!$B:$B,Heron!BI$9,Xero!$A:$A,Heron!$A$5,Xero!$E:$E,Heron!$A15)</f>
        <v/>
      </c>
      <c r="BJ15" s="101">
        <f>-SUMIFS(Xero!$F:$F,Xero!$B:$B,Heron!BJ$9,Xero!$A:$A,Heron!$A$4,Xero!$E:$E,Heron!$A15)-SUMIFS(Xero!$F:$F,Xero!$B:$B,Heron!BJ$9,Xero!$A:$A,Heron!$A$5,Xero!$E:$E,Heron!$A15)</f>
        <v/>
      </c>
      <c r="BK15" s="101">
        <f>sum(D15:BJ15)</f>
        <v/>
      </c>
    </row>
    <row r="16">
      <c r="A16" s="100" t="inlineStr">
        <is>
          <t>Interest Received - Deposits</t>
        </is>
      </c>
      <c r="D16" s="101">
        <f>-SUMIFS(Xero!$F:$F,Xero!$B:$B,Heron!D$9,Xero!$A:$A,Heron!$A$4,Xero!$E:$E,Heron!$A16)-SUMIFS(Xero!$F:$F,Xero!$B:$B,Heron!D$9,Xero!$A:$A,Heron!$A$5,Xero!$E:$E,Heron!$A16)</f>
        <v/>
      </c>
      <c r="E16" s="101">
        <f>-SUMIFS(Xero!$F:$F,Xero!$B:$B,Heron!E$9,Xero!$A:$A,Heron!$A$4,Xero!$E:$E,Heron!$A16)-SUMIFS(Xero!$F:$F,Xero!$B:$B,Heron!E$9,Xero!$A:$A,Heron!$A$5,Xero!$E:$E,Heron!$A16)</f>
        <v/>
      </c>
      <c r="F16" s="101">
        <f>-SUMIFS(Xero!$F:$F,Xero!$B:$B,Heron!F$9,Xero!$A:$A,Heron!$A$4,Xero!$E:$E,Heron!$A16)-SUMIFS(Xero!$F:$F,Xero!$B:$B,Heron!F$9,Xero!$A:$A,Heron!$A$5,Xero!$E:$E,Heron!$A16)</f>
        <v/>
      </c>
      <c r="G16" s="101">
        <f>-SUMIFS(Xero!$F:$F,Xero!$B:$B,Heron!G$9,Xero!$A:$A,Heron!$A$4,Xero!$E:$E,Heron!$A16)-SUMIFS(Xero!$F:$F,Xero!$B:$B,Heron!G$9,Xero!$A:$A,Heron!$A$5,Xero!$E:$E,Heron!$A16)</f>
        <v/>
      </c>
      <c r="H16" s="101">
        <f>-SUMIFS(Xero!$F:$F,Xero!$B:$B,Heron!H$9,Xero!$A:$A,Heron!$A$4,Xero!$E:$E,Heron!$A16)-SUMIFS(Xero!$F:$F,Xero!$B:$B,Heron!H$9,Xero!$A:$A,Heron!$A$5,Xero!$E:$E,Heron!$A16)</f>
        <v/>
      </c>
      <c r="I16" s="101">
        <f>-SUMIFS(Xero!$F:$F,Xero!$B:$B,Heron!I$9,Xero!$A:$A,Heron!$A$4,Xero!$E:$E,Heron!$A16)-SUMIFS(Xero!$F:$F,Xero!$B:$B,Heron!I$9,Xero!$A:$A,Heron!$A$5,Xero!$E:$E,Heron!$A16)</f>
        <v/>
      </c>
      <c r="J16" s="101">
        <f>-SUMIFS(Xero!$F:$F,Xero!$B:$B,Heron!J$9,Xero!$A:$A,Heron!$A$4,Xero!$E:$E,Heron!$A16)-SUMIFS(Xero!$F:$F,Xero!$B:$B,Heron!J$9,Xero!$A:$A,Heron!$A$5,Xero!$E:$E,Heron!$A16)</f>
        <v/>
      </c>
      <c r="K16" s="101">
        <f>-SUMIFS(Xero!$F:$F,Xero!$B:$B,Heron!K$9,Xero!$A:$A,Heron!$A$4,Xero!$E:$E,Heron!$A16)-SUMIFS(Xero!$F:$F,Xero!$B:$B,Heron!K$9,Xero!$A:$A,Heron!$A$5,Xero!$E:$E,Heron!$A16)</f>
        <v/>
      </c>
      <c r="L16" s="101">
        <f>-SUMIFS(Xero!$F:$F,Xero!$B:$B,Heron!L$9,Xero!$A:$A,Heron!$A$4,Xero!$E:$E,Heron!$A16)-SUMIFS(Xero!$F:$F,Xero!$B:$B,Heron!L$9,Xero!$A:$A,Heron!$A$5,Xero!$E:$E,Heron!$A16)</f>
        <v/>
      </c>
      <c r="M16" s="101">
        <f>-SUMIFS(Xero!$F:$F,Xero!$B:$B,Heron!M$9,Xero!$A:$A,Heron!$A$4,Xero!$E:$E,Heron!$A16)-SUMIFS(Xero!$F:$F,Xero!$B:$B,Heron!M$9,Xero!$A:$A,Heron!$A$5,Xero!$E:$E,Heron!$A16)</f>
        <v/>
      </c>
      <c r="N16" s="101">
        <f>-SUMIFS(Xero!$F:$F,Xero!$B:$B,Heron!N$9,Xero!$A:$A,Heron!$A$4,Xero!$E:$E,Heron!$A16)-SUMIFS(Xero!$F:$F,Xero!$B:$B,Heron!N$9,Xero!$A:$A,Heron!$A$5,Xero!$E:$E,Heron!$A16)</f>
        <v/>
      </c>
      <c r="O16" s="101">
        <f>-SUMIFS(Xero!$F:$F,Xero!$B:$B,Heron!O$9,Xero!$A:$A,Heron!$A$4,Xero!$E:$E,Heron!$A16)-SUMIFS(Xero!$F:$F,Xero!$B:$B,Heron!O$9,Xero!$A:$A,Heron!$A$5,Xero!$E:$E,Heron!$A16)</f>
        <v/>
      </c>
      <c r="P16" s="101">
        <f>-SUMIFS(Xero!$F:$F,Xero!$B:$B,Heron!P$9,Xero!$A:$A,Heron!$A$4,Xero!$E:$E,Heron!$A16)-SUMIFS(Xero!$F:$F,Xero!$B:$B,Heron!P$9,Xero!$A:$A,Heron!$A$5,Xero!$E:$E,Heron!$A16)</f>
        <v/>
      </c>
      <c r="Q16" s="101">
        <f>-SUMIFS(Xero!$F:$F,Xero!$B:$B,Heron!Q$9,Xero!$A:$A,Heron!$A$4,Xero!$E:$E,Heron!$A16)-SUMIFS(Xero!$F:$F,Xero!$B:$B,Heron!Q$9,Xero!$A:$A,Heron!$A$5,Xero!$E:$E,Heron!$A16)</f>
        <v/>
      </c>
      <c r="R16" s="101">
        <f>-SUMIFS(Xero!$F:$F,Xero!$B:$B,Heron!R$9,Xero!$A:$A,Heron!$A$4,Xero!$E:$E,Heron!$A16)-SUMIFS(Xero!$F:$F,Xero!$B:$B,Heron!R$9,Xero!$A:$A,Heron!$A$5,Xero!$E:$E,Heron!$A16)</f>
        <v/>
      </c>
      <c r="S16" s="101">
        <f>-SUMIFS(Xero!$F:$F,Xero!$B:$B,Heron!S$9,Xero!$A:$A,Heron!$A$4,Xero!$E:$E,Heron!$A16)-SUMIFS(Xero!$F:$F,Xero!$B:$B,Heron!S$9,Xero!$A:$A,Heron!$A$5,Xero!$E:$E,Heron!$A16)</f>
        <v/>
      </c>
      <c r="T16" s="101">
        <f>-SUMIFS(Xero!$F:$F,Xero!$B:$B,Heron!T$9,Xero!$A:$A,Heron!$A$4,Xero!$E:$E,Heron!$A16)-SUMIFS(Xero!$F:$F,Xero!$B:$B,Heron!T$9,Xero!$A:$A,Heron!$A$5,Xero!$E:$E,Heron!$A16)</f>
        <v/>
      </c>
      <c r="U16" s="101">
        <f>-SUMIFS(Xero!$F:$F,Xero!$B:$B,Heron!U$9,Xero!$A:$A,Heron!$A$4,Xero!$E:$E,Heron!$A16)-SUMIFS(Xero!$F:$F,Xero!$B:$B,Heron!U$9,Xero!$A:$A,Heron!$A$5,Xero!$E:$E,Heron!$A16)</f>
        <v/>
      </c>
      <c r="V16" s="101">
        <f>-SUMIFS(Xero!$F:$F,Xero!$B:$B,Heron!V$9,Xero!$A:$A,Heron!$A$4,Xero!$E:$E,Heron!$A16)-SUMIFS(Xero!$F:$F,Xero!$B:$B,Heron!V$9,Xero!$A:$A,Heron!$A$5,Xero!$E:$E,Heron!$A16)</f>
        <v/>
      </c>
      <c r="W16" s="101">
        <f>-SUMIFS(Xero!$F:$F,Xero!$B:$B,Heron!W$9,Xero!$A:$A,Heron!$A$4,Xero!$E:$E,Heron!$A16)-SUMIFS(Xero!$F:$F,Xero!$B:$B,Heron!W$9,Xero!$A:$A,Heron!$A$5,Xero!$E:$E,Heron!$A16)</f>
        <v/>
      </c>
      <c r="X16" s="101">
        <f>-SUMIFS(Xero!$F:$F,Xero!$B:$B,Heron!X$9,Xero!$A:$A,Heron!$A$4,Xero!$E:$E,Heron!$A16)-SUMIFS(Xero!$F:$F,Xero!$B:$B,Heron!X$9,Xero!$A:$A,Heron!$A$5,Xero!$E:$E,Heron!$A16)</f>
        <v/>
      </c>
      <c r="Y16" s="101">
        <f>-SUMIFS(Xero!$F:$F,Xero!$B:$B,Heron!Y$9,Xero!$A:$A,Heron!$A$4,Xero!$E:$E,Heron!$A16)-SUMIFS(Xero!$F:$F,Xero!$B:$B,Heron!Y$9,Xero!$A:$A,Heron!$A$5,Xero!$E:$E,Heron!$A16)</f>
        <v/>
      </c>
      <c r="Z16" s="101">
        <f>-SUMIFS(Xero!$F:$F,Xero!$B:$B,Heron!Z$9,Xero!$A:$A,Heron!$A$4,Xero!$E:$E,Heron!$A16)-SUMIFS(Xero!$F:$F,Xero!$B:$B,Heron!Z$9,Xero!$A:$A,Heron!$A$5,Xero!$E:$E,Heron!$A16)</f>
        <v/>
      </c>
      <c r="AA16" s="101">
        <f>-SUMIFS(Xero!$F:$F,Xero!$B:$B,Heron!AA$9,Xero!$A:$A,Heron!$A$4,Xero!$E:$E,Heron!$A16)-SUMIFS(Xero!$F:$F,Xero!$B:$B,Heron!AA$9,Xero!$A:$A,Heron!$A$5,Xero!$E:$E,Heron!$A16)</f>
        <v/>
      </c>
      <c r="AB16" s="101">
        <f>-SUMIFS(Xero!$F:$F,Xero!$B:$B,Heron!AB$9,Xero!$A:$A,Heron!$A$4,Xero!$E:$E,Heron!$A16)-SUMIFS(Xero!$F:$F,Xero!$B:$B,Heron!AB$9,Xero!$A:$A,Heron!$A$5,Xero!$E:$E,Heron!$A16)</f>
        <v/>
      </c>
      <c r="AC16" s="101">
        <f>-SUMIFS(Xero!$F:$F,Xero!$B:$B,Heron!AC$9,Xero!$A:$A,Heron!$A$4,Xero!$E:$E,Heron!$A16)-SUMIFS(Xero!$F:$F,Xero!$B:$B,Heron!AC$9,Xero!$A:$A,Heron!$A$5,Xero!$E:$E,Heron!$A16)</f>
        <v/>
      </c>
      <c r="AD16" s="101">
        <f>-SUMIFS(Xero!$F:$F,Xero!$B:$B,Heron!AD$9,Xero!$A:$A,Heron!$A$4,Xero!$E:$E,Heron!$A16)-SUMIFS(Xero!$F:$F,Xero!$B:$B,Heron!AD$9,Xero!$A:$A,Heron!$A$5,Xero!$E:$E,Heron!$A16)</f>
        <v/>
      </c>
      <c r="AE16" s="101">
        <f>-SUMIFS(Xero!$F:$F,Xero!$B:$B,Heron!AE$9,Xero!$A:$A,Heron!$A$4,Xero!$E:$E,Heron!$A16)-SUMIFS(Xero!$F:$F,Xero!$B:$B,Heron!AE$9,Xero!$A:$A,Heron!$A$5,Xero!$E:$E,Heron!$A16)</f>
        <v/>
      </c>
      <c r="AF16" s="101">
        <f>-SUMIFS(Xero!$F:$F,Xero!$B:$B,Heron!AF$9,Xero!$A:$A,Heron!$A$4,Xero!$E:$E,Heron!$A16)-SUMIFS(Xero!$F:$F,Xero!$B:$B,Heron!AF$9,Xero!$A:$A,Heron!$A$5,Xero!$E:$E,Heron!$A16)</f>
        <v/>
      </c>
      <c r="AG16" s="101">
        <f>-SUMIFS(Xero!$F:$F,Xero!$B:$B,Heron!AG$9,Xero!$A:$A,Heron!$A$4,Xero!$E:$E,Heron!$A16)-SUMIFS(Xero!$F:$F,Xero!$B:$B,Heron!AG$9,Xero!$A:$A,Heron!$A$5,Xero!$E:$E,Heron!$A16)</f>
        <v/>
      </c>
      <c r="AH16" s="101">
        <f>-SUMIFS(Xero!$F:$F,Xero!$B:$B,Heron!AH$9,Xero!$A:$A,Heron!$A$4,Xero!$E:$E,Heron!$A16)-SUMIFS(Xero!$F:$F,Xero!$B:$B,Heron!AH$9,Xero!$A:$A,Heron!$A$5,Xero!$E:$E,Heron!$A16)</f>
        <v/>
      </c>
      <c r="AI16" s="101">
        <f>-SUMIFS(Xero!$F:$F,Xero!$B:$B,Heron!AI$9,Xero!$A:$A,Heron!$A$4,Xero!$E:$E,Heron!$A16)-SUMIFS(Xero!$F:$F,Xero!$B:$B,Heron!AI$9,Xero!$A:$A,Heron!$A$5,Xero!$E:$E,Heron!$A16)</f>
        <v/>
      </c>
      <c r="AJ16" s="101">
        <f>-SUMIFS(Xero!$F:$F,Xero!$B:$B,Heron!AJ$9,Xero!$A:$A,Heron!$A$4,Xero!$E:$E,Heron!$A16)-SUMIFS(Xero!$F:$F,Xero!$B:$B,Heron!AJ$9,Xero!$A:$A,Heron!$A$5,Xero!$E:$E,Heron!$A16)</f>
        <v/>
      </c>
      <c r="AK16" s="101">
        <f>-SUMIFS(Xero!$F:$F,Xero!$B:$B,Heron!AK$9,Xero!$A:$A,Heron!$A$4,Xero!$E:$E,Heron!$A16)-SUMIFS(Xero!$F:$F,Xero!$B:$B,Heron!AK$9,Xero!$A:$A,Heron!$A$5,Xero!$E:$E,Heron!$A16)</f>
        <v/>
      </c>
      <c r="AL16" s="101">
        <f>-SUMIFS(Xero!$F:$F,Xero!$B:$B,Heron!AL$9,Xero!$A:$A,Heron!$A$4,Xero!$E:$E,Heron!$A16)-SUMIFS(Xero!$F:$F,Xero!$B:$B,Heron!AL$9,Xero!$A:$A,Heron!$A$5,Xero!$E:$E,Heron!$A16)</f>
        <v/>
      </c>
      <c r="AM16" s="101">
        <f>-SUMIFS(Xero!$F:$F,Xero!$B:$B,Heron!AM$9,Xero!$A:$A,Heron!$A$4,Xero!$E:$E,Heron!$A16)-SUMIFS(Xero!$F:$F,Xero!$B:$B,Heron!AM$9,Xero!$A:$A,Heron!$A$5,Xero!$E:$E,Heron!$A16)</f>
        <v/>
      </c>
      <c r="AN16" s="101">
        <f>-SUMIFS(Xero!$F:$F,Xero!$B:$B,Heron!AN$9,Xero!$A:$A,Heron!$A$4,Xero!$E:$E,Heron!$A16)-SUMIFS(Xero!$F:$F,Xero!$B:$B,Heron!AN$9,Xero!$A:$A,Heron!$A$5,Xero!$E:$E,Heron!$A16)</f>
        <v/>
      </c>
      <c r="AO16" s="101">
        <f>-SUMIFS(Xero!$F:$F,Xero!$B:$B,Heron!AO$9,Xero!$A:$A,Heron!$A$4,Xero!$E:$E,Heron!$A16)-SUMIFS(Xero!$F:$F,Xero!$B:$B,Heron!AO$9,Xero!$A:$A,Heron!$A$5,Xero!$E:$E,Heron!$A16)</f>
        <v/>
      </c>
      <c r="AP16" s="101">
        <f>-SUMIFS(Xero!$F:$F,Xero!$B:$B,Heron!AP$9,Xero!$A:$A,Heron!$A$4,Xero!$E:$E,Heron!$A16)-SUMIFS(Xero!$F:$F,Xero!$B:$B,Heron!AP$9,Xero!$A:$A,Heron!$A$5,Xero!$E:$E,Heron!$A16)</f>
        <v/>
      </c>
      <c r="AQ16" s="101">
        <f>-SUMIFS(Xero!$F:$F,Xero!$B:$B,Heron!AQ$9,Xero!$A:$A,Heron!$A$4,Xero!$E:$E,Heron!$A16)-SUMIFS(Xero!$F:$F,Xero!$B:$B,Heron!AQ$9,Xero!$A:$A,Heron!$A$5,Xero!$E:$E,Heron!$A16)</f>
        <v/>
      </c>
      <c r="AR16" s="101">
        <f>-SUMIFS(Xero!$F:$F,Xero!$B:$B,Heron!AR$9,Xero!$A:$A,Heron!$A$4,Xero!$E:$E,Heron!$A16)-SUMIFS(Xero!$F:$F,Xero!$B:$B,Heron!AR$9,Xero!$A:$A,Heron!$A$5,Xero!$E:$E,Heron!$A16)</f>
        <v/>
      </c>
      <c r="AS16" s="101">
        <f>-SUMIFS(Xero!$F:$F,Xero!$B:$B,Heron!AS$9,Xero!$A:$A,Heron!$A$4,Xero!$E:$E,Heron!$A16)-SUMIFS(Xero!$F:$F,Xero!$B:$B,Heron!AS$9,Xero!$A:$A,Heron!$A$5,Xero!$E:$E,Heron!$A16)</f>
        <v/>
      </c>
      <c r="AT16" s="101">
        <f>-SUMIFS(Xero!$F:$F,Xero!$B:$B,Heron!AT$9,Xero!$A:$A,Heron!$A$4,Xero!$E:$E,Heron!$A16)-SUMIFS(Xero!$F:$F,Xero!$B:$B,Heron!AT$9,Xero!$A:$A,Heron!$A$5,Xero!$E:$E,Heron!$A16)</f>
        <v/>
      </c>
      <c r="AU16" s="101">
        <f>-SUMIFS(Xero!$F:$F,Xero!$B:$B,Heron!AU$9,Xero!$A:$A,Heron!$A$4,Xero!$E:$E,Heron!$A16)-SUMIFS(Xero!$F:$F,Xero!$B:$B,Heron!AU$9,Xero!$A:$A,Heron!$A$5,Xero!$E:$E,Heron!$A16)</f>
        <v/>
      </c>
      <c r="AV16" s="101">
        <f>-SUMIFS(Xero!$F:$F,Xero!$B:$B,Heron!AV$9,Xero!$A:$A,Heron!$A$4,Xero!$E:$E,Heron!$A16)-SUMIFS(Xero!$F:$F,Xero!$B:$B,Heron!AV$9,Xero!$A:$A,Heron!$A$5,Xero!$E:$E,Heron!$A16)</f>
        <v/>
      </c>
      <c r="AW16" s="101">
        <f>-SUMIFS(Xero!$F:$F,Xero!$B:$B,Heron!AW$9,Xero!$A:$A,Heron!$A$4,Xero!$E:$E,Heron!$A16)-SUMIFS(Xero!$F:$F,Xero!$B:$B,Heron!AW$9,Xero!$A:$A,Heron!$A$5,Xero!$E:$E,Heron!$A16)</f>
        <v/>
      </c>
      <c r="AX16" s="101">
        <f>-SUMIFS(Xero!$F:$F,Xero!$B:$B,Heron!AX$9,Xero!$A:$A,Heron!$A$4,Xero!$E:$E,Heron!$A16)-SUMIFS(Xero!$F:$F,Xero!$B:$B,Heron!AX$9,Xero!$A:$A,Heron!$A$5,Xero!$E:$E,Heron!$A16)</f>
        <v/>
      </c>
      <c r="AY16" s="101">
        <f>-SUMIFS(Xero!$F:$F,Xero!$B:$B,Heron!AY$9,Xero!$A:$A,Heron!$A$4,Xero!$E:$E,Heron!$A16)-SUMIFS(Xero!$F:$F,Xero!$B:$B,Heron!AY$9,Xero!$A:$A,Heron!$A$5,Xero!$E:$E,Heron!$A16)</f>
        <v/>
      </c>
      <c r="AZ16" s="101">
        <f>-SUMIFS(Xero!$F:$F,Xero!$B:$B,Heron!AZ$9,Xero!$A:$A,Heron!$A$4,Xero!$E:$E,Heron!$A16)-SUMIFS(Xero!$F:$F,Xero!$B:$B,Heron!AZ$9,Xero!$A:$A,Heron!$A$5,Xero!$E:$E,Heron!$A16)</f>
        <v/>
      </c>
      <c r="BA16" s="101">
        <f>-SUMIFS(Xero!$F:$F,Xero!$B:$B,Heron!BA$9,Xero!$A:$A,Heron!$A$4,Xero!$E:$E,Heron!$A16)-SUMIFS(Xero!$F:$F,Xero!$B:$B,Heron!BA$9,Xero!$A:$A,Heron!$A$5,Xero!$E:$E,Heron!$A16)</f>
        <v/>
      </c>
      <c r="BB16" s="101">
        <f>-SUMIFS(Xero!$F:$F,Xero!$B:$B,Heron!BB$9,Xero!$A:$A,Heron!$A$4,Xero!$E:$E,Heron!$A16)-SUMIFS(Xero!$F:$F,Xero!$B:$B,Heron!BB$9,Xero!$A:$A,Heron!$A$5,Xero!$E:$E,Heron!$A16)</f>
        <v/>
      </c>
      <c r="BC16" s="101">
        <f>-SUMIFS(Xero!$F:$F,Xero!$B:$B,Heron!BC$9,Xero!$A:$A,Heron!$A$4,Xero!$E:$E,Heron!$A16)-SUMIFS(Xero!$F:$F,Xero!$B:$B,Heron!BC$9,Xero!$A:$A,Heron!$A$5,Xero!$E:$E,Heron!$A16)</f>
        <v/>
      </c>
      <c r="BD16" s="101">
        <f>-SUMIFS(Xero!$F:$F,Xero!$B:$B,Heron!BD$9,Xero!$A:$A,Heron!$A$4,Xero!$E:$E,Heron!$A16)-SUMIFS(Xero!$F:$F,Xero!$B:$B,Heron!BD$9,Xero!$A:$A,Heron!$A$5,Xero!$E:$E,Heron!$A16)</f>
        <v/>
      </c>
      <c r="BE16" s="101">
        <f>-SUMIFS(Xero!$F:$F,Xero!$B:$B,Heron!BE$9,Xero!$A:$A,Heron!$A$4,Xero!$E:$E,Heron!$A16)-SUMIFS(Xero!$F:$F,Xero!$B:$B,Heron!BE$9,Xero!$A:$A,Heron!$A$5,Xero!$E:$E,Heron!$A16)</f>
        <v/>
      </c>
      <c r="BF16" s="101">
        <f>-SUMIFS(Xero!$F:$F,Xero!$B:$B,Heron!BF$9,Xero!$A:$A,Heron!$A$4,Xero!$E:$E,Heron!$A16)-SUMIFS(Xero!$F:$F,Xero!$B:$B,Heron!BF$9,Xero!$A:$A,Heron!$A$5,Xero!$E:$E,Heron!$A16)</f>
        <v/>
      </c>
      <c r="BG16" s="101">
        <f>-SUMIFS(Xero!$F:$F,Xero!$B:$B,Heron!BG$9,Xero!$A:$A,Heron!$A$4,Xero!$E:$E,Heron!$A16)-SUMIFS(Xero!$F:$F,Xero!$B:$B,Heron!BG$9,Xero!$A:$A,Heron!$A$5,Xero!$E:$E,Heron!$A16)</f>
        <v/>
      </c>
      <c r="BH16" s="101">
        <f>-SUMIFS(Xero!$F:$F,Xero!$B:$B,Heron!BH$9,Xero!$A:$A,Heron!$A$4,Xero!$E:$E,Heron!$A16)-SUMIFS(Xero!$F:$F,Xero!$B:$B,Heron!BH$9,Xero!$A:$A,Heron!$A$5,Xero!$E:$E,Heron!$A16)</f>
        <v/>
      </c>
      <c r="BI16" s="101">
        <f>-SUMIFS(Xero!$F:$F,Xero!$B:$B,Heron!BI$9,Xero!$A:$A,Heron!$A$4,Xero!$E:$E,Heron!$A16)-SUMIFS(Xero!$F:$F,Xero!$B:$B,Heron!BI$9,Xero!$A:$A,Heron!$A$5,Xero!$E:$E,Heron!$A16)</f>
        <v/>
      </c>
      <c r="BJ16" s="101">
        <f>-SUMIFS(Xero!$F:$F,Xero!$B:$B,Heron!BJ$9,Xero!$A:$A,Heron!$A$4,Xero!$E:$E,Heron!$A16)-SUMIFS(Xero!$F:$F,Xero!$B:$B,Heron!BJ$9,Xero!$A:$A,Heron!$A$5,Xero!$E:$E,Heron!$A16)</f>
        <v/>
      </c>
      <c r="BK16" s="101">
        <f>sum(D16:BJ16)</f>
        <v/>
      </c>
    </row>
    <row r="17">
      <c r="A17" s="100" t="inlineStr">
        <is>
          <t>Interest Received - Momentum</t>
        </is>
      </c>
      <c r="D17" s="101">
        <f>-SUMIFS(Xero!$F:$F,Xero!$B:$B,Heron!D$9,Xero!$A:$A,Heron!$A$4,Xero!$E:$E,Heron!$A17)-SUMIFS(Xero!$F:$F,Xero!$B:$B,Heron!D$9,Xero!$A:$A,Heron!$A$5,Xero!$E:$E,Heron!$A17)</f>
        <v/>
      </c>
      <c r="E17" s="101">
        <f>-SUMIFS(Xero!$F:$F,Xero!$B:$B,Heron!E$9,Xero!$A:$A,Heron!$A$4,Xero!$E:$E,Heron!$A17)-SUMIFS(Xero!$F:$F,Xero!$B:$B,Heron!E$9,Xero!$A:$A,Heron!$A$5,Xero!$E:$E,Heron!$A17)</f>
        <v/>
      </c>
      <c r="F17" s="101">
        <f>-SUMIFS(Xero!$F:$F,Xero!$B:$B,Heron!F$9,Xero!$A:$A,Heron!$A$4,Xero!$E:$E,Heron!$A17)-SUMIFS(Xero!$F:$F,Xero!$B:$B,Heron!F$9,Xero!$A:$A,Heron!$A$5,Xero!$E:$E,Heron!$A17)</f>
        <v/>
      </c>
      <c r="G17" s="101">
        <f>-SUMIFS(Xero!$F:$F,Xero!$B:$B,Heron!G$9,Xero!$A:$A,Heron!$A$4,Xero!$E:$E,Heron!$A17)-SUMIFS(Xero!$F:$F,Xero!$B:$B,Heron!G$9,Xero!$A:$A,Heron!$A$5,Xero!$E:$E,Heron!$A17)</f>
        <v/>
      </c>
      <c r="H17" s="101">
        <f>-SUMIFS(Xero!$F:$F,Xero!$B:$B,Heron!H$9,Xero!$A:$A,Heron!$A$4,Xero!$E:$E,Heron!$A17)-SUMIFS(Xero!$F:$F,Xero!$B:$B,Heron!H$9,Xero!$A:$A,Heron!$A$5,Xero!$E:$E,Heron!$A17)</f>
        <v/>
      </c>
      <c r="I17" s="101">
        <f>-SUMIFS(Xero!$F:$F,Xero!$B:$B,Heron!I$9,Xero!$A:$A,Heron!$A$4,Xero!$E:$E,Heron!$A17)-SUMIFS(Xero!$F:$F,Xero!$B:$B,Heron!I$9,Xero!$A:$A,Heron!$A$5,Xero!$E:$E,Heron!$A17)</f>
        <v/>
      </c>
      <c r="J17" s="101">
        <f>-SUMIFS(Xero!$F:$F,Xero!$B:$B,Heron!J$9,Xero!$A:$A,Heron!$A$4,Xero!$E:$E,Heron!$A17)-SUMIFS(Xero!$F:$F,Xero!$B:$B,Heron!J$9,Xero!$A:$A,Heron!$A$5,Xero!$E:$E,Heron!$A17)</f>
        <v/>
      </c>
      <c r="K17" s="101">
        <f>-SUMIFS(Xero!$F:$F,Xero!$B:$B,Heron!K$9,Xero!$A:$A,Heron!$A$4,Xero!$E:$E,Heron!$A17)-SUMIFS(Xero!$F:$F,Xero!$B:$B,Heron!K$9,Xero!$A:$A,Heron!$A$5,Xero!$E:$E,Heron!$A17)</f>
        <v/>
      </c>
      <c r="L17" s="101">
        <f>-SUMIFS(Xero!$F:$F,Xero!$B:$B,Heron!L$9,Xero!$A:$A,Heron!$A$4,Xero!$E:$E,Heron!$A17)-SUMIFS(Xero!$F:$F,Xero!$B:$B,Heron!L$9,Xero!$A:$A,Heron!$A$5,Xero!$E:$E,Heron!$A17)</f>
        <v/>
      </c>
      <c r="M17" s="101">
        <f>-SUMIFS(Xero!$F:$F,Xero!$B:$B,Heron!M$9,Xero!$A:$A,Heron!$A$4,Xero!$E:$E,Heron!$A17)-SUMIFS(Xero!$F:$F,Xero!$B:$B,Heron!M$9,Xero!$A:$A,Heron!$A$5,Xero!$E:$E,Heron!$A17)</f>
        <v/>
      </c>
      <c r="N17" s="101">
        <f>-SUMIFS(Xero!$F:$F,Xero!$B:$B,Heron!N$9,Xero!$A:$A,Heron!$A$4,Xero!$E:$E,Heron!$A17)-SUMIFS(Xero!$F:$F,Xero!$B:$B,Heron!N$9,Xero!$A:$A,Heron!$A$5,Xero!$E:$E,Heron!$A17)</f>
        <v/>
      </c>
      <c r="O17" s="101">
        <f>-SUMIFS(Xero!$F:$F,Xero!$B:$B,Heron!O$9,Xero!$A:$A,Heron!$A$4,Xero!$E:$E,Heron!$A17)-SUMIFS(Xero!$F:$F,Xero!$B:$B,Heron!O$9,Xero!$A:$A,Heron!$A$5,Xero!$E:$E,Heron!$A17)</f>
        <v/>
      </c>
      <c r="P17" s="101">
        <f>-SUMIFS(Xero!$F:$F,Xero!$B:$B,Heron!P$9,Xero!$A:$A,Heron!$A$4,Xero!$E:$E,Heron!$A17)-SUMIFS(Xero!$F:$F,Xero!$B:$B,Heron!P$9,Xero!$A:$A,Heron!$A$5,Xero!$E:$E,Heron!$A17)</f>
        <v/>
      </c>
      <c r="Q17" s="101">
        <f>-SUMIFS(Xero!$F:$F,Xero!$B:$B,Heron!Q$9,Xero!$A:$A,Heron!$A$4,Xero!$E:$E,Heron!$A17)-SUMIFS(Xero!$F:$F,Xero!$B:$B,Heron!Q$9,Xero!$A:$A,Heron!$A$5,Xero!$E:$E,Heron!$A17)</f>
        <v/>
      </c>
      <c r="R17" s="101">
        <f>-SUMIFS(Xero!$F:$F,Xero!$B:$B,Heron!R$9,Xero!$A:$A,Heron!$A$4,Xero!$E:$E,Heron!$A17)-SUMIFS(Xero!$F:$F,Xero!$B:$B,Heron!R$9,Xero!$A:$A,Heron!$A$5,Xero!$E:$E,Heron!$A17)</f>
        <v/>
      </c>
      <c r="S17" s="101">
        <f>-SUMIFS(Xero!$F:$F,Xero!$B:$B,Heron!S$9,Xero!$A:$A,Heron!$A$4,Xero!$E:$E,Heron!$A17)-SUMIFS(Xero!$F:$F,Xero!$B:$B,Heron!S$9,Xero!$A:$A,Heron!$A$5,Xero!$E:$E,Heron!$A17)</f>
        <v/>
      </c>
      <c r="T17" s="101">
        <f>-SUMIFS(Xero!$F:$F,Xero!$B:$B,Heron!T$9,Xero!$A:$A,Heron!$A$4,Xero!$E:$E,Heron!$A17)-SUMIFS(Xero!$F:$F,Xero!$B:$B,Heron!T$9,Xero!$A:$A,Heron!$A$5,Xero!$E:$E,Heron!$A17)</f>
        <v/>
      </c>
      <c r="U17" s="101">
        <f>-SUMIFS(Xero!$F:$F,Xero!$B:$B,Heron!U$9,Xero!$A:$A,Heron!$A$4,Xero!$E:$E,Heron!$A17)-SUMIFS(Xero!$F:$F,Xero!$B:$B,Heron!U$9,Xero!$A:$A,Heron!$A$5,Xero!$E:$E,Heron!$A17)</f>
        <v/>
      </c>
      <c r="V17" s="101">
        <f>-SUMIFS(Xero!$F:$F,Xero!$B:$B,Heron!V$9,Xero!$A:$A,Heron!$A$4,Xero!$E:$E,Heron!$A17)-SUMIFS(Xero!$F:$F,Xero!$B:$B,Heron!V$9,Xero!$A:$A,Heron!$A$5,Xero!$E:$E,Heron!$A17)</f>
        <v/>
      </c>
      <c r="W17" s="101">
        <f>-SUMIFS(Xero!$F:$F,Xero!$B:$B,Heron!W$9,Xero!$A:$A,Heron!$A$4,Xero!$E:$E,Heron!$A17)-SUMIFS(Xero!$F:$F,Xero!$B:$B,Heron!W$9,Xero!$A:$A,Heron!$A$5,Xero!$E:$E,Heron!$A17)</f>
        <v/>
      </c>
      <c r="X17" s="101">
        <f>-SUMIFS(Xero!$F:$F,Xero!$B:$B,Heron!X$9,Xero!$A:$A,Heron!$A$4,Xero!$E:$E,Heron!$A17)-SUMIFS(Xero!$F:$F,Xero!$B:$B,Heron!X$9,Xero!$A:$A,Heron!$A$5,Xero!$E:$E,Heron!$A17)</f>
        <v/>
      </c>
      <c r="Y17" s="101">
        <f>-SUMIFS(Xero!$F:$F,Xero!$B:$B,Heron!Y$9,Xero!$A:$A,Heron!$A$4,Xero!$E:$E,Heron!$A17)-SUMIFS(Xero!$F:$F,Xero!$B:$B,Heron!Y$9,Xero!$A:$A,Heron!$A$5,Xero!$E:$E,Heron!$A17)</f>
        <v/>
      </c>
      <c r="Z17" s="101">
        <f>-SUMIFS(Xero!$F:$F,Xero!$B:$B,Heron!Z$9,Xero!$A:$A,Heron!$A$4,Xero!$E:$E,Heron!$A17)-SUMIFS(Xero!$F:$F,Xero!$B:$B,Heron!Z$9,Xero!$A:$A,Heron!$A$5,Xero!$E:$E,Heron!$A17)</f>
        <v/>
      </c>
      <c r="AA17" s="101">
        <f>-SUMIFS(Xero!$F:$F,Xero!$B:$B,Heron!AA$9,Xero!$A:$A,Heron!$A$4,Xero!$E:$E,Heron!$A17)-SUMIFS(Xero!$F:$F,Xero!$B:$B,Heron!AA$9,Xero!$A:$A,Heron!$A$5,Xero!$E:$E,Heron!$A17)</f>
        <v/>
      </c>
      <c r="AB17" s="101">
        <f>-SUMIFS(Xero!$F:$F,Xero!$B:$B,Heron!AB$9,Xero!$A:$A,Heron!$A$4,Xero!$E:$E,Heron!$A17)-SUMIFS(Xero!$F:$F,Xero!$B:$B,Heron!AB$9,Xero!$A:$A,Heron!$A$5,Xero!$E:$E,Heron!$A17)</f>
        <v/>
      </c>
      <c r="AC17" s="101">
        <f>-SUMIFS(Xero!$F:$F,Xero!$B:$B,Heron!AC$9,Xero!$A:$A,Heron!$A$4,Xero!$E:$E,Heron!$A17)-SUMIFS(Xero!$F:$F,Xero!$B:$B,Heron!AC$9,Xero!$A:$A,Heron!$A$5,Xero!$E:$E,Heron!$A17)</f>
        <v/>
      </c>
      <c r="AD17" s="101">
        <f>-SUMIFS(Xero!$F:$F,Xero!$B:$B,Heron!AD$9,Xero!$A:$A,Heron!$A$4,Xero!$E:$E,Heron!$A17)-SUMIFS(Xero!$F:$F,Xero!$B:$B,Heron!AD$9,Xero!$A:$A,Heron!$A$5,Xero!$E:$E,Heron!$A17)</f>
        <v/>
      </c>
      <c r="AE17" s="101">
        <f>-SUMIFS(Xero!$F:$F,Xero!$B:$B,Heron!AE$9,Xero!$A:$A,Heron!$A$4,Xero!$E:$E,Heron!$A17)-SUMIFS(Xero!$F:$F,Xero!$B:$B,Heron!AE$9,Xero!$A:$A,Heron!$A$5,Xero!$E:$E,Heron!$A17)</f>
        <v/>
      </c>
      <c r="AF17" s="101">
        <f>-SUMIFS(Xero!$F:$F,Xero!$B:$B,Heron!AF$9,Xero!$A:$A,Heron!$A$4,Xero!$E:$E,Heron!$A17)-SUMIFS(Xero!$F:$F,Xero!$B:$B,Heron!AF$9,Xero!$A:$A,Heron!$A$5,Xero!$E:$E,Heron!$A17)</f>
        <v/>
      </c>
      <c r="AG17" s="101">
        <f>-SUMIFS(Xero!$F:$F,Xero!$B:$B,Heron!AG$9,Xero!$A:$A,Heron!$A$4,Xero!$E:$E,Heron!$A17)-SUMIFS(Xero!$F:$F,Xero!$B:$B,Heron!AG$9,Xero!$A:$A,Heron!$A$5,Xero!$E:$E,Heron!$A17)</f>
        <v/>
      </c>
      <c r="AH17" s="101">
        <f>-SUMIFS(Xero!$F:$F,Xero!$B:$B,Heron!AH$9,Xero!$A:$A,Heron!$A$4,Xero!$E:$E,Heron!$A17)-SUMIFS(Xero!$F:$F,Xero!$B:$B,Heron!AH$9,Xero!$A:$A,Heron!$A$5,Xero!$E:$E,Heron!$A17)</f>
        <v/>
      </c>
      <c r="AI17" s="101">
        <f>-SUMIFS(Xero!$F:$F,Xero!$B:$B,Heron!AI$9,Xero!$A:$A,Heron!$A$4,Xero!$E:$E,Heron!$A17)-SUMIFS(Xero!$F:$F,Xero!$B:$B,Heron!AI$9,Xero!$A:$A,Heron!$A$5,Xero!$E:$E,Heron!$A17)</f>
        <v/>
      </c>
      <c r="AJ17" s="101">
        <f>-SUMIFS(Xero!$F:$F,Xero!$B:$B,Heron!AJ$9,Xero!$A:$A,Heron!$A$4,Xero!$E:$E,Heron!$A17)-SUMIFS(Xero!$F:$F,Xero!$B:$B,Heron!AJ$9,Xero!$A:$A,Heron!$A$5,Xero!$E:$E,Heron!$A17)</f>
        <v/>
      </c>
      <c r="AK17" s="101">
        <f>-SUMIFS(Xero!$F:$F,Xero!$B:$B,Heron!AK$9,Xero!$A:$A,Heron!$A$4,Xero!$E:$E,Heron!$A17)-SUMIFS(Xero!$F:$F,Xero!$B:$B,Heron!AK$9,Xero!$A:$A,Heron!$A$5,Xero!$E:$E,Heron!$A17)</f>
        <v/>
      </c>
      <c r="AL17" s="101">
        <f>-SUMIFS(Xero!$F:$F,Xero!$B:$B,Heron!AL$9,Xero!$A:$A,Heron!$A$4,Xero!$E:$E,Heron!$A17)-SUMIFS(Xero!$F:$F,Xero!$B:$B,Heron!AL$9,Xero!$A:$A,Heron!$A$5,Xero!$E:$E,Heron!$A17)</f>
        <v/>
      </c>
      <c r="AM17" s="101">
        <f>-SUMIFS(Xero!$F:$F,Xero!$B:$B,Heron!AM$9,Xero!$A:$A,Heron!$A$4,Xero!$E:$E,Heron!$A17)-SUMIFS(Xero!$F:$F,Xero!$B:$B,Heron!AM$9,Xero!$A:$A,Heron!$A$5,Xero!$E:$E,Heron!$A17)</f>
        <v/>
      </c>
      <c r="AN17" s="101">
        <f>-SUMIFS(Xero!$F:$F,Xero!$B:$B,Heron!AN$9,Xero!$A:$A,Heron!$A$4,Xero!$E:$E,Heron!$A17)-SUMIFS(Xero!$F:$F,Xero!$B:$B,Heron!AN$9,Xero!$A:$A,Heron!$A$5,Xero!$E:$E,Heron!$A17)</f>
        <v/>
      </c>
      <c r="AO17" s="101">
        <f>-SUMIFS(Xero!$F:$F,Xero!$B:$B,Heron!AO$9,Xero!$A:$A,Heron!$A$4,Xero!$E:$E,Heron!$A17)-SUMIFS(Xero!$F:$F,Xero!$B:$B,Heron!AO$9,Xero!$A:$A,Heron!$A$5,Xero!$E:$E,Heron!$A17)</f>
        <v/>
      </c>
      <c r="AP17" s="101">
        <f>-SUMIFS(Xero!$F:$F,Xero!$B:$B,Heron!AP$9,Xero!$A:$A,Heron!$A$4,Xero!$E:$E,Heron!$A17)-SUMIFS(Xero!$F:$F,Xero!$B:$B,Heron!AP$9,Xero!$A:$A,Heron!$A$5,Xero!$E:$E,Heron!$A17)</f>
        <v/>
      </c>
      <c r="AQ17" s="101">
        <f>-SUMIFS(Xero!$F:$F,Xero!$B:$B,Heron!AQ$9,Xero!$A:$A,Heron!$A$4,Xero!$E:$E,Heron!$A17)-SUMIFS(Xero!$F:$F,Xero!$B:$B,Heron!AQ$9,Xero!$A:$A,Heron!$A$5,Xero!$E:$E,Heron!$A17)</f>
        <v/>
      </c>
      <c r="AR17" s="101">
        <f>-SUMIFS(Xero!$F:$F,Xero!$B:$B,Heron!AR$9,Xero!$A:$A,Heron!$A$4,Xero!$E:$E,Heron!$A17)-SUMIFS(Xero!$F:$F,Xero!$B:$B,Heron!AR$9,Xero!$A:$A,Heron!$A$5,Xero!$E:$E,Heron!$A17)</f>
        <v/>
      </c>
      <c r="AS17" s="101">
        <f>-SUMIFS(Xero!$F:$F,Xero!$B:$B,Heron!AS$9,Xero!$A:$A,Heron!$A$4,Xero!$E:$E,Heron!$A17)-SUMIFS(Xero!$F:$F,Xero!$B:$B,Heron!AS$9,Xero!$A:$A,Heron!$A$5,Xero!$E:$E,Heron!$A17)</f>
        <v/>
      </c>
      <c r="AT17" s="101">
        <f>-SUMIFS(Xero!$F:$F,Xero!$B:$B,Heron!AT$9,Xero!$A:$A,Heron!$A$4,Xero!$E:$E,Heron!$A17)-SUMIFS(Xero!$F:$F,Xero!$B:$B,Heron!AT$9,Xero!$A:$A,Heron!$A$5,Xero!$E:$E,Heron!$A17)</f>
        <v/>
      </c>
      <c r="AU17" s="101">
        <f>-SUMIFS(Xero!$F:$F,Xero!$B:$B,Heron!AU$9,Xero!$A:$A,Heron!$A$4,Xero!$E:$E,Heron!$A17)-SUMIFS(Xero!$F:$F,Xero!$B:$B,Heron!AU$9,Xero!$A:$A,Heron!$A$5,Xero!$E:$E,Heron!$A17)</f>
        <v/>
      </c>
      <c r="AV17" s="101">
        <f>-SUMIFS(Xero!$F:$F,Xero!$B:$B,Heron!AV$9,Xero!$A:$A,Heron!$A$4,Xero!$E:$E,Heron!$A17)-SUMIFS(Xero!$F:$F,Xero!$B:$B,Heron!AV$9,Xero!$A:$A,Heron!$A$5,Xero!$E:$E,Heron!$A17)</f>
        <v/>
      </c>
      <c r="AW17" s="101">
        <f>-SUMIFS(Xero!$F:$F,Xero!$B:$B,Heron!AW$9,Xero!$A:$A,Heron!$A$4,Xero!$E:$E,Heron!$A17)-SUMIFS(Xero!$F:$F,Xero!$B:$B,Heron!AW$9,Xero!$A:$A,Heron!$A$5,Xero!$E:$E,Heron!$A17)</f>
        <v/>
      </c>
      <c r="AX17" s="101">
        <f>-SUMIFS(Xero!$F:$F,Xero!$B:$B,Heron!AX$9,Xero!$A:$A,Heron!$A$4,Xero!$E:$E,Heron!$A17)-SUMIFS(Xero!$F:$F,Xero!$B:$B,Heron!AX$9,Xero!$A:$A,Heron!$A$5,Xero!$E:$E,Heron!$A17)</f>
        <v/>
      </c>
      <c r="AY17" s="101">
        <f>-SUMIFS(Xero!$F:$F,Xero!$B:$B,Heron!AY$9,Xero!$A:$A,Heron!$A$4,Xero!$E:$E,Heron!$A17)-SUMIFS(Xero!$F:$F,Xero!$B:$B,Heron!AY$9,Xero!$A:$A,Heron!$A$5,Xero!$E:$E,Heron!$A17)</f>
        <v/>
      </c>
      <c r="AZ17" s="101">
        <f>-SUMIFS(Xero!$F:$F,Xero!$B:$B,Heron!AZ$9,Xero!$A:$A,Heron!$A$4,Xero!$E:$E,Heron!$A17)-SUMIFS(Xero!$F:$F,Xero!$B:$B,Heron!AZ$9,Xero!$A:$A,Heron!$A$5,Xero!$E:$E,Heron!$A17)</f>
        <v/>
      </c>
      <c r="BA17" s="101">
        <f>-SUMIFS(Xero!$F:$F,Xero!$B:$B,Heron!BA$9,Xero!$A:$A,Heron!$A$4,Xero!$E:$E,Heron!$A17)-SUMIFS(Xero!$F:$F,Xero!$B:$B,Heron!BA$9,Xero!$A:$A,Heron!$A$5,Xero!$E:$E,Heron!$A17)</f>
        <v/>
      </c>
      <c r="BB17" s="101">
        <f>-SUMIFS(Xero!$F:$F,Xero!$B:$B,Heron!BB$9,Xero!$A:$A,Heron!$A$4,Xero!$E:$E,Heron!$A17)-SUMIFS(Xero!$F:$F,Xero!$B:$B,Heron!BB$9,Xero!$A:$A,Heron!$A$5,Xero!$E:$E,Heron!$A17)</f>
        <v/>
      </c>
      <c r="BC17" s="101">
        <f>-SUMIFS(Xero!$F:$F,Xero!$B:$B,Heron!BC$9,Xero!$A:$A,Heron!$A$4,Xero!$E:$E,Heron!$A17)-SUMIFS(Xero!$F:$F,Xero!$B:$B,Heron!BC$9,Xero!$A:$A,Heron!$A$5,Xero!$E:$E,Heron!$A17)</f>
        <v/>
      </c>
      <c r="BD17" s="101">
        <f>-SUMIFS(Xero!$F:$F,Xero!$B:$B,Heron!BD$9,Xero!$A:$A,Heron!$A$4,Xero!$E:$E,Heron!$A17)-SUMIFS(Xero!$F:$F,Xero!$B:$B,Heron!BD$9,Xero!$A:$A,Heron!$A$5,Xero!$E:$E,Heron!$A17)</f>
        <v/>
      </c>
      <c r="BE17" s="101">
        <f>-SUMIFS(Xero!$F:$F,Xero!$B:$B,Heron!BE$9,Xero!$A:$A,Heron!$A$4,Xero!$E:$E,Heron!$A17)-SUMIFS(Xero!$F:$F,Xero!$B:$B,Heron!BE$9,Xero!$A:$A,Heron!$A$5,Xero!$E:$E,Heron!$A17)</f>
        <v/>
      </c>
      <c r="BF17" s="101">
        <f>-SUMIFS(Xero!$F:$F,Xero!$B:$B,Heron!BF$9,Xero!$A:$A,Heron!$A$4,Xero!$E:$E,Heron!$A17)-SUMIFS(Xero!$F:$F,Xero!$B:$B,Heron!BF$9,Xero!$A:$A,Heron!$A$5,Xero!$E:$E,Heron!$A17)</f>
        <v/>
      </c>
      <c r="BG17" s="101">
        <f>-SUMIFS(Xero!$F:$F,Xero!$B:$B,Heron!BG$9,Xero!$A:$A,Heron!$A$4,Xero!$E:$E,Heron!$A17)-SUMIFS(Xero!$F:$F,Xero!$B:$B,Heron!BG$9,Xero!$A:$A,Heron!$A$5,Xero!$E:$E,Heron!$A17)</f>
        <v/>
      </c>
      <c r="BH17" s="101">
        <f>-SUMIFS(Xero!$F:$F,Xero!$B:$B,Heron!BH$9,Xero!$A:$A,Heron!$A$4,Xero!$E:$E,Heron!$A17)-SUMIFS(Xero!$F:$F,Xero!$B:$B,Heron!BH$9,Xero!$A:$A,Heron!$A$5,Xero!$E:$E,Heron!$A17)</f>
        <v/>
      </c>
      <c r="BI17" s="101">
        <f>-SUMIFS(Xero!$F:$F,Xero!$B:$B,Heron!BI$9,Xero!$A:$A,Heron!$A$4,Xero!$E:$E,Heron!$A17)-SUMIFS(Xero!$F:$F,Xero!$B:$B,Heron!BI$9,Xero!$A:$A,Heron!$A$5,Xero!$E:$E,Heron!$A17)</f>
        <v/>
      </c>
      <c r="BJ17" s="101">
        <f>-SUMIFS(Xero!$F:$F,Xero!$B:$B,Heron!BJ$9,Xero!$A:$A,Heron!$A$4,Xero!$E:$E,Heron!$A17)-SUMIFS(Xero!$F:$F,Xero!$B:$B,Heron!BJ$9,Xero!$A:$A,Heron!$A$5,Xero!$E:$E,Heron!$A17)</f>
        <v/>
      </c>
      <c r="BK17" s="101">
        <f>sum(D17:BJ17)</f>
        <v/>
      </c>
    </row>
    <row r="18">
      <c r="A18" s="100" t="inlineStr">
        <is>
          <t>Interest Received - STBB Trust Account</t>
        </is>
      </c>
      <c r="D18" s="101">
        <f>-SUMIFS(Xero!$F:$F,Xero!$B:$B,Heron!D$9,Xero!$A:$A,Heron!$A$4,Xero!$E:$E,Heron!$A18)-SUMIFS(Xero!$F:$F,Xero!$B:$B,Heron!D$9,Xero!$A:$A,Heron!$A$5,Xero!$E:$E,Heron!$A18)</f>
        <v/>
      </c>
      <c r="E18" s="101">
        <f>-SUMIFS(Xero!$F:$F,Xero!$B:$B,Heron!E$9,Xero!$A:$A,Heron!$A$4,Xero!$E:$E,Heron!$A18)-SUMIFS(Xero!$F:$F,Xero!$B:$B,Heron!E$9,Xero!$A:$A,Heron!$A$5,Xero!$E:$E,Heron!$A18)</f>
        <v/>
      </c>
      <c r="F18" s="101">
        <f>-SUMIFS(Xero!$F:$F,Xero!$B:$B,Heron!F$9,Xero!$A:$A,Heron!$A$4,Xero!$E:$E,Heron!$A18)-SUMIFS(Xero!$F:$F,Xero!$B:$B,Heron!F$9,Xero!$A:$A,Heron!$A$5,Xero!$E:$E,Heron!$A18)</f>
        <v/>
      </c>
      <c r="G18" s="101">
        <f>-SUMIFS(Xero!$F:$F,Xero!$B:$B,Heron!G$9,Xero!$A:$A,Heron!$A$4,Xero!$E:$E,Heron!$A18)-SUMIFS(Xero!$F:$F,Xero!$B:$B,Heron!G$9,Xero!$A:$A,Heron!$A$5,Xero!$E:$E,Heron!$A18)</f>
        <v/>
      </c>
      <c r="H18" s="101">
        <f>-SUMIFS(Xero!$F:$F,Xero!$B:$B,Heron!H$9,Xero!$A:$A,Heron!$A$4,Xero!$E:$E,Heron!$A18)-SUMIFS(Xero!$F:$F,Xero!$B:$B,Heron!H$9,Xero!$A:$A,Heron!$A$5,Xero!$E:$E,Heron!$A18)</f>
        <v/>
      </c>
      <c r="I18" s="101">
        <f>-SUMIFS(Xero!$F:$F,Xero!$B:$B,Heron!I$9,Xero!$A:$A,Heron!$A$4,Xero!$E:$E,Heron!$A18)-SUMIFS(Xero!$F:$F,Xero!$B:$B,Heron!I$9,Xero!$A:$A,Heron!$A$5,Xero!$E:$E,Heron!$A18)</f>
        <v/>
      </c>
      <c r="J18" s="101">
        <f>-SUMIFS(Xero!$F:$F,Xero!$B:$B,Heron!J$9,Xero!$A:$A,Heron!$A$4,Xero!$E:$E,Heron!$A18)-SUMIFS(Xero!$F:$F,Xero!$B:$B,Heron!J$9,Xero!$A:$A,Heron!$A$5,Xero!$E:$E,Heron!$A18)</f>
        <v/>
      </c>
      <c r="K18" s="101">
        <f>-SUMIFS(Xero!$F:$F,Xero!$B:$B,Heron!K$9,Xero!$A:$A,Heron!$A$4,Xero!$E:$E,Heron!$A18)-SUMIFS(Xero!$F:$F,Xero!$B:$B,Heron!K$9,Xero!$A:$A,Heron!$A$5,Xero!$E:$E,Heron!$A18)</f>
        <v/>
      </c>
      <c r="L18" s="101">
        <f>-SUMIFS(Xero!$F:$F,Xero!$B:$B,Heron!L$9,Xero!$A:$A,Heron!$A$4,Xero!$E:$E,Heron!$A18)-SUMIFS(Xero!$F:$F,Xero!$B:$B,Heron!L$9,Xero!$A:$A,Heron!$A$5,Xero!$E:$E,Heron!$A18)</f>
        <v/>
      </c>
      <c r="M18" s="101">
        <f>-SUMIFS(Xero!$F:$F,Xero!$B:$B,Heron!M$9,Xero!$A:$A,Heron!$A$4,Xero!$E:$E,Heron!$A18)-SUMIFS(Xero!$F:$F,Xero!$B:$B,Heron!M$9,Xero!$A:$A,Heron!$A$5,Xero!$E:$E,Heron!$A18)</f>
        <v/>
      </c>
      <c r="N18" s="101">
        <f>-SUMIFS(Xero!$F:$F,Xero!$B:$B,Heron!N$9,Xero!$A:$A,Heron!$A$4,Xero!$E:$E,Heron!$A18)-SUMIFS(Xero!$F:$F,Xero!$B:$B,Heron!N$9,Xero!$A:$A,Heron!$A$5,Xero!$E:$E,Heron!$A18)</f>
        <v/>
      </c>
      <c r="O18" s="101">
        <f>-SUMIFS(Xero!$F:$F,Xero!$B:$B,Heron!O$9,Xero!$A:$A,Heron!$A$4,Xero!$E:$E,Heron!$A18)-SUMIFS(Xero!$F:$F,Xero!$B:$B,Heron!O$9,Xero!$A:$A,Heron!$A$5,Xero!$E:$E,Heron!$A18)</f>
        <v/>
      </c>
      <c r="P18" s="101">
        <f>-SUMIFS(Xero!$F:$F,Xero!$B:$B,Heron!P$9,Xero!$A:$A,Heron!$A$4,Xero!$E:$E,Heron!$A18)-SUMIFS(Xero!$F:$F,Xero!$B:$B,Heron!P$9,Xero!$A:$A,Heron!$A$5,Xero!$E:$E,Heron!$A18)</f>
        <v/>
      </c>
      <c r="Q18" s="101">
        <f>-SUMIFS(Xero!$F:$F,Xero!$B:$B,Heron!Q$9,Xero!$A:$A,Heron!$A$4,Xero!$E:$E,Heron!$A18)-SUMIFS(Xero!$F:$F,Xero!$B:$B,Heron!Q$9,Xero!$A:$A,Heron!$A$5,Xero!$E:$E,Heron!$A18)</f>
        <v/>
      </c>
      <c r="R18" s="101">
        <f>-SUMIFS(Xero!$F:$F,Xero!$B:$B,Heron!R$9,Xero!$A:$A,Heron!$A$4,Xero!$E:$E,Heron!$A18)-SUMIFS(Xero!$F:$F,Xero!$B:$B,Heron!R$9,Xero!$A:$A,Heron!$A$5,Xero!$E:$E,Heron!$A18)</f>
        <v/>
      </c>
      <c r="S18" s="101">
        <f>-SUMIFS(Xero!$F:$F,Xero!$B:$B,Heron!S$9,Xero!$A:$A,Heron!$A$4,Xero!$E:$E,Heron!$A18)-SUMIFS(Xero!$F:$F,Xero!$B:$B,Heron!S$9,Xero!$A:$A,Heron!$A$5,Xero!$E:$E,Heron!$A18)</f>
        <v/>
      </c>
      <c r="T18" s="101">
        <f>-SUMIFS(Xero!$F:$F,Xero!$B:$B,Heron!T$9,Xero!$A:$A,Heron!$A$4,Xero!$E:$E,Heron!$A18)-SUMIFS(Xero!$F:$F,Xero!$B:$B,Heron!T$9,Xero!$A:$A,Heron!$A$5,Xero!$E:$E,Heron!$A18)</f>
        <v/>
      </c>
      <c r="U18" s="101">
        <f>-SUMIFS(Xero!$F:$F,Xero!$B:$B,Heron!U$9,Xero!$A:$A,Heron!$A$4,Xero!$E:$E,Heron!$A18)-SUMIFS(Xero!$F:$F,Xero!$B:$B,Heron!U$9,Xero!$A:$A,Heron!$A$5,Xero!$E:$E,Heron!$A18)</f>
        <v/>
      </c>
      <c r="V18" s="101">
        <f>-SUMIFS(Xero!$F:$F,Xero!$B:$B,Heron!V$9,Xero!$A:$A,Heron!$A$4,Xero!$E:$E,Heron!$A18)-SUMIFS(Xero!$F:$F,Xero!$B:$B,Heron!V$9,Xero!$A:$A,Heron!$A$5,Xero!$E:$E,Heron!$A18)</f>
        <v/>
      </c>
      <c r="W18" s="101">
        <f>-SUMIFS(Xero!$F:$F,Xero!$B:$B,Heron!W$9,Xero!$A:$A,Heron!$A$4,Xero!$E:$E,Heron!$A18)-SUMIFS(Xero!$F:$F,Xero!$B:$B,Heron!W$9,Xero!$A:$A,Heron!$A$5,Xero!$E:$E,Heron!$A18)</f>
        <v/>
      </c>
      <c r="X18" s="101">
        <f>-SUMIFS(Xero!$F:$F,Xero!$B:$B,Heron!X$9,Xero!$A:$A,Heron!$A$4,Xero!$E:$E,Heron!$A18)-SUMIFS(Xero!$F:$F,Xero!$B:$B,Heron!X$9,Xero!$A:$A,Heron!$A$5,Xero!$E:$E,Heron!$A18)</f>
        <v/>
      </c>
      <c r="Y18" s="101">
        <f>-SUMIFS(Xero!$F:$F,Xero!$B:$B,Heron!Y$9,Xero!$A:$A,Heron!$A$4,Xero!$E:$E,Heron!$A18)-SUMIFS(Xero!$F:$F,Xero!$B:$B,Heron!Y$9,Xero!$A:$A,Heron!$A$5,Xero!$E:$E,Heron!$A18)</f>
        <v/>
      </c>
      <c r="Z18" s="101">
        <f>-SUMIFS(Xero!$F:$F,Xero!$B:$B,Heron!Z$9,Xero!$A:$A,Heron!$A$4,Xero!$E:$E,Heron!$A18)-SUMIFS(Xero!$F:$F,Xero!$B:$B,Heron!Z$9,Xero!$A:$A,Heron!$A$5,Xero!$E:$E,Heron!$A18)</f>
        <v/>
      </c>
      <c r="AA18" s="101">
        <f>-SUMIFS(Xero!$F:$F,Xero!$B:$B,Heron!AA$9,Xero!$A:$A,Heron!$A$4,Xero!$E:$E,Heron!$A18)-SUMIFS(Xero!$F:$F,Xero!$B:$B,Heron!AA$9,Xero!$A:$A,Heron!$A$5,Xero!$E:$E,Heron!$A18)</f>
        <v/>
      </c>
      <c r="AB18" s="101">
        <f>-SUMIFS(Xero!$F:$F,Xero!$B:$B,Heron!AB$9,Xero!$A:$A,Heron!$A$4,Xero!$E:$E,Heron!$A18)-SUMIFS(Xero!$F:$F,Xero!$B:$B,Heron!AB$9,Xero!$A:$A,Heron!$A$5,Xero!$E:$E,Heron!$A18)</f>
        <v/>
      </c>
      <c r="AC18" s="101">
        <f>-SUMIFS(Xero!$F:$F,Xero!$B:$B,Heron!AC$9,Xero!$A:$A,Heron!$A$4,Xero!$E:$E,Heron!$A18)-SUMIFS(Xero!$F:$F,Xero!$B:$B,Heron!AC$9,Xero!$A:$A,Heron!$A$5,Xero!$E:$E,Heron!$A18)</f>
        <v/>
      </c>
      <c r="AD18" s="101">
        <f>-SUMIFS(Xero!$F:$F,Xero!$B:$B,Heron!AD$9,Xero!$A:$A,Heron!$A$4,Xero!$E:$E,Heron!$A18)-SUMIFS(Xero!$F:$F,Xero!$B:$B,Heron!AD$9,Xero!$A:$A,Heron!$A$5,Xero!$E:$E,Heron!$A18)</f>
        <v/>
      </c>
      <c r="AE18" s="101">
        <f>-SUMIFS(Xero!$F:$F,Xero!$B:$B,Heron!AE$9,Xero!$A:$A,Heron!$A$4,Xero!$E:$E,Heron!$A18)-SUMIFS(Xero!$F:$F,Xero!$B:$B,Heron!AE$9,Xero!$A:$A,Heron!$A$5,Xero!$E:$E,Heron!$A18)</f>
        <v/>
      </c>
      <c r="AF18" s="101">
        <f>-SUMIFS(Xero!$F:$F,Xero!$B:$B,Heron!AF$9,Xero!$A:$A,Heron!$A$4,Xero!$E:$E,Heron!$A18)-SUMIFS(Xero!$F:$F,Xero!$B:$B,Heron!AF$9,Xero!$A:$A,Heron!$A$5,Xero!$E:$E,Heron!$A18)</f>
        <v/>
      </c>
      <c r="AG18" s="101">
        <f>-SUMIFS(Xero!$F:$F,Xero!$B:$B,Heron!AG$9,Xero!$A:$A,Heron!$A$4,Xero!$E:$E,Heron!$A18)-SUMIFS(Xero!$F:$F,Xero!$B:$B,Heron!AG$9,Xero!$A:$A,Heron!$A$5,Xero!$E:$E,Heron!$A18)</f>
        <v/>
      </c>
      <c r="AH18" s="101">
        <f>-SUMIFS(Xero!$F:$F,Xero!$B:$B,Heron!AH$9,Xero!$A:$A,Heron!$A$4,Xero!$E:$E,Heron!$A18)-SUMIFS(Xero!$F:$F,Xero!$B:$B,Heron!AH$9,Xero!$A:$A,Heron!$A$5,Xero!$E:$E,Heron!$A18)</f>
        <v/>
      </c>
      <c r="AI18" s="101">
        <f>-SUMIFS(Xero!$F:$F,Xero!$B:$B,Heron!AI$9,Xero!$A:$A,Heron!$A$4,Xero!$E:$E,Heron!$A18)-SUMIFS(Xero!$F:$F,Xero!$B:$B,Heron!AI$9,Xero!$A:$A,Heron!$A$5,Xero!$E:$E,Heron!$A18)</f>
        <v/>
      </c>
      <c r="AJ18" s="101">
        <f>-SUMIFS(Xero!$F:$F,Xero!$B:$B,Heron!AJ$9,Xero!$A:$A,Heron!$A$4,Xero!$E:$E,Heron!$A18)-SUMIFS(Xero!$F:$F,Xero!$B:$B,Heron!AJ$9,Xero!$A:$A,Heron!$A$5,Xero!$E:$E,Heron!$A18)</f>
        <v/>
      </c>
      <c r="AK18" s="101">
        <f>-SUMIFS(Xero!$F:$F,Xero!$B:$B,Heron!AK$9,Xero!$A:$A,Heron!$A$4,Xero!$E:$E,Heron!$A18)-SUMIFS(Xero!$F:$F,Xero!$B:$B,Heron!AK$9,Xero!$A:$A,Heron!$A$5,Xero!$E:$E,Heron!$A18)</f>
        <v/>
      </c>
      <c r="AL18" s="101">
        <f>-SUMIFS(Xero!$F:$F,Xero!$B:$B,Heron!AL$9,Xero!$A:$A,Heron!$A$4,Xero!$E:$E,Heron!$A18)-SUMIFS(Xero!$F:$F,Xero!$B:$B,Heron!AL$9,Xero!$A:$A,Heron!$A$5,Xero!$E:$E,Heron!$A18)</f>
        <v/>
      </c>
      <c r="AM18" s="101">
        <f>-SUMIFS(Xero!$F:$F,Xero!$B:$B,Heron!AM$9,Xero!$A:$A,Heron!$A$4,Xero!$E:$E,Heron!$A18)-SUMIFS(Xero!$F:$F,Xero!$B:$B,Heron!AM$9,Xero!$A:$A,Heron!$A$5,Xero!$E:$E,Heron!$A18)</f>
        <v/>
      </c>
      <c r="AN18" s="101">
        <f>-SUMIFS(Xero!$F:$F,Xero!$B:$B,Heron!AN$9,Xero!$A:$A,Heron!$A$4,Xero!$E:$E,Heron!$A18)-SUMIFS(Xero!$F:$F,Xero!$B:$B,Heron!AN$9,Xero!$A:$A,Heron!$A$5,Xero!$E:$E,Heron!$A18)</f>
        <v/>
      </c>
      <c r="AO18" s="101">
        <f>-SUMIFS(Xero!$F:$F,Xero!$B:$B,Heron!AO$9,Xero!$A:$A,Heron!$A$4,Xero!$E:$E,Heron!$A18)-SUMIFS(Xero!$F:$F,Xero!$B:$B,Heron!AO$9,Xero!$A:$A,Heron!$A$5,Xero!$E:$E,Heron!$A18)</f>
        <v/>
      </c>
      <c r="AP18" s="101">
        <f>-SUMIFS(Xero!$F:$F,Xero!$B:$B,Heron!AP$9,Xero!$A:$A,Heron!$A$4,Xero!$E:$E,Heron!$A18)-SUMIFS(Xero!$F:$F,Xero!$B:$B,Heron!AP$9,Xero!$A:$A,Heron!$A$5,Xero!$E:$E,Heron!$A18)</f>
        <v/>
      </c>
      <c r="AQ18" s="101">
        <f>-SUMIFS(Xero!$F:$F,Xero!$B:$B,Heron!AQ$9,Xero!$A:$A,Heron!$A$4,Xero!$E:$E,Heron!$A18)-SUMIFS(Xero!$F:$F,Xero!$B:$B,Heron!AQ$9,Xero!$A:$A,Heron!$A$5,Xero!$E:$E,Heron!$A18)</f>
        <v/>
      </c>
      <c r="AR18" s="101">
        <f>-SUMIFS(Xero!$F:$F,Xero!$B:$B,Heron!AR$9,Xero!$A:$A,Heron!$A$4,Xero!$E:$E,Heron!$A18)-SUMIFS(Xero!$F:$F,Xero!$B:$B,Heron!AR$9,Xero!$A:$A,Heron!$A$5,Xero!$E:$E,Heron!$A18)</f>
        <v/>
      </c>
      <c r="AS18" s="101">
        <f>-SUMIFS(Xero!$F:$F,Xero!$B:$B,Heron!AS$9,Xero!$A:$A,Heron!$A$4,Xero!$E:$E,Heron!$A18)-SUMIFS(Xero!$F:$F,Xero!$B:$B,Heron!AS$9,Xero!$A:$A,Heron!$A$5,Xero!$E:$E,Heron!$A18)</f>
        <v/>
      </c>
      <c r="AT18" s="101">
        <f>-SUMIFS(Xero!$F:$F,Xero!$B:$B,Heron!AT$9,Xero!$A:$A,Heron!$A$4,Xero!$E:$E,Heron!$A18)-SUMIFS(Xero!$F:$F,Xero!$B:$B,Heron!AT$9,Xero!$A:$A,Heron!$A$5,Xero!$E:$E,Heron!$A18)</f>
        <v/>
      </c>
      <c r="AU18" s="101">
        <f>-SUMIFS(Xero!$F:$F,Xero!$B:$B,Heron!AU$9,Xero!$A:$A,Heron!$A$4,Xero!$E:$E,Heron!$A18)-SUMIFS(Xero!$F:$F,Xero!$B:$B,Heron!AU$9,Xero!$A:$A,Heron!$A$5,Xero!$E:$E,Heron!$A18)</f>
        <v/>
      </c>
      <c r="AV18" s="101">
        <f>-SUMIFS(Xero!$F:$F,Xero!$B:$B,Heron!AV$9,Xero!$A:$A,Heron!$A$4,Xero!$E:$E,Heron!$A18)-SUMIFS(Xero!$F:$F,Xero!$B:$B,Heron!AV$9,Xero!$A:$A,Heron!$A$5,Xero!$E:$E,Heron!$A18)</f>
        <v/>
      </c>
      <c r="AW18" s="101">
        <f>-SUMIFS(Xero!$F:$F,Xero!$B:$B,Heron!AW$9,Xero!$A:$A,Heron!$A$4,Xero!$E:$E,Heron!$A18)-SUMIFS(Xero!$F:$F,Xero!$B:$B,Heron!AW$9,Xero!$A:$A,Heron!$A$5,Xero!$E:$E,Heron!$A18)</f>
        <v/>
      </c>
      <c r="AX18" s="101">
        <f>-SUMIFS(Xero!$F:$F,Xero!$B:$B,Heron!AX$9,Xero!$A:$A,Heron!$A$4,Xero!$E:$E,Heron!$A18)-SUMIFS(Xero!$F:$F,Xero!$B:$B,Heron!AX$9,Xero!$A:$A,Heron!$A$5,Xero!$E:$E,Heron!$A18)</f>
        <v/>
      </c>
      <c r="AY18" s="101">
        <f>-SUMIFS(Xero!$F:$F,Xero!$B:$B,Heron!AY$9,Xero!$A:$A,Heron!$A$4,Xero!$E:$E,Heron!$A18)-SUMIFS(Xero!$F:$F,Xero!$B:$B,Heron!AY$9,Xero!$A:$A,Heron!$A$5,Xero!$E:$E,Heron!$A18)</f>
        <v/>
      </c>
      <c r="AZ18" s="101">
        <f>-SUMIFS(Xero!$F:$F,Xero!$B:$B,Heron!AZ$9,Xero!$A:$A,Heron!$A$4,Xero!$E:$E,Heron!$A18)-SUMIFS(Xero!$F:$F,Xero!$B:$B,Heron!AZ$9,Xero!$A:$A,Heron!$A$5,Xero!$E:$E,Heron!$A18)</f>
        <v/>
      </c>
      <c r="BA18" s="101">
        <f>-SUMIFS(Xero!$F:$F,Xero!$B:$B,Heron!BA$9,Xero!$A:$A,Heron!$A$4,Xero!$E:$E,Heron!$A18)-SUMIFS(Xero!$F:$F,Xero!$B:$B,Heron!BA$9,Xero!$A:$A,Heron!$A$5,Xero!$E:$E,Heron!$A18)</f>
        <v/>
      </c>
      <c r="BB18" s="101">
        <f>-SUMIFS(Xero!$F:$F,Xero!$B:$B,Heron!BB$9,Xero!$A:$A,Heron!$A$4,Xero!$E:$E,Heron!$A18)-SUMIFS(Xero!$F:$F,Xero!$B:$B,Heron!BB$9,Xero!$A:$A,Heron!$A$5,Xero!$E:$E,Heron!$A18)</f>
        <v/>
      </c>
      <c r="BC18" s="101">
        <f>-SUMIFS(Xero!$F:$F,Xero!$B:$B,Heron!BC$9,Xero!$A:$A,Heron!$A$4,Xero!$E:$E,Heron!$A18)-SUMIFS(Xero!$F:$F,Xero!$B:$B,Heron!BC$9,Xero!$A:$A,Heron!$A$5,Xero!$E:$E,Heron!$A18)</f>
        <v/>
      </c>
      <c r="BD18" s="101">
        <f>-SUMIFS(Xero!$F:$F,Xero!$B:$B,Heron!BD$9,Xero!$A:$A,Heron!$A$4,Xero!$E:$E,Heron!$A18)-SUMIFS(Xero!$F:$F,Xero!$B:$B,Heron!BD$9,Xero!$A:$A,Heron!$A$5,Xero!$E:$E,Heron!$A18)</f>
        <v/>
      </c>
      <c r="BE18" s="101">
        <f>-SUMIFS(Xero!$F:$F,Xero!$B:$B,Heron!BE$9,Xero!$A:$A,Heron!$A$4,Xero!$E:$E,Heron!$A18)-SUMIFS(Xero!$F:$F,Xero!$B:$B,Heron!BE$9,Xero!$A:$A,Heron!$A$5,Xero!$E:$E,Heron!$A18)</f>
        <v/>
      </c>
      <c r="BF18" s="101">
        <f>-SUMIFS(Xero!$F:$F,Xero!$B:$B,Heron!BF$9,Xero!$A:$A,Heron!$A$4,Xero!$E:$E,Heron!$A18)-SUMIFS(Xero!$F:$F,Xero!$B:$B,Heron!BF$9,Xero!$A:$A,Heron!$A$5,Xero!$E:$E,Heron!$A18)</f>
        <v/>
      </c>
      <c r="BG18" s="101">
        <f>-SUMIFS(Xero!$F:$F,Xero!$B:$B,Heron!BG$9,Xero!$A:$A,Heron!$A$4,Xero!$E:$E,Heron!$A18)-SUMIFS(Xero!$F:$F,Xero!$B:$B,Heron!BG$9,Xero!$A:$A,Heron!$A$5,Xero!$E:$E,Heron!$A18)</f>
        <v/>
      </c>
      <c r="BH18" s="101">
        <f>-SUMIFS(Xero!$F:$F,Xero!$B:$B,Heron!BH$9,Xero!$A:$A,Heron!$A$4,Xero!$E:$E,Heron!$A18)-SUMIFS(Xero!$F:$F,Xero!$B:$B,Heron!BH$9,Xero!$A:$A,Heron!$A$5,Xero!$E:$E,Heron!$A18)</f>
        <v/>
      </c>
      <c r="BI18" s="101">
        <f>-SUMIFS(Xero!$F:$F,Xero!$B:$B,Heron!BI$9,Xero!$A:$A,Heron!$A$4,Xero!$E:$E,Heron!$A18)-SUMIFS(Xero!$F:$F,Xero!$B:$B,Heron!BI$9,Xero!$A:$A,Heron!$A$5,Xero!$E:$E,Heron!$A18)</f>
        <v/>
      </c>
      <c r="BJ18" s="101">
        <f>-SUMIFS(Xero!$F:$F,Xero!$B:$B,Heron!BJ$9,Xero!$A:$A,Heron!$A$4,Xero!$E:$E,Heron!$A18)-SUMIFS(Xero!$F:$F,Xero!$B:$B,Heron!BJ$9,Xero!$A:$A,Heron!$A$5,Xero!$E:$E,Heron!$A18)</f>
        <v/>
      </c>
      <c r="BK18" s="101">
        <f>sum(D18:BJ18)</f>
        <v/>
      </c>
    </row>
    <row r="19">
      <c r="A19" s="100" t="inlineStr">
        <is>
          <t>OMH - Accounting Management fees</t>
        </is>
      </c>
      <c r="D19" s="101">
        <f>-SUMIFS(Xero!$F:$F,Xero!$B:$B,Heron!D$9,Xero!$A:$A,Heron!$A$4,Xero!$E:$E,Heron!$A19)-SUMIFS(Xero!$F:$F,Xero!$B:$B,Heron!D$9,Xero!$A:$A,Heron!$A$5,Xero!$E:$E,Heron!$A19)</f>
        <v/>
      </c>
      <c r="E19" s="101">
        <f>-SUMIFS(Xero!$F:$F,Xero!$B:$B,Heron!E$9,Xero!$A:$A,Heron!$A$4,Xero!$E:$E,Heron!$A19)-SUMIFS(Xero!$F:$F,Xero!$B:$B,Heron!E$9,Xero!$A:$A,Heron!$A$5,Xero!$E:$E,Heron!$A19)</f>
        <v/>
      </c>
      <c r="F19" s="101">
        <f>-SUMIFS(Xero!$F:$F,Xero!$B:$B,Heron!F$9,Xero!$A:$A,Heron!$A$4,Xero!$E:$E,Heron!$A19)-SUMIFS(Xero!$F:$F,Xero!$B:$B,Heron!F$9,Xero!$A:$A,Heron!$A$5,Xero!$E:$E,Heron!$A19)</f>
        <v/>
      </c>
      <c r="G19" s="101">
        <f>-SUMIFS(Xero!$F:$F,Xero!$B:$B,Heron!G$9,Xero!$A:$A,Heron!$A$4,Xero!$E:$E,Heron!$A19)-SUMIFS(Xero!$F:$F,Xero!$B:$B,Heron!G$9,Xero!$A:$A,Heron!$A$5,Xero!$E:$E,Heron!$A19)</f>
        <v/>
      </c>
      <c r="H19" s="101">
        <f>-SUMIFS(Xero!$F:$F,Xero!$B:$B,Heron!H$9,Xero!$A:$A,Heron!$A$4,Xero!$E:$E,Heron!$A19)-SUMIFS(Xero!$F:$F,Xero!$B:$B,Heron!H$9,Xero!$A:$A,Heron!$A$5,Xero!$E:$E,Heron!$A19)</f>
        <v/>
      </c>
      <c r="I19" s="101">
        <f>-SUMIFS(Xero!$F:$F,Xero!$B:$B,Heron!I$9,Xero!$A:$A,Heron!$A$4,Xero!$E:$E,Heron!$A19)-SUMIFS(Xero!$F:$F,Xero!$B:$B,Heron!I$9,Xero!$A:$A,Heron!$A$5,Xero!$E:$E,Heron!$A19)</f>
        <v/>
      </c>
      <c r="J19" s="101">
        <f>-SUMIFS(Xero!$F:$F,Xero!$B:$B,Heron!J$9,Xero!$A:$A,Heron!$A$4,Xero!$E:$E,Heron!$A19)-SUMIFS(Xero!$F:$F,Xero!$B:$B,Heron!J$9,Xero!$A:$A,Heron!$A$5,Xero!$E:$E,Heron!$A19)</f>
        <v/>
      </c>
      <c r="K19" s="101">
        <f>-SUMIFS(Xero!$F:$F,Xero!$B:$B,Heron!K$9,Xero!$A:$A,Heron!$A$4,Xero!$E:$E,Heron!$A19)-SUMIFS(Xero!$F:$F,Xero!$B:$B,Heron!K$9,Xero!$A:$A,Heron!$A$5,Xero!$E:$E,Heron!$A19)</f>
        <v/>
      </c>
      <c r="L19" s="101">
        <f>-SUMIFS(Xero!$F:$F,Xero!$B:$B,Heron!L$9,Xero!$A:$A,Heron!$A$4,Xero!$E:$E,Heron!$A19)-SUMIFS(Xero!$F:$F,Xero!$B:$B,Heron!L$9,Xero!$A:$A,Heron!$A$5,Xero!$E:$E,Heron!$A19)</f>
        <v/>
      </c>
      <c r="M19" s="101">
        <f>-SUMIFS(Xero!$F:$F,Xero!$B:$B,Heron!M$9,Xero!$A:$A,Heron!$A$4,Xero!$E:$E,Heron!$A19)-SUMIFS(Xero!$F:$F,Xero!$B:$B,Heron!M$9,Xero!$A:$A,Heron!$A$5,Xero!$E:$E,Heron!$A19)</f>
        <v/>
      </c>
      <c r="N19" s="101">
        <f>-SUMIFS(Xero!$F:$F,Xero!$B:$B,Heron!N$9,Xero!$A:$A,Heron!$A$4,Xero!$E:$E,Heron!$A19)-SUMIFS(Xero!$F:$F,Xero!$B:$B,Heron!N$9,Xero!$A:$A,Heron!$A$5,Xero!$E:$E,Heron!$A19)</f>
        <v/>
      </c>
      <c r="O19" s="101">
        <f>-SUMIFS(Xero!$F:$F,Xero!$B:$B,Heron!O$9,Xero!$A:$A,Heron!$A$4,Xero!$E:$E,Heron!$A19)-SUMIFS(Xero!$F:$F,Xero!$B:$B,Heron!O$9,Xero!$A:$A,Heron!$A$5,Xero!$E:$E,Heron!$A19)</f>
        <v/>
      </c>
      <c r="P19" s="101">
        <f>-SUMIFS(Xero!$F:$F,Xero!$B:$B,Heron!P$9,Xero!$A:$A,Heron!$A$4,Xero!$E:$E,Heron!$A19)-SUMIFS(Xero!$F:$F,Xero!$B:$B,Heron!P$9,Xero!$A:$A,Heron!$A$5,Xero!$E:$E,Heron!$A19)</f>
        <v/>
      </c>
      <c r="Q19" s="101">
        <f>-SUMIFS(Xero!$F:$F,Xero!$B:$B,Heron!Q$9,Xero!$A:$A,Heron!$A$4,Xero!$E:$E,Heron!$A19)-SUMIFS(Xero!$F:$F,Xero!$B:$B,Heron!Q$9,Xero!$A:$A,Heron!$A$5,Xero!$E:$E,Heron!$A19)</f>
        <v/>
      </c>
      <c r="R19" s="101">
        <f>-SUMIFS(Xero!$F:$F,Xero!$B:$B,Heron!R$9,Xero!$A:$A,Heron!$A$4,Xero!$E:$E,Heron!$A19)-SUMIFS(Xero!$F:$F,Xero!$B:$B,Heron!R$9,Xero!$A:$A,Heron!$A$5,Xero!$E:$E,Heron!$A19)</f>
        <v/>
      </c>
      <c r="S19" s="101">
        <f>-SUMIFS(Xero!$F:$F,Xero!$B:$B,Heron!S$9,Xero!$A:$A,Heron!$A$4,Xero!$E:$E,Heron!$A19)-SUMIFS(Xero!$F:$F,Xero!$B:$B,Heron!S$9,Xero!$A:$A,Heron!$A$5,Xero!$E:$E,Heron!$A19)</f>
        <v/>
      </c>
      <c r="T19" s="101">
        <f>-SUMIFS(Xero!$F:$F,Xero!$B:$B,Heron!T$9,Xero!$A:$A,Heron!$A$4,Xero!$E:$E,Heron!$A19)-SUMIFS(Xero!$F:$F,Xero!$B:$B,Heron!T$9,Xero!$A:$A,Heron!$A$5,Xero!$E:$E,Heron!$A19)</f>
        <v/>
      </c>
      <c r="U19" s="101">
        <f>-SUMIFS(Xero!$F:$F,Xero!$B:$B,Heron!U$9,Xero!$A:$A,Heron!$A$4,Xero!$E:$E,Heron!$A19)-SUMIFS(Xero!$F:$F,Xero!$B:$B,Heron!U$9,Xero!$A:$A,Heron!$A$5,Xero!$E:$E,Heron!$A19)</f>
        <v/>
      </c>
      <c r="V19" s="101">
        <f>-SUMIFS(Xero!$F:$F,Xero!$B:$B,Heron!V$9,Xero!$A:$A,Heron!$A$4,Xero!$E:$E,Heron!$A19)-SUMIFS(Xero!$F:$F,Xero!$B:$B,Heron!V$9,Xero!$A:$A,Heron!$A$5,Xero!$E:$E,Heron!$A19)</f>
        <v/>
      </c>
      <c r="W19" s="101">
        <f>-SUMIFS(Xero!$F:$F,Xero!$B:$B,Heron!W$9,Xero!$A:$A,Heron!$A$4,Xero!$E:$E,Heron!$A19)-SUMIFS(Xero!$F:$F,Xero!$B:$B,Heron!W$9,Xero!$A:$A,Heron!$A$5,Xero!$E:$E,Heron!$A19)</f>
        <v/>
      </c>
      <c r="X19" s="101">
        <f>-SUMIFS(Xero!$F:$F,Xero!$B:$B,Heron!X$9,Xero!$A:$A,Heron!$A$4,Xero!$E:$E,Heron!$A19)-SUMIFS(Xero!$F:$F,Xero!$B:$B,Heron!X$9,Xero!$A:$A,Heron!$A$5,Xero!$E:$E,Heron!$A19)</f>
        <v/>
      </c>
      <c r="Y19" s="101">
        <f>-SUMIFS(Xero!$F:$F,Xero!$B:$B,Heron!Y$9,Xero!$A:$A,Heron!$A$4,Xero!$E:$E,Heron!$A19)-SUMIFS(Xero!$F:$F,Xero!$B:$B,Heron!Y$9,Xero!$A:$A,Heron!$A$5,Xero!$E:$E,Heron!$A19)</f>
        <v/>
      </c>
      <c r="Z19" s="101">
        <f>-SUMIFS(Xero!$F:$F,Xero!$B:$B,Heron!Z$9,Xero!$A:$A,Heron!$A$4,Xero!$E:$E,Heron!$A19)-SUMIFS(Xero!$F:$F,Xero!$B:$B,Heron!Z$9,Xero!$A:$A,Heron!$A$5,Xero!$E:$E,Heron!$A19)</f>
        <v/>
      </c>
      <c r="AA19" s="101">
        <f>-SUMIFS(Xero!$F:$F,Xero!$B:$B,Heron!AA$9,Xero!$A:$A,Heron!$A$4,Xero!$E:$E,Heron!$A19)-SUMIFS(Xero!$F:$F,Xero!$B:$B,Heron!AA$9,Xero!$A:$A,Heron!$A$5,Xero!$E:$E,Heron!$A19)</f>
        <v/>
      </c>
      <c r="AB19" s="101">
        <f>-SUMIFS(Xero!$F:$F,Xero!$B:$B,Heron!AB$9,Xero!$A:$A,Heron!$A$4,Xero!$E:$E,Heron!$A19)-SUMIFS(Xero!$F:$F,Xero!$B:$B,Heron!AB$9,Xero!$A:$A,Heron!$A$5,Xero!$E:$E,Heron!$A19)</f>
        <v/>
      </c>
      <c r="AC19" s="101">
        <f>-SUMIFS(Xero!$F:$F,Xero!$B:$B,Heron!AC$9,Xero!$A:$A,Heron!$A$4,Xero!$E:$E,Heron!$A19)-SUMIFS(Xero!$F:$F,Xero!$B:$B,Heron!AC$9,Xero!$A:$A,Heron!$A$5,Xero!$E:$E,Heron!$A19)</f>
        <v/>
      </c>
      <c r="AD19" s="101">
        <f>-SUMIFS(Xero!$F:$F,Xero!$B:$B,Heron!AD$9,Xero!$A:$A,Heron!$A$4,Xero!$E:$E,Heron!$A19)-SUMIFS(Xero!$F:$F,Xero!$B:$B,Heron!AD$9,Xero!$A:$A,Heron!$A$5,Xero!$E:$E,Heron!$A19)</f>
        <v/>
      </c>
      <c r="AE19" s="101">
        <f>-SUMIFS(Xero!$F:$F,Xero!$B:$B,Heron!AE$9,Xero!$A:$A,Heron!$A$4,Xero!$E:$E,Heron!$A19)-SUMIFS(Xero!$F:$F,Xero!$B:$B,Heron!AE$9,Xero!$A:$A,Heron!$A$5,Xero!$E:$E,Heron!$A19)</f>
        <v/>
      </c>
      <c r="AF19" s="101">
        <f>-SUMIFS(Xero!$F:$F,Xero!$B:$B,Heron!AF$9,Xero!$A:$A,Heron!$A$4,Xero!$E:$E,Heron!$A19)-SUMIFS(Xero!$F:$F,Xero!$B:$B,Heron!AF$9,Xero!$A:$A,Heron!$A$5,Xero!$E:$E,Heron!$A19)</f>
        <v/>
      </c>
      <c r="AG19" s="101">
        <f>-SUMIFS(Xero!$F:$F,Xero!$B:$B,Heron!AG$9,Xero!$A:$A,Heron!$A$4,Xero!$E:$E,Heron!$A19)-SUMIFS(Xero!$F:$F,Xero!$B:$B,Heron!AG$9,Xero!$A:$A,Heron!$A$5,Xero!$E:$E,Heron!$A19)</f>
        <v/>
      </c>
      <c r="AH19" s="101">
        <f>-SUMIFS(Xero!$F:$F,Xero!$B:$B,Heron!AH$9,Xero!$A:$A,Heron!$A$4,Xero!$E:$E,Heron!$A19)-SUMIFS(Xero!$F:$F,Xero!$B:$B,Heron!AH$9,Xero!$A:$A,Heron!$A$5,Xero!$E:$E,Heron!$A19)</f>
        <v/>
      </c>
      <c r="AI19" s="101">
        <f>-SUMIFS(Xero!$F:$F,Xero!$B:$B,Heron!AI$9,Xero!$A:$A,Heron!$A$4,Xero!$E:$E,Heron!$A19)-SUMIFS(Xero!$F:$F,Xero!$B:$B,Heron!AI$9,Xero!$A:$A,Heron!$A$5,Xero!$E:$E,Heron!$A19)</f>
        <v/>
      </c>
      <c r="AJ19" s="101">
        <f>-SUMIFS(Xero!$F:$F,Xero!$B:$B,Heron!AJ$9,Xero!$A:$A,Heron!$A$4,Xero!$E:$E,Heron!$A19)-SUMIFS(Xero!$F:$F,Xero!$B:$B,Heron!AJ$9,Xero!$A:$A,Heron!$A$5,Xero!$E:$E,Heron!$A19)</f>
        <v/>
      </c>
      <c r="AK19" s="101">
        <f>-SUMIFS(Xero!$F:$F,Xero!$B:$B,Heron!AK$9,Xero!$A:$A,Heron!$A$4,Xero!$E:$E,Heron!$A19)-SUMIFS(Xero!$F:$F,Xero!$B:$B,Heron!AK$9,Xero!$A:$A,Heron!$A$5,Xero!$E:$E,Heron!$A19)</f>
        <v/>
      </c>
      <c r="AL19" s="101">
        <f>-SUMIFS(Xero!$F:$F,Xero!$B:$B,Heron!AL$9,Xero!$A:$A,Heron!$A$4,Xero!$E:$E,Heron!$A19)-SUMIFS(Xero!$F:$F,Xero!$B:$B,Heron!AL$9,Xero!$A:$A,Heron!$A$5,Xero!$E:$E,Heron!$A19)</f>
        <v/>
      </c>
      <c r="AM19" s="101">
        <f>-SUMIFS(Xero!$F:$F,Xero!$B:$B,Heron!AM$9,Xero!$A:$A,Heron!$A$4,Xero!$E:$E,Heron!$A19)-SUMIFS(Xero!$F:$F,Xero!$B:$B,Heron!AM$9,Xero!$A:$A,Heron!$A$5,Xero!$E:$E,Heron!$A19)</f>
        <v/>
      </c>
      <c r="AN19" s="101">
        <f>-SUMIFS(Xero!$F:$F,Xero!$B:$B,Heron!AN$9,Xero!$A:$A,Heron!$A$4,Xero!$E:$E,Heron!$A19)-SUMIFS(Xero!$F:$F,Xero!$B:$B,Heron!AN$9,Xero!$A:$A,Heron!$A$5,Xero!$E:$E,Heron!$A19)</f>
        <v/>
      </c>
      <c r="AO19" s="101">
        <f>-SUMIFS(Xero!$F:$F,Xero!$B:$B,Heron!AO$9,Xero!$A:$A,Heron!$A$4,Xero!$E:$E,Heron!$A19)-SUMIFS(Xero!$F:$F,Xero!$B:$B,Heron!AO$9,Xero!$A:$A,Heron!$A$5,Xero!$E:$E,Heron!$A19)</f>
        <v/>
      </c>
      <c r="AP19" s="101">
        <f>-SUMIFS(Xero!$F:$F,Xero!$B:$B,Heron!AP$9,Xero!$A:$A,Heron!$A$4,Xero!$E:$E,Heron!$A19)-SUMIFS(Xero!$F:$F,Xero!$B:$B,Heron!AP$9,Xero!$A:$A,Heron!$A$5,Xero!$E:$E,Heron!$A19)</f>
        <v/>
      </c>
      <c r="AQ19" s="101">
        <f>-SUMIFS(Xero!$F:$F,Xero!$B:$B,Heron!AQ$9,Xero!$A:$A,Heron!$A$4,Xero!$E:$E,Heron!$A19)-SUMIFS(Xero!$F:$F,Xero!$B:$B,Heron!AQ$9,Xero!$A:$A,Heron!$A$5,Xero!$E:$E,Heron!$A19)</f>
        <v/>
      </c>
      <c r="AR19" s="101">
        <f>-SUMIFS(Xero!$F:$F,Xero!$B:$B,Heron!AR$9,Xero!$A:$A,Heron!$A$4,Xero!$E:$E,Heron!$A19)-SUMIFS(Xero!$F:$F,Xero!$B:$B,Heron!AR$9,Xero!$A:$A,Heron!$A$5,Xero!$E:$E,Heron!$A19)</f>
        <v/>
      </c>
      <c r="AS19" s="101">
        <f>-SUMIFS(Xero!$F:$F,Xero!$B:$B,Heron!AS$9,Xero!$A:$A,Heron!$A$4,Xero!$E:$E,Heron!$A19)-SUMIFS(Xero!$F:$F,Xero!$B:$B,Heron!AS$9,Xero!$A:$A,Heron!$A$5,Xero!$E:$E,Heron!$A19)</f>
        <v/>
      </c>
      <c r="AT19" s="101">
        <f>-SUMIFS(Xero!$F:$F,Xero!$B:$B,Heron!AT$9,Xero!$A:$A,Heron!$A$4,Xero!$E:$E,Heron!$A19)-SUMIFS(Xero!$F:$F,Xero!$B:$B,Heron!AT$9,Xero!$A:$A,Heron!$A$5,Xero!$E:$E,Heron!$A19)</f>
        <v/>
      </c>
      <c r="AU19" s="101">
        <f>-SUMIFS(Xero!$F:$F,Xero!$B:$B,Heron!AU$9,Xero!$A:$A,Heron!$A$4,Xero!$E:$E,Heron!$A19)-SUMIFS(Xero!$F:$F,Xero!$B:$B,Heron!AU$9,Xero!$A:$A,Heron!$A$5,Xero!$E:$E,Heron!$A19)</f>
        <v/>
      </c>
      <c r="AV19" s="101">
        <f>-SUMIFS(Xero!$F:$F,Xero!$B:$B,Heron!AV$9,Xero!$A:$A,Heron!$A$4,Xero!$E:$E,Heron!$A19)-SUMIFS(Xero!$F:$F,Xero!$B:$B,Heron!AV$9,Xero!$A:$A,Heron!$A$5,Xero!$E:$E,Heron!$A19)</f>
        <v/>
      </c>
      <c r="AW19" s="101">
        <f>-SUMIFS(Xero!$F:$F,Xero!$B:$B,Heron!AW$9,Xero!$A:$A,Heron!$A$4,Xero!$E:$E,Heron!$A19)-SUMIFS(Xero!$F:$F,Xero!$B:$B,Heron!AW$9,Xero!$A:$A,Heron!$A$5,Xero!$E:$E,Heron!$A19)</f>
        <v/>
      </c>
      <c r="AX19" s="101">
        <f>-SUMIFS(Xero!$F:$F,Xero!$B:$B,Heron!AX$9,Xero!$A:$A,Heron!$A$4,Xero!$E:$E,Heron!$A19)-SUMIFS(Xero!$F:$F,Xero!$B:$B,Heron!AX$9,Xero!$A:$A,Heron!$A$5,Xero!$E:$E,Heron!$A19)</f>
        <v/>
      </c>
      <c r="AY19" s="101">
        <f>-SUMIFS(Xero!$F:$F,Xero!$B:$B,Heron!AY$9,Xero!$A:$A,Heron!$A$4,Xero!$E:$E,Heron!$A19)-SUMIFS(Xero!$F:$F,Xero!$B:$B,Heron!AY$9,Xero!$A:$A,Heron!$A$5,Xero!$E:$E,Heron!$A19)</f>
        <v/>
      </c>
      <c r="AZ19" s="101">
        <f>-SUMIFS(Xero!$F:$F,Xero!$B:$B,Heron!AZ$9,Xero!$A:$A,Heron!$A$4,Xero!$E:$E,Heron!$A19)-SUMIFS(Xero!$F:$F,Xero!$B:$B,Heron!AZ$9,Xero!$A:$A,Heron!$A$5,Xero!$E:$E,Heron!$A19)</f>
        <v/>
      </c>
      <c r="BA19" s="101">
        <f>-SUMIFS(Xero!$F:$F,Xero!$B:$B,Heron!BA$9,Xero!$A:$A,Heron!$A$4,Xero!$E:$E,Heron!$A19)-SUMIFS(Xero!$F:$F,Xero!$B:$B,Heron!BA$9,Xero!$A:$A,Heron!$A$5,Xero!$E:$E,Heron!$A19)</f>
        <v/>
      </c>
      <c r="BB19" s="101">
        <f>-SUMIFS(Xero!$F:$F,Xero!$B:$B,Heron!BB$9,Xero!$A:$A,Heron!$A$4,Xero!$E:$E,Heron!$A19)-SUMIFS(Xero!$F:$F,Xero!$B:$B,Heron!BB$9,Xero!$A:$A,Heron!$A$5,Xero!$E:$E,Heron!$A19)</f>
        <v/>
      </c>
      <c r="BC19" s="101">
        <f>-SUMIFS(Xero!$F:$F,Xero!$B:$B,Heron!BC$9,Xero!$A:$A,Heron!$A$4,Xero!$E:$E,Heron!$A19)-SUMIFS(Xero!$F:$F,Xero!$B:$B,Heron!BC$9,Xero!$A:$A,Heron!$A$5,Xero!$E:$E,Heron!$A19)</f>
        <v/>
      </c>
      <c r="BD19" s="101">
        <f>-SUMIFS(Xero!$F:$F,Xero!$B:$B,Heron!BD$9,Xero!$A:$A,Heron!$A$4,Xero!$E:$E,Heron!$A19)-SUMIFS(Xero!$F:$F,Xero!$B:$B,Heron!BD$9,Xero!$A:$A,Heron!$A$5,Xero!$E:$E,Heron!$A19)</f>
        <v/>
      </c>
      <c r="BE19" s="101">
        <f>-SUMIFS(Xero!$F:$F,Xero!$B:$B,Heron!BE$9,Xero!$A:$A,Heron!$A$4,Xero!$E:$E,Heron!$A19)-SUMIFS(Xero!$F:$F,Xero!$B:$B,Heron!BE$9,Xero!$A:$A,Heron!$A$5,Xero!$E:$E,Heron!$A19)</f>
        <v/>
      </c>
      <c r="BF19" s="101">
        <f>-SUMIFS(Xero!$F:$F,Xero!$B:$B,Heron!BF$9,Xero!$A:$A,Heron!$A$4,Xero!$E:$E,Heron!$A19)-SUMIFS(Xero!$F:$F,Xero!$B:$B,Heron!BF$9,Xero!$A:$A,Heron!$A$5,Xero!$E:$E,Heron!$A19)</f>
        <v/>
      </c>
      <c r="BG19" s="101">
        <f>-SUMIFS(Xero!$F:$F,Xero!$B:$B,Heron!BG$9,Xero!$A:$A,Heron!$A$4,Xero!$E:$E,Heron!$A19)-SUMIFS(Xero!$F:$F,Xero!$B:$B,Heron!BG$9,Xero!$A:$A,Heron!$A$5,Xero!$E:$E,Heron!$A19)</f>
        <v/>
      </c>
      <c r="BH19" s="101">
        <f>-SUMIFS(Xero!$F:$F,Xero!$B:$B,Heron!BH$9,Xero!$A:$A,Heron!$A$4,Xero!$E:$E,Heron!$A19)-SUMIFS(Xero!$F:$F,Xero!$B:$B,Heron!BH$9,Xero!$A:$A,Heron!$A$5,Xero!$E:$E,Heron!$A19)</f>
        <v/>
      </c>
      <c r="BI19" s="101">
        <f>-SUMIFS(Xero!$F:$F,Xero!$B:$B,Heron!BI$9,Xero!$A:$A,Heron!$A$4,Xero!$E:$E,Heron!$A19)-SUMIFS(Xero!$F:$F,Xero!$B:$B,Heron!BI$9,Xero!$A:$A,Heron!$A$5,Xero!$E:$E,Heron!$A19)</f>
        <v/>
      </c>
      <c r="BJ19" s="101">
        <f>-SUMIFS(Xero!$F:$F,Xero!$B:$B,Heron!BJ$9,Xero!$A:$A,Heron!$A$4,Xero!$E:$E,Heron!$A19)-SUMIFS(Xero!$F:$F,Xero!$B:$B,Heron!BJ$9,Xero!$A:$A,Heron!$A$5,Xero!$E:$E,Heron!$A19)</f>
        <v/>
      </c>
      <c r="BK19" s="101">
        <f>sum(D19:BJ19)</f>
        <v/>
      </c>
    </row>
    <row r="20">
      <c r="A20" s="100" t="inlineStr">
        <is>
          <t>Recovery of Costs - Showhouse</t>
        </is>
      </c>
      <c r="D20" s="101">
        <f>-SUMIFS(Xero!$F:$F,Xero!$B:$B,Heron!D$9,Xero!$A:$A,Heron!$A$4,Xero!$E:$E,Heron!$A20)-SUMIFS(Xero!$F:$F,Xero!$B:$B,Heron!D$9,Xero!$A:$A,Heron!$A$5,Xero!$E:$E,Heron!$A20)</f>
        <v/>
      </c>
      <c r="E20" s="101">
        <f>-SUMIFS(Xero!$F:$F,Xero!$B:$B,Heron!E$9,Xero!$A:$A,Heron!$A$4,Xero!$E:$E,Heron!$A20)-SUMIFS(Xero!$F:$F,Xero!$B:$B,Heron!E$9,Xero!$A:$A,Heron!$A$5,Xero!$E:$E,Heron!$A20)</f>
        <v/>
      </c>
      <c r="F20" s="101">
        <f>-SUMIFS(Xero!$F:$F,Xero!$B:$B,Heron!F$9,Xero!$A:$A,Heron!$A$4,Xero!$E:$E,Heron!$A20)-SUMIFS(Xero!$F:$F,Xero!$B:$B,Heron!F$9,Xero!$A:$A,Heron!$A$5,Xero!$E:$E,Heron!$A20)</f>
        <v/>
      </c>
      <c r="G20" s="101">
        <f>-SUMIFS(Xero!$F:$F,Xero!$B:$B,Heron!G$9,Xero!$A:$A,Heron!$A$4,Xero!$E:$E,Heron!$A20)-SUMIFS(Xero!$F:$F,Xero!$B:$B,Heron!G$9,Xero!$A:$A,Heron!$A$5,Xero!$E:$E,Heron!$A20)</f>
        <v/>
      </c>
      <c r="H20" s="101">
        <f>-SUMIFS(Xero!$F:$F,Xero!$B:$B,Heron!H$9,Xero!$A:$A,Heron!$A$4,Xero!$E:$E,Heron!$A20)-SUMIFS(Xero!$F:$F,Xero!$B:$B,Heron!H$9,Xero!$A:$A,Heron!$A$5,Xero!$E:$E,Heron!$A20)</f>
        <v/>
      </c>
      <c r="I20" s="101">
        <f>-SUMIFS(Xero!$F:$F,Xero!$B:$B,Heron!I$9,Xero!$A:$A,Heron!$A$4,Xero!$E:$E,Heron!$A20)-SUMIFS(Xero!$F:$F,Xero!$B:$B,Heron!I$9,Xero!$A:$A,Heron!$A$5,Xero!$E:$E,Heron!$A20)</f>
        <v/>
      </c>
      <c r="J20" s="101">
        <f>-SUMIFS(Xero!$F:$F,Xero!$B:$B,Heron!J$9,Xero!$A:$A,Heron!$A$4,Xero!$E:$E,Heron!$A20)-SUMIFS(Xero!$F:$F,Xero!$B:$B,Heron!J$9,Xero!$A:$A,Heron!$A$5,Xero!$E:$E,Heron!$A20)</f>
        <v/>
      </c>
      <c r="K20" s="101">
        <f>-SUMIFS(Xero!$F:$F,Xero!$B:$B,Heron!K$9,Xero!$A:$A,Heron!$A$4,Xero!$E:$E,Heron!$A20)-SUMIFS(Xero!$F:$F,Xero!$B:$B,Heron!K$9,Xero!$A:$A,Heron!$A$5,Xero!$E:$E,Heron!$A20)</f>
        <v/>
      </c>
      <c r="L20" s="101">
        <f>-SUMIFS(Xero!$F:$F,Xero!$B:$B,Heron!L$9,Xero!$A:$A,Heron!$A$4,Xero!$E:$E,Heron!$A20)-SUMIFS(Xero!$F:$F,Xero!$B:$B,Heron!L$9,Xero!$A:$A,Heron!$A$5,Xero!$E:$E,Heron!$A20)</f>
        <v/>
      </c>
      <c r="M20" s="101">
        <f>-SUMIFS(Xero!$F:$F,Xero!$B:$B,Heron!M$9,Xero!$A:$A,Heron!$A$4,Xero!$E:$E,Heron!$A20)-SUMIFS(Xero!$F:$F,Xero!$B:$B,Heron!M$9,Xero!$A:$A,Heron!$A$5,Xero!$E:$E,Heron!$A20)</f>
        <v/>
      </c>
      <c r="N20" s="101">
        <f>-SUMIFS(Xero!$F:$F,Xero!$B:$B,Heron!N$9,Xero!$A:$A,Heron!$A$4,Xero!$E:$E,Heron!$A20)-SUMIFS(Xero!$F:$F,Xero!$B:$B,Heron!N$9,Xero!$A:$A,Heron!$A$5,Xero!$E:$E,Heron!$A20)</f>
        <v/>
      </c>
      <c r="O20" s="101">
        <f>-SUMIFS(Xero!$F:$F,Xero!$B:$B,Heron!O$9,Xero!$A:$A,Heron!$A$4,Xero!$E:$E,Heron!$A20)-SUMIFS(Xero!$F:$F,Xero!$B:$B,Heron!O$9,Xero!$A:$A,Heron!$A$5,Xero!$E:$E,Heron!$A20)</f>
        <v/>
      </c>
      <c r="P20" s="101">
        <f>-SUMIFS(Xero!$F:$F,Xero!$B:$B,Heron!P$9,Xero!$A:$A,Heron!$A$4,Xero!$E:$E,Heron!$A20)-SUMIFS(Xero!$F:$F,Xero!$B:$B,Heron!P$9,Xero!$A:$A,Heron!$A$5,Xero!$E:$E,Heron!$A20)</f>
        <v/>
      </c>
      <c r="Q20" s="101">
        <f>-SUMIFS(Xero!$F:$F,Xero!$B:$B,Heron!Q$9,Xero!$A:$A,Heron!$A$4,Xero!$E:$E,Heron!$A20)-SUMIFS(Xero!$F:$F,Xero!$B:$B,Heron!Q$9,Xero!$A:$A,Heron!$A$5,Xero!$E:$E,Heron!$A20)</f>
        <v/>
      </c>
      <c r="R20" s="101">
        <f>-SUMIFS(Xero!$F:$F,Xero!$B:$B,Heron!R$9,Xero!$A:$A,Heron!$A$4,Xero!$E:$E,Heron!$A20)-SUMIFS(Xero!$F:$F,Xero!$B:$B,Heron!R$9,Xero!$A:$A,Heron!$A$5,Xero!$E:$E,Heron!$A20)</f>
        <v/>
      </c>
      <c r="S20" s="101">
        <f>-SUMIFS(Xero!$F:$F,Xero!$B:$B,Heron!S$9,Xero!$A:$A,Heron!$A$4,Xero!$E:$E,Heron!$A20)-SUMIFS(Xero!$F:$F,Xero!$B:$B,Heron!S$9,Xero!$A:$A,Heron!$A$5,Xero!$E:$E,Heron!$A20)</f>
        <v/>
      </c>
      <c r="T20" s="101">
        <f>-SUMIFS(Xero!$F:$F,Xero!$B:$B,Heron!T$9,Xero!$A:$A,Heron!$A$4,Xero!$E:$E,Heron!$A20)-SUMIFS(Xero!$F:$F,Xero!$B:$B,Heron!T$9,Xero!$A:$A,Heron!$A$5,Xero!$E:$E,Heron!$A20)</f>
        <v/>
      </c>
      <c r="U20" s="101">
        <f>-SUMIFS(Xero!$F:$F,Xero!$B:$B,Heron!U$9,Xero!$A:$A,Heron!$A$4,Xero!$E:$E,Heron!$A20)-SUMIFS(Xero!$F:$F,Xero!$B:$B,Heron!U$9,Xero!$A:$A,Heron!$A$5,Xero!$E:$E,Heron!$A20)</f>
        <v/>
      </c>
      <c r="V20" s="101">
        <f>-SUMIFS(Xero!$F:$F,Xero!$B:$B,Heron!V$9,Xero!$A:$A,Heron!$A$4,Xero!$E:$E,Heron!$A20)-SUMIFS(Xero!$F:$F,Xero!$B:$B,Heron!V$9,Xero!$A:$A,Heron!$A$5,Xero!$E:$E,Heron!$A20)</f>
        <v/>
      </c>
      <c r="W20" s="101">
        <f>-SUMIFS(Xero!$F:$F,Xero!$B:$B,Heron!W$9,Xero!$A:$A,Heron!$A$4,Xero!$E:$E,Heron!$A20)-SUMIFS(Xero!$F:$F,Xero!$B:$B,Heron!W$9,Xero!$A:$A,Heron!$A$5,Xero!$E:$E,Heron!$A20)</f>
        <v/>
      </c>
      <c r="X20" s="101">
        <f>-SUMIFS(Xero!$F:$F,Xero!$B:$B,Heron!X$9,Xero!$A:$A,Heron!$A$4,Xero!$E:$E,Heron!$A20)-SUMIFS(Xero!$F:$F,Xero!$B:$B,Heron!X$9,Xero!$A:$A,Heron!$A$5,Xero!$E:$E,Heron!$A20)</f>
        <v/>
      </c>
      <c r="Y20" s="101">
        <f>-SUMIFS(Xero!$F:$F,Xero!$B:$B,Heron!Y$9,Xero!$A:$A,Heron!$A$4,Xero!$E:$E,Heron!$A20)-SUMIFS(Xero!$F:$F,Xero!$B:$B,Heron!Y$9,Xero!$A:$A,Heron!$A$5,Xero!$E:$E,Heron!$A20)</f>
        <v/>
      </c>
      <c r="Z20" s="101">
        <f>-SUMIFS(Xero!$F:$F,Xero!$B:$B,Heron!Z$9,Xero!$A:$A,Heron!$A$4,Xero!$E:$E,Heron!$A20)-SUMIFS(Xero!$F:$F,Xero!$B:$B,Heron!Z$9,Xero!$A:$A,Heron!$A$5,Xero!$E:$E,Heron!$A20)</f>
        <v/>
      </c>
      <c r="AA20" s="101">
        <f>-SUMIFS(Xero!$F:$F,Xero!$B:$B,Heron!AA$9,Xero!$A:$A,Heron!$A$4,Xero!$E:$E,Heron!$A20)-SUMIFS(Xero!$F:$F,Xero!$B:$B,Heron!AA$9,Xero!$A:$A,Heron!$A$5,Xero!$E:$E,Heron!$A20)</f>
        <v/>
      </c>
      <c r="AB20" s="101">
        <f>-SUMIFS(Xero!$F:$F,Xero!$B:$B,Heron!AB$9,Xero!$A:$A,Heron!$A$4,Xero!$E:$E,Heron!$A20)-SUMIFS(Xero!$F:$F,Xero!$B:$B,Heron!AB$9,Xero!$A:$A,Heron!$A$5,Xero!$E:$E,Heron!$A20)</f>
        <v/>
      </c>
      <c r="AC20" s="101">
        <f>-SUMIFS(Xero!$F:$F,Xero!$B:$B,Heron!AC$9,Xero!$A:$A,Heron!$A$4,Xero!$E:$E,Heron!$A20)-SUMIFS(Xero!$F:$F,Xero!$B:$B,Heron!AC$9,Xero!$A:$A,Heron!$A$5,Xero!$E:$E,Heron!$A20)</f>
        <v/>
      </c>
      <c r="AD20" s="101">
        <f>-SUMIFS(Xero!$F:$F,Xero!$B:$B,Heron!AD$9,Xero!$A:$A,Heron!$A$4,Xero!$E:$E,Heron!$A20)-SUMIFS(Xero!$F:$F,Xero!$B:$B,Heron!AD$9,Xero!$A:$A,Heron!$A$5,Xero!$E:$E,Heron!$A20)</f>
        <v/>
      </c>
      <c r="AE20" s="101">
        <f>-SUMIFS(Xero!$F:$F,Xero!$B:$B,Heron!AE$9,Xero!$A:$A,Heron!$A$4,Xero!$E:$E,Heron!$A20)-SUMIFS(Xero!$F:$F,Xero!$B:$B,Heron!AE$9,Xero!$A:$A,Heron!$A$5,Xero!$E:$E,Heron!$A20)</f>
        <v/>
      </c>
      <c r="AF20" s="101">
        <f>-SUMIFS(Xero!$F:$F,Xero!$B:$B,Heron!AF$9,Xero!$A:$A,Heron!$A$4,Xero!$E:$E,Heron!$A20)-SUMIFS(Xero!$F:$F,Xero!$B:$B,Heron!AF$9,Xero!$A:$A,Heron!$A$5,Xero!$E:$E,Heron!$A20)</f>
        <v/>
      </c>
      <c r="AG20" s="101">
        <f>-SUMIFS(Xero!$F:$F,Xero!$B:$B,Heron!AG$9,Xero!$A:$A,Heron!$A$4,Xero!$E:$E,Heron!$A20)-SUMIFS(Xero!$F:$F,Xero!$B:$B,Heron!AG$9,Xero!$A:$A,Heron!$A$5,Xero!$E:$E,Heron!$A20)</f>
        <v/>
      </c>
      <c r="AH20" s="101">
        <f>-SUMIFS(Xero!$F:$F,Xero!$B:$B,Heron!AH$9,Xero!$A:$A,Heron!$A$4,Xero!$E:$E,Heron!$A20)-SUMIFS(Xero!$F:$F,Xero!$B:$B,Heron!AH$9,Xero!$A:$A,Heron!$A$5,Xero!$E:$E,Heron!$A20)</f>
        <v/>
      </c>
      <c r="AI20" s="101">
        <f>-SUMIFS(Xero!$F:$F,Xero!$B:$B,Heron!AI$9,Xero!$A:$A,Heron!$A$4,Xero!$E:$E,Heron!$A20)-SUMIFS(Xero!$F:$F,Xero!$B:$B,Heron!AI$9,Xero!$A:$A,Heron!$A$5,Xero!$E:$E,Heron!$A20)</f>
        <v/>
      </c>
      <c r="AJ20" s="101">
        <f>-SUMIFS(Xero!$F:$F,Xero!$B:$B,Heron!AJ$9,Xero!$A:$A,Heron!$A$4,Xero!$E:$E,Heron!$A20)-SUMIFS(Xero!$F:$F,Xero!$B:$B,Heron!AJ$9,Xero!$A:$A,Heron!$A$5,Xero!$E:$E,Heron!$A20)</f>
        <v/>
      </c>
      <c r="AK20" s="101">
        <f>-SUMIFS(Xero!$F:$F,Xero!$B:$B,Heron!AK$9,Xero!$A:$A,Heron!$A$4,Xero!$E:$E,Heron!$A20)-SUMIFS(Xero!$F:$F,Xero!$B:$B,Heron!AK$9,Xero!$A:$A,Heron!$A$5,Xero!$E:$E,Heron!$A20)</f>
        <v/>
      </c>
      <c r="AL20" s="101">
        <f>-SUMIFS(Xero!$F:$F,Xero!$B:$B,Heron!AL$9,Xero!$A:$A,Heron!$A$4,Xero!$E:$E,Heron!$A20)-SUMIFS(Xero!$F:$F,Xero!$B:$B,Heron!AL$9,Xero!$A:$A,Heron!$A$5,Xero!$E:$E,Heron!$A20)</f>
        <v/>
      </c>
      <c r="AM20" s="101">
        <f>-SUMIFS(Xero!$F:$F,Xero!$B:$B,Heron!AM$9,Xero!$A:$A,Heron!$A$4,Xero!$E:$E,Heron!$A20)-SUMIFS(Xero!$F:$F,Xero!$B:$B,Heron!AM$9,Xero!$A:$A,Heron!$A$5,Xero!$E:$E,Heron!$A20)</f>
        <v/>
      </c>
      <c r="AN20" s="101">
        <f>-SUMIFS(Xero!$F:$F,Xero!$B:$B,Heron!AN$9,Xero!$A:$A,Heron!$A$4,Xero!$E:$E,Heron!$A20)-SUMIFS(Xero!$F:$F,Xero!$B:$B,Heron!AN$9,Xero!$A:$A,Heron!$A$5,Xero!$E:$E,Heron!$A20)</f>
        <v/>
      </c>
      <c r="AO20" s="101">
        <f>-SUMIFS(Xero!$F:$F,Xero!$B:$B,Heron!AO$9,Xero!$A:$A,Heron!$A$4,Xero!$E:$E,Heron!$A20)-SUMIFS(Xero!$F:$F,Xero!$B:$B,Heron!AO$9,Xero!$A:$A,Heron!$A$5,Xero!$E:$E,Heron!$A20)</f>
        <v/>
      </c>
      <c r="AP20" s="101">
        <f>-SUMIFS(Xero!$F:$F,Xero!$B:$B,Heron!AP$9,Xero!$A:$A,Heron!$A$4,Xero!$E:$E,Heron!$A20)-SUMIFS(Xero!$F:$F,Xero!$B:$B,Heron!AP$9,Xero!$A:$A,Heron!$A$5,Xero!$E:$E,Heron!$A20)</f>
        <v/>
      </c>
      <c r="AQ20" s="101">
        <f>-SUMIFS(Xero!$F:$F,Xero!$B:$B,Heron!AQ$9,Xero!$A:$A,Heron!$A$4,Xero!$E:$E,Heron!$A20)-SUMIFS(Xero!$F:$F,Xero!$B:$B,Heron!AQ$9,Xero!$A:$A,Heron!$A$5,Xero!$E:$E,Heron!$A20)</f>
        <v/>
      </c>
      <c r="AR20" s="101">
        <f>-SUMIFS(Xero!$F:$F,Xero!$B:$B,Heron!AR$9,Xero!$A:$A,Heron!$A$4,Xero!$E:$E,Heron!$A20)-SUMIFS(Xero!$F:$F,Xero!$B:$B,Heron!AR$9,Xero!$A:$A,Heron!$A$5,Xero!$E:$E,Heron!$A20)</f>
        <v/>
      </c>
      <c r="AS20" s="101">
        <f>-SUMIFS(Xero!$F:$F,Xero!$B:$B,Heron!AS$9,Xero!$A:$A,Heron!$A$4,Xero!$E:$E,Heron!$A20)-SUMIFS(Xero!$F:$F,Xero!$B:$B,Heron!AS$9,Xero!$A:$A,Heron!$A$5,Xero!$E:$E,Heron!$A20)</f>
        <v/>
      </c>
      <c r="AT20" s="101">
        <f>-SUMIFS(Xero!$F:$F,Xero!$B:$B,Heron!AT$9,Xero!$A:$A,Heron!$A$4,Xero!$E:$E,Heron!$A20)-SUMIFS(Xero!$F:$F,Xero!$B:$B,Heron!AT$9,Xero!$A:$A,Heron!$A$5,Xero!$E:$E,Heron!$A20)</f>
        <v/>
      </c>
      <c r="AU20" s="101">
        <f>-SUMIFS(Xero!$F:$F,Xero!$B:$B,Heron!AU$9,Xero!$A:$A,Heron!$A$4,Xero!$E:$E,Heron!$A20)-SUMIFS(Xero!$F:$F,Xero!$B:$B,Heron!AU$9,Xero!$A:$A,Heron!$A$5,Xero!$E:$E,Heron!$A20)</f>
        <v/>
      </c>
      <c r="AV20" s="101">
        <f>-SUMIFS(Xero!$F:$F,Xero!$B:$B,Heron!AV$9,Xero!$A:$A,Heron!$A$4,Xero!$E:$E,Heron!$A20)-SUMIFS(Xero!$F:$F,Xero!$B:$B,Heron!AV$9,Xero!$A:$A,Heron!$A$5,Xero!$E:$E,Heron!$A20)</f>
        <v/>
      </c>
      <c r="AW20" s="101">
        <f>-SUMIFS(Xero!$F:$F,Xero!$B:$B,Heron!AW$9,Xero!$A:$A,Heron!$A$4,Xero!$E:$E,Heron!$A20)-SUMIFS(Xero!$F:$F,Xero!$B:$B,Heron!AW$9,Xero!$A:$A,Heron!$A$5,Xero!$E:$E,Heron!$A20)</f>
        <v/>
      </c>
      <c r="AX20" s="101">
        <f>-SUMIFS(Xero!$F:$F,Xero!$B:$B,Heron!AX$9,Xero!$A:$A,Heron!$A$4,Xero!$E:$E,Heron!$A20)-SUMIFS(Xero!$F:$F,Xero!$B:$B,Heron!AX$9,Xero!$A:$A,Heron!$A$5,Xero!$E:$E,Heron!$A20)</f>
        <v/>
      </c>
      <c r="AY20" s="101">
        <f>-SUMIFS(Xero!$F:$F,Xero!$B:$B,Heron!AY$9,Xero!$A:$A,Heron!$A$4,Xero!$E:$E,Heron!$A20)-SUMIFS(Xero!$F:$F,Xero!$B:$B,Heron!AY$9,Xero!$A:$A,Heron!$A$5,Xero!$E:$E,Heron!$A20)</f>
        <v/>
      </c>
      <c r="AZ20" s="101">
        <f>-SUMIFS(Xero!$F:$F,Xero!$B:$B,Heron!AZ$9,Xero!$A:$A,Heron!$A$4,Xero!$E:$E,Heron!$A20)-SUMIFS(Xero!$F:$F,Xero!$B:$B,Heron!AZ$9,Xero!$A:$A,Heron!$A$5,Xero!$E:$E,Heron!$A20)</f>
        <v/>
      </c>
      <c r="BA20" s="101">
        <f>-SUMIFS(Xero!$F:$F,Xero!$B:$B,Heron!BA$9,Xero!$A:$A,Heron!$A$4,Xero!$E:$E,Heron!$A20)-SUMIFS(Xero!$F:$F,Xero!$B:$B,Heron!BA$9,Xero!$A:$A,Heron!$A$5,Xero!$E:$E,Heron!$A20)</f>
        <v/>
      </c>
      <c r="BB20" s="101">
        <f>-SUMIFS(Xero!$F:$F,Xero!$B:$B,Heron!BB$9,Xero!$A:$A,Heron!$A$4,Xero!$E:$E,Heron!$A20)-SUMIFS(Xero!$F:$F,Xero!$B:$B,Heron!BB$9,Xero!$A:$A,Heron!$A$5,Xero!$E:$E,Heron!$A20)</f>
        <v/>
      </c>
      <c r="BC20" s="101">
        <f>-SUMIFS(Xero!$F:$F,Xero!$B:$B,Heron!BC$9,Xero!$A:$A,Heron!$A$4,Xero!$E:$E,Heron!$A20)-SUMIFS(Xero!$F:$F,Xero!$B:$B,Heron!BC$9,Xero!$A:$A,Heron!$A$5,Xero!$E:$E,Heron!$A20)</f>
        <v/>
      </c>
      <c r="BD20" s="101">
        <f>-SUMIFS(Xero!$F:$F,Xero!$B:$B,Heron!BD$9,Xero!$A:$A,Heron!$A$4,Xero!$E:$E,Heron!$A20)-SUMIFS(Xero!$F:$F,Xero!$B:$B,Heron!BD$9,Xero!$A:$A,Heron!$A$5,Xero!$E:$E,Heron!$A20)</f>
        <v/>
      </c>
      <c r="BE20" s="101">
        <f>-SUMIFS(Xero!$F:$F,Xero!$B:$B,Heron!BE$9,Xero!$A:$A,Heron!$A$4,Xero!$E:$E,Heron!$A20)-SUMIFS(Xero!$F:$F,Xero!$B:$B,Heron!BE$9,Xero!$A:$A,Heron!$A$5,Xero!$E:$E,Heron!$A20)</f>
        <v/>
      </c>
      <c r="BF20" s="101">
        <f>-SUMIFS(Xero!$F:$F,Xero!$B:$B,Heron!BF$9,Xero!$A:$A,Heron!$A$4,Xero!$E:$E,Heron!$A20)-SUMIFS(Xero!$F:$F,Xero!$B:$B,Heron!BF$9,Xero!$A:$A,Heron!$A$5,Xero!$E:$E,Heron!$A20)</f>
        <v/>
      </c>
      <c r="BG20" s="101">
        <f>-SUMIFS(Xero!$F:$F,Xero!$B:$B,Heron!BG$9,Xero!$A:$A,Heron!$A$4,Xero!$E:$E,Heron!$A20)-SUMIFS(Xero!$F:$F,Xero!$B:$B,Heron!BG$9,Xero!$A:$A,Heron!$A$5,Xero!$E:$E,Heron!$A20)</f>
        <v/>
      </c>
      <c r="BH20" s="101">
        <f>-SUMIFS(Xero!$F:$F,Xero!$B:$B,Heron!BH$9,Xero!$A:$A,Heron!$A$4,Xero!$E:$E,Heron!$A20)-SUMIFS(Xero!$F:$F,Xero!$B:$B,Heron!BH$9,Xero!$A:$A,Heron!$A$5,Xero!$E:$E,Heron!$A20)</f>
        <v/>
      </c>
      <c r="BI20" s="101">
        <f>-SUMIFS(Xero!$F:$F,Xero!$B:$B,Heron!BI$9,Xero!$A:$A,Heron!$A$4,Xero!$E:$E,Heron!$A20)-SUMIFS(Xero!$F:$F,Xero!$B:$B,Heron!BI$9,Xero!$A:$A,Heron!$A$5,Xero!$E:$E,Heron!$A20)</f>
        <v/>
      </c>
      <c r="BJ20" s="101">
        <f>-SUMIFS(Xero!$F:$F,Xero!$B:$B,Heron!BJ$9,Xero!$A:$A,Heron!$A$4,Xero!$E:$E,Heron!$A20)-SUMIFS(Xero!$F:$F,Xero!$B:$B,Heron!BJ$9,Xero!$A:$A,Heron!$A$5,Xero!$E:$E,Heron!$A20)</f>
        <v/>
      </c>
      <c r="BK20" s="101">
        <f>sum(D20:BJ20)</f>
        <v/>
      </c>
    </row>
    <row r="21">
      <c r="A21" s="100" t="inlineStr">
        <is>
          <t>Rental Income</t>
        </is>
      </c>
      <c r="D21" s="101">
        <f>-SUMIFS(Xero!$F:$F,Xero!$B:$B,Heron!D$9,Xero!$A:$A,Heron!$A$4,Xero!$E:$E,Heron!$A21)-SUMIFS(Xero!$F:$F,Xero!$B:$B,Heron!D$9,Xero!$A:$A,Heron!$A$5,Xero!$E:$E,Heron!$A21)</f>
        <v/>
      </c>
      <c r="E21" s="101">
        <f>-SUMIFS(Xero!$F:$F,Xero!$B:$B,Heron!E$9,Xero!$A:$A,Heron!$A$4,Xero!$E:$E,Heron!$A21)-SUMIFS(Xero!$F:$F,Xero!$B:$B,Heron!E$9,Xero!$A:$A,Heron!$A$5,Xero!$E:$E,Heron!$A21)</f>
        <v/>
      </c>
      <c r="F21" s="101">
        <f>-SUMIFS(Xero!$F:$F,Xero!$B:$B,Heron!F$9,Xero!$A:$A,Heron!$A$4,Xero!$E:$E,Heron!$A21)-SUMIFS(Xero!$F:$F,Xero!$B:$B,Heron!F$9,Xero!$A:$A,Heron!$A$5,Xero!$E:$E,Heron!$A21)</f>
        <v/>
      </c>
      <c r="G21" s="101">
        <f>-SUMIFS(Xero!$F:$F,Xero!$B:$B,Heron!G$9,Xero!$A:$A,Heron!$A$4,Xero!$E:$E,Heron!$A21)-SUMIFS(Xero!$F:$F,Xero!$B:$B,Heron!G$9,Xero!$A:$A,Heron!$A$5,Xero!$E:$E,Heron!$A21)</f>
        <v/>
      </c>
      <c r="H21" s="101">
        <f>-SUMIFS(Xero!$F:$F,Xero!$B:$B,Heron!H$9,Xero!$A:$A,Heron!$A$4,Xero!$E:$E,Heron!$A21)-SUMIFS(Xero!$F:$F,Xero!$B:$B,Heron!H$9,Xero!$A:$A,Heron!$A$5,Xero!$E:$E,Heron!$A21)</f>
        <v/>
      </c>
      <c r="I21" s="101">
        <f>-SUMIFS(Xero!$F:$F,Xero!$B:$B,Heron!I$9,Xero!$A:$A,Heron!$A$4,Xero!$E:$E,Heron!$A21)-SUMIFS(Xero!$F:$F,Xero!$B:$B,Heron!I$9,Xero!$A:$A,Heron!$A$5,Xero!$E:$E,Heron!$A21)</f>
        <v/>
      </c>
      <c r="J21" s="101">
        <f>-SUMIFS(Xero!$F:$F,Xero!$B:$B,Heron!J$9,Xero!$A:$A,Heron!$A$4,Xero!$E:$E,Heron!$A21)-SUMIFS(Xero!$F:$F,Xero!$B:$B,Heron!J$9,Xero!$A:$A,Heron!$A$5,Xero!$E:$E,Heron!$A21)</f>
        <v/>
      </c>
      <c r="K21" s="101">
        <f>-SUMIFS(Xero!$F:$F,Xero!$B:$B,Heron!K$9,Xero!$A:$A,Heron!$A$4,Xero!$E:$E,Heron!$A21)-SUMIFS(Xero!$F:$F,Xero!$B:$B,Heron!K$9,Xero!$A:$A,Heron!$A$5,Xero!$E:$E,Heron!$A21)</f>
        <v/>
      </c>
      <c r="L21" s="101">
        <f>-SUMIFS(Xero!$F:$F,Xero!$B:$B,Heron!L$9,Xero!$A:$A,Heron!$A$4,Xero!$E:$E,Heron!$A21)-SUMIFS(Xero!$F:$F,Xero!$B:$B,Heron!L$9,Xero!$A:$A,Heron!$A$5,Xero!$E:$E,Heron!$A21)</f>
        <v/>
      </c>
      <c r="M21" s="101">
        <f>-SUMIFS(Xero!$F:$F,Xero!$B:$B,Heron!M$9,Xero!$A:$A,Heron!$A$4,Xero!$E:$E,Heron!$A21)-SUMIFS(Xero!$F:$F,Xero!$B:$B,Heron!M$9,Xero!$A:$A,Heron!$A$5,Xero!$E:$E,Heron!$A21)</f>
        <v/>
      </c>
      <c r="N21" s="101">
        <f>-SUMIFS(Xero!$F:$F,Xero!$B:$B,Heron!N$9,Xero!$A:$A,Heron!$A$4,Xero!$E:$E,Heron!$A21)-SUMIFS(Xero!$F:$F,Xero!$B:$B,Heron!N$9,Xero!$A:$A,Heron!$A$5,Xero!$E:$E,Heron!$A21)</f>
        <v/>
      </c>
      <c r="O21" s="101">
        <f>-SUMIFS(Xero!$F:$F,Xero!$B:$B,Heron!O$9,Xero!$A:$A,Heron!$A$4,Xero!$E:$E,Heron!$A21)-SUMIFS(Xero!$F:$F,Xero!$B:$B,Heron!O$9,Xero!$A:$A,Heron!$A$5,Xero!$E:$E,Heron!$A21)</f>
        <v/>
      </c>
      <c r="P21" s="101">
        <f>-SUMIFS(Xero!$F:$F,Xero!$B:$B,Heron!P$9,Xero!$A:$A,Heron!$A$4,Xero!$E:$E,Heron!$A21)-SUMIFS(Xero!$F:$F,Xero!$B:$B,Heron!P$9,Xero!$A:$A,Heron!$A$5,Xero!$E:$E,Heron!$A21)</f>
        <v/>
      </c>
      <c r="Q21" s="101">
        <f>-SUMIFS(Xero!$F:$F,Xero!$B:$B,Heron!Q$9,Xero!$A:$A,Heron!$A$4,Xero!$E:$E,Heron!$A21)-SUMIFS(Xero!$F:$F,Xero!$B:$B,Heron!Q$9,Xero!$A:$A,Heron!$A$5,Xero!$E:$E,Heron!$A21)</f>
        <v/>
      </c>
      <c r="R21" s="101">
        <f>-SUMIFS(Xero!$F:$F,Xero!$B:$B,Heron!R$9,Xero!$A:$A,Heron!$A$4,Xero!$E:$E,Heron!$A21)-SUMIFS(Xero!$F:$F,Xero!$B:$B,Heron!R$9,Xero!$A:$A,Heron!$A$5,Xero!$E:$E,Heron!$A21)</f>
        <v/>
      </c>
      <c r="S21" s="101">
        <f>-SUMIFS(Xero!$F:$F,Xero!$B:$B,Heron!S$9,Xero!$A:$A,Heron!$A$4,Xero!$E:$E,Heron!$A21)-SUMIFS(Xero!$F:$F,Xero!$B:$B,Heron!S$9,Xero!$A:$A,Heron!$A$5,Xero!$E:$E,Heron!$A21)</f>
        <v/>
      </c>
      <c r="T21" s="101">
        <f>-SUMIFS(Xero!$F:$F,Xero!$B:$B,Heron!T$9,Xero!$A:$A,Heron!$A$4,Xero!$E:$E,Heron!$A21)-SUMIFS(Xero!$F:$F,Xero!$B:$B,Heron!T$9,Xero!$A:$A,Heron!$A$5,Xero!$E:$E,Heron!$A21)</f>
        <v/>
      </c>
      <c r="U21" s="101">
        <f>-SUMIFS(Xero!$F:$F,Xero!$B:$B,Heron!U$9,Xero!$A:$A,Heron!$A$4,Xero!$E:$E,Heron!$A21)-SUMIFS(Xero!$F:$F,Xero!$B:$B,Heron!U$9,Xero!$A:$A,Heron!$A$5,Xero!$E:$E,Heron!$A21)</f>
        <v/>
      </c>
      <c r="V21" s="101">
        <f>-SUMIFS(Xero!$F:$F,Xero!$B:$B,Heron!V$9,Xero!$A:$A,Heron!$A$4,Xero!$E:$E,Heron!$A21)-SUMIFS(Xero!$F:$F,Xero!$B:$B,Heron!V$9,Xero!$A:$A,Heron!$A$5,Xero!$E:$E,Heron!$A21)</f>
        <v/>
      </c>
      <c r="W21" s="101">
        <f>-SUMIFS(Xero!$F:$F,Xero!$B:$B,Heron!W$9,Xero!$A:$A,Heron!$A$4,Xero!$E:$E,Heron!$A21)-SUMIFS(Xero!$F:$F,Xero!$B:$B,Heron!W$9,Xero!$A:$A,Heron!$A$5,Xero!$E:$E,Heron!$A21)</f>
        <v/>
      </c>
      <c r="X21" s="101">
        <f>-SUMIFS(Xero!$F:$F,Xero!$B:$B,Heron!X$9,Xero!$A:$A,Heron!$A$4,Xero!$E:$E,Heron!$A21)-SUMIFS(Xero!$F:$F,Xero!$B:$B,Heron!X$9,Xero!$A:$A,Heron!$A$5,Xero!$E:$E,Heron!$A21)</f>
        <v/>
      </c>
      <c r="Y21" s="101">
        <f>-SUMIFS(Xero!$F:$F,Xero!$B:$B,Heron!Y$9,Xero!$A:$A,Heron!$A$4,Xero!$E:$E,Heron!$A21)-SUMIFS(Xero!$F:$F,Xero!$B:$B,Heron!Y$9,Xero!$A:$A,Heron!$A$5,Xero!$E:$E,Heron!$A21)</f>
        <v/>
      </c>
      <c r="Z21" s="101">
        <f>-SUMIFS(Xero!$F:$F,Xero!$B:$B,Heron!Z$9,Xero!$A:$A,Heron!$A$4,Xero!$E:$E,Heron!$A21)-SUMIFS(Xero!$F:$F,Xero!$B:$B,Heron!Z$9,Xero!$A:$A,Heron!$A$5,Xero!$E:$E,Heron!$A21)</f>
        <v/>
      </c>
      <c r="AA21" s="101">
        <f>-SUMIFS(Xero!$F:$F,Xero!$B:$B,Heron!AA$9,Xero!$A:$A,Heron!$A$4,Xero!$E:$E,Heron!$A21)-SUMIFS(Xero!$F:$F,Xero!$B:$B,Heron!AA$9,Xero!$A:$A,Heron!$A$5,Xero!$E:$E,Heron!$A21)</f>
        <v/>
      </c>
      <c r="AB21" s="101">
        <f>-SUMIFS(Xero!$F:$F,Xero!$B:$B,Heron!AB$9,Xero!$A:$A,Heron!$A$4,Xero!$E:$E,Heron!$A21)-SUMIFS(Xero!$F:$F,Xero!$B:$B,Heron!AB$9,Xero!$A:$A,Heron!$A$5,Xero!$E:$E,Heron!$A21)</f>
        <v/>
      </c>
      <c r="AC21" s="101">
        <f>-SUMIFS(Xero!$F:$F,Xero!$B:$B,Heron!AC$9,Xero!$A:$A,Heron!$A$4,Xero!$E:$E,Heron!$A21)-SUMIFS(Xero!$F:$F,Xero!$B:$B,Heron!AC$9,Xero!$A:$A,Heron!$A$5,Xero!$E:$E,Heron!$A21)</f>
        <v/>
      </c>
      <c r="AD21" s="101">
        <f>-SUMIFS(Xero!$F:$F,Xero!$B:$B,Heron!AD$9,Xero!$A:$A,Heron!$A$4,Xero!$E:$E,Heron!$A21)-SUMIFS(Xero!$F:$F,Xero!$B:$B,Heron!AD$9,Xero!$A:$A,Heron!$A$5,Xero!$E:$E,Heron!$A21)</f>
        <v/>
      </c>
      <c r="AE21" s="101">
        <f>-SUMIFS(Xero!$F:$F,Xero!$B:$B,Heron!AE$9,Xero!$A:$A,Heron!$A$4,Xero!$E:$E,Heron!$A21)-SUMIFS(Xero!$F:$F,Xero!$B:$B,Heron!AE$9,Xero!$A:$A,Heron!$A$5,Xero!$E:$E,Heron!$A21)</f>
        <v/>
      </c>
      <c r="AF21" s="101">
        <f>-SUMIFS(Xero!$F:$F,Xero!$B:$B,Heron!AF$9,Xero!$A:$A,Heron!$A$4,Xero!$E:$E,Heron!$A21)-SUMIFS(Xero!$F:$F,Xero!$B:$B,Heron!AF$9,Xero!$A:$A,Heron!$A$5,Xero!$E:$E,Heron!$A21)</f>
        <v/>
      </c>
      <c r="AG21" s="101">
        <f>-SUMIFS(Xero!$F:$F,Xero!$B:$B,Heron!AG$9,Xero!$A:$A,Heron!$A$4,Xero!$E:$E,Heron!$A21)-SUMIFS(Xero!$F:$F,Xero!$B:$B,Heron!AG$9,Xero!$A:$A,Heron!$A$5,Xero!$E:$E,Heron!$A21)</f>
        <v/>
      </c>
      <c r="AH21" s="101">
        <f>-SUMIFS(Xero!$F:$F,Xero!$B:$B,Heron!AH$9,Xero!$A:$A,Heron!$A$4,Xero!$E:$E,Heron!$A21)-SUMIFS(Xero!$F:$F,Xero!$B:$B,Heron!AH$9,Xero!$A:$A,Heron!$A$5,Xero!$E:$E,Heron!$A21)</f>
        <v/>
      </c>
      <c r="AI21" s="101">
        <f>-SUMIFS(Xero!$F:$F,Xero!$B:$B,Heron!AI$9,Xero!$A:$A,Heron!$A$4,Xero!$E:$E,Heron!$A21)-SUMIFS(Xero!$F:$F,Xero!$B:$B,Heron!AI$9,Xero!$A:$A,Heron!$A$5,Xero!$E:$E,Heron!$A21)</f>
        <v/>
      </c>
      <c r="AJ21" s="101">
        <f>-SUMIFS(Xero!$F:$F,Xero!$B:$B,Heron!AJ$9,Xero!$A:$A,Heron!$A$4,Xero!$E:$E,Heron!$A21)-SUMIFS(Xero!$F:$F,Xero!$B:$B,Heron!AJ$9,Xero!$A:$A,Heron!$A$5,Xero!$E:$E,Heron!$A21)</f>
        <v/>
      </c>
      <c r="AK21" s="101">
        <f>-SUMIFS(Xero!$F:$F,Xero!$B:$B,Heron!AK$9,Xero!$A:$A,Heron!$A$4,Xero!$E:$E,Heron!$A21)-SUMIFS(Xero!$F:$F,Xero!$B:$B,Heron!AK$9,Xero!$A:$A,Heron!$A$5,Xero!$E:$E,Heron!$A21)</f>
        <v/>
      </c>
      <c r="AL21" s="101">
        <f>-SUMIFS(Xero!$F:$F,Xero!$B:$B,Heron!AL$9,Xero!$A:$A,Heron!$A$4,Xero!$E:$E,Heron!$A21)-SUMIFS(Xero!$F:$F,Xero!$B:$B,Heron!AL$9,Xero!$A:$A,Heron!$A$5,Xero!$E:$E,Heron!$A21)</f>
        <v/>
      </c>
      <c r="AM21" s="101">
        <f>-SUMIFS(Xero!$F:$F,Xero!$B:$B,Heron!AM$9,Xero!$A:$A,Heron!$A$4,Xero!$E:$E,Heron!$A21)-SUMIFS(Xero!$F:$F,Xero!$B:$B,Heron!AM$9,Xero!$A:$A,Heron!$A$5,Xero!$E:$E,Heron!$A21)</f>
        <v/>
      </c>
      <c r="AN21" s="101">
        <f>-SUMIFS(Xero!$F:$F,Xero!$B:$B,Heron!AN$9,Xero!$A:$A,Heron!$A$4,Xero!$E:$E,Heron!$A21)-SUMIFS(Xero!$F:$F,Xero!$B:$B,Heron!AN$9,Xero!$A:$A,Heron!$A$5,Xero!$E:$E,Heron!$A21)</f>
        <v/>
      </c>
      <c r="AO21" s="101">
        <f>-SUMIFS(Xero!$F:$F,Xero!$B:$B,Heron!AO$9,Xero!$A:$A,Heron!$A$4,Xero!$E:$E,Heron!$A21)-SUMIFS(Xero!$F:$F,Xero!$B:$B,Heron!AO$9,Xero!$A:$A,Heron!$A$5,Xero!$E:$E,Heron!$A21)</f>
        <v/>
      </c>
      <c r="AP21" s="101">
        <f>-SUMIFS(Xero!$F:$F,Xero!$B:$B,Heron!AP$9,Xero!$A:$A,Heron!$A$4,Xero!$E:$E,Heron!$A21)-SUMIFS(Xero!$F:$F,Xero!$B:$B,Heron!AP$9,Xero!$A:$A,Heron!$A$5,Xero!$E:$E,Heron!$A21)</f>
        <v/>
      </c>
      <c r="AQ21" s="101">
        <f>-SUMIFS(Xero!$F:$F,Xero!$B:$B,Heron!AQ$9,Xero!$A:$A,Heron!$A$4,Xero!$E:$E,Heron!$A21)-SUMIFS(Xero!$F:$F,Xero!$B:$B,Heron!AQ$9,Xero!$A:$A,Heron!$A$5,Xero!$E:$E,Heron!$A21)</f>
        <v/>
      </c>
      <c r="AR21" s="101">
        <f>-SUMIFS(Xero!$F:$F,Xero!$B:$B,Heron!AR$9,Xero!$A:$A,Heron!$A$4,Xero!$E:$E,Heron!$A21)-SUMIFS(Xero!$F:$F,Xero!$B:$B,Heron!AR$9,Xero!$A:$A,Heron!$A$5,Xero!$E:$E,Heron!$A21)</f>
        <v/>
      </c>
      <c r="AS21" s="101">
        <f>-SUMIFS(Xero!$F:$F,Xero!$B:$B,Heron!AS$9,Xero!$A:$A,Heron!$A$4,Xero!$E:$E,Heron!$A21)-SUMIFS(Xero!$F:$F,Xero!$B:$B,Heron!AS$9,Xero!$A:$A,Heron!$A$5,Xero!$E:$E,Heron!$A21)</f>
        <v/>
      </c>
      <c r="AT21" s="101">
        <f>-SUMIFS(Xero!$F:$F,Xero!$B:$B,Heron!AT$9,Xero!$A:$A,Heron!$A$4,Xero!$E:$E,Heron!$A21)-SUMIFS(Xero!$F:$F,Xero!$B:$B,Heron!AT$9,Xero!$A:$A,Heron!$A$5,Xero!$E:$E,Heron!$A21)</f>
        <v/>
      </c>
      <c r="AU21" s="101">
        <f>-SUMIFS(Xero!$F:$F,Xero!$B:$B,Heron!AU$9,Xero!$A:$A,Heron!$A$4,Xero!$E:$E,Heron!$A21)-SUMIFS(Xero!$F:$F,Xero!$B:$B,Heron!AU$9,Xero!$A:$A,Heron!$A$5,Xero!$E:$E,Heron!$A21)</f>
        <v/>
      </c>
      <c r="AV21" s="101">
        <f>-SUMIFS(Xero!$F:$F,Xero!$B:$B,Heron!AV$9,Xero!$A:$A,Heron!$A$4,Xero!$E:$E,Heron!$A21)-SUMIFS(Xero!$F:$F,Xero!$B:$B,Heron!AV$9,Xero!$A:$A,Heron!$A$5,Xero!$E:$E,Heron!$A21)</f>
        <v/>
      </c>
      <c r="AW21" s="101">
        <f>-SUMIFS(Xero!$F:$F,Xero!$B:$B,Heron!AW$9,Xero!$A:$A,Heron!$A$4,Xero!$E:$E,Heron!$A21)-SUMIFS(Xero!$F:$F,Xero!$B:$B,Heron!AW$9,Xero!$A:$A,Heron!$A$5,Xero!$E:$E,Heron!$A21)</f>
        <v/>
      </c>
      <c r="AX21" s="101">
        <f>-SUMIFS(Xero!$F:$F,Xero!$B:$B,Heron!AX$9,Xero!$A:$A,Heron!$A$4,Xero!$E:$E,Heron!$A21)-SUMIFS(Xero!$F:$F,Xero!$B:$B,Heron!AX$9,Xero!$A:$A,Heron!$A$5,Xero!$E:$E,Heron!$A21)</f>
        <v/>
      </c>
      <c r="AY21" s="101">
        <f>-SUMIFS(Xero!$F:$F,Xero!$B:$B,Heron!AY$9,Xero!$A:$A,Heron!$A$4,Xero!$E:$E,Heron!$A21)-SUMIFS(Xero!$F:$F,Xero!$B:$B,Heron!AY$9,Xero!$A:$A,Heron!$A$5,Xero!$E:$E,Heron!$A21)</f>
        <v/>
      </c>
      <c r="AZ21" s="101">
        <f>-SUMIFS(Xero!$F:$F,Xero!$B:$B,Heron!AZ$9,Xero!$A:$A,Heron!$A$4,Xero!$E:$E,Heron!$A21)-SUMIFS(Xero!$F:$F,Xero!$B:$B,Heron!AZ$9,Xero!$A:$A,Heron!$A$5,Xero!$E:$E,Heron!$A21)</f>
        <v/>
      </c>
      <c r="BA21" s="101">
        <f>-SUMIFS(Xero!$F:$F,Xero!$B:$B,Heron!BA$9,Xero!$A:$A,Heron!$A$4,Xero!$E:$E,Heron!$A21)-SUMIFS(Xero!$F:$F,Xero!$B:$B,Heron!BA$9,Xero!$A:$A,Heron!$A$5,Xero!$E:$E,Heron!$A21)</f>
        <v/>
      </c>
      <c r="BB21" s="101">
        <f>-SUMIFS(Xero!$F:$F,Xero!$B:$B,Heron!BB$9,Xero!$A:$A,Heron!$A$4,Xero!$E:$E,Heron!$A21)-SUMIFS(Xero!$F:$F,Xero!$B:$B,Heron!BB$9,Xero!$A:$A,Heron!$A$5,Xero!$E:$E,Heron!$A21)</f>
        <v/>
      </c>
      <c r="BC21" s="101">
        <f>-SUMIFS(Xero!$F:$F,Xero!$B:$B,Heron!BC$9,Xero!$A:$A,Heron!$A$4,Xero!$E:$E,Heron!$A21)-SUMIFS(Xero!$F:$F,Xero!$B:$B,Heron!BC$9,Xero!$A:$A,Heron!$A$5,Xero!$E:$E,Heron!$A21)</f>
        <v/>
      </c>
      <c r="BD21" s="101">
        <f>-SUMIFS(Xero!$F:$F,Xero!$B:$B,Heron!BD$9,Xero!$A:$A,Heron!$A$4,Xero!$E:$E,Heron!$A21)-SUMIFS(Xero!$F:$F,Xero!$B:$B,Heron!BD$9,Xero!$A:$A,Heron!$A$5,Xero!$E:$E,Heron!$A21)</f>
        <v/>
      </c>
      <c r="BE21" s="101">
        <f>-SUMIFS(Xero!$F:$F,Xero!$B:$B,Heron!BE$9,Xero!$A:$A,Heron!$A$4,Xero!$E:$E,Heron!$A21)-SUMIFS(Xero!$F:$F,Xero!$B:$B,Heron!BE$9,Xero!$A:$A,Heron!$A$5,Xero!$E:$E,Heron!$A21)</f>
        <v/>
      </c>
      <c r="BF21" s="101">
        <f>-SUMIFS(Xero!$F:$F,Xero!$B:$B,Heron!BF$9,Xero!$A:$A,Heron!$A$4,Xero!$E:$E,Heron!$A21)-SUMIFS(Xero!$F:$F,Xero!$B:$B,Heron!BF$9,Xero!$A:$A,Heron!$A$5,Xero!$E:$E,Heron!$A21)</f>
        <v/>
      </c>
      <c r="BG21" s="101">
        <f>-SUMIFS(Xero!$F:$F,Xero!$B:$B,Heron!BG$9,Xero!$A:$A,Heron!$A$4,Xero!$E:$E,Heron!$A21)-SUMIFS(Xero!$F:$F,Xero!$B:$B,Heron!BG$9,Xero!$A:$A,Heron!$A$5,Xero!$E:$E,Heron!$A21)</f>
        <v/>
      </c>
      <c r="BH21" s="101">
        <f>-SUMIFS(Xero!$F:$F,Xero!$B:$B,Heron!BH$9,Xero!$A:$A,Heron!$A$4,Xero!$E:$E,Heron!$A21)-SUMIFS(Xero!$F:$F,Xero!$B:$B,Heron!BH$9,Xero!$A:$A,Heron!$A$5,Xero!$E:$E,Heron!$A21)</f>
        <v/>
      </c>
      <c r="BI21" s="101">
        <f>-SUMIFS(Xero!$F:$F,Xero!$B:$B,Heron!BI$9,Xero!$A:$A,Heron!$A$4,Xero!$E:$E,Heron!$A21)-SUMIFS(Xero!$F:$F,Xero!$B:$B,Heron!BI$9,Xero!$A:$A,Heron!$A$5,Xero!$E:$E,Heron!$A21)</f>
        <v/>
      </c>
      <c r="BJ21" s="101">
        <f>-SUMIFS(Xero!$F:$F,Xero!$B:$B,Heron!BJ$9,Xero!$A:$A,Heron!$A$4,Xero!$E:$E,Heron!$A21)-SUMIFS(Xero!$F:$F,Xero!$B:$B,Heron!BJ$9,Xero!$A:$A,Heron!$A$5,Xero!$E:$E,Heron!$A21)</f>
        <v/>
      </c>
      <c r="BK21" s="101">
        <f>sum(D21:BJ21)</f>
        <v/>
      </c>
    </row>
    <row r="22">
      <c r="A22" s="100" t="inlineStr">
        <is>
          <t>Rental Income - Payprop ABSA</t>
        </is>
      </c>
      <c r="D22" s="101">
        <f>-SUMIFS(Xero!$F:$F,Xero!$B:$B,Heron!D$9,Xero!$A:$A,Heron!$A$4,Xero!$E:$E,Heron!$A22)-SUMIFS(Xero!$F:$F,Xero!$B:$B,Heron!D$9,Xero!$A:$A,Heron!$A$5,Xero!$E:$E,Heron!$A22)</f>
        <v/>
      </c>
      <c r="E22" s="101">
        <f>-SUMIFS(Xero!$F:$F,Xero!$B:$B,Heron!E$9,Xero!$A:$A,Heron!$A$4,Xero!$E:$E,Heron!$A22)-SUMIFS(Xero!$F:$F,Xero!$B:$B,Heron!E$9,Xero!$A:$A,Heron!$A$5,Xero!$E:$E,Heron!$A22)</f>
        <v/>
      </c>
      <c r="F22" s="101">
        <f>-SUMIFS(Xero!$F:$F,Xero!$B:$B,Heron!F$9,Xero!$A:$A,Heron!$A$4,Xero!$E:$E,Heron!$A22)-SUMIFS(Xero!$F:$F,Xero!$B:$B,Heron!F$9,Xero!$A:$A,Heron!$A$5,Xero!$E:$E,Heron!$A22)</f>
        <v/>
      </c>
      <c r="G22" s="101">
        <f>-SUMIFS(Xero!$F:$F,Xero!$B:$B,Heron!G$9,Xero!$A:$A,Heron!$A$4,Xero!$E:$E,Heron!$A22)-SUMIFS(Xero!$F:$F,Xero!$B:$B,Heron!G$9,Xero!$A:$A,Heron!$A$5,Xero!$E:$E,Heron!$A22)</f>
        <v/>
      </c>
      <c r="H22" s="101">
        <f>-SUMIFS(Xero!$F:$F,Xero!$B:$B,Heron!H$9,Xero!$A:$A,Heron!$A$4,Xero!$E:$E,Heron!$A22)-SUMIFS(Xero!$F:$F,Xero!$B:$B,Heron!H$9,Xero!$A:$A,Heron!$A$5,Xero!$E:$E,Heron!$A22)</f>
        <v/>
      </c>
      <c r="I22" s="101">
        <f>-SUMIFS(Xero!$F:$F,Xero!$B:$B,Heron!I$9,Xero!$A:$A,Heron!$A$4,Xero!$E:$E,Heron!$A22)-SUMIFS(Xero!$F:$F,Xero!$B:$B,Heron!I$9,Xero!$A:$A,Heron!$A$5,Xero!$E:$E,Heron!$A22)</f>
        <v/>
      </c>
      <c r="J22" s="101">
        <f>-SUMIFS(Xero!$F:$F,Xero!$B:$B,Heron!J$9,Xero!$A:$A,Heron!$A$4,Xero!$E:$E,Heron!$A22)-SUMIFS(Xero!$F:$F,Xero!$B:$B,Heron!J$9,Xero!$A:$A,Heron!$A$5,Xero!$E:$E,Heron!$A22)</f>
        <v/>
      </c>
      <c r="K22" s="101">
        <f>-SUMIFS(Xero!$F:$F,Xero!$B:$B,Heron!K$9,Xero!$A:$A,Heron!$A$4,Xero!$E:$E,Heron!$A22)-SUMIFS(Xero!$F:$F,Xero!$B:$B,Heron!K$9,Xero!$A:$A,Heron!$A$5,Xero!$E:$E,Heron!$A22)</f>
        <v/>
      </c>
      <c r="L22" s="101">
        <f>-SUMIFS(Xero!$F:$F,Xero!$B:$B,Heron!L$9,Xero!$A:$A,Heron!$A$4,Xero!$E:$E,Heron!$A22)-SUMIFS(Xero!$F:$F,Xero!$B:$B,Heron!L$9,Xero!$A:$A,Heron!$A$5,Xero!$E:$E,Heron!$A22)</f>
        <v/>
      </c>
      <c r="M22" s="101">
        <f>-SUMIFS(Xero!$F:$F,Xero!$B:$B,Heron!M$9,Xero!$A:$A,Heron!$A$4,Xero!$E:$E,Heron!$A22)-SUMIFS(Xero!$F:$F,Xero!$B:$B,Heron!M$9,Xero!$A:$A,Heron!$A$5,Xero!$E:$E,Heron!$A22)</f>
        <v/>
      </c>
      <c r="N22" s="101">
        <f>-SUMIFS(Xero!$F:$F,Xero!$B:$B,Heron!N$9,Xero!$A:$A,Heron!$A$4,Xero!$E:$E,Heron!$A22)-SUMIFS(Xero!$F:$F,Xero!$B:$B,Heron!N$9,Xero!$A:$A,Heron!$A$5,Xero!$E:$E,Heron!$A22)</f>
        <v/>
      </c>
      <c r="O22" s="101">
        <f>-SUMIFS(Xero!$F:$F,Xero!$B:$B,Heron!O$9,Xero!$A:$A,Heron!$A$4,Xero!$E:$E,Heron!$A22)-SUMIFS(Xero!$F:$F,Xero!$B:$B,Heron!O$9,Xero!$A:$A,Heron!$A$5,Xero!$E:$E,Heron!$A22)</f>
        <v/>
      </c>
      <c r="P22" s="101">
        <f>-SUMIFS(Xero!$F:$F,Xero!$B:$B,Heron!P$9,Xero!$A:$A,Heron!$A$4,Xero!$E:$E,Heron!$A22)-SUMIFS(Xero!$F:$F,Xero!$B:$B,Heron!P$9,Xero!$A:$A,Heron!$A$5,Xero!$E:$E,Heron!$A22)</f>
        <v/>
      </c>
      <c r="Q22" s="101">
        <f>-SUMIFS(Xero!$F:$F,Xero!$B:$B,Heron!Q$9,Xero!$A:$A,Heron!$A$4,Xero!$E:$E,Heron!$A22)-SUMIFS(Xero!$F:$F,Xero!$B:$B,Heron!Q$9,Xero!$A:$A,Heron!$A$5,Xero!$E:$E,Heron!$A22)</f>
        <v/>
      </c>
      <c r="R22" s="101">
        <f>-SUMIFS(Xero!$F:$F,Xero!$B:$B,Heron!R$9,Xero!$A:$A,Heron!$A$4,Xero!$E:$E,Heron!$A22)-SUMIFS(Xero!$F:$F,Xero!$B:$B,Heron!R$9,Xero!$A:$A,Heron!$A$5,Xero!$E:$E,Heron!$A22)</f>
        <v/>
      </c>
      <c r="S22" s="101">
        <f>-SUMIFS(Xero!$F:$F,Xero!$B:$B,Heron!S$9,Xero!$A:$A,Heron!$A$4,Xero!$E:$E,Heron!$A22)-SUMIFS(Xero!$F:$F,Xero!$B:$B,Heron!S$9,Xero!$A:$A,Heron!$A$5,Xero!$E:$E,Heron!$A22)</f>
        <v/>
      </c>
      <c r="T22" s="101">
        <f>-SUMIFS(Xero!$F:$F,Xero!$B:$B,Heron!T$9,Xero!$A:$A,Heron!$A$4,Xero!$E:$E,Heron!$A22)-SUMIFS(Xero!$F:$F,Xero!$B:$B,Heron!T$9,Xero!$A:$A,Heron!$A$5,Xero!$E:$E,Heron!$A22)</f>
        <v/>
      </c>
      <c r="U22" s="101">
        <f>-SUMIFS(Xero!$F:$F,Xero!$B:$B,Heron!U$9,Xero!$A:$A,Heron!$A$4,Xero!$E:$E,Heron!$A22)-SUMIFS(Xero!$F:$F,Xero!$B:$B,Heron!U$9,Xero!$A:$A,Heron!$A$5,Xero!$E:$E,Heron!$A22)</f>
        <v/>
      </c>
      <c r="V22" s="101">
        <f>-SUMIFS(Xero!$F:$F,Xero!$B:$B,Heron!V$9,Xero!$A:$A,Heron!$A$4,Xero!$E:$E,Heron!$A22)-SUMIFS(Xero!$F:$F,Xero!$B:$B,Heron!V$9,Xero!$A:$A,Heron!$A$5,Xero!$E:$E,Heron!$A22)</f>
        <v/>
      </c>
      <c r="W22" s="101">
        <f>-SUMIFS(Xero!$F:$F,Xero!$B:$B,Heron!W$9,Xero!$A:$A,Heron!$A$4,Xero!$E:$E,Heron!$A22)-SUMIFS(Xero!$F:$F,Xero!$B:$B,Heron!W$9,Xero!$A:$A,Heron!$A$5,Xero!$E:$E,Heron!$A22)</f>
        <v/>
      </c>
      <c r="X22" s="101">
        <f>-SUMIFS(Xero!$F:$F,Xero!$B:$B,Heron!X$9,Xero!$A:$A,Heron!$A$4,Xero!$E:$E,Heron!$A22)-SUMIFS(Xero!$F:$F,Xero!$B:$B,Heron!X$9,Xero!$A:$A,Heron!$A$5,Xero!$E:$E,Heron!$A22)</f>
        <v/>
      </c>
      <c r="Y22" s="101">
        <f>-SUMIFS(Xero!$F:$F,Xero!$B:$B,Heron!Y$9,Xero!$A:$A,Heron!$A$4,Xero!$E:$E,Heron!$A22)-SUMIFS(Xero!$F:$F,Xero!$B:$B,Heron!Y$9,Xero!$A:$A,Heron!$A$5,Xero!$E:$E,Heron!$A22)</f>
        <v/>
      </c>
      <c r="Z22" s="101">
        <f>-SUMIFS(Xero!$F:$F,Xero!$B:$B,Heron!Z$9,Xero!$A:$A,Heron!$A$4,Xero!$E:$E,Heron!$A22)-SUMIFS(Xero!$F:$F,Xero!$B:$B,Heron!Z$9,Xero!$A:$A,Heron!$A$5,Xero!$E:$E,Heron!$A22)</f>
        <v/>
      </c>
      <c r="AA22" s="101">
        <f>-SUMIFS(Xero!$F:$F,Xero!$B:$B,Heron!AA$9,Xero!$A:$A,Heron!$A$4,Xero!$E:$E,Heron!$A22)-SUMIFS(Xero!$F:$F,Xero!$B:$B,Heron!AA$9,Xero!$A:$A,Heron!$A$5,Xero!$E:$E,Heron!$A22)</f>
        <v/>
      </c>
      <c r="AB22" s="101">
        <f>-SUMIFS(Xero!$F:$F,Xero!$B:$B,Heron!AB$9,Xero!$A:$A,Heron!$A$4,Xero!$E:$E,Heron!$A22)-SUMIFS(Xero!$F:$F,Xero!$B:$B,Heron!AB$9,Xero!$A:$A,Heron!$A$5,Xero!$E:$E,Heron!$A22)</f>
        <v/>
      </c>
      <c r="AC22" s="101">
        <f>-SUMIFS(Xero!$F:$F,Xero!$B:$B,Heron!AC$9,Xero!$A:$A,Heron!$A$4,Xero!$E:$E,Heron!$A22)-SUMIFS(Xero!$F:$F,Xero!$B:$B,Heron!AC$9,Xero!$A:$A,Heron!$A$5,Xero!$E:$E,Heron!$A22)</f>
        <v/>
      </c>
      <c r="AD22" s="101">
        <f>-SUMIFS(Xero!$F:$F,Xero!$B:$B,Heron!AD$9,Xero!$A:$A,Heron!$A$4,Xero!$E:$E,Heron!$A22)-SUMIFS(Xero!$F:$F,Xero!$B:$B,Heron!AD$9,Xero!$A:$A,Heron!$A$5,Xero!$E:$E,Heron!$A22)</f>
        <v/>
      </c>
      <c r="AE22" s="101">
        <f>-SUMIFS(Xero!$F:$F,Xero!$B:$B,Heron!AE$9,Xero!$A:$A,Heron!$A$4,Xero!$E:$E,Heron!$A22)-SUMIFS(Xero!$F:$F,Xero!$B:$B,Heron!AE$9,Xero!$A:$A,Heron!$A$5,Xero!$E:$E,Heron!$A22)</f>
        <v/>
      </c>
      <c r="AF22" s="101">
        <f>-SUMIFS(Xero!$F:$F,Xero!$B:$B,Heron!AF$9,Xero!$A:$A,Heron!$A$4,Xero!$E:$E,Heron!$A22)-SUMIFS(Xero!$F:$F,Xero!$B:$B,Heron!AF$9,Xero!$A:$A,Heron!$A$5,Xero!$E:$E,Heron!$A22)</f>
        <v/>
      </c>
      <c r="AG22" s="101">
        <f>-SUMIFS(Xero!$F:$F,Xero!$B:$B,Heron!AG$9,Xero!$A:$A,Heron!$A$4,Xero!$E:$E,Heron!$A22)-SUMIFS(Xero!$F:$F,Xero!$B:$B,Heron!AG$9,Xero!$A:$A,Heron!$A$5,Xero!$E:$E,Heron!$A22)</f>
        <v/>
      </c>
      <c r="AH22" s="101">
        <f>-SUMIFS(Xero!$F:$F,Xero!$B:$B,Heron!AH$9,Xero!$A:$A,Heron!$A$4,Xero!$E:$E,Heron!$A22)-SUMIFS(Xero!$F:$F,Xero!$B:$B,Heron!AH$9,Xero!$A:$A,Heron!$A$5,Xero!$E:$E,Heron!$A22)</f>
        <v/>
      </c>
      <c r="AI22" s="101">
        <f>-SUMIFS(Xero!$F:$F,Xero!$B:$B,Heron!AI$9,Xero!$A:$A,Heron!$A$4,Xero!$E:$E,Heron!$A22)-SUMIFS(Xero!$F:$F,Xero!$B:$B,Heron!AI$9,Xero!$A:$A,Heron!$A$5,Xero!$E:$E,Heron!$A22)</f>
        <v/>
      </c>
      <c r="AJ22" s="101">
        <f>-SUMIFS(Xero!$F:$F,Xero!$B:$B,Heron!AJ$9,Xero!$A:$A,Heron!$A$4,Xero!$E:$E,Heron!$A22)-SUMIFS(Xero!$F:$F,Xero!$B:$B,Heron!AJ$9,Xero!$A:$A,Heron!$A$5,Xero!$E:$E,Heron!$A22)</f>
        <v/>
      </c>
      <c r="AK22" s="101">
        <f>-SUMIFS(Xero!$F:$F,Xero!$B:$B,Heron!AK$9,Xero!$A:$A,Heron!$A$4,Xero!$E:$E,Heron!$A22)-SUMIFS(Xero!$F:$F,Xero!$B:$B,Heron!AK$9,Xero!$A:$A,Heron!$A$5,Xero!$E:$E,Heron!$A22)</f>
        <v/>
      </c>
      <c r="AL22" s="101">
        <f>-SUMIFS(Xero!$F:$F,Xero!$B:$B,Heron!AL$9,Xero!$A:$A,Heron!$A$4,Xero!$E:$E,Heron!$A22)-SUMIFS(Xero!$F:$F,Xero!$B:$B,Heron!AL$9,Xero!$A:$A,Heron!$A$5,Xero!$E:$E,Heron!$A22)</f>
        <v/>
      </c>
      <c r="AM22" s="101">
        <f>-SUMIFS(Xero!$F:$F,Xero!$B:$B,Heron!AM$9,Xero!$A:$A,Heron!$A$4,Xero!$E:$E,Heron!$A22)-SUMIFS(Xero!$F:$F,Xero!$B:$B,Heron!AM$9,Xero!$A:$A,Heron!$A$5,Xero!$E:$E,Heron!$A22)</f>
        <v/>
      </c>
      <c r="AN22" s="101">
        <f>-SUMIFS(Xero!$F:$F,Xero!$B:$B,Heron!AN$9,Xero!$A:$A,Heron!$A$4,Xero!$E:$E,Heron!$A22)-SUMIFS(Xero!$F:$F,Xero!$B:$B,Heron!AN$9,Xero!$A:$A,Heron!$A$5,Xero!$E:$E,Heron!$A22)</f>
        <v/>
      </c>
      <c r="AO22" s="101">
        <f>-SUMIFS(Xero!$F:$F,Xero!$B:$B,Heron!AO$9,Xero!$A:$A,Heron!$A$4,Xero!$E:$E,Heron!$A22)-SUMIFS(Xero!$F:$F,Xero!$B:$B,Heron!AO$9,Xero!$A:$A,Heron!$A$5,Xero!$E:$E,Heron!$A22)</f>
        <v/>
      </c>
      <c r="AP22" s="101">
        <f>-SUMIFS(Xero!$F:$F,Xero!$B:$B,Heron!AP$9,Xero!$A:$A,Heron!$A$4,Xero!$E:$E,Heron!$A22)-SUMIFS(Xero!$F:$F,Xero!$B:$B,Heron!AP$9,Xero!$A:$A,Heron!$A$5,Xero!$E:$E,Heron!$A22)</f>
        <v/>
      </c>
      <c r="AQ22" s="101">
        <f>-SUMIFS(Xero!$F:$F,Xero!$B:$B,Heron!AQ$9,Xero!$A:$A,Heron!$A$4,Xero!$E:$E,Heron!$A22)-SUMIFS(Xero!$F:$F,Xero!$B:$B,Heron!AQ$9,Xero!$A:$A,Heron!$A$5,Xero!$E:$E,Heron!$A22)</f>
        <v/>
      </c>
      <c r="AR22" s="101">
        <f>-SUMIFS(Xero!$F:$F,Xero!$B:$B,Heron!AR$9,Xero!$A:$A,Heron!$A$4,Xero!$E:$E,Heron!$A22)-SUMIFS(Xero!$F:$F,Xero!$B:$B,Heron!AR$9,Xero!$A:$A,Heron!$A$5,Xero!$E:$E,Heron!$A22)</f>
        <v/>
      </c>
      <c r="AS22" s="101">
        <f>-SUMIFS(Xero!$F:$F,Xero!$B:$B,Heron!AS$9,Xero!$A:$A,Heron!$A$4,Xero!$E:$E,Heron!$A22)-SUMIFS(Xero!$F:$F,Xero!$B:$B,Heron!AS$9,Xero!$A:$A,Heron!$A$5,Xero!$E:$E,Heron!$A22)</f>
        <v/>
      </c>
      <c r="AT22" s="101">
        <f>-SUMIFS(Xero!$F:$F,Xero!$B:$B,Heron!AT$9,Xero!$A:$A,Heron!$A$4,Xero!$E:$E,Heron!$A22)-SUMIFS(Xero!$F:$F,Xero!$B:$B,Heron!AT$9,Xero!$A:$A,Heron!$A$5,Xero!$E:$E,Heron!$A22)</f>
        <v/>
      </c>
      <c r="AU22" s="101">
        <f>-SUMIFS(Xero!$F:$F,Xero!$B:$B,Heron!AU$9,Xero!$A:$A,Heron!$A$4,Xero!$E:$E,Heron!$A22)-SUMIFS(Xero!$F:$F,Xero!$B:$B,Heron!AU$9,Xero!$A:$A,Heron!$A$5,Xero!$E:$E,Heron!$A22)</f>
        <v/>
      </c>
      <c r="AV22" s="101">
        <f>-SUMIFS(Xero!$F:$F,Xero!$B:$B,Heron!AV$9,Xero!$A:$A,Heron!$A$4,Xero!$E:$E,Heron!$A22)-SUMIFS(Xero!$F:$F,Xero!$B:$B,Heron!AV$9,Xero!$A:$A,Heron!$A$5,Xero!$E:$E,Heron!$A22)</f>
        <v/>
      </c>
      <c r="AW22" s="101">
        <f>-SUMIFS(Xero!$F:$F,Xero!$B:$B,Heron!AW$9,Xero!$A:$A,Heron!$A$4,Xero!$E:$E,Heron!$A22)-SUMIFS(Xero!$F:$F,Xero!$B:$B,Heron!AW$9,Xero!$A:$A,Heron!$A$5,Xero!$E:$E,Heron!$A22)</f>
        <v/>
      </c>
      <c r="AX22" s="101">
        <f>-SUMIFS(Xero!$F:$F,Xero!$B:$B,Heron!AX$9,Xero!$A:$A,Heron!$A$4,Xero!$E:$E,Heron!$A22)-SUMIFS(Xero!$F:$F,Xero!$B:$B,Heron!AX$9,Xero!$A:$A,Heron!$A$5,Xero!$E:$E,Heron!$A22)</f>
        <v/>
      </c>
      <c r="AY22" s="101">
        <f>-SUMIFS(Xero!$F:$F,Xero!$B:$B,Heron!AY$9,Xero!$A:$A,Heron!$A$4,Xero!$E:$E,Heron!$A22)-SUMIFS(Xero!$F:$F,Xero!$B:$B,Heron!AY$9,Xero!$A:$A,Heron!$A$5,Xero!$E:$E,Heron!$A22)</f>
        <v/>
      </c>
      <c r="AZ22" s="101">
        <f>-SUMIFS(Xero!$F:$F,Xero!$B:$B,Heron!AZ$9,Xero!$A:$A,Heron!$A$4,Xero!$E:$E,Heron!$A22)-SUMIFS(Xero!$F:$F,Xero!$B:$B,Heron!AZ$9,Xero!$A:$A,Heron!$A$5,Xero!$E:$E,Heron!$A22)</f>
        <v/>
      </c>
      <c r="BA22" s="101">
        <f>-SUMIFS(Xero!$F:$F,Xero!$B:$B,Heron!BA$9,Xero!$A:$A,Heron!$A$4,Xero!$E:$E,Heron!$A22)-SUMIFS(Xero!$F:$F,Xero!$B:$B,Heron!BA$9,Xero!$A:$A,Heron!$A$5,Xero!$E:$E,Heron!$A22)</f>
        <v/>
      </c>
      <c r="BB22" s="101">
        <f>-SUMIFS(Xero!$F:$F,Xero!$B:$B,Heron!BB$9,Xero!$A:$A,Heron!$A$4,Xero!$E:$E,Heron!$A22)-SUMIFS(Xero!$F:$F,Xero!$B:$B,Heron!BB$9,Xero!$A:$A,Heron!$A$5,Xero!$E:$E,Heron!$A22)</f>
        <v/>
      </c>
      <c r="BC22" s="101">
        <f>-SUMIFS(Xero!$F:$F,Xero!$B:$B,Heron!BC$9,Xero!$A:$A,Heron!$A$4,Xero!$E:$E,Heron!$A22)-SUMIFS(Xero!$F:$F,Xero!$B:$B,Heron!BC$9,Xero!$A:$A,Heron!$A$5,Xero!$E:$E,Heron!$A22)</f>
        <v/>
      </c>
      <c r="BD22" s="101">
        <f>-SUMIFS(Xero!$F:$F,Xero!$B:$B,Heron!BD$9,Xero!$A:$A,Heron!$A$4,Xero!$E:$E,Heron!$A22)-SUMIFS(Xero!$F:$F,Xero!$B:$B,Heron!BD$9,Xero!$A:$A,Heron!$A$5,Xero!$E:$E,Heron!$A22)</f>
        <v/>
      </c>
      <c r="BE22" s="101">
        <f>-SUMIFS(Xero!$F:$F,Xero!$B:$B,Heron!BE$9,Xero!$A:$A,Heron!$A$4,Xero!$E:$E,Heron!$A22)-SUMIFS(Xero!$F:$F,Xero!$B:$B,Heron!BE$9,Xero!$A:$A,Heron!$A$5,Xero!$E:$E,Heron!$A22)</f>
        <v/>
      </c>
      <c r="BF22" s="101">
        <f>-SUMIFS(Xero!$F:$F,Xero!$B:$B,Heron!BF$9,Xero!$A:$A,Heron!$A$4,Xero!$E:$E,Heron!$A22)-SUMIFS(Xero!$F:$F,Xero!$B:$B,Heron!BF$9,Xero!$A:$A,Heron!$A$5,Xero!$E:$E,Heron!$A22)</f>
        <v/>
      </c>
      <c r="BG22" s="101">
        <f>-SUMIFS(Xero!$F:$F,Xero!$B:$B,Heron!BG$9,Xero!$A:$A,Heron!$A$4,Xero!$E:$E,Heron!$A22)-SUMIFS(Xero!$F:$F,Xero!$B:$B,Heron!BG$9,Xero!$A:$A,Heron!$A$5,Xero!$E:$E,Heron!$A22)</f>
        <v/>
      </c>
      <c r="BH22" s="101">
        <f>-SUMIFS(Xero!$F:$F,Xero!$B:$B,Heron!BH$9,Xero!$A:$A,Heron!$A$4,Xero!$E:$E,Heron!$A22)-SUMIFS(Xero!$F:$F,Xero!$B:$B,Heron!BH$9,Xero!$A:$A,Heron!$A$5,Xero!$E:$E,Heron!$A22)</f>
        <v/>
      </c>
      <c r="BI22" s="101">
        <f>-SUMIFS(Xero!$F:$F,Xero!$B:$B,Heron!BI$9,Xero!$A:$A,Heron!$A$4,Xero!$E:$E,Heron!$A22)-SUMIFS(Xero!$F:$F,Xero!$B:$B,Heron!BI$9,Xero!$A:$A,Heron!$A$5,Xero!$E:$E,Heron!$A22)</f>
        <v/>
      </c>
      <c r="BJ22" s="101">
        <f>-SUMIFS(Xero!$F:$F,Xero!$B:$B,Heron!BJ$9,Xero!$A:$A,Heron!$A$4,Xero!$E:$E,Heron!$A22)-SUMIFS(Xero!$F:$F,Xero!$B:$B,Heron!BJ$9,Xero!$A:$A,Heron!$A$5,Xero!$E:$E,Heron!$A22)</f>
        <v/>
      </c>
      <c r="BK22" s="101">
        <f>sum(D22:BJ22)</f>
        <v/>
      </c>
    </row>
    <row r="23">
      <c r="A23" s="100" t="inlineStr">
        <is>
          <t>Revaluation of Land</t>
        </is>
      </c>
      <c r="D23" s="101">
        <f>-SUMIFS(Xero!$F:$F,Xero!$B:$B,Heron!D$9,Xero!$A:$A,Heron!$A$4,Xero!$E:$E,Heron!$A23)-SUMIFS(Xero!$F:$F,Xero!$B:$B,Heron!D$9,Xero!$A:$A,Heron!$A$5,Xero!$E:$E,Heron!$A23)</f>
        <v/>
      </c>
      <c r="E23" s="101">
        <f>-SUMIFS(Xero!$F:$F,Xero!$B:$B,Heron!E$9,Xero!$A:$A,Heron!$A$4,Xero!$E:$E,Heron!$A23)-SUMIFS(Xero!$F:$F,Xero!$B:$B,Heron!E$9,Xero!$A:$A,Heron!$A$5,Xero!$E:$E,Heron!$A23)</f>
        <v/>
      </c>
      <c r="F23" s="101">
        <f>-SUMIFS(Xero!$F:$F,Xero!$B:$B,Heron!F$9,Xero!$A:$A,Heron!$A$4,Xero!$E:$E,Heron!$A23)-SUMIFS(Xero!$F:$F,Xero!$B:$B,Heron!F$9,Xero!$A:$A,Heron!$A$5,Xero!$E:$E,Heron!$A23)</f>
        <v/>
      </c>
      <c r="G23" s="101">
        <f>-SUMIFS(Xero!$F:$F,Xero!$B:$B,Heron!G$9,Xero!$A:$A,Heron!$A$4,Xero!$E:$E,Heron!$A23)-SUMIFS(Xero!$F:$F,Xero!$B:$B,Heron!G$9,Xero!$A:$A,Heron!$A$5,Xero!$E:$E,Heron!$A23)</f>
        <v/>
      </c>
      <c r="H23" s="101">
        <f>-SUMIFS(Xero!$F:$F,Xero!$B:$B,Heron!H$9,Xero!$A:$A,Heron!$A$4,Xero!$E:$E,Heron!$A23)-SUMIFS(Xero!$F:$F,Xero!$B:$B,Heron!H$9,Xero!$A:$A,Heron!$A$5,Xero!$E:$E,Heron!$A23)</f>
        <v/>
      </c>
      <c r="I23" s="101">
        <f>-SUMIFS(Xero!$F:$F,Xero!$B:$B,Heron!I$9,Xero!$A:$A,Heron!$A$4,Xero!$E:$E,Heron!$A23)-SUMIFS(Xero!$F:$F,Xero!$B:$B,Heron!I$9,Xero!$A:$A,Heron!$A$5,Xero!$E:$E,Heron!$A23)</f>
        <v/>
      </c>
      <c r="J23" s="101">
        <f>-SUMIFS(Xero!$F:$F,Xero!$B:$B,Heron!J$9,Xero!$A:$A,Heron!$A$4,Xero!$E:$E,Heron!$A23)-SUMIFS(Xero!$F:$F,Xero!$B:$B,Heron!J$9,Xero!$A:$A,Heron!$A$5,Xero!$E:$E,Heron!$A23)</f>
        <v/>
      </c>
      <c r="K23" s="101">
        <f>-SUMIFS(Xero!$F:$F,Xero!$B:$B,Heron!K$9,Xero!$A:$A,Heron!$A$4,Xero!$E:$E,Heron!$A23)-SUMIFS(Xero!$F:$F,Xero!$B:$B,Heron!K$9,Xero!$A:$A,Heron!$A$5,Xero!$E:$E,Heron!$A23)</f>
        <v/>
      </c>
      <c r="L23" s="101">
        <f>-SUMIFS(Xero!$F:$F,Xero!$B:$B,Heron!L$9,Xero!$A:$A,Heron!$A$4,Xero!$E:$E,Heron!$A23)-SUMIFS(Xero!$F:$F,Xero!$B:$B,Heron!L$9,Xero!$A:$A,Heron!$A$5,Xero!$E:$E,Heron!$A23)</f>
        <v/>
      </c>
      <c r="M23" s="101">
        <f>-SUMIFS(Xero!$F:$F,Xero!$B:$B,Heron!M$9,Xero!$A:$A,Heron!$A$4,Xero!$E:$E,Heron!$A23)-SUMIFS(Xero!$F:$F,Xero!$B:$B,Heron!M$9,Xero!$A:$A,Heron!$A$5,Xero!$E:$E,Heron!$A23)</f>
        <v/>
      </c>
      <c r="N23" s="101">
        <f>-SUMIFS(Xero!$F:$F,Xero!$B:$B,Heron!N$9,Xero!$A:$A,Heron!$A$4,Xero!$E:$E,Heron!$A23)-SUMIFS(Xero!$F:$F,Xero!$B:$B,Heron!N$9,Xero!$A:$A,Heron!$A$5,Xero!$E:$E,Heron!$A23)</f>
        <v/>
      </c>
      <c r="O23" s="101">
        <f>-SUMIFS(Xero!$F:$F,Xero!$B:$B,Heron!O$9,Xero!$A:$A,Heron!$A$4,Xero!$E:$E,Heron!$A23)-SUMIFS(Xero!$F:$F,Xero!$B:$B,Heron!O$9,Xero!$A:$A,Heron!$A$5,Xero!$E:$E,Heron!$A23)</f>
        <v/>
      </c>
      <c r="P23" s="101">
        <f>-SUMIFS(Xero!$F:$F,Xero!$B:$B,Heron!P$9,Xero!$A:$A,Heron!$A$4,Xero!$E:$E,Heron!$A23)-SUMIFS(Xero!$F:$F,Xero!$B:$B,Heron!P$9,Xero!$A:$A,Heron!$A$5,Xero!$E:$E,Heron!$A23)</f>
        <v/>
      </c>
      <c r="Q23" s="101">
        <f>-SUMIFS(Xero!$F:$F,Xero!$B:$B,Heron!Q$9,Xero!$A:$A,Heron!$A$4,Xero!$E:$E,Heron!$A23)-SUMIFS(Xero!$F:$F,Xero!$B:$B,Heron!Q$9,Xero!$A:$A,Heron!$A$5,Xero!$E:$E,Heron!$A23)</f>
        <v/>
      </c>
      <c r="R23" s="101">
        <f>-SUMIFS(Xero!$F:$F,Xero!$B:$B,Heron!R$9,Xero!$A:$A,Heron!$A$4,Xero!$E:$E,Heron!$A23)-SUMIFS(Xero!$F:$F,Xero!$B:$B,Heron!R$9,Xero!$A:$A,Heron!$A$5,Xero!$E:$E,Heron!$A23)</f>
        <v/>
      </c>
      <c r="S23" s="101">
        <f>-SUMIFS(Xero!$F:$F,Xero!$B:$B,Heron!S$9,Xero!$A:$A,Heron!$A$4,Xero!$E:$E,Heron!$A23)-SUMIFS(Xero!$F:$F,Xero!$B:$B,Heron!S$9,Xero!$A:$A,Heron!$A$5,Xero!$E:$E,Heron!$A23)</f>
        <v/>
      </c>
      <c r="T23" s="101">
        <f>-SUMIFS(Xero!$F:$F,Xero!$B:$B,Heron!T$9,Xero!$A:$A,Heron!$A$4,Xero!$E:$E,Heron!$A23)-SUMIFS(Xero!$F:$F,Xero!$B:$B,Heron!T$9,Xero!$A:$A,Heron!$A$5,Xero!$E:$E,Heron!$A23)</f>
        <v/>
      </c>
      <c r="U23" s="101">
        <f>-SUMIFS(Xero!$F:$F,Xero!$B:$B,Heron!U$9,Xero!$A:$A,Heron!$A$4,Xero!$E:$E,Heron!$A23)-SUMIFS(Xero!$F:$F,Xero!$B:$B,Heron!U$9,Xero!$A:$A,Heron!$A$5,Xero!$E:$E,Heron!$A23)</f>
        <v/>
      </c>
      <c r="V23" s="101">
        <f>-SUMIFS(Xero!$F:$F,Xero!$B:$B,Heron!V$9,Xero!$A:$A,Heron!$A$4,Xero!$E:$E,Heron!$A23)-SUMIFS(Xero!$F:$F,Xero!$B:$B,Heron!V$9,Xero!$A:$A,Heron!$A$5,Xero!$E:$E,Heron!$A23)</f>
        <v/>
      </c>
      <c r="W23" s="101">
        <f>-SUMIFS(Xero!$F:$F,Xero!$B:$B,Heron!W$9,Xero!$A:$A,Heron!$A$4,Xero!$E:$E,Heron!$A23)-SUMIFS(Xero!$F:$F,Xero!$B:$B,Heron!W$9,Xero!$A:$A,Heron!$A$5,Xero!$E:$E,Heron!$A23)</f>
        <v/>
      </c>
      <c r="X23" s="101">
        <f>-SUMIFS(Xero!$F:$F,Xero!$B:$B,Heron!X$9,Xero!$A:$A,Heron!$A$4,Xero!$E:$E,Heron!$A23)-SUMIFS(Xero!$F:$F,Xero!$B:$B,Heron!X$9,Xero!$A:$A,Heron!$A$5,Xero!$E:$E,Heron!$A23)</f>
        <v/>
      </c>
      <c r="Y23" s="101">
        <f>-SUMIFS(Xero!$F:$F,Xero!$B:$B,Heron!Y$9,Xero!$A:$A,Heron!$A$4,Xero!$E:$E,Heron!$A23)-SUMIFS(Xero!$F:$F,Xero!$B:$B,Heron!Y$9,Xero!$A:$A,Heron!$A$5,Xero!$E:$E,Heron!$A23)</f>
        <v/>
      </c>
      <c r="Z23" s="101">
        <f>-SUMIFS(Xero!$F:$F,Xero!$B:$B,Heron!Z$9,Xero!$A:$A,Heron!$A$4,Xero!$E:$E,Heron!$A23)-SUMIFS(Xero!$F:$F,Xero!$B:$B,Heron!Z$9,Xero!$A:$A,Heron!$A$5,Xero!$E:$E,Heron!$A23)</f>
        <v/>
      </c>
      <c r="AA23" s="101">
        <f>-SUMIFS(Xero!$F:$F,Xero!$B:$B,Heron!AA$9,Xero!$A:$A,Heron!$A$4,Xero!$E:$E,Heron!$A23)-SUMIFS(Xero!$F:$F,Xero!$B:$B,Heron!AA$9,Xero!$A:$A,Heron!$A$5,Xero!$E:$E,Heron!$A23)</f>
        <v/>
      </c>
      <c r="AB23" s="101">
        <f>-SUMIFS(Xero!$F:$F,Xero!$B:$B,Heron!AB$9,Xero!$A:$A,Heron!$A$4,Xero!$E:$E,Heron!$A23)-SUMIFS(Xero!$F:$F,Xero!$B:$B,Heron!AB$9,Xero!$A:$A,Heron!$A$5,Xero!$E:$E,Heron!$A23)</f>
        <v/>
      </c>
      <c r="AC23" s="101">
        <f>-SUMIFS(Xero!$F:$F,Xero!$B:$B,Heron!AC$9,Xero!$A:$A,Heron!$A$4,Xero!$E:$E,Heron!$A23)-SUMIFS(Xero!$F:$F,Xero!$B:$B,Heron!AC$9,Xero!$A:$A,Heron!$A$5,Xero!$E:$E,Heron!$A23)</f>
        <v/>
      </c>
      <c r="AD23" s="101">
        <f>-SUMIFS(Xero!$F:$F,Xero!$B:$B,Heron!AD$9,Xero!$A:$A,Heron!$A$4,Xero!$E:$E,Heron!$A23)-SUMIFS(Xero!$F:$F,Xero!$B:$B,Heron!AD$9,Xero!$A:$A,Heron!$A$5,Xero!$E:$E,Heron!$A23)</f>
        <v/>
      </c>
      <c r="AE23" s="101">
        <f>-SUMIFS(Xero!$F:$F,Xero!$B:$B,Heron!AE$9,Xero!$A:$A,Heron!$A$4,Xero!$E:$E,Heron!$A23)-SUMIFS(Xero!$F:$F,Xero!$B:$B,Heron!AE$9,Xero!$A:$A,Heron!$A$5,Xero!$E:$E,Heron!$A23)</f>
        <v/>
      </c>
      <c r="AF23" s="101">
        <f>-SUMIFS(Xero!$F:$F,Xero!$B:$B,Heron!AF$9,Xero!$A:$A,Heron!$A$4,Xero!$E:$E,Heron!$A23)-SUMIFS(Xero!$F:$F,Xero!$B:$B,Heron!AF$9,Xero!$A:$A,Heron!$A$5,Xero!$E:$E,Heron!$A23)</f>
        <v/>
      </c>
      <c r="AG23" s="101">
        <f>-SUMIFS(Xero!$F:$F,Xero!$B:$B,Heron!AG$9,Xero!$A:$A,Heron!$A$4,Xero!$E:$E,Heron!$A23)-SUMIFS(Xero!$F:$F,Xero!$B:$B,Heron!AG$9,Xero!$A:$A,Heron!$A$5,Xero!$E:$E,Heron!$A23)</f>
        <v/>
      </c>
      <c r="AH23" s="101">
        <f>-SUMIFS(Xero!$F:$F,Xero!$B:$B,Heron!AH$9,Xero!$A:$A,Heron!$A$4,Xero!$E:$E,Heron!$A23)-SUMIFS(Xero!$F:$F,Xero!$B:$B,Heron!AH$9,Xero!$A:$A,Heron!$A$5,Xero!$E:$E,Heron!$A23)</f>
        <v/>
      </c>
      <c r="AI23" s="101">
        <f>-SUMIFS(Xero!$F:$F,Xero!$B:$B,Heron!AI$9,Xero!$A:$A,Heron!$A$4,Xero!$E:$E,Heron!$A23)-SUMIFS(Xero!$F:$F,Xero!$B:$B,Heron!AI$9,Xero!$A:$A,Heron!$A$5,Xero!$E:$E,Heron!$A23)</f>
        <v/>
      </c>
      <c r="AJ23" s="101">
        <f>-SUMIFS(Xero!$F:$F,Xero!$B:$B,Heron!AJ$9,Xero!$A:$A,Heron!$A$4,Xero!$E:$E,Heron!$A23)-SUMIFS(Xero!$F:$F,Xero!$B:$B,Heron!AJ$9,Xero!$A:$A,Heron!$A$5,Xero!$E:$E,Heron!$A23)</f>
        <v/>
      </c>
      <c r="AK23" s="101">
        <f>-SUMIFS(Xero!$F:$F,Xero!$B:$B,Heron!AK$9,Xero!$A:$A,Heron!$A$4,Xero!$E:$E,Heron!$A23)-SUMIFS(Xero!$F:$F,Xero!$B:$B,Heron!AK$9,Xero!$A:$A,Heron!$A$5,Xero!$E:$E,Heron!$A23)</f>
        <v/>
      </c>
      <c r="AL23" s="101">
        <f>-SUMIFS(Xero!$F:$F,Xero!$B:$B,Heron!AL$9,Xero!$A:$A,Heron!$A$4,Xero!$E:$E,Heron!$A23)-SUMIFS(Xero!$F:$F,Xero!$B:$B,Heron!AL$9,Xero!$A:$A,Heron!$A$5,Xero!$E:$E,Heron!$A23)</f>
        <v/>
      </c>
      <c r="AM23" s="101">
        <f>-SUMIFS(Xero!$F:$F,Xero!$B:$B,Heron!AM$9,Xero!$A:$A,Heron!$A$4,Xero!$E:$E,Heron!$A23)-SUMIFS(Xero!$F:$F,Xero!$B:$B,Heron!AM$9,Xero!$A:$A,Heron!$A$5,Xero!$E:$E,Heron!$A23)</f>
        <v/>
      </c>
      <c r="AN23" s="101">
        <f>-SUMIFS(Xero!$F:$F,Xero!$B:$B,Heron!AN$9,Xero!$A:$A,Heron!$A$4,Xero!$E:$E,Heron!$A23)-SUMIFS(Xero!$F:$F,Xero!$B:$B,Heron!AN$9,Xero!$A:$A,Heron!$A$5,Xero!$E:$E,Heron!$A23)</f>
        <v/>
      </c>
      <c r="AO23" s="101">
        <f>-SUMIFS(Xero!$F:$F,Xero!$B:$B,Heron!AO$9,Xero!$A:$A,Heron!$A$4,Xero!$E:$E,Heron!$A23)-SUMIFS(Xero!$F:$F,Xero!$B:$B,Heron!AO$9,Xero!$A:$A,Heron!$A$5,Xero!$E:$E,Heron!$A23)</f>
        <v/>
      </c>
      <c r="AP23" s="101">
        <f>-SUMIFS(Xero!$F:$F,Xero!$B:$B,Heron!AP$9,Xero!$A:$A,Heron!$A$4,Xero!$E:$E,Heron!$A23)-SUMIFS(Xero!$F:$F,Xero!$B:$B,Heron!AP$9,Xero!$A:$A,Heron!$A$5,Xero!$E:$E,Heron!$A23)</f>
        <v/>
      </c>
      <c r="AQ23" s="101">
        <f>-SUMIFS(Xero!$F:$F,Xero!$B:$B,Heron!AQ$9,Xero!$A:$A,Heron!$A$4,Xero!$E:$E,Heron!$A23)-SUMIFS(Xero!$F:$F,Xero!$B:$B,Heron!AQ$9,Xero!$A:$A,Heron!$A$5,Xero!$E:$E,Heron!$A23)</f>
        <v/>
      </c>
      <c r="AR23" s="101">
        <f>-SUMIFS(Xero!$F:$F,Xero!$B:$B,Heron!AR$9,Xero!$A:$A,Heron!$A$4,Xero!$E:$E,Heron!$A23)-SUMIFS(Xero!$F:$F,Xero!$B:$B,Heron!AR$9,Xero!$A:$A,Heron!$A$5,Xero!$E:$E,Heron!$A23)</f>
        <v/>
      </c>
      <c r="AS23" s="101">
        <f>-SUMIFS(Xero!$F:$F,Xero!$B:$B,Heron!AS$9,Xero!$A:$A,Heron!$A$4,Xero!$E:$E,Heron!$A23)-SUMIFS(Xero!$F:$F,Xero!$B:$B,Heron!AS$9,Xero!$A:$A,Heron!$A$5,Xero!$E:$E,Heron!$A23)</f>
        <v/>
      </c>
      <c r="AT23" s="101">
        <f>-SUMIFS(Xero!$F:$F,Xero!$B:$B,Heron!AT$9,Xero!$A:$A,Heron!$A$4,Xero!$E:$E,Heron!$A23)-SUMIFS(Xero!$F:$F,Xero!$B:$B,Heron!AT$9,Xero!$A:$A,Heron!$A$5,Xero!$E:$E,Heron!$A23)</f>
        <v/>
      </c>
      <c r="AU23" s="101">
        <f>-SUMIFS(Xero!$F:$F,Xero!$B:$B,Heron!AU$9,Xero!$A:$A,Heron!$A$4,Xero!$E:$E,Heron!$A23)-SUMIFS(Xero!$F:$F,Xero!$B:$B,Heron!AU$9,Xero!$A:$A,Heron!$A$5,Xero!$E:$E,Heron!$A23)</f>
        <v/>
      </c>
      <c r="AV23" s="101">
        <f>-SUMIFS(Xero!$F:$F,Xero!$B:$B,Heron!AV$9,Xero!$A:$A,Heron!$A$4,Xero!$E:$E,Heron!$A23)-SUMIFS(Xero!$F:$F,Xero!$B:$B,Heron!AV$9,Xero!$A:$A,Heron!$A$5,Xero!$E:$E,Heron!$A23)</f>
        <v/>
      </c>
      <c r="AW23" s="101">
        <f>-SUMIFS(Xero!$F:$F,Xero!$B:$B,Heron!AW$9,Xero!$A:$A,Heron!$A$4,Xero!$E:$E,Heron!$A23)-SUMIFS(Xero!$F:$F,Xero!$B:$B,Heron!AW$9,Xero!$A:$A,Heron!$A$5,Xero!$E:$E,Heron!$A23)</f>
        <v/>
      </c>
      <c r="AX23" s="101">
        <f>-SUMIFS(Xero!$F:$F,Xero!$B:$B,Heron!AX$9,Xero!$A:$A,Heron!$A$4,Xero!$E:$E,Heron!$A23)-SUMIFS(Xero!$F:$F,Xero!$B:$B,Heron!AX$9,Xero!$A:$A,Heron!$A$5,Xero!$E:$E,Heron!$A23)</f>
        <v/>
      </c>
      <c r="AY23" s="101">
        <f>-SUMIFS(Xero!$F:$F,Xero!$B:$B,Heron!AY$9,Xero!$A:$A,Heron!$A$4,Xero!$E:$E,Heron!$A23)-SUMIFS(Xero!$F:$F,Xero!$B:$B,Heron!AY$9,Xero!$A:$A,Heron!$A$5,Xero!$E:$E,Heron!$A23)</f>
        <v/>
      </c>
      <c r="AZ23" s="101">
        <f>-SUMIFS(Xero!$F:$F,Xero!$B:$B,Heron!AZ$9,Xero!$A:$A,Heron!$A$4,Xero!$E:$E,Heron!$A23)-SUMIFS(Xero!$F:$F,Xero!$B:$B,Heron!AZ$9,Xero!$A:$A,Heron!$A$5,Xero!$E:$E,Heron!$A23)</f>
        <v/>
      </c>
      <c r="BA23" s="101">
        <f>-SUMIFS(Xero!$F:$F,Xero!$B:$B,Heron!BA$9,Xero!$A:$A,Heron!$A$4,Xero!$E:$E,Heron!$A23)-SUMIFS(Xero!$F:$F,Xero!$B:$B,Heron!BA$9,Xero!$A:$A,Heron!$A$5,Xero!$E:$E,Heron!$A23)</f>
        <v/>
      </c>
      <c r="BB23" s="101">
        <f>-SUMIFS(Xero!$F:$F,Xero!$B:$B,Heron!BB$9,Xero!$A:$A,Heron!$A$4,Xero!$E:$E,Heron!$A23)-SUMIFS(Xero!$F:$F,Xero!$B:$B,Heron!BB$9,Xero!$A:$A,Heron!$A$5,Xero!$E:$E,Heron!$A23)</f>
        <v/>
      </c>
      <c r="BC23" s="101">
        <f>-SUMIFS(Xero!$F:$F,Xero!$B:$B,Heron!BC$9,Xero!$A:$A,Heron!$A$4,Xero!$E:$E,Heron!$A23)-SUMIFS(Xero!$F:$F,Xero!$B:$B,Heron!BC$9,Xero!$A:$A,Heron!$A$5,Xero!$E:$E,Heron!$A23)</f>
        <v/>
      </c>
      <c r="BD23" s="101">
        <f>-SUMIFS(Xero!$F:$F,Xero!$B:$B,Heron!BD$9,Xero!$A:$A,Heron!$A$4,Xero!$E:$E,Heron!$A23)-SUMIFS(Xero!$F:$F,Xero!$B:$B,Heron!BD$9,Xero!$A:$A,Heron!$A$5,Xero!$E:$E,Heron!$A23)</f>
        <v/>
      </c>
      <c r="BE23" s="101">
        <f>-SUMIFS(Xero!$F:$F,Xero!$B:$B,Heron!BE$9,Xero!$A:$A,Heron!$A$4,Xero!$E:$E,Heron!$A23)-SUMIFS(Xero!$F:$F,Xero!$B:$B,Heron!BE$9,Xero!$A:$A,Heron!$A$5,Xero!$E:$E,Heron!$A23)</f>
        <v/>
      </c>
      <c r="BF23" s="101">
        <f>-SUMIFS(Xero!$F:$F,Xero!$B:$B,Heron!BF$9,Xero!$A:$A,Heron!$A$4,Xero!$E:$E,Heron!$A23)-SUMIFS(Xero!$F:$F,Xero!$B:$B,Heron!BF$9,Xero!$A:$A,Heron!$A$5,Xero!$E:$E,Heron!$A23)</f>
        <v/>
      </c>
      <c r="BG23" s="101">
        <f>-SUMIFS(Xero!$F:$F,Xero!$B:$B,Heron!BG$9,Xero!$A:$A,Heron!$A$4,Xero!$E:$E,Heron!$A23)-SUMIFS(Xero!$F:$F,Xero!$B:$B,Heron!BG$9,Xero!$A:$A,Heron!$A$5,Xero!$E:$E,Heron!$A23)</f>
        <v/>
      </c>
      <c r="BH23" s="101">
        <f>-SUMIFS(Xero!$F:$F,Xero!$B:$B,Heron!BH$9,Xero!$A:$A,Heron!$A$4,Xero!$E:$E,Heron!$A23)-SUMIFS(Xero!$F:$F,Xero!$B:$B,Heron!BH$9,Xero!$A:$A,Heron!$A$5,Xero!$E:$E,Heron!$A23)</f>
        <v/>
      </c>
      <c r="BI23" s="101">
        <f>-SUMIFS(Xero!$F:$F,Xero!$B:$B,Heron!BI$9,Xero!$A:$A,Heron!$A$4,Xero!$E:$E,Heron!$A23)-SUMIFS(Xero!$F:$F,Xero!$B:$B,Heron!BI$9,Xero!$A:$A,Heron!$A$5,Xero!$E:$E,Heron!$A23)</f>
        <v/>
      </c>
      <c r="BJ23" s="101">
        <f>-SUMIFS(Xero!$F:$F,Xero!$B:$B,Heron!BJ$9,Xero!$A:$A,Heron!$A$4,Xero!$E:$E,Heron!$A23)-SUMIFS(Xero!$F:$F,Xero!$B:$B,Heron!BJ$9,Xero!$A:$A,Heron!$A$5,Xero!$E:$E,Heron!$A23)</f>
        <v/>
      </c>
      <c r="BK23" s="101">
        <f>sum(D23:BJ23)</f>
        <v/>
      </c>
    </row>
    <row r="24">
      <c r="A24" s="100" t="inlineStr">
        <is>
          <t>Sales - Heron Fields</t>
        </is>
      </c>
      <c r="D24" s="101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1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1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1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1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1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1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1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1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1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1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1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1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1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1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1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1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1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1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1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1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1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1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1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1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1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1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1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1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1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1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1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1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1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1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1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1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1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1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1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1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1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1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1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1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1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1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1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1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1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1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1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1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1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1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1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1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1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1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1">
        <f>sum(D24:BJ24)</f>
        <v/>
      </c>
    </row>
    <row r="25">
      <c r="A25" s="100" t="inlineStr">
        <is>
          <t>Sales - Heron Fields occupational rent</t>
        </is>
      </c>
      <c r="D25" s="101">
        <f>-SUMIFS(Xero!$F:$F,Xero!$B:$B,Heron!D$9,Xero!$A:$A,Heron!$A$4,Xero!$E:$E,Heron!$A25)-SUMIFS(Xero!$F:$F,Xero!$B:$B,Heron!D$9,Xero!$A:$A,Heron!$A$5,Xero!$E:$E,Heron!$A25)</f>
        <v/>
      </c>
      <c r="E25" s="101">
        <f>-SUMIFS(Xero!$F:$F,Xero!$B:$B,Heron!E$9,Xero!$A:$A,Heron!$A$4,Xero!$E:$E,Heron!$A25)-SUMIFS(Xero!$F:$F,Xero!$B:$B,Heron!E$9,Xero!$A:$A,Heron!$A$5,Xero!$E:$E,Heron!$A25)</f>
        <v/>
      </c>
      <c r="F25" s="101">
        <f>-SUMIFS(Xero!$F:$F,Xero!$B:$B,Heron!F$9,Xero!$A:$A,Heron!$A$4,Xero!$E:$E,Heron!$A25)-SUMIFS(Xero!$F:$F,Xero!$B:$B,Heron!F$9,Xero!$A:$A,Heron!$A$5,Xero!$E:$E,Heron!$A25)</f>
        <v/>
      </c>
      <c r="G25" s="101">
        <f>-SUMIFS(Xero!$F:$F,Xero!$B:$B,Heron!G$9,Xero!$A:$A,Heron!$A$4,Xero!$E:$E,Heron!$A25)-SUMIFS(Xero!$F:$F,Xero!$B:$B,Heron!G$9,Xero!$A:$A,Heron!$A$5,Xero!$E:$E,Heron!$A25)</f>
        <v/>
      </c>
      <c r="H25" s="101">
        <f>-SUMIFS(Xero!$F:$F,Xero!$B:$B,Heron!H$9,Xero!$A:$A,Heron!$A$4,Xero!$E:$E,Heron!$A25)-SUMIFS(Xero!$F:$F,Xero!$B:$B,Heron!H$9,Xero!$A:$A,Heron!$A$5,Xero!$E:$E,Heron!$A25)</f>
        <v/>
      </c>
      <c r="I25" s="101">
        <f>-SUMIFS(Xero!$F:$F,Xero!$B:$B,Heron!I$9,Xero!$A:$A,Heron!$A$4,Xero!$E:$E,Heron!$A25)-SUMIFS(Xero!$F:$F,Xero!$B:$B,Heron!I$9,Xero!$A:$A,Heron!$A$5,Xero!$E:$E,Heron!$A25)</f>
        <v/>
      </c>
      <c r="J25" s="101">
        <f>-SUMIFS(Xero!$F:$F,Xero!$B:$B,Heron!J$9,Xero!$A:$A,Heron!$A$4,Xero!$E:$E,Heron!$A25)-SUMIFS(Xero!$F:$F,Xero!$B:$B,Heron!J$9,Xero!$A:$A,Heron!$A$5,Xero!$E:$E,Heron!$A25)</f>
        <v/>
      </c>
      <c r="K25" s="101">
        <f>-SUMIFS(Xero!$F:$F,Xero!$B:$B,Heron!K$9,Xero!$A:$A,Heron!$A$4,Xero!$E:$E,Heron!$A25)-SUMIFS(Xero!$F:$F,Xero!$B:$B,Heron!K$9,Xero!$A:$A,Heron!$A$5,Xero!$E:$E,Heron!$A25)</f>
        <v/>
      </c>
      <c r="L25" s="101">
        <f>-SUMIFS(Xero!$F:$F,Xero!$B:$B,Heron!L$9,Xero!$A:$A,Heron!$A$4,Xero!$E:$E,Heron!$A25)-SUMIFS(Xero!$F:$F,Xero!$B:$B,Heron!L$9,Xero!$A:$A,Heron!$A$5,Xero!$E:$E,Heron!$A25)</f>
        <v/>
      </c>
      <c r="M25" s="101">
        <f>-SUMIFS(Xero!$F:$F,Xero!$B:$B,Heron!M$9,Xero!$A:$A,Heron!$A$4,Xero!$E:$E,Heron!$A25)-SUMIFS(Xero!$F:$F,Xero!$B:$B,Heron!M$9,Xero!$A:$A,Heron!$A$5,Xero!$E:$E,Heron!$A25)</f>
        <v/>
      </c>
      <c r="N25" s="101">
        <f>-SUMIFS(Xero!$F:$F,Xero!$B:$B,Heron!N$9,Xero!$A:$A,Heron!$A$4,Xero!$E:$E,Heron!$A25)-SUMIFS(Xero!$F:$F,Xero!$B:$B,Heron!N$9,Xero!$A:$A,Heron!$A$5,Xero!$E:$E,Heron!$A25)</f>
        <v/>
      </c>
      <c r="O25" s="101">
        <f>-SUMIFS(Xero!$F:$F,Xero!$B:$B,Heron!O$9,Xero!$A:$A,Heron!$A$4,Xero!$E:$E,Heron!$A25)-SUMIFS(Xero!$F:$F,Xero!$B:$B,Heron!O$9,Xero!$A:$A,Heron!$A$5,Xero!$E:$E,Heron!$A25)</f>
        <v/>
      </c>
      <c r="P25" s="101">
        <f>-SUMIFS(Xero!$F:$F,Xero!$B:$B,Heron!P$9,Xero!$A:$A,Heron!$A$4,Xero!$E:$E,Heron!$A25)-SUMIFS(Xero!$F:$F,Xero!$B:$B,Heron!P$9,Xero!$A:$A,Heron!$A$5,Xero!$E:$E,Heron!$A25)</f>
        <v/>
      </c>
      <c r="Q25" s="101">
        <f>-SUMIFS(Xero!$F:$F,Xero!$B:$B,Heron!Q$9,Xero!$A:$A,Heron!$A$4,Xero!$E:$E,Heron!$A25)-SUMIFS(Xero!$F:$F,Xero!$B:$B,Heron!Q$9,Xero!$A:$A,Heron!$A$5,Xero!$E:$E,Heron!$A25)</f>
        <v/>
      </c>
      <c r="R25" s="101">
        <f>-SUMIFS(Xero!$F:$F,Xero!$B:$B,Heron!R$9,Xero!$A:$A,Heron!$A$4,Xero!$E:$E,Heron!$A25)-SUMIFS(Xero!$F:$F,Xero!$B:$B,Heron!R$9,Xero!$A:$A,Heron!$A$5,Xero!$E:$E,Heron!$A25)</f>
        <v/>
      </c>
      <c r="S25" s="101">
        <f>-SUMIFS(Xero!$F:$F,Xero!$B:$B,Heron!S$9,Xero!$A:$A,Heron!$A$4,Xero!$E:$E,Heron!$A25)-SUMIFS(Xero!$F:$F,Xero!$B:$B,Heron!S$9,Xero!$A:$A,Heron!$A$5,Xero!$E:$E,Heron!$A25)</f>
        <v/>
      </c>
      <c r="T25" s="101">
        <f>-SUMIFS(Xero!$F:$F,Xero!$B:$B,Heron!T$9,Xero!$A:$A,Heron!$A$4,Xero!$E:$E,Heron!$A25)-SUMIFS(Xero!$F:$F,Xero!$B:$B,Heron!T$9,Xero!$A:$A,Heron!$A$5,Xero!$E:$E,Heron!$A25)</f>
        <v/>
      </c>
      <c r="U25" s="101">
        <f>-SUMIFS(Xero!$F:$F,Xero!$B:$B,Heron!U$9,Xero!$A:$A,Heron!$A$4,Xero!$E:$E,Heron!$A25)-SUMIFS(Xero!$F:$F,Xero!$B:$B,Heron!U$9,Xero!$A:$A,Heron!$A$5,Xero!$E:$E,Heron!$A25)</f>
        <v/>
      </c>
      <c r="V25" s="101">
        <f>-SUMIFS(Xero!$F:$F,Xero!$B:$B,Heron!V$9,Xero!$A:$A,Heron!$A$4,Xero!$E:$E,Heron!$A25)-SUMIFS(Xero!$F:$F,Xero!$B:$B,Heron!V$9,Xero!$A:$A,Heron!$A$5,Xero!$E:$E,Heron!$A25)</f>
        <v/>
      </c>
      <c r="W25" s="101">
        <f>-SUMIFS(Xero!$F:$F,Xero!$B:$B,Heron!W$9,Xero!$A:$A,Heron!$A$4,Xero!$E:$E,Heron!$A25)-SUMIFS(Xero!$F:$F,Xero!$B:$B,Heron!W$9,Xero!$A:$A,Heron!$A$5,Xero!$E:$E,Heron!$A25)</f>
        <v/>
      </c>
      <c r="X25" s="101">
        <f>-SUMIFS(Xero!$F:$F,Xero!$B:$B,Heron!X$9,Xero!$A:$A,Heron!$A$4,Xero!$E:$E,Heron!$A25)-SUMIFS(Xero!$F:$F,Xero!$B:$B,Heron!X$9,Xero!$A:$A,Heron!$A$5,Xero!$E:$E,Heron!$A25)</f>
        <v/>
      </c>
      <c r="Y25" s="101">
        <f>-SUMIFS(Xero!$F:$F,Xero!$B:$B,Heron!Y$9,Xero!$A:$A,Heron!$A$4,Xero!$E:$E,Heron!$A25)-SUMIFS(Xero!$F:$F,Xero!$B:$B,Heron!Y$9,Xero!$A:$A,Heron!$A$5,Xero!$E:$E,Heron!$A25)</f>
        <v/>
      </c>
      <c r="Z25" s="101">
        <f>-SUMIFS(Xero!$F:$F,Xero!$B:$B,Heron!Z$9,Xero!$A:$A,Heron!$A$4,Xero!$E:$E,Heron!$A25)-SUMIFS(Xero!$F:$F,Xero!$B:$B,Heron!Z$9,Xero!$A:$A,Heron!$A$5,Xero!$E:$E,Heron!$A25)</f>
        <v/>
      </c>
      <c r="AA25" s="101">
        <f>-SUMIFS(Xero!$F:$F,Xero!$B:$B,Heron!AA$9,Xero!$A:$A,Heron!$A$4,Xero!$E:$E,Heron!$A25)-SUMIFS(Xero!$F:$F,Xero!$B:$B,Heron!AA$9,Xero!$A:$A,Heron!$A$5,Xero!$E:$E,Heron!$A25)</f>
        <v/>
      </c>
      <c r="AB25" s="101">
        <f>-SUMIFS(Xero!$F:$F,Xero!$B:$B,Heron!AB$9,Xero!$A:$A,Heron!$A$4,Xero!$E:$E,Heron!$A25)-SUMIFS(Xero!$F:$F,Xero!$B:$B,Heron!AB$9,Xero!$A:$A,Heron!$A$5,Xero!$E:$E,Heron!$A25)</f>
        <v/>
      </c>
      <c r="AC25" s="101">
        <f>-SUMIFS(Xero!$F:$F,Xero!$B:$B,Heron!AC$9,Xero!$A:$A,Heron!$A$4,Xero!$E:$E,Heron!$A25)-SUMIFS(Xero!$F:$F,Xero!$B:$B,Heron!AC$9,Xero!$A:$A,Heron!$A$5,Xero!$E:$E,Heron!$A25)</f>
        <v/>
      </c>
      <c r="AD25" s="101">
        <f>-SUMIFS(Xero!$F:$F,Xero!$B:$B,Heron!AD$9,Xero!$A:$A,Heron!$A$4,Xero!$E:$E,Heron!$A25)-SUMIFS(Xero!$F:$F,Xero!$B:$B,Heron!AD$9,Xero!$A:$A,Heron!$A$5,Xero!$E:$E,Heron!$A25)</f>
        <v/>
      </c>
      <c r="AE25" s="101">
        <f>-SUMIFS(Xero!$F:$F,Xero!$B:$B,Heron!AE$9,Xero!$A:$A,Heron!$A$4,Xero!$E:$E,Heron!$A25)-SUMIFS(Xero!$F:$F,Xero!$B:$B,Heron!AE$9,Xero!$A:$A,Heron!$A$5,Xero!$E:$E,Heron!$A25)</f>
        <v/>
      </c>
      <c r="AF25" s="101">
        <f>-SUMIFS(Xero!$F:$F,Xero!$B:$B,Heron!AF$9,Xero!$A:$A,Heron!$A$4,Xero!$E:$E,Heron!$A25)-SUMIFS(Xero!$F:$F,Xero!$B:$B,Heron!AF$9,Xero!$A:$A,Heron!$A$5,Xero!$E:$E,Heron!$A25)</f>
        <v/>
      </c>
      <c r="AG25" s="101">
        <f>-SUMIFS(Xero!$F:$F,Xero!$B:$B,Heron!AG$9,Xero!$A:$A,Heron!$A$4,Xero!$E:$E,Heron!$A25)-SUMIFS(Xero!$F:$F,Xero!$B:$B,Heron!AG$9,Xero!$A:$A,Heron!$A$5,Xero!$E:$E,Heron!$A25)</f>
        <v/>
      </c>
      <c r="AH25" s="101">
        <f>-SUMIFS(Xero!$F:$F,Xero!$B:$B,Heron!AH$9,Xero!$A:$A,Heron!$A$4,Xero!$E:$E,Heron!$A25)-SUMIFS(Xero!$F:$F,Xero!$B:$B,Heron!AH$9,Xero!$A:$A,Heron!$A$5,Xero!$E:$E,Heron!$A25)</f>
        <v/>
      </c>
      <c r="AI25" s="101">
        <f>-SUMIFS(Xero!$F:$F,Xero!$B:$B,Heron!AI$9,Xero!$A:$A,Heron!$A$4,Xero!$E:$E,Heron!$A25)-SUMIFS(Xero!$F:$F,Xero!$B:$B,Heron!AI$9,Xero!$A:$A,Heron!$A$5,Xero!$E:$E,Heron!$A25)</f>
        <v/>
      </c>
      <c r="AJ25" s="101">
        <f>-SUMIFS(Xero!$F:$F,Xero!$B:$B,Heron!AJ$9,Xero!$A:$A,Heron!$A$4,Xero!$E:$E,Heron!$A25)-SUMIFS(Xero!$F:$F,Xero!$B:$B,Heron!AJ$9,Xero!$A:$A,Heron!$A$5,Xero!$E:$E,Heron!$A25)</f>
        <v/>
      </c>
      <c r="AK25" s="101">
        <f>-SUMIFS(Xero!$F:$F,Xero!$B:$B,Heron!AK$9,Xero!$A:$A,Heron!$A$4,Xero!$E:$E,Heron!$A25)-SUMIFS(Xero!$F:$F,Xero!$B:$B,Heron!AK$9,Xero!$A:$A,Heron!$A$5,Xero!$E:$E,Heron!$A25)</f>
        <v/>
      </c>
      <c r="AL25" s="101">
        <f>-SUMIFS(Xero!$F:$F,Xero!$B:$B,Heron!AL$9,Xero!$A:$A,Heron!$A$4,Xero!$E:$E,Heron!$A25)-SUMIFS(Xero!$F:$F,Xero!$B:$B,Heron!AL$9,Xero!$A:$A,Heron!$A$5,Xero!$E:$E,Heron!$A25)</f>
        <v/>
      </c>
      <c r="AM25" s="101">
        <f>-SUMIFS(Xero!$F:$F,Xero!$B:$B,Heron!AM$9,Xero!$A:$A,Heron!$A$4,Xero!$E:$E,Heron!$A25)-SUMIFS(Xero!$F:$F,Xero!$B:$B,Heron!AM$9,Xero!$A:$A,Heron!$A$5,Xero!$E:$E,Heron!$A25)</f>
        <v/>
      </c>
      <c r="AN25" s="101">
        <f>-SUMIFS(Xero!$F:$F,Xero!$B:$B,Heron!AN$9,Xero!$A:$A,Heron!$A$4,Xero!$E:$E,Heron!$A25)-SUMIFS(Xero!$F:$F,Xero!$B:$B,Heron!AN$9,Xero!$A:$A,Heron!$A$5,Xero!$E:$E,Heron!$A25)</f>
        <v/>
      </c>
      <c r="AO25" s="101">
        <f>-SUMIFS(Xero!$F:$F,Xero!$B:$B,Heron!AO$9,Xero!$A:$A,Heron!$A$4,Xero!$E:$E,Heron!$A25)-SUMIFS(Xero!$F:$F,Xero!$B:$B,Heron!AO$9,Xero!$A:$A,Heron!$A$5,Xero!$E:$E,Heron!$A25)</f>
        <v/>
      </c>
      <c r="AP25" s="101">
        <f>-SUMIFS(Xero!$F:$F,Xero!$B:$B,Heron!AP$9,Xero!$A:$A,Heron!$A$4,Xero!$E:$E,Heron!$A25)-SUMIFS(Xero!$F:$F,Xero!$B:$B,Heron!AP$9,Xero!$A:$A,Heron!$A$5,Xero!$E:$E,Heron!$A25)</f>
        <v/>
      </c>
      <c r="AQ25" s="101">
        <f>-SUMIFS(Xero!$F:$F,Xero!$B:$B,Heron!AQ$9,Xero!$A:$A,Heron!$A$4,Xero!$E:$E,Heron!$A25)-SUMIFS(Xero!$F:$F,Xero!$B:$B,Heron!AQ$9,Xero!$A:$A,Heron!$A$5,Xero!$E:$E,Heron!$A25)</f>
        <v/>
      </c>
      <c r="AR25" s="101">
        <f>-SUMIFS(Xero!$F:$F,Xero!$B:$B,Heron!AR$9,Xero!$A:$A,Heron!$A$4,Xero!$E:$E,Heron!$A25)-SUMIFS(Xero!$F:$F,Xero!$B:$B,Heron!AR$9,Xero!$A:$A,Heron!$A$5,Xero!$E:$E,Heron!$A25)</f>
        <v/>
      </c>
      <c r="AS25" s="101">
        <f>-SUMIFS(Xero!$F:$F,Xero!$B:$B,Heron!AS$9,Xero!$A:$A,Heron!$A$4,Xero!$E:$E,Heron!$A25)-SUMIFS(Xero!$F:$F,Xero!$B:$B,Heron!AS$9,Xero!$A:$A,Heron!$A$5,Xero!$E:$E,Heron!$A25)</f>
        <v/>
      </c>
      <c r="AT25" s="101">
        <f>-SUMIFS(Xero!$F:$F,Xero!$B:$B,Heron!AT$9,Xero!$A:$A,Heron!$A$4,Xero!$E:$E,Heron!$A25)-SUMIFS(Xero!$F:$F,Xero!$B:$B,Heron!AT$9,Xero!$A:$A,Heron!$A$5,Xero!$E:$E,Heron!$A25)</f>
        <v/>
      </c>
      <c r="AU25" s="101">
        <f>-SUMIFS(Xero!$F:$F,Xero!$B:$B,Heron!AU$9,Xero!$A:$A,Heron!$A$4,Xero!$E:$E,Heron!$A25)-SUMIFS(Xero!$F:$F,Xero!$B:$B,Heron!AU$9,Xero!$A:$A,Heron!$A$5,Xero!$E:$E,Heron!$A25)</f>
        <v/>
      </c>
      <c r="AV25" s="101">
        <f>-SUMIFS(Xero!$F:$F,Xero!$B:$B,Heron!AV$9,Xero!$A:$A,Heron!$A$4,Xero!$E:$E,Heron!$A25)-SUMIFS(Xero!$F:$F,Xero!$B:$B,Heron!AV$9,Xero!$A:$A,Heron!$A$5,Xero!$E:$E,Heron!$A25)</f>
        <v/>
      </c>
      <c r="AW25" s="101">
        <f>-SUMIFS(Xero!$F:$F,Xero!$B:$B,Heron!AW$9,Xero!$A:$A,Heron!$A$4,Xero!$E:$E,Heron!$A25)-SUMIFS(Xero!$F:$F,Xero!$B:$B,Heron!AW$9,Xero!$A:$A,Heron!$A$5,Xero!$E:$E,Heron!$A25)</f>
        <v/>
      </c>
      <c r="AX25" s="101">
        <f>-SUMIFS(Xero!$F:$F,Xero!$B:$B,Heron!AX$9,Xero!$A:$A,Heron!$A$4,Xero!$E:$E,Heron!$A25)-SUMIFS(Xero!$F:$F,Xero!$B:$B,Heron!AX$9,Xero!$A:$A,Heron!$A$5,Xero!$E:$E,Heron!$A25)</f>
        <v/>
      </c>
      <c r="AY25" s="101">
        <f>-SUMIFS(Xero!$F:$F,Xero!$B:$B,Heron!AY$9,Xero!$A:$A,Heron!$A$4,Xero!$E:$E,Heron!$A25)-SUMIFS(Xero!$F:$F,Xero!$B:$B,Heron!AY$9,Xero!$A:$A,Heron!$A$5,Xero!$E:$E,Heron!$A25)</f>
        <v/>
      </c>
      <c r="AZ25" s="101">
        <f>-SUMIFS(Xero!$F:$F,Xero!$B:$B,Heron!AZ$9,Xero!$A:$A,Heron!$A$4,Xero!$E:$E,Heron!$A25)-SUMIFS(Xero!$F:$F,Xero!$B:$B,Heron!AZ$9,Xero!$A:$A,Heron!$A$5,Xero!$E:$E,Heron!$A25)</f>
        <v/>
      </c>
      <c r="BA25" s="101">
        <f>-SUMIFS(Xero!$F:$F,Xero!$B:$B,Heron!BA$9,Xero!$A:$A,Heron!$A$4,Xero!$E:$E,Heron!$A25)-SUMIFS(Xero!$F:$F,Xero!$B:$B,Heron!BA$9,Xero!$A:$A,Heron!$A$5,Xero!$E:$E,Heron!$A25)</f>
        <v/>
      </c>
      <c r="BB25" s="101">
        <f>-SUMIFS(Xero!$F:$F,Xero!$B:$B,Heron!BB$9,Xero!$A:$A,Heron!$A$4,Xero!$E:$E,Heron!$A25)-SUMIFS(Xero!$F:$F,Xero!$B:$B,Heron!BB$9,Xero!$A:$A,Heron!$A$5,Xero!$E:$E,Heron!$A25)</f>
        <v/>
      </c>
      <c r="BC25" s="101">
        <f>-SUMIFS(Xero!$F:$F,Xero!$B:$B,Heron!BC$9,Xero!$A:$A,Heron!$A$4,Xero!$E:$E,Heron!$A25)-SUMIFS(Xero!$F:$F,Xero!$B:$B,Heron!BC$9,Xero!$A:$A,Heron!$A$5,Xero!$E:$E,Heron!$A25)</f>
        <v/>
      </c>
      <c r="BD25" s="101">
        <f>-SUMIFS(Xero!$F:$F,Xero!$B:$B,Heron!BD$9,Xero!$A:$A,Heron!$A$4,Xero!$E:$E,Heron!$A25)-SUMIFS(Xero!$F:$F,Xero!$B:$B,Heron!BD$9,Xero!$A:$A,Heron!$A$5,Xero!$E:$E,Heron!$A25)</f>
        <v/>
      </c>
      <c r="BE25" s="101">
        <f>-SUMIFS(Xero!$F:$F,Xero!$B:$B,Heron!BE$9,Xero!$A:$A,Heron!$A$4,Xero!$E:$E,Heron!$A25)-SUMIFS(Xero!$F:$F,Xero!$B:$B,Heron!BE$9,Xero!$A:$A,Heron!$A$5,Xero!$E:$E,Heron!$A25)</f>
        <v/>
      </c>
      <c r="BF25" s="101">
        <f>-SUMIFS(Xero!$F:$F,Xero!$B:$B,Heron!BF$9,Xero!$A:$A,Heron!$A$4,Xero!$E:$E,Heron!$A25)-SUMIFS(Xero!$F:$F,Xero!$B:$B,Heron!BF$9,Xero!$A:$A,Heron!$A$5,Xero!$E:$E,Heron!$A25)</f>
        <v/>
      </c>
      <c r="BG25" s="101">
        <f>-SUMIFS(Xero!$F:$F,Xero!$B:$B,Heron!BG$9,Xero!$A:$A,Heron!$A$4,Xero!$E:$E,Heron!$A25)-SUMIFS(Xero!$F:$F,Xero!$B:$B,Heron!BG$9,Xero!$A:$A,Heron!$A$5,Xero!$E:$E,Heron!$A25)</f>
        <v/>
      </c>
      <c r="BH25" s="101">
        <f>-SUMIFS(Xero!$F:$F,Xero!$B:$B,Heron!BH$9,Xero!$A:$A,Heron!$A$4,Xero!$E:$E,Heron!$A25)-SUMIFS(Xero!$F:$F,Xero!$B:$B,Heron!BH$9,Xero!$A:$A,Heron!$A$5,Xero!$E:$E,Heron!$A25)</f>
        <v/>
      </c>
      <c r="BI25" s="101">
        <f>-SUMIFS(Xero!$F:$F,Xero!$B:$B,Heron!BI$9,Xero!$A:$A,Heron!$A$4,Xero!$E:$E,Heron!$A25)-SUMIFS(Xero!$F:$F,Xero!$B:$B,Heron!BI$9,Xero!$A:$A,Heron!$A$5,Xero!$E:$E,Heron!$A25)</f>
        <v/>
      </c>
      <c r="BJ25" s="101">
        <f>-SUMIFS(Xero!$F:$F,Xero!$B:$B,Heron!BJ$9,Xero!$A:$A,Heron!$A$4,Xero!$E:$E,Heron!$A25)-SUMIFS(Xero!$F:$F,Xero!$B:$B,Heron!BJ$9,Xero!$A:$A,Heron!$A$5,Xero!$E:$E,Heron!$A25)</f>
        <v/>
      </c>
      <c r="BK25" s="101">
        <f>sum(D25:BJ25)</f>
        <v/>
      </c>
    </row>
    <row r="26">
      <c r="A26" s="100" t="inlineStr">
        <is>
          <t>Sales - Heron View Occupational Rent</t>
        </is>
      </c>
      <c r="D26" s="101">
        <f>-SUMIFS(Xero!$F:$F,Xero!$B:$B,Heron!D$9,Xero!$A:$A,Heron!$A$4,Xero!$E:$E,Heron!$A26)-SUMIFS(Xero!$F:$F,Xero!$B:$B,Heron!D$9,Xero!$A:$A,Heron!$A$5,Xero!$E:$E,Heron!$A26)</f>
        <v/>
      </c>
      <c r="E26" s="101">
        <f>-SUMIFS(Xero!$F:$F,Xero!$B:$B,Heron!E$9,Xero!$A:$A,Heron!$A$4,Xero!$E:$E,Heron!$A26)-SUMIFS(Xero!$F:$F,Xero!$B:$B,Heron!E$9,Xero!$A:$A,Heron!$A$5,Xero!$E:$E,Heron!$A26)</f>
        <v/>
      </c>
      <c r="F26" s="101">
        <f>-SUMIFS(Xero!$F:$F,Xero!$B:$B,Heron!F$9,Xero!$A:$A,Heron!$A$4,Xero!$E:$E,Heron!$A26)-SUMIFS(Xero!$F:$F,Xero!$B:$B,Heron!F$9,Xero!$A:$A,Heron!$A$5,Xero!$E:$E,Heron!$A26)</f>
        <v/>
      </c>
      <c r="G26" s="101">
        <f>-SUMIFS(Xero!$F:$F,Xero!$B:$B,Heron!G$9,Xero!$A:$A,Heron!$A$4,Xero!$E:$E,Heron!$A26)-SUMIFS(Xero!$F:$F,Xero!$B:$B,Heron!G$9,Xero!$A:$A,Heron!$A$5,Xero!$E:$E,Heron!$A26)</f>
        <v/>
      </c>
      <c r="H26" s="101">
        <f>-SUMIFS(Xero!$F:$F,Xero!$B:$B,Heron!H$9,Xero!$A:$A,Heron!$A$4,Xero!$E:$E,Heron!$A26)-SUMIFS(Xero!$F:$F,Xero!$B:$B,Heron!H$9,Xero!$A:$A,Heron!$A$5,Xero!$E:$E,Heron!$A26)</f>
        <v/>
      </c>
      <c r="I26" s="101">
        <f>-SUMIFS(Xero!$F:$F,Xero!$B:$B,Heron!I$9,Xero!$A:$A,Heron!$A$4,Xero!$E:$E,Heron!$A26)-SUMIFS(Xero!$F:$F,Xero!$B:$B,Heron!I$9,Xero!$A:$A,Heron!$A$5,Xero!$E:$E,Heron!$A26)</f>
        <v/>
      </c>
      <c r="J26" s="101">
        <f>-SUMIFS(Xero!$F:$F,Xero!$B:$B,Heron!J$9,Xero!$A:$A,Heron!$A$4,Xero!$E:$E,Heron!$A26)-SUMIFS(Xero!$F:$F,Xero!$B:$B,Heron!J$9,Xero!$A:$A,Heron!$A$5,Xero!$E:$E,Heron!$A26)</f>
        <v/>
      </c>
      <c r="K26" s="101">
        <f>-SUMIFS(Xero!$F:$F,Xero!$B:$B,Heron!K$9,Xero!$A:$A,Heron!$A$4,Xero!$E:$E,Heron!$A26)-SUMIFS(Xero!$F:$F,Xero!$B:$B,Heron!K$9,Xero!$A:$A,Heron!$A$5,Xero!$E:$E,Heron!$A26)</f>
        <v/>
      </c>
      <c r="L26" s="101">
        <f>-SUMIFS(Xero!$F:$F,Xero!$B:$B,Heron!L$9,Xero!$A:$A,Heron!$A$4,Xero!$E:$E,Heron!$A26)-SUMIFS(Xero!$F:$F,Xero!$B:$B,Heron!L$9,Xero!$A:$A,Heron!$A$5,Xero!$E:$E,Heron!$A26)</f>
        <v/>
      </c>
      <c r="M26" s="101">
        <f>-SUMIFS(Xero!$F:$F,Xero!$B:$B,Heron!M$9,Xero!$A:$A,Heron!$A$4,Xero!$E:$E,Heron!$A26)-SUMIFS(Xero!$F:$F,Xero!$B:$B,Heron!M$9,Xero!$A:$A,Heron!$A$5,Xero!$E:$E,Heron!$A26)</f>
        <v/>
      </c>
      <c r="N26" s="101">
        <f>-SUMIFS(Xero!$F:$F,Xero!$B:$B,Heron!N$9,Xero!$A:$A,Heron!$A$4,Xero!$E:$E,Heron!$A26)-SUMIFS(Xero!$F:$F,Xero!$B:$B,Heron!N$9,Xero!$A:$A,Heron!$A$5,Xero!$E:$E,Heron!$A26)</f>
        <v/>
      </c>
      <c r="O26" s="101">
        <f>-SUMIFS(Xero!$F:$F,Xero!$B:$B,Heron!O$9,Xero!$A:$A,Heron!$A$4,Xero!$E:$E,Heron!$A26)-SUMIFS(Xero!$F:$F,Xero!$B:$B,Heron!O$9,Xero!$A:$A,Heron!$A$5,Xero!$E:$E,Heron!$A26)</f>
        <v/>
      </c>
      <c r="P26" s="101">
        <f>-SUMIFS(Xero!$F:$F,Xero!$B:$B,Heron!P$9,Xero!$A:$A,Heron!$A$4,Xero!$E:$E,Heron!$A26)-SUMIFS(Xero!$F:$F,Xero!$B:$B,Heron!P$9,Xero!$A:$A,Heron!$A$5,Xero!$E:$E,Heron!$A26)</f>
        <v/>
      </c>
      <c r="Q26" s="101">
        <f>-SUMIFS(Xero!$F:$F,Xero!$B:$B,Heron!Q$9,Xero!$A:$A,Heron!$A$4,Xero!$E:$E,Heron!$A26)-SUMIFS(Xero!$F:$F,Xero!$B:$B,Heron!Q$9,Xero!$A:$A,Heron!$A$5,Xero!$E:$E,Heron!$A26)</f>
        <v/>
      </c>
      <c r="R26" s="101">
        <f>-SUMIFS(Xero!$F:$F,Xero!$B:$B,Heron!R$9,Xero!$A:$A,Heron!$A$4,Xero!$E:$E,Heron!$A26)-SUMIFS(Xero!$F:$F,Xero!$B:$B,Heron!R$9,Xero!$A:$A,Heron!$A$5,Xero!$E:$E,Heron!$A26)</f>
        <v/>
      </c>
      <c r="S26" s="101">
        <f>-SUMIFS(Xero!$F:$F,Xero!$B:$B,Heron!S$9,Xero!$A:$A,Heron!$A$4,Xero!$E:$E,Heron!$A26)-SUMIFS(Xero!$F:$F,Xero!$B:$B,Heron!S$9,Xero!$A:$A,Heron!$A$5,Xero!$E:$E,Heron!$A26)</f>
        <v/>
      </c>
      <c r="T26" s="101">
        <f>-SUMIFS(Xero!$F:$F,Xero!$B:$B,Heron!T$9,Xero!$A:$A,Heron!$A$4,Xero!$E:$E,Heron!$A26)-SUMIFS(Xero!$F:$F,Xero!$B:$B,Heron!T$9,Xero!$A:$A,Heron!$A$5,Xero!$E:$E,Heron!$A26)</f>
        <v/>
      </c>
      <c r="U26" s="101">
        <f>-SUMIFS(Xero!$F:$F,Xero!$B:$B,Heron!U$9,Xero!$A:$A,Heron!$A$4,Xero!$E:$E,Heron!$A26)-SUMIFS(Xero!$F:$F,Xero!$B:$B,Heron!U$9,Xero!$A:$A,Heron!$A$5,Xero!$E:$E,Heron!$A26)</f>
        <v/>
      </c>
      <c r="V26" s="101">
        <f>-SUMIFS(Xero!$F:$F,Xero!$B:$B,Heron!V$9,Xero!$A:$A,Heron!$A$4,Xero!$E:$E,Heron!$A26)-SUMIFS(Xero!$F:$F,Xero!$B:$B,Heron!V$9,Xero!$A:$A,Heron!$A$5,Xero!$E:$E,Heron!$A26)</f>
        <v/>
      </c>
      <c r="W26" s="101">
        <f>-SUMIFS(Xero!$F:$F,Xero!$B:$B,Heron!W$9,Xero!$A:$A,Heron!$A$4,Xero!$E:$E,Heron!$A26)-SUMIFS(Xero!$F:$F,Xero!$B:$B,Heron!W$9,Xero!$A:$A,Heron!$A$5,Xero!$E:$E,Heron!$A26)</f>
        <v/>
      </c>
      <c r="X26" s="101">
        <f>-SUMIFS(Xero!$F:$F,Xero!$B:$B,Heron!X$9,Xero!$A:$A,Heron!$A$4,Xero!$E:$E,Heron!$A26)-SUMIFS(Xero!$F:$F,Xero!$B:$B,Heron!X$9,Xero!$A:$A,Heron!$A$5,Xero!$E:$E,Heron!$A26)</f>
        <v/>
      </c>
      <c r="Y26" s="101">
        <f>-SUMIFS(Xero!$F:$F,Xero!$B:$B,Heron!Y$9,Xero!$A:$A,Heron!$A$4,Xero!$E:$E,Heron!$A26)-SUMIFS(Xero!$F:$F,Xero!$B:$B,Heron!Y$9,Xero!$A:$A,Heron!$A$5,Xero!$E:$E,Heron!$A26)</f>
        <v/>
      </c>
      <c r="Z26" s="101">
        <f>-SUMIFS(Xero!$F:$F,Xero!$B:$B,Heron!Z$9,Xero!$A:$A,Heron!$A$4,Xero!$E:$E,Heron!$A26)-SUMIFS(Xero!$F:$F,Xero!$B:$B,Heron!Z$9,Xero!$A:$A,Heron!$A$5,Xero!$E:$E,Heron!$A26)</f>
        <v/>
      </c>
      <c r="AA26" s="101">
        <f>-SUMIFS(Xero!$F:$F,Xero!$B:$B,Heron!AA$9,Xero!$A:$A,Heron!$A$4,Xero!$E:$E,Heron!$A26)-SUMIFS(Xero!$F:$F,Xero!$B:$B,Heron!AA$9,Xero!$A:$A,Heron!$A$5,Xero!$E:$E,Heron!$A26)</f>
        <v/>
      </c>
      <c r="AB26" s="101">
        <f>-SUMIFS(Xero!$F:$F,Xero!$B:$B,Heron!AB$9,Xero!$A:$A,Heron!$A$4,Xero!$E:$E,Heron!$A26)-SUMIFS(Xero!$F:$F,Xero!$B:$B,Heron!AB$9,Xero!$A:$A,Heron!$A$5,Xero!$E:$E,Heron!$A26)</f>
        <v/>
      </c>
      <c r="AC26" s="101">
        <f>-SUMIFS(Xero!$F:$F,Xero!$B:$B,Heron!AC$9,Xero!$A:$A,Heron!$A$4,Xero!$E:$E,Heron!$A26)-SUMIFS(Xero!$F:$F,Xero!$B:$B,Heron!AC$9,Xero!$A:$A,Heron!$A$5,Xero!$E:$E,Heron!$A26)</f>
        <v/>
      </c>
      <c r="AD26" s="101">
        <f>-SUMIFS(Xero!$F:$F,Xero!$B:$B,Heron!AD$9,Xero!$A:$A,Heron!$A$4,Xero!$E:$E,Heron!$A26)-SUMIFS(Xero!$F:$F,Xero!$B:$B,Heron!AD$9,Xero!$A:$A,Heron!$A$5,Xero!$E:$E,Heron!$A26)</f>
        <v/>
      </c>
      <c r="AE26" s="101">
        <f>-SUMIFS(Xero!$F:$F,Xero!$B:$B,Heron!AE$9,Xero!$A:$A,Heron!$A$4,Xero!$E:$E,Heron!$A26)-SUMIFS(Xero!$F:$F,Xero!$B:$B,Heron!AE$9,Xero!$A:$A,Heron!$A$5,Xero!$E:$E,Heron!$A26)</f>
        <v/>
      </c>
      <c r="AF26" s="101">
        <f>-SUMIFS(Xero!$F:$F,Xero!$B:$B,Heron!AF$9,Xero!$A:$A,Heron!$A$4,Xero!$E:$E,Heron!$A26)-SUMIFS(Xero!$F:$F,Xero!$B:$B,Heron!AF$9,Xero!$A:$A,Heron!$A$5,Xero!$E:$E,Heron!$A26)</f>
        <v/>
      </c>
      <c r="AG26" s="101">
        <f>-SUMIFS(Xero!$F:$F,Xero!$B:$B,Heron!AG$9,Xero!$A:$A,Heron!$A$4,Xero!$E:$E,Heron!$A26)-SUMIFS(Xero!$F:$F,Xero!$B:$B,Heron!AG$9,Xero!$A:$A,Heron!$A$5,Xero!$E:$E,Heron!$A26)</f>
        <v/>
      </c>
      <c r="AH26" s="101">
        <f>-SUMIFS(Xero!$F:$F,Xero!$B:$B,Heron!AH$9,Xero!$A:$A,Heron!$A$4,Xero!$E:$E,Heron!$A26)-SUMIFS(Xero!$F:$F,Xero!$B:$B,Heron!AH$9,Xero!$A:$A,Heron!$A$5,Xero!$E:$E,Heron!$A26)</f>
        <v/>
      </c>
      <c r="AI26" s="101">
        <f>-SUMIFS(Xero!$F:$F,Xero!$B:$B,Heron!AI$9,Xero!$A:$A,Heron!$A$4,Xero!$E:$E,Heron!$A26)-SUMIFS(Xero!$F:$F,Xero!$B:$B,Heron!AI$9,Xero!$A:$A,Heron!$A$5,Xero!$E:$E,Heron!$A26)</f>
        <v/>
      </c>
      <c r="AJ26" s="101">
        <f>-SUMIFS(Xero!$F:$F,Xero!$B:$B,Heron!AJ$9,Xero!$A:$A,Heron!$A$4,Xero!$E:$E,Heron!$A26)-SUMIFS(Xero!$F:$F,Xero!$B:$B,Heron!AJ$9,Xero!$A:$A,Heron!$A$5,Xero!$E:$E,Heron!$A26)</f>
        <v/>
      </c>
      <c r="AK26" s="101">
        <f>-SUMIFS(Xero!$F:$F,Xero!$B:$B,Heron!AK$9,Xero!$A:$A,Heron!$A$4,Xero!$E:$E,Heron!$A26)-SUMIFS(Xero!$F:$F,Xero!$B:$B,Heron!AK$9,Xero!$A:$A,Heron!$A$5,Xero!$E:$E,Heron!$A26)</f>
        <v/>
      </c>
      <c r="AL26" s="101">
        <f>-SUMIFS(Xero!$F:$F,Xero!$B:$B,Heron!AL$9,Xero!$A:$A,Heron!$A$4,Xero!$E:$E,Heron!$A26)-SUMIFS(Xero!$F:$F,Xero!$B:$B,Heron!AL$9,Xero!$A:$A,Heron!$A$5,Xero!$E:$E,Heron!$A26)</f>
        <v/>
      </c>
      <c r="AM26" s="101">
        <f>-SUMIFS(Xero!$F:$F,Xero!$B:$B,Heron!AM$9,Xero!$A:$A,Heron!$A$4,Xero!$E:$E,Heron!$A26)-SUMIFS(Xero!$F:$F,Xero!$B:$B,Heron!AM$9,Xero!$A:$A,Heron!$A$5,Xero!$E:$E,Heron!$A26)</f>
        <v/>
      </c>
      <c r="AN26" s="101">
        <f>-SUMIFS(Xero!$F:$F,Xero!$B:$B,Heron!AN$9,Xero!$A:$A,Heron!$A$4,Xero!$E:$E,Heron!$A26)-SUMIFS(Xero!$F:$F,Xero!$B:$B,Heron!AN$9,Xero!$A:$A,Heron!$A$5,Xero!$E:$E,Heron!$A26)</f>
        <v/>
      </c>
      <c r="AO26" s="101">
        <f>-SUMIFS(Xero!$F:$F,Xero!$B:$B,Heron!AO$9,Xero!$A:$A,Heron!$A$4,Xero!$E:$E,Heron!$A26)-SUMIFS(Xero!$F:$F,Xero!$B:$B,Heron!AO$9,Xero!$A:$A,Heron!$A$5,Xero!$E:$E,Heron!$A26)</f>
        <v/>
      </c>
      <c r="AP26" s="101">
        <f>-SUMIFS(Xero!$F:$F,Xero!$B:$B,Heron!AP$9,Xero!$A:$A,Heron!$A$4,Xero!$E:$E,Heron!$A26)-SUMIFS(Xero!$F:$F,Xero!$B:$B,Heron!AP$9,Xero!$A:$A,Heron!$A$5,Xero!$E:$E,Heron!$A26)</f>
        <v/>
      </c>
      <c r="AQ26" s="101">
        <f>-SUMIFS(Xero!$F:$F,Xero!$B:$B,Heron!AQ$9,Xero!$A:$A,Heron!$A$4,Xero!$E:$E,Heron!$A26)-SUMIFS(Xero!$F:$F,Xero!$B:$B,Heron!AQ$9,Xero!$A:$A,Heron!$A$5,Xero!$E:$E,Heron!$A26)</f>
        <v/>
      </c>
      <c r="AR26" s="101">
        <f>-SUMIFS(Xero!$F:$F,Xero!$B:$B,Heron!AR$9,Xero!$A:$A,Heron!$A$4,Xero!$E:$E,Heron!$A26)-SUMIFS(Xero!$F:$F,Xero!$B:$B,Heron!AR$9,Xero!$A:$A,Heron!$A$5,Xero!$E:$E,Heron!$A26)</f>
        <v/>
      </c>
      <c r="AS26" s="101">
        <f>-SUMIFS(Xero!$F:$F,Xero!$B:$B,Heron!AS$9,Xero!$A:$A,Heron!$A$4,Xero!$E:$E,Heron!$A26)-SUMIFS(Xero!$F:$F,Xero!$B:$B,Heron!AS$9,Xero!$A:$A,Heron!$A$5,Xero!$E:$E,Heron!$A26)</f>
        <v/>
      </c>
      <c r="AT26" s="101">
        <f>-SUMIFS(Xero!$F:$F,Xero!$B:$B,Heron!AT$9,Xero!$A:$A,Heron!$A$4,Xero!$E:$E,Heron!$A26)-SUMIFS(Xero!$F:$F,Xero!$B:$B,Heron!AT$9,Xero!$A:$A,Heron!$A$5,Xero!$E:$E,Heron!$A26)</f>
        <v/>
      </c>
      <c r="AU26" s="101">
        <f>-SUMIFS(Xero!$F:$F,Xero!$B:$B,Heron!AU$9,Xero!$A:$A,Heron!$A$4,Xero!$E:$E,Heron!$A26)-SUMIFS(Xero!$F:$F,Xero!$B:$B,Heron!AU$9,Xero!$A:$A,Heron!$A$5,Xero!$E:$E,Heron!$A26)</f>
        <v/>
      </c>
      <c r="AV26" s="101">
        <f>-SUMIFS(Xero!$F:$F,Xero!$B:$B,Heron!AV$9,Xero!$A:$A,Heron!$A$4,Xero!$E:$E,Heron!$A26)-SUMIFS(Xero!$F:$F,Xero!$B:$B,Heron!AV$9,Xero!$A:$A,Heron!$A$5,Xero!$E:$E,Heron!$A26)</f>
        <v/>
      </c>
      <c r="AW26" s="101">
        <f>-SUMIFS(Xero!$F:$F,Xero!$B:$B,Heron!AW$9,Xero!$A:$A,Heron!$A$4,Xero!$E:$E,Heron!$A26)-SUMIFS(Xero!$F:$F,Xero!$B:$B,Heron!AW$9,Xero!$A:$A,Heron!$A$5,Xero!$E:$E,Heron!$A26)</f>
        <v/>
      </c>
      <c r="AX26" s="101">
        <f>-SUMIFS(Xero!$F:$F,Xero!$B:$B,Heron!AX$9,Xero!$A:$A,Heron!$A$4,Xero!$E:$E,Heron!$A26)-SUMIFS(Xero!$F:$F,Xero!$B:$B,Heron!AX$9,Xero!$A:$A,Heron!$A$5,Xero!$E:$E,Heron!$A26)</f>
        <v/>
      </c>
      <c r="AY26" s="101">
        <f>-SUMIFS(Xero!$F:$F,Xero!$B:$B,Heron!AY$9,Xero!$A:$A,Heron!$A$4,Xero!$E:$E,Heron!$A26)-SUMIFS(Xero!$F:$F,Xero!$B:$B,Heron!AY$9,Xero!$A:$A,Heron!$A$5,Xero!$E:$E,Heron!$A26)</f>
        <v/>
      </c>
      <c r="AZ26" s="101">
        <f>-SUMIFS(Xero!$F:$F,Xero!$B:$B,Heron!AZ$9,Xero!$A:$A,Heron!$A$4,Xero!$E:$E,Heron!$A26)-SUMIFS(Xero!$F:$F,Xero!$B:$B,Heron!AZ$9,Xero!$A:$A,Heron!$A$5,Xero!$E:$E,Heron!$A26)</f>
        <v/>
      </c>
      <c r="BA26" s="101">
        <f>-SUMIFS(Xero!$F:$F,Xero!$B:$B,Heron!BA$9,Xero!$A:$A,Heron!$A$4,Xero!$E:$E,Heron!$A26)-SUMIFS(Xero!$F:$F,Xero!$B:$B,Heron!BA$9,Xero!$A:$A,Heron!$A$5,Xero!$E:$E,Heron!$A26)</f>
        <v/>
      </c>
      <c r="BB26" s="101">
        <f>-SUMIFS(Xero!$F:$F,Xero!$B:$B,Heron!BB$9,Xero!$A:$A,Heron!$A$4,Xero!$E:$E,Heron!$A26)-SUMIFS(Xero!$F:$F,Xero!$B:$B,Heron!BB$9,Xero!$A:$A,Heron!$A$5,Xero!$E:$E,Heron!$A26)</f>
        <v/>
      </c>
      <c r="BC26" s="101">
        <f>-SUMIFS(Xero!$F:$F,Xero!$B:$B,Heron!BC$9,Xero!$A:$A,Heron!$A$4,Xero!$E:$E,Heron!$A26)-SUMIFS(Xero!$F:$F,Xero!$B:$B,Heron!BC$9,Xero!$A:$A,Heron!$A$5,Xero!$E:$E,Heron!$A26)</f>
        <v/>
      </c>
      <c r="BD26" s="101">
        <f>-SUMIFS(Xero!$F:$F,Xero!$B:$B,Heron!BD$9,Xero!$A:$A,Heron!$A$4,Xero!$E:$E,Heron!$A26)-SUMIFS(Xero!$F:$F,Xero!$B:$B,Heron!BD$9,Xero!$A:$A,Heron!$A$5,Xero!$E:$E,Heron!$A26)</f>
        <v/>
      </c>
      <c r="BE26" s="101">
        <f>-SUMIFS(Xero!$F:$F,Xero!$B:$B,Heron!BE$9,Xero!$A:$A,Heron!$A$4,Xero!$E:$E,Heron!$A26)-SUMIFS(Xero!$F:$F,Xero!$B:$B,Heron!BE$9,Xero!$A:$A,Heron!$A$5,Xero!$E:$E,Heron!$A26)</f>
        <v/>
      </c>
      <c r="BF26" s="101">
        <f>-SUMIFS(Xero!$F:$F,Xero!$B:$B,Heron!BF$9,Xero!$A:$A,Heron!$A$4,Xero!$E:$E,Heron!$A26)-SUMIFS(Xero!$F:$F,Xero!$B:$B,Heron!BF$9,Xero!$A:$A,Heron!$A$5,Xero!$E:$E,Heron!$A26)</f>
        <v/>
      </c>
      <c r="BG26" s="101">
        <f>-SUMIFS(Xero!$F:$F,Xero!$B:$B,Heron!BG$9,Xero!$A:$A,Heron!$A$4,Xero!$E:$E,Heron!$A26)-SUMIFS(Xero!$F:$F,Xero!$B:$B,Heron!BG$9,Xero!$A:$A,Heron!$A$5,Xero!$E:$E,Heron!$A26)</f>
        <v/>
      </c>
      <c r="BH26" s="101">
        <f>-SUMIFS(Xero!$F:$F,Xero!$B:$B,Heron!BH$9,Xero!$A:$A,Heron!$A$4,Xero!$E:$E,Heron!$A26)-SUMIFS(Xero!$F:$F,Xero!$B:$B,Heron!BH$9,Xero!$A:$A,Heron!$A$5,Xero!$E:$E,Heron!$A26)</f>
        <v/>
      </c>
      <c r="BI26" s="101">
        <f>-SUMIFS(Xero!$F:$F,Xero!$B:$B,Heron!BI$9,Xero!$A:$A,Heron!$A$4,Xero!$E:$E,Heron!$A26)-SUMIFS(Xero!$F:$F,Xero!$B:$B,Heron!BI$9,Xero!$A:$A,Heron!$A$5,Xero!$E:$E,Heron!$A26)</f>
        <v/>
      </c>
      <c r="BJ26" s="101">
        <f>-SUMIFS(Xero!$F:$F,Xero!$B:$B,Heron!BJ$9,Xero!$A:$A,Heron!$A$4,Xero!$E:$E,Heron!$A26)-SUMIFS(Xero!$F:$F,Xero!$B:$B,Heron!BJ$9,Xero!$A:$A,Heron!$A$5,Xero!$E:$E,Heron!$A26)</f>
        <v/>
      </c>
      <c r="BK26" s="101">
        <f>sum(D26:BJ26)</f>
        <v/>
      </c>
    </row>
    <row r="27">
      <c r="A27" s="100" t="inlineStr">
        <is>
          <t>Sales - Heron View Sales</t>
        </is>
      </c>
      <c r="D27" s="101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1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1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1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1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1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1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1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1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1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1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1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1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1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1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1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1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1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1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1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1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1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1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1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1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1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1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1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1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1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1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1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1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1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1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1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1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1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1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1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1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1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1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1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1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1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1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1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1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1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1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1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1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1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1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1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1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1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1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1">
        <f>sum(D27:BJ27)</f>
        <v/>
      </c>
    </row>
    <row r="29">
      <c r="A29" s="99" t="inlineStr">
        <is>
          <t>Total Income</t>
        </is>
      </c>
      <c r="D29" s="102">
        <f>sum(D13:D27)</f>
        <v/>
      </c>
      <c r="E29" s="102">
        <f>sum(E13:E27)</f>
        <v/>
      </c>
      <c r="F29" s="102">
        <f>sum(F13:F27)</f>
        <v/>
      </c>
      <c r="G29" s="102">
        <f>sum(G13:G27)</f>
        <v/>
      </c>
      <c r="H29" s="102">
        <f>sum(H13:H27)</f>
        <v/>
      </c>
      <c r="I29" s="102">
        <f>sum(I13:I27)</f>
        <v/>
      </c>
      <c r="J29" s="102">
        <f>sum(J13:J27)</f>
        <v/>
      </c>
      <c r="K29" s="102">
        <f>sum(K13:K27)</f>
        <v/>
      </c>
      <c r="L29" s="102">
        <f>sum(L13:L27)</f>
        <v/>
      </c>
      <c r="M29" s="102">
        <f>sum(M13:M27)</f>
        <v/>
      </c>
      <c r="N29" s="102">
        <f>sum(N13:N27)</f>
        <v/>
      </c>
      <c r="O29" s="102">
        <f>sum(O13:O27)</f>
        <v/>
      </c>
      <c r="P29" s="102">
        <f>sum(P13:P27)</f>
        <v/>
      </c>
      <c r="Q29" s="102">
        <f>sum(Q13:Q27)</f>
        <v/>
      </c>
      <c r="R29" s="102">
        <f>sum(R13:R27)</f>
        <v/>
      </c>
      <c r="S29" s="102">
        <f>sum(S13:S27)</f>
        <v/>
      </c>
      <c r="T29" s="102">
        <f>sum(T13:T27)</f>
        <v/>
      </c>
      <c r="U29" s="102">
        <f>sum(U13:U27)</f>
        <v/>
      </c>
      <c r="V29" s="102">
        <f>sum(V13:V27)</f>
        <v/>
      </c>
      <c r="W29" s="102">
        <f>sum(W13:W27)</f>
        <v/>
      </c>
      <c r="X29" s="102">
        <f>sum(X13:X27)</f>
        <v/>
      </c>
      <c r="Y29" s="102">
        <f>sum(Y13:Y27)</f>
        <v/>
      </c>
      <c r="Z29" s="102">
        <f>sum(Z13:Z27)</f>
        <v/>
      </c>
      <c r="AA29" s="102">
        <f>sum(AA13:AA27)</f>
        <v/>
      </c>
      <c r="AB29" s="102">
        <f>sum(AB13:AB27)</f>
        <v/>
      </c>
      <c r="AC29" s="102">
        <f>sum(AC13:AC27)</f>
        <v/>
      </c>
      <c r="AD29" s="102">
        <f>sum(AD13:AD27)</f>
        <v/>
      </c>
      <c r="AE29" s="102">
        <f>sum(AE13:AE27)</f>
        <v/>
      </c>
      <c r="AF29" s="102">
        <f>sum(AF13:AF27)</f>
        <v/>
      </c>
      <c r="AG29" s="102">
        <f>sum(AG13:AG27)</f>
        <v/>
      </c>
      <c r="AH29" s="102">
        <f>sum(AH13:AH27)</f>
        <v/>
      </c>
      <c r="AI29" s="102">
        <f>sum(AI13:AI27)</f>
        <v/>
      </c>
      <c r="AJ29" s="102">
        <f>sum(AJ13:AJ27)</f>
        <v/>
      </c>
      <c r="AK29" s="102">
        <f>sum(AK13:AK27)</f>
        <v/>
      </c>
      <c r="AL29" s="102">
        <f>sum(AL13:AL27)</f>
        <v/>
      </c>
      <c r="AM29" s="102">
        <f>sum(AM13:AM27)</f>
        <v/>
      </c>
      <c r="AN29" s="102">
        <f>sum(AN13:AN27)</f>
        <v/>
      </c>
      <c r="AO29" s="102">
        <f>sum(AO13:AO27)</f>
        <v/>
      </c>
      <c r="AP29" s="102">
        <f>sum(AP13:AP27)</f>
        <v/>
      </c>
      <c r="AQ29" s="102">
        <f>sum(AQ13:AQ27)</f>
        <v/>
      </c>
      <c r="AR29" s="102">
        <f>sum(AR13:AR27)</f>
        <v/>
      </c>
      <c r="AS29" s="102">
        <f>sum(AS13:AS27)</f>
        <v/>
      </c>
      <c r="AT29" s="102">
        <f>sum(AT13:AT27)</f>
        <v/>
      </c>
      <c r="AU29" s="102">
        <f>sum(AU13:AU27)</f>
        <v/>
      </c>
      <c r="AV29" s="102">
        <f>sum(AV13:AV27)</f>
        <v/>
      </c>
      <c r="AW29" s="102">
        <f>sum(AW13:AW27)</f>
        <v/>
      </c>
      <c r="AX29" s="102">
        <f>sum(AX13:AX27)</f>
        <v/>
      </c>
      <c r="AY29" s="102">
        <f>sum(AY13:AY27)</f>
        <v/>
      </c>
      <c r="AZ29" s="102">
        <f>sum(AZ13:AZ27)</f>
        <v/>
      </c>
      <c r="BA29" s="102">
        <f>sum(BA13:BA27)</f>
        <v/>
      </c>
      <c r="BB29" s="102">
        <f>sum(BB13:BB27)</f>
        <v/>
      </c>
      <c r="BC29" s="102">
        <f>sum(BC13:BC27)</f>
        <v/>
      </c>
      <c r="BD29" s="102">
        <f>sum(BD13:BD27)</f>
        <v/>
      </c>
      <c r="BE29" s="102">
        <f>sum(BE13:BE27)</f>
        <v/>
      </c>
      <c r="BF29" s="102">
        <f>sum(BF13:BF27)</f>
        <v/>
      </c>
      <c r="BG29" s="102">
        <f>sum(BG13:BG27)</f>
        <v/>
      </c>
      <c r="BH29" s="102">
        <f>sum(BH13:BH27)</f>
        <v/>
      </c>
      <c r="BI29" s="102">
        <f>sum(BI13:BI27)</f>
        <v/>
      </c>
      <c r="BJ29" s="102">
        <f>sum(BJ13:BJ27)</f>
        <v/>
      </c>
      <c r="BK29" s="102">
        <f>sum(BK13:BK27)</f>
        <v/>
      </c>
      <c r="BL29" s="102">
        <f>sum(BL13:BL27)</f>
        <v/>
      </c>
    </row>
    <row r="31">
      <c r="A31" s="99" t="inlineStr">
        <is>
          <t>Expenses</t>
        </is>
      </c>
    </row>
    <row r="33">
      <c r="A33" s="100" t="inlineStr">
        <is>
          <t>Accounting - CIPC</t>
        </is>
      </c>
      <c r="D33" s="101">
        <f>SUMIFS(Xero!$F:$F,Xero!$B:$B,Heron!D$9,Xero!$A:$A,Heron!$A$4,Xero!$E:$E,Heron!$A33)+SUMIFS(Xero!$F:$F,Xero!$B:$B,Heron!D$9,Xero!$A:$A,Heron!$A$5,Xero!$E:$E,Heron!$A33)</f>
        <v/>
      </c>
      <c r="E33" s="101">
        <f>SUMIFS(Xero!$F:$F,Xero!$B:$B,Heron!E$9,Xero!$A:$A,Heron!$A$4,Xero!$E:$E,Heron!$A33)+SUMIFS(Xero!$F:$F,Xero!$B:$B,Heron!E$9,Xero!$A:$A,Heron!$A$5,Xero!$E:$E,Heron!$A33)</f>
        <v/>
      </c>
      <c r="F33" s="101">
        <f>SUMIFS(Xero!$F:$F,Xero!$B:$B,Heron!F$9,Xero!$A:$A,Heron!$A$4,Xero!$E:$E,Heron!$A33)+SUMIFS(Xero!$F:$F,Xero!$B:$B,Heron!F$9,Xero!$A:$A,Heron!$A$5,Xero!$E:$E,Heron!$A33)</f>
        <v/>
      </c>
      <c r="G33" s="101">
        <f>SUMIFS(Xero!$F:$F,Xero!$B:$B,Heron!G$9,Xero!$A:$A,Heron!$A$4,Xero!$E:$E,Heron!$A33)+SUMIFS(Xero!$F:$F,Xero!$B:$B,Heron!G$9,Xero!$A:$A,Heron!$A$5,Xero!$E:$E,Heron!$A33)</f>
        <v/>
      </c>
      <c r="H33" s="101">
        <f>SUMIFS(Xero!$F:$F,Xero!$B:$B,Heron!H$9,Xero!$A:$A,Heron!$A$4,Xero!$E:$E,Heron!$A33)+SUMIFS(Xero!$F:$F,Xero!$B:$B,Heron!H$9,Xero!$A:$A,Heron!$A$5,Xero!$E:$E,Heron!$A33)</f>
        <v/>
      </c>
      <c r="I33" s="101">
        <f>SUMIFS(Xero!$F:$F,Xero!$B:$B,Heron!I$9,Xero!$A:$A,Heron!$A$4,Xero!$E:$E,Heron!$A33)+SUMIFS(Xero!$F:$F,Xero!$B:$B,Heron!I$9,Xero!$A:$A,Heron!$A$5,Xero!$E:$E,Heron!$A33)</f>
        <v/>
      </c>
      <c r="J33" s="101">
        <f>SUMIFS(Xero!$F:$F,Xero!$B:$B,Heron!J$9,Xero!$A:$A,Heron!$A$4,Xero!$E:$E,Heron!$A33)+SUMIFS(Xero!$F:$F,Xero!$B:$B,Heron!J$9,Xero!$A:$A,Heron!$A$5,Xero!$E:$E,Heron!$A33)</f>
        <v/>
      </c>
      <c r="K33" s="101">
        <f>SUMIFS(Xero!$F:$F,Xero!$B:$B,Heron!K$9,Xero!$A:$A,Heron!$A$4,Xero!$E:$E,Heron!$A33)+SUMIFS(Xero!$F:$F,Xero!$B:$B,Heron!K$9,Xero!$A:$A,Heron!$A$5,Xero!$E:$E,Heron!$A33)</f>
        <v/>
      </c>
      <c r="L33" s="101">
        <f>SUMIFS(Xero!$F:$F,Xero!$B:$B,Heron!L$9,Xero!$A:$A,Heron!$A$4,Xero!$E:$E,Heron!$A33)+SUMIFS(Xero!$F:$F,Xero!$B:$B,Heron!L$9,Xero!$A:$A,Heron!$A$5,Xero!$E:$E,Heron!$A33)</f>
        <v/>
      </c>
      <c r="M33" s="101">
        <f>SUMIFS(Xero!$F:$F,Xero!$B:$B,Heron!M$9,Xero!$A:$A,Heron!$A$4,Xero!$E:$E,Heron!$A33)+SUMIFS(Xero!$F:$F,Xero!$B:$B,Heron!M$9,Xero!$A:$A,Heron!$A$5,Xero!$E:$E,Heron!$A33)</f>
        <v/>
      </c>
      <c r="N33" s="101">
        <f>SUMIFS(Xero!$F:$F,Xero!$B:$B,Heron!N$9,Xero!$A:$A,Heron!$A$4,Xero!$E:$E,Heron!$A33)+SUMIFS(Xero!$F:$F,Xero!$B:$B,Heron!N$9,Xero!$A:$A,Heron!$A$5,Xero!$E:$E,Heron!$A33)</f>
        <v/>
      </c>
      <c r="O33" s="101">
        <f>SUMIFS(Xero!$F:$F,Xero!$B:$B,Heron!O$9,Xero!$A:$A,Heron!$A$4,Xero!$E:$E,Heron!$A33)+SUMIFS(Xero!$F:$F,Xero!$B:$B,Heron!O$9,Xero!$A:$A,Heron!$A$5,Xero!$E:$E,Heron!$A33)</f>
        <v/>
      </c>
      <c r="P33" s="101">
        <f>SUMIFS(Xero!$F:$F,Xero!$B:$B,Heron!P$9,Xero!$A:$A,Heron!$A$4,Xero!$E:$E,Heron!$A33)+SUMIFS(Xero!$F:$F,Xero!$B:$B,Heron!P$9,Xero!$A:$A,Heron!$A$5,Xero!$E:$E,Heron!$A33)</f>
        <v/>
      </c>
      <c r="Q33" s="101">
        <f>SUMIFS(Xero!$F:$F,Xero!$B:$B,Heron!Q$9,Xero!$A:$A,Heron!$A$4,Xero!$E:$E,Heron!$A33)+SUMIFS(Xero!$F:$F,Xero!$B:$B,Heron!Q$9,Xero!$A:$A,Heron!$A$5,Xero!$E:$E,Heron!$A33)</f>
        <v/>
      </c>
      <c r="R33" s="101">
        <f>SUMIFS(Xero!$F:$F,Xero!$B:$B,Heron!R$9,Xero!$A:$A,Heron!$A$4,Xero!$E:$E,Heron!$A33)+SUMIFS(Xero!$F:$F,Xero!$B:$B,Heron!R$9,Xero!$A:$A,Heron!$A$5,Xero!$E:$E,Heron!$A33)</f>
        <v/>
      </c>
      <c r="S33" s="101">
        <f>SUMIFS(Xero!$F:$F,Xero!$B:$B,Heron!S$9,Xero!$A:$A,Heron!$A$4,Xero!$E:$E,Heron!$A33)+SUMIFS(Xero!$F:$F,Xero!$B:$B,Heron!S$9,Xero!$A:$A,Heron!$A$5,Xero!$E:$E,Heron!$A33)</f>
        <v/>
      </c>
      <c r="T33" s="101">
        <f>SUMIFS(Xero!$F:$F,Xero!$B:$B,Heron!T$9,Xero!$A:$A,Heron!$A$4,Xero!$E:$E,Heron!$A33)+SUMIFS(Xero!$F:$F,Xero!$B:$B,Heron!T$9,Xero!$A:$A,Heron!$A$5,Xero!$E:$E,Heron!$A33)</f>
        <v/>
      </c>
      <c r="U33" s="101">
        <f>SUMIFS(Xero!$F:$F,Xero!$B:$B,Heron!U$9,Xero!$A:$A,Heron!$A$4,Xero!$E:$E,Heron!$A33)+SUMIFS(Xero!$F:$F,Xero!$B:$B,Heron!U$9,Xero!$A:$A,Heron!$A$5,Xero!$E:$E,Heron!$A33)</f>
        <v/>
      </c>
      <c r="V33" s="101">
        <f>SUMIFS(Xero!$F:$F,Xero!$B:$B,Heron!V$9,Xero!$A:$A,Heron!$A$4,Xero!$E:$E,Heron!$A33)+SUMIFS(Xero!$F:$F,Xero!$B:$B,Heron!V$9,Xero!$A:$A,Heron!$A$5,Xero!$E:$E,Heron!$A33)</f>
        <v/>
      </c>
      <c r="W33" s="101">
        <f>SUMIFS(Xero!$F:$F,Xero!$B:$B,Heron!W$9,Xero!$A:$A,Heron!$A$4,Xero!$E:$E,Heron!$A33)+SUMIFS(Xero!$F:$F,Xero!$B:$B,Heron!W$9,Xero!$A:$A,Heron!$A$5,Xero!$E:$E,Heron!$A33)</f>
        <v/>
      </c>
      <c r="X33" s="101">
        <f>SUMIFS(Xero!$F:$F,Xero!$B:$B,Heron!X$9,Xero!$A:$A,Heron!$A$4,Xero!$E:$E,Heron!$A33)+SUMIFS(Xero!$F:$F,Xero!$B:$B,Heron!X$9,Xero!$A:$A,Heron!$A$5,Xero!$E:$E,Heron!$A33)</f>
        <v/>
      </c>
      <c r="Y33" s="101">
        <f>SUMIFS(Xero!$F:$F,Xero!$B:$B,Heron!Y$9,Xero!$A:$A,Heron!$A$4,Xero!$E:$E,Heron!$A33)+SUMIFS(Xero!$F:$F,Xero!$B:$B,Heron!Y$9,Xero!$A:$A,Heron!$A$5,Xero!$E:$E,Heron!$A33)</f>
        <v/>
      </c>
      <c r="Z33" s="101">
        <f>SUMIFS(Xero!$F:$F,Xero!$B:$B,Heron!Z$9,Xero!$A:$A,Heron!$A$4,Xero!$E:$E,Heron!$A33)+SUMIFS(Xero!$F:$F,Xero!$B:$B,Heron!Z$9,Xero!$A:$A,Heron!$A$5,Xero!$E:$E,Heron!$A33)</f>
        <v/>
      </c>
      <c r="AA33" s="101">
        <f>SUMIFS(Xero!$F:$F,Xero!$B:$B,Heron!AA$9,Xero!$A:$A,Heron!$A$4,Xero!$E:$E,Heron!$A33)+SUMIFS(Xero!$F:$F,Xero!$B:$B,Heron!AA$9,Xero!$A:$A,Heron!$A$5,Xero!$E:$E,Heron!$A33)</f>
        <v/>
      </c>
      <c r="AB33" s="101">
        <f>SUMIFS(Xero!$F:$F,Xero!$B:$B,Heron!AB$9,Xero!$A:$A,Heron!$A$4,Xero!$E:$E,Heron!$A33)+SUMIFS(Xero!$F:$F,Xero!$B:$B,Heron!AB$9,Xero!$A:$A,Heron!$A$5,Xero!$E:$E,Heron!$A33)</f>
        <v/>
      </c>
      <c r="AC33" s="101">
        <f>SUMIFS(Xero!$F:$F,Xero!$B:$B,Heron!AC$9,Xero!$A:$A,Heron!$A$4,Xero!$E:$E,Heron!$A33)+SUMIFS(Xero!$F:$F,Xero!$B:$B,Heron!AC$9,Xero!$A:$A,Heron!$A$5,Xero!$E:$E,Heron!$A33)</f>
        <v/>
      </c>
      <c r="AD33" s="101">
        <f>SUMIFS(Xero!$F:$F,Xero!$B:$B,Heron!AD$9,Xero!$A:$A,Heron!$A$4,Xero!$E:$E,Heron!$A33)+SUMIFS(Xero!$F:$F,Xero!$B:$B,Heron!AD$9,Xero!$A:$A,Heron!$A$5,Xero!$E:$E,Heron!$A33)</f>
        <v/>
      </c>
      <c r="AE33" s="101">
        <f>SUMIFS(Xero!$F:$F,Xero!$B:$B,Heron!AE$9,Xero!$A:$A,Heron!$A$4,Xero!$E:$E,Heron!$A33)+SUMIFS(Xero!$F:$F,Xero!$B:$B,Heron!AE$9,Xero!$A:$A,Heron!$A$5,Xero!$E:$E,Heron!$A33)</f>
        <v/>
      </c>
      <c r="AF33" s="101">
        <f>SUMIFS(Xero!$F:$F,Xero!$B:$B,Heron!AF$9,Xero!$A:$A,Heron!$A$4,Xero!$E:$E,Heron!$A33)+SUMIFS(Xero!$F:$F,Xero!$B:$B,Heron!AF$9,Xero!$A:$A,Heron!$A$5,Xero!$E:$E,Heron!$A33)</f>
        <v/>
      </c>
      <c r="AG33" s="101">
        <f>SUMIFS(Xero!$F:$F,Xero!$B:$B,Heron!AG$9,Xero!$A:$A,Heron!$A$4,Xero!$E:$E,Heron!$A33)+SUMIFS(Xero!$F:$F,Xero!$B:$B,Heron!AG$9,Xero!$A:$A,Heron!$A$5,Xero!$E:$E,Heron!$A33)</f>
        <v/>
      </c>
      <c r="AH33" s="101">
        <f>SUMIFS(Xero!$F:$F,Xero!$B:$B,Heron!AH$9,Xero!$A:$A,Heron!$A$4,Xero!$E:$E,Heron!$A33)+SUMIFS(Xero!$F:$F,Xero!$B:$B,Heron!AH$9,Xero!$A:$A,Heron!$A$5,Xero!$E:$E,Heron!$A33)</f>
        <v/>
      </c>
      <c r="AI33" s="101">
        <f>SUMIFS(Xero!$F:$F,Xero!$B:$B,Heron!AI$9,Xero!$A:$A,Heron!$A$4,Xero!$E:$E,Heron!$A33)+SUMIFS(Xero!$F:$F,Xero!$B:$B,Heron!AI$9,Xero!$A:$A,Heron!$A$5,Xero!$E:$E,Heron!$A33)</f>
        <v/>
      </c>
      <c r="AJ33" s="101">
        <f>SUMIFS(Xero!$F:$F,Xero!$B:$B,Heron!AJ$9,Xero!$A:$A,Heron!$A$4,Xero!$E:$E,Heron!$A33)+SUMIFS(Xero!$F:$F,Xero!$B:$B,Heron!AJ$9,Xero!$A:$A,Heron!$A$5,Xero!$E:$E,Heron!$A33)</f>
        <v/>
      </c>
      <c r="AK33" s="101">
        <f>SUMIFS(Xero!$F:$F,Xero!$B:$B,Heron!AK$9,Xero!$A:$A,Heron!$A$4,Xero!$E:$E,Heron!$A33)+SUMIFS(Xero!$F:$F,Xero!$B:$B,Heron!AK$9,Xero!$A:$A,Heron!$A$5,Xero!$E:$E,Heron!$A33)</f>
        <v/>
      </c>
      <c r="AL33" s="101">
        <f>SUMIFS(Xero!$F:$F,Xero!$B:$B,Heron!AL$9,Xero!$A:$A,Heron!$A$4,Xero!$E:$E,Heron!$A33)+SUMIFS(Xero!$F:$F,Xero!$B:$B,Heron!AL$9,Xero!$A:$A,Heron!$A$5,Xero!$E:$E,Heron!$A33)</f>
        <v/>
      </c>
      <c r="AM33" s="101">
        <f>SUMIFS(Xero!$F:$F,Xero!$B:$B,Heron!AM$9,Xero!$A:$A,Heron!$A$4,Xero!$E:$E,Heron!$A33)+SUMIFS(Xero!$F:$F,Xero!$B:$B,Heron!AM$9,Xero!$A:$A,Heron!$A$5,Xero!$E:$E,Heron!$A33)</f>
        <v/>
      </c>
      <c r="AN33" s="101">
        <f>SUMIFS(Xero!$F:$F,Xero!$B:$B,Heron!AN$9,Xero!$A:$A,Heron!$A$4,Xero!$E:$E,Heron!$A33)+SUMIFS(Xero!$F:$F,Xero!$B:$B,Heron!AN$9,Xero!$A:$A,Heron!$A$5,Xero!$E:$E,Heron!$A33)</f>
        <v/>
      </c>
      <c r="AO33" s="101">
        <f>SUMIFS(Xero!$F:$F,Xero!$B:$B,Heron!AO$9,Xero!$A:$A,Heron!$A$4,Xero!$E:$E,Heron!$A33)+SUMIFS(Xero!$F:$F,Xero!$B:$B,Heron!AO$9,Xero!$A:$A,Heron!$A$5,Xero!$E:$E,Heron!$A33)</f>
        <v/>
      </c>
      <c r="AP33" s="101">
        <f>SUMIFS(Xero!$F:$F,Xero!$B:$B,Heron!AP$9,Xero!$A:$A,Heron!$A$4,Xero!$E:$E,Heron!$A33)+SUMIFS(Xero!$F:$F,Xero!$B:$B,Heron!AP$9,Xero!$A:$A,Heron!$A$5,Xero!$E:$E,Heron!$A33)</f>
        <v/>
      </c>
      <c r="AQ33" s="101">
        <f>SUMIFS(Xero!$F:$F,Xero!$B:$B,Heron!AQ$9,Xero!$A:$A,Heron!$A$4,Xero!$E:$E,Heron!$A33)+SUMIFS(Xero!$F:$F,Xero!$B:$B,Heron!AQ$9,Xero!$A:$A,Heron!$A$5,Xero!$E:$E,Heron!$A33)</f>
        <v/>
      </c>
      <c r="AR33" s="101">
        <f>SUMIFS(Xero!$F:$F,Xero!$B:$B,Heron!AR$9,Xero!$A:$A,Heron!$A$4,Xero!$E:$E,Heron!$A33)+SUMIFS(Xero!$F:$F,Xero!$B:$B,Heron!AR$9,Xero!$A:$A,Heron!$A$5,Xero!$E:$E,Heron!$A33)</f>
        <v/>
      </c>
      <c r="AS33" s="101">
        <f>SUMIFS(Xero!$F:$F,Xero!$B:$B,Heron!AS$9,Xero!$A:$A,Heron!$A$4,Xero!$E:$E,Heron!$A33)+SUMIFS(Xero!$F:$F,Xero!$B:$B,Heron!AS$9,Xero!$A:$A,Heron!$A$5,Xero!$E:$E,Heron!$A33)</f>
        <v/>
      </c>
      <c r="AT33" s="101">
        <f>SUMIFS(Xero!$F:$F,Xero!$B:$B,Heron!AT$9,Xero!$A:$A,Heron!$A$4,Xero!$E:$E,Heron!$A33)+SUMIFS(Xero!$F:$F,Xero!$B:$B,Heron!AT$9,Xero!$A:$A,Heron!$A$5,Xero!$E:$E,Heron!$A33)</f>
        <v/>
      </c>
      <c r="AU33" s="101">
        <f>SUMIFS(Xero!$F:$F,Xero!$B:$B,Heron!AU$9,Xero!$A:$A,Heron!$A$4,Xero!$E:$E,Heron!$A33)+SUMIFS(Xero!$F:$F,Xero!$B:$B,Heron!AU$9,Xero!$A:$A,Heron!$A$5,Xero!$E:$E,Heron!$A33)</f>
        <v/>
      </c>
      <c r="AV33" s="101">
        <f>SUMIFS(Xero!$F:$F,Xero!$B:$B,Heron!AV$9,Xero!$A:$A,Heron!$A$4,Xero!$E:$E,Heron!$A33)+SUMIFS(Xero!$F:$F,Xero!$B:$B,Heron!AV$9,Xero!$A:$A,Heron!$A$5,Xero!$E:$E,Heron!$A33)</f>
        <v/>
      </c>
      <c r="AW33" s="101">
        <f>SUMIFS(Xero!$F:$F,Xero!$B:$B,Heron!AW$9,Xero!$A:$A,Heron!$A$4,Xero!$E:$E,Heron!$A33)+SUMIFS(Xero!$F:$F,Xero!$B:$B,Heron!AW$9,Xero!$A:$A,Heron!$A$5,Xero!$E:$E,Heron!$A33)</f>
        <v/>
      </c>
      <c r="AX33" s="101">
        <f>SUMIFS(Xero!$F:$F,Xero!$B:$B,Heron!AX$9,Xero!$A:$A,Heron!$A$4,Xero!$E:$E,Heron!$A33)+SUMIFS(Xero!$F:$F,Xero!$B:$B,Heron!AX$9,Xero!$A:$A,Heron!$A$5,Xero!$E:$E,Heron!$A33)</f>
        <v/>
      </c>
      <c r="AY33" s="101">
        <f>SUMIFS(Xero!$F:$F,Xero!$B:$B,Heron!AY$9,Xero!$A:$A,Heron!$A$4,Xero!$E:$E,Heron!$A33)+SUMIFS(Xero!$F:$F,Xero!$B:$B,Heron!AY$9,Xero!$A:$A,Heron!$A$5,Xero!$E:$E,Heron!$A33)</f>
        <v/>
      </c>
      <c r="AZ33" s="101">
        <f>SUMIFS(Xero!$F:$F,Xero!$B:$B,Heron!AZ$9,Xero!$A:$A,Heron!$A$4,Xero!$E:$E,Heron!$A33)+SUMIFS(Xero!$F:$F,Xero!$B:$B,Heron!AZ$9,Xero!$A:$A,Heron!$A$5,Xero!$E:$E,Heron!$A33)</f>
        <v/>
      </c>
      <c r="BA33" s="101">
        <f>SUMIFS(Xero!$F:$F,Xero!$B:$B,Heron!BA$9,Xero!$A:$A,Heron!$A$4,Xero!$E:$E,Heron!$A33)+SUMIFS(Xero!$F:$F,Xero!$B:$B,Heron!BA$9,Xero!$A:$A,Heron!$A$5,Xero!$E:$E,Heron!$A33)</f>
        <v/>
      </c>
      <c r="BB33" s="101">
        <f>SUMIFS(Xero!$F:$F,Xero!$B:$B,Heron!BB$9,Xero!$A:$A,Heron!$A$4,Xero!$E:$E,Heron!$A33)+SUMIFS(Xero!$F:$F,Xero!$B:$B,Heron!BB$9,Xero!$A:$A,Heron!$A$5,Xero!$E:$E,Heron!$A33)</f>
        <v/>
      </c>
      <c r="BC33" s="101">
        <f>SUMIFS(Xero!$F:$F,Xero!$B:$B,Heron!BC$9,Xero!$A:$A,Heron!$A$4,Xero!$E:$E,Heron!$A33)+SUMIFS(Xero!$F:$F,Xero!$B:$B,Heron!BC$9,Xero!$A:$A,Heron!$A$5,Xero!$E:$E,Heron!$A33)</f>
        <v/>
      </c>
      <c r="BD33" s="101">
        <f>SUMIFS(Xero!$F:$F,Xero!$B:$B,Heron!BD$9,Xero!$A:$A,Heron!$A$4,Xero!$E:$E,Heron!$A33)+SUMIFS(Xero!$F:$F,Xero!$B:$B,Heron!BD$9,Xero!$A:$A,Heron!$A$5,Xero!$E:$E,Heron!$A33)</f>
        <v/>
      </c>
      <c r="BE33" s="101">
        <f>SUMIFS(Xero!$F:$F,Xero!$B:$B,Heron!BE$9,Xero!$A:$A,Heron!$A$4,Xero!$E:$E,Heron!$A33)+SUMIFS(Xero!$F:$F,Xero!$B:$B,Heron!BE$9,Xero!$A:$A,Heron!$A$5,Xero!$E:$E,Heron!$A33)</f>
        <v/>
      </c>
      <c r="BF33" s="101">
        <f>SUMIFS(Xero!$F:$F,Xero!$B:$B,Heron!BF$9,Xero!$A:$A,Heron!$A$4,Xero!$E:$E,Heron!$A33)+SUMIFS(Xero!$F:$F,Xero!$B:$B,Heron!BF$9,Xero!$A:$A,Heron!$A$5,Xero!$E:$E,Heron!$A33)</f>
        <v/>
      </c>
      <c r="BG33" s="101">
        <f>SUMIFS(Xero!$F:$F,Xero!$B:$B,Heron!BG$9,Xero!$A:$A,Heron!$A$4,Xero!$E:$E,Heron!$A33)+SUMIFS(Xero!$F:$F,Xero!$B:$B,Heron!BG$9,Xero!$A:$A,Heron!$A$5,Xero!$E:$E,Heron!$A33)</f>
        <v/>
      </c>
      <c r="BH33" s="101">
        <f>SUMIFS(Xero!$F:$F,Xero!$B:$B,Heron!BH$9,Xero!$A:$A,Heron!$A$4,Xero!$E:$E,Heron!$A33)+SUMIFS(Xero!$F:$F,Xero!$B:$B,Heron!BH$9,Xero!$A:$A,Heron!$A$5,Xero!$E:$E,Heron!$A33)</f>
        <v/>
      </c>
      <c r="BI33" s="101">
        <f>SUMIFS(Xero!$F:$F,Xero!$B:$B,Heron!BI$9,Xero!$A:$A,Heron!$A$4,Xero!$E:$E,Heron!$A33)+SUMIFS(Xero!$F:$F,Xero!$B:$B,Heron!BI$9,Xero!$A:$A,Heron!$A$5,Xero!$E:$E,Heron!$A33)</f>
        <v/>
      </c>
      <c r="BJ33" s="101">
        <f>SUMIFS(Xero!$F:$F,Xero!$B:$B,Heron!BJ$9,Xero!$A:$A,Heron!$A$4,Xero!$E:$E,Heron!$A33)+SUMIFS(Xero!$F:$F,Xero!$B:$B,Heron!BJ$9,Xero!$A:$A,Heron!$A$5,Xero!$E:$E,Heron!$A33)</f>
        <v/>
      </c>
      <c r="BK33" s="101">
        <f>sum(D33:BJ33)</f>
        <v/>
      </c>
    </row>
    <row r="34">
      <c r="A34" s="100" t="inlineStr">
        <is>
          <t>Accounting Fees</t>
        </is>
      </c>
      <c r="D34" s="101">
        <f>SUMIFS(Xero!$F:$F,Xero!$B:$B,Heron!D$9,Xero!$A:$A,Heron!$A$4,Xero!$E:$E,Heron!$A34)+SUMIFS(Xero!$F:$F,Xero!$B:$B,Heron!D$9,Xero!$A:$A,Heron!$A$5,Xero!$E:$E,Heron!$A34)</f>
        <v/>
      </c>
      <c r="E34" s="101">
        <f>SUMIFS(Xero!$F:$F,Xero!$B:$B,Heron!E$9,Xero!$A:$A,Heron!$A$4,Xero!$E:$E,Heron!$A34)+SUMIFS(Xero!$F:$F,Xero!$B:$B,Heron!E$9,Xero!$A:$A,Heron!$A$5,Xero!$E:$E,Heron!$A34)</f>
        <v/>
      </c>
      <c r="F34" s="101">
        <f>SUMIFS(Xero!$F:$F,Xero!$B:$B,Heron!F$9,Xero!$A:$A,Heron!$A$4,Xero!$E:$E,Heron!$A34)+SUMIFS(Xero!$F:$F,Xero!$B:$B,Heron!F$9,Xero!$A:$A,Heron!$A$5,Xero!$E:$E,Heron!$A34)</f>
        <v/>
      </c>
      <c r="G34" s="101">
        <f>SUMIFS(Xero!$F:$F,Xero!$B:$B,Heron!G$9,Xero!$A:$A,Heron!$A$4,Xero!$E:$E,Heron!$A34)+SUMIFS(Xero!$F:$F,Xero!$B:$B,Heron!G$9,Xero!$A:$A,Heron!$A$5,Xero!$E:$E,Heron!$A34)</f>
        <v/>
      </c>
      <c r="H34" s="101">
        <f>SUMIFS(Xero!$F:$F,Xero!$B:$B,Heron!H$9,Xero!$A:$A,Heron!$A$4,Xero!$E:$E,Heron!$A34)+SUMIFS(Xero!$F:$F,Xero!$B:$B,Heron!H$9,Xero!$A:$A,Heron!$A$5,Xero!$E:$E,Heron!$A34)</f>
        <v/>
      </c>
      <c r="I34" s="101">
        <f>SUMIFS(Xero!$F:$F,Xero!$B:$B,Heron!I$9,Xero!$A:$A,Heron!$A$4,Xero!$E:$E,Heron!$A34)+SUMIFS(Xero!$F:$F,Xero!$B:$B,Heron!I$9,Xero!$A:$A,Heron!$A$5,Xero!$E:$E,Heron!$A34)</f>
        <v/>
      </c>
      <c r="J34" s="101">
        <f>SUMIFS(Xero!$F:$F,Xero!$B:$B,Heron!J$9,Xero!$A:$A,Heron!$A$4,Xero!$E:$E,Heron!$A34)+SUMIFS(Xero!$F:$F,Xero!$B:$B,Heron!J$9,Xero!$A:$A,Heron!$A$5,Xero!$E:$E,Heron!$A34)</f>
        <v/>
      </c>
      <c r="K34" s="101">
        <f>SUMIFS(Xero!$F:$F,Xero!$B:$B,Heron!K$9,Xero!$A:$A,Heron!$A$4,Xero!$E:$E,Heron!$A34)+SUMIFS(Xero!$F:$F,Xero!$B:$B,Heron!K$9,Xero!$A:$A,Heron!$A$5,Xero!$E:$E,Heron!$A34)</f>
        <v/>
      </c>
      <c r="L34" s="101">
        <f>SUMIFS(Xero!$F:$F,Xero!$B:$B,Heron!L$9,Xero!$A:$A,Heron!$A$4,Xero!$E:$E,Heron!$A34)+SUMIFS(Xero!$F:$F,Xero!$B:$B,Heron!L$9,Xero!$A:$A,Heron!$A$5,Xero!$E:$E,Heron!$A34)</f>
        <v/>
      </c>
      <c r="M34" s="101">
        <f>SUMIFS(Xero!$F:$F,Xero!$B:$B,Heron!M$9,Xero!$A:$A,Heron!$A$4,Xero!$E:$E,Heron!$A34)+SUMIFS(Xero!$F:$F,Xero!$B:$B,Heron!M$9,Xero!$A:$A,Heron!$A$5,Xero!$E:$E,Heron!$A34)</f>
        <v/>
      </c>
      <c r="N34" s="101">
        <f>SUMIFS(Xero!$F:$F,Xero!$B:$B,Heron!N$9,Xero!$A:$A,Heron!$A$4,Xero!$E:$E,Heron!$A34)+SUMIFS(Xero!$F:$F,Xero!$B:$B,Heron!N$9,Xero!$A:$A,Heron!$A$5,Xero!$E:$E,Heron!$A34)</f>
        <v/>
      </c>
      <c r="O34" s="101">
        <f>SUMIFS(Xero!$F:$F,Xero!$B:$B,Heron!O$9,Xero!$A:$A,Heron!$A$4,Xero!$E:$E,Heron!$A34)+SUMIFS(Xero!$F:$F,Xero!$B:$B,Heron!O$9,Xero!$A:$A,Heron!$A$5,Xero!$E:$E,Heron!$A34)</f>
        <v/>
      </c>
      <c r="P34" s="101">
        <f>SUMIFS(Xero!$F:$F,Xero!$B:$B,Heron!P$9,Xero!$A:$A,Heron!$A$4,Xero!$E:$E,Heron!$A34)+SUMIFS(Xero!$F:$F,Xero!$B:$B,Heron!P$9,Xero!$A:$A,Heron!$A$5,Xero!$E:$E,Heron!$A34)</f>
        <v/>
      </c>
      <c r="Q34" s="101">
        <f>SUMIFS(Xero!$F:$F,Xero!$B:$B,Heron!Q$9,Xero!$A:$A,Heron!$A$4,Xero!$E:$E,Heron!$A34)+SUMIFS(Xero!$F:$F,Xero!$B:$B,Heron!Q$9,Xero!$A:$A,Heron!$A$5,Xero!$E:$E,Heron!$A34)</f>
        <v/>
      </c>
      <c r="R34" s="101">
        <f>SUMIFS(Xero!$F:$F,Xero!$B:$B,Heron!R$9,Xero!$A:$A,Heron!$A$4,Xero!$E:$E,Heron!$A34)+SUMIFS(Xero!$F:$F,Xero!$B:$B,Heron!R$9,Xero!$A:$A,Heron!$A$5,Xero!$E:$E,Heron!$A34)</f>
        <v/>
      </c>
      <c r="S34" s="101">
        <f>SUMIFS(Xero!$F:$F,Xero!$B:$B,Heron!S$9,Xero!$A:$A,Heron!$A$4,Xero!$E:$E,Heron!$A34)+SUMIFS(Xero!$F:$F,Xero!$B:$B,Heron!S$9,Xero!$A:$A,Heron!$A$5,Xero!$E:$E,Heron!$A34)</f>
        <v/>
      </c>
      <c r="T34" s="101">
        <f>SUMIFS(Xero!$F:$F,Xero!$B:$B,Heron!T$9,Xero!$A:$A,Heron!$A$4,Xero!$E:$E,Heron!$A34)+SUMIFS(Xero!$F:$F,Xero!$B:$B,Heron!T$9,Xero!$A:$A,Heron!$A$5,Xero!$E:$E,Heron!$A34)</f>
        <v/>
      </c>
      <c r="U34" s="101">
        <f>SUMIFS(Xero!$F:$F,Xero!$B:$B,Heron!U$9,Xero!$A:$A,Heron!$A$4,Xero!$E:$E,Heron!$A34)+SUMIFS(Xero!$F:$F,Xero!$B:$B,Heron!U$9,Xero!$A:$A,Heron!$A$5,Xero!$E:$E,Heron!$A34)</f>
        <v/>
      </c>
      <c r="V34" s="101">
        <f>SUMIFS(Xero!$F:$F,Xero!$B:$B,Heron!V$9,Xero!$A:$A,Heron!$A$4,Xero!$E:$E,Heron!$A34)+SUMIFS(Xero!$F:$F,Xero!$B:$B,Heron!V$9,Xero!$A:$A,Heron!$A$5,Xero!$E:$E,Heron!$A34)</f>
        <v/>
      </c>
      <c r="W34" s="101">
        <f>SUMIFS(Xero!$F:$F,Xero!$B:$B,Heron!W$9,Xero!$A:$A,Heron!$A$4,Xero!$E:$E,Heron!$A34)+SUMIFS(Xero!$F:$F,Xero!$B:$B,Heron!W$9,Xero!$A:$A,Heron!$A$5,Xero!$E:$E,Heron!$A34)</f>
        <v/>
      </c>
      <c r="X34" s="101">
        <f>SUMIFS(Xero!$F:$F,Xero!$B:$B,Heron!X$9,Xero!$A:$A,Heron!$A$4,Xero!$E:$E,Heron!$A34)+SUMIFS(Xero!$F:$F,Xero!$B:$B,Heron!X$9,Xero!$A:$A,Heron!$A$5,Xero!$E:$E,Heron!$A34)</f>
        <v/>
      </c>
      <c r="Y34" s="101">
        <f>SUMIFS(Xero!$F:$F,Xero!$B:$B,Heron!Y$9,Xero!$A:$A,Heron!$A$4,Xero!$E:$E,Heron!$A34)+SUMIFS(Xero!$F:$F,Xero!$B:$B,Heron!Y$9,Xero!$A:$A,Heron!$A$5,Xero!$E:$E,Heron!$A34)</f>
        <v/>
      </c>
      <c r="Z34" s="101">
        <f>SUMIFS(Xero!$F:$F,Xero!$B:$B,Heron!Z$9,Xero!$A:$A,Heron!$A$4,Xero!$E:$E,Heron!$A34)+SUMIFS(Xero!$F:$F,Xero!$B:$B,Heron!Z$9,Xero!$A:$A,Heron!$A$5,Xero!$E:$E,Heron!$A34)</f>
        <v/>
      </c>
      <c r="AA34" s="101">
        <f>SUMIFS(Xero!$F:$F,Xero!$B:$B,Heron!AA$9,Xero!$A:$A,Heron!$A$4,Xero!$E:$E,Heron!$A34)+SUMIFS(Xero!$F:$F,Xero!$B:$B,Heron!AA$9,Xero!$A:$A,Heron!$A$5,Xero!$E:$E,Heron!$A34)</f>
        <v/>
      </c>
      <c r="AB34" s="101">
        <f>SUMIFS(Xero!$F:$F,Xero!$B:$B,Heron!AB$9,Xero!$A:$A,Heron!$A$4,Xero!$E:$E,Heron!$A34)+SUMIFS(Xero!$F:$F,Xero!$B:$B,Heron!AB$9,Xero!$A:$A,Heron!$A$5,Xero!$E:$E,Heron!$A34)</f>
        <v/>
      </c>
      <c r="AC34" s="101">
        <f>SUMIFS(Xero!$F:$F,Xero!$B:$B,Heron!AC$9,Xero!$A:$A,Heron!$A$4,Xero!$E:$E,Heron!$A34)+SUMIFS(Xero!$F:$F,Xero!$B:$B,Heron!AC$9,Xero!$A:$A,Heron!$A$5,Xero!$E:$E,Heron!$A34)</f>
        <v/>
      </c>
      <c r="AD34" s="101">
        <f>SUMIFS(Xero!$F:$F,Xero!$B:$B,Heron!AD$9,Xero!$A:$A,Heron!$A$4,Xero!$E:$E,Heron!$A34)+SUMIFS(Xero!$F:$F,Xero!$B:$B,Heron!AD$9,Xero!$A:$A,Heron!$A$5,Xero!$E:$E,Heron!$A34)</f>
        <v/>
      </c>
      <c r="AE34" s="101">
        <f>SUMIFS(Xero!$F:$F,Xero!$B:$B,Heron!AE$9,Xero!$A:$A,Heron!$A$4,Xero!$E:$E,Heron!$A34)+SUMIFS(Xero!$F:$F,Xero!$B:$B,Heron!AE$9,Xero!$A:$A,Heron!$A$5,Xero!$E:$E,Heron!$A34)</f>
        <v/>
      </c>
      <c r="AF34" s="101">
        <f>SUMIFS(Xero!$F:$F,Xero!$B:$B,Heron!AF$9,Xero!$A:$A,Heron!$A$4,Xero!$E:$E,Heron!$A34)+SUMIFS(Xero!$F:$F,Xero!$B:$B,Heron!AF$9,Xero!$A:$A,Heron!$A$5,Xero!$E:$E,Heron!$A34)</f>
        <v/>
      </c>
      <c r="AG34" s="101">
        <f>SUMIFS(Xero!$F:$F,Xero!$B:$B,Heron!AG$9,Xero!$A:$A,Heron!$A$4,Xero!$E:$E,Heron!$A34)+SUMIFS(Xero!$F:$F,Xero!$B:$B,Heron!AG$9,Xero!$A:$A,Heron!$A$5,Xero!$E:$E,Heron!$A34)</f>
        <v/>
      </c>
      <c r="AH34" s="101">
        <f>SUMIFS(Xero!$F:$F,Xero!$B:$B,Heron!AH$9,Xero!$A:$A,Heron!$A$4,Xero!$E:$E,Heron!$A34)+SUMIFS(Xero!$F:$F,Xero!$B:$B,Heron!AH$9,Xero!$A:$A,Heron!$A$5,Xero!$E:$E,Heron!$A34)</f>
        <v/>
      </c>
      <c r="AI34" s="101">
        <f>SUMIFS(Xero!$F:$F,Xero!$B:$B,Heron!AI$9,Xero!$A:$A,Heron!$A$4,Xero!$E:$E,Heron!$A34)+SUMIFS(Xero!$F:$F,Xero!$B:$B,Heron!AI$9,Xero!$A:$A,Heron!$A$5,Xero!$E:$E,Heron!$A34)</f>
        <v/>
      </c>
      <c r="AJ34" s="101">
        <f>SUMIFS(Xero!$F:$F,Xero!$B:$B,Heron!AJ$9,Xero!$A:$A,Heron!$A$4,Xero!$E:$E,Heron!$A34)+SUMIFS(Xero!$F:$F,Xero!$B:$B,Heron!AJ$9,Xero!$A:$A,Heron!$A$5,Xero!$E:$E,Heron!$A34)</f>
        <v/>
      </c>
      <c r="AK34" s="101">
        <f>SUMIFS(Xero!$F:$F,Xero!$B:$B,Heron!AK$9,Xero!$A:$A,Heron!$A$4,Xero!$E:$E,Heron!$A34)+SUMIFS(Xero!$F:$F,Xero!$B:$B,Heron!AK$9,Xero!$A:$A,Heron!$A$5,Xero!$E:$E,Heron!$A34)</f>
        <v/>
      </c>
      <c r="AL34" s="101">
        <f>SUMIFS(Xero!$F:$F,Xero!$B:$B,Heron!AL$9,Xero!$A:$A,Heron!$A$4,Xero!$E:$E,Heron!$A34)+SUMIFS(Xero!$F:$F,Xero!$B:$B,Heron!AL$9,Xero!$A:$A,Heron!$A$5,Xero!$E:$E,Heron!$A34)</f>
        <v/>
      </c>
      <c r="AM34" s="101">
        <f>SUMIFS(Xero!$F:$F,Xero!$B:$B,Heron!AM$9,Xero!$A:$A,Heron!$A$4,Xero!$E:$E,Heron!$A34)+SUMIFS(Xero!$F:$F,Xero!$B:$B,Heron!AM$9,Xero!$A:$A,Heron!$A$5,Xero!$E:$E,Heron!$A34)</f>
        <v/>
      </c>
      <c r="AN34" s="101">
        <f>SUMIFS(Xero!$F:$F,Xero!$B:$B,Heron!AN$9,Xero!$A:$A,Heron!$A$4,Xero!$E:$E,Heron!$A34)+SUMIFS(Xero!$F:$F,Xero!$B:$B,Heron!AN$9,Xero!$A:$A,Heron!$A$5,Xero!$E:$E,Heron!$A34)</f>
        <v/>
      </c>
      <c r="AO34" s="101">
        <f>SUMIFS(Xero!$F:$F,Xero!$B:$B,Heron!AO$9,Xero!$A:$A,Heron!$A$4,Xero!$E:$E,Heron!$A34)+SUMIFS(Xero!$F:$F,Xero!$B:$B,Heron!AO$9,Xero!$A:$A,Heron!$A$5,Xero!$E:$E,Heron!$A34)</f>
        <v/>
      </c>
      <c r="AP34" s="101">
        <f>SUMIFS(Xero!$F:$F,Xero!$B:$B,Heron!AP$9,Xero!$A:$A,Heron!$A$4,Xero!$E:$E,Heron!$A34)+SUMIFS(Xero!$F:$F,Xero!$B:$B,Heron!AP$9,Xero!$A:$A,Heron!$A$5,Xero!$E:$E,Heron!$A34)</f>
        <v/>
      </c>
      <c r="AQ34" s="101">
        <f>SUMIFS(Xero!$F:$F,Xero!$B:$B,Heron!AQ$9,Xero!$A:$A,Heron!$A$4,Xero!$E:$E,Heron!$A34)+SUMIFS(Xero!$F:$F,Xero!$B:$B,Heron!AQ$9,Xero!$A:$A,Heron!$A$5,Xero!$E:$E,Heron!$A34)</f>
        <v/>
      </c>
      <c r="AR34" s="101">
        <f>SUMIFS(Xero!$F:$F,Xero!$B:$B,Heron!AR$9,Xero!$A:$A,Heron!$A$4,Xero!$E:$E,Heron!$A34)+SUMIFS(Xero!$F:$F,Xero!$B:$B,Heron!AR$9,Xero!$A:$A,Heron!$A$5,Xero!$E:$E,Heron!$A34)</f>
        <v/>
      </c>
      <c r="AS34" s="101">
        <f>SUMIFS(Xero!$F:$F,Xero!$B:$B,Heron!AS$9,Xero!$A:$A,Heron!$A$4,Xero!$E:$E,Heron!$A34)+SUMIFS(Xero!$F:$F,Xero!$B:$B,Heron!AS$9,Xero!$A:$A,Heron!$A$5,Xero!$E:$E,Heron!$A34)</f>
        <v/>
      </c>
      <c r="AT34" s="101">
        <f>SUMIFS(Xero!$F:$F,Xero!$B:$B,Heron!AT$9,Xero!$A:$A,Heron!$A$4,Xero!$E:$E,Heron!$A34)+SUMIFS(Xero!$F:$F,Xero!$B:$B,Heron!AT$9,Xero!$A:$A,Heron!$A$5,Xero!$E:$E,Heron!$A34)</f>
        <v/>
      </c>
      <c r="AU34" s="101">
        <f>SUMIFS(Xero!$F:$F,Xero!$B:$B,Heron!AU$9,Xero!$A:$A,Heron!$A$4,Xero!$E:$E,Heron!$A34)+SUMIFS(Xero!$F:$F,Xero!$B:$B,Heron!AU$9,Xero!$A:$A,Heron!$A$5,Xero!$E:$E,Heron!$A34)</f>
        <v/>
      </c>
      <c r="AV34" s="101">
        <f>SUMIFS(Xero!$F:$F,Xero!$B:$B,Heron!AV$9,Xero!$A:$A,Heron!$A$4,Xero!$E:$E,Heron!$A34)+SUMIFS(Xero!$F:$F,Xero!$B:$B,Heron!AV$9,Xero!$A:$A,Heron!$A$5,Xero!$E:$E,Heron!$A34)</f>
        <v/>
      </c>
      <c r="AW34" s="101">
        <f>SUMIFS(Xero!$F:$F,Xero!$B:$B,Heron!AW$9,Xero!$A:$A,Heron!$A$4,Xero!$E:$E,Heron!$A34)+SUMIFS(Xero!$F:$F,Xero!$B:$B,Heron!AW$9,Xero!$A:$A,Heron!$A$5,Xero!$E:$E,Heron!$A34)</f>
        <v/>
      </c>
      <c r="AX34" s="101">
        <f>SUMIFS(Xero!$F:$F,Xero!$B:$B,Heron!AX$9,Xero!$A:$A,Heron!$A$4,Xero!$E:$E,Heron!$A34)+SUMIFS(Xero!$F:$F,Xero!$B:$B,Heron!AX$9,Xero!$A:$A,Heron!$A$5,Xero!$E:$E,Heron!$A34)</f>
        <v/>
      </c>
      <c r="AY34" s="101">
        <f>SUMIFS(Xero!$F:$F,Xero!$B:$B,Heron!AY$9,Xero!$A:$A,Heron!$A$4,Xero!$E:$E,Heron!$A34)+SUMIFS(Xero!$F:$F,Xero!$B:$B,Heron!AY$9,Xero!$A:$A,Heron!$A$5,Xero!$E:$E,Heron!$A34)</f>
        <v/>
      </c>
      <c r="AZ34" s="101">
        <f>SUMIFS(Xero!$F:$F,Xero!$B:$B,Heron!AZ$9,Xero!$A:$A,Heron!$A$4,Xero!$E:$E,Heron!$A34)+SUMIFS(Xero!$F:$F,Xero!$B:$B,Heron!AZ$9,Xero!$A:$A,Heron!$A$5,Xero!$E:$E,Heron!$A34)</f>
        <v/>
      </c>
      <c r="BA34" s="101">
        <f>SUMIFS(Xero!$F:$F,Xero!$B:$B,Heron!BA$9,Xero!$A:$A,Heron!$A$4,Xero!$E:$E,Heron!$A34)+SUMIFS(Xero!$F:$F,Xero!$B:$B,Heron!BA$9,Xero!$A:$A,Heron!$A$5,Xero!$E:$E,Heron!$A34)</f>
        <v/>
      </c>
      <c r="BB34" s="101">
        <f>SUMIFS(Xero!$F:$F,Xero!$B:$B,Heron!BB$9,Xero!$A:$A,Heron!$A$4,Xero!$E:$E,Heron!$A34)+SUMIFS(Xero!$F:$F,Xero!$B:$B,Heron!BB$9,Xero!$A:$A,Heron!$A$5,Xero!$E:$E,Heron!$A34)</f>
        <v/>
      </c>
      <c r="BC34" s="101">
        <f>SUMIFS(Xero!$F:$F,Xero!$B:$B,Heron!BC$9,Xero!$A:$A,Heron!$A$4,Xero!$E:$E,Heron!$A34)+SUMIFS(Xero!$F:$F,Xero!$B:$B,Heron!BC$9,Xero!$A:$A,Heron!$A$5,Xero!$E:$E,Heron!$A34)</f>
        <v/>
      </c>
      <c r="BD34" s="101">
        <f>SUMIFS(Xero!$F:$F,Xero!$B:$B,Heron!BD$9,Xero!$A:$A,Heron!$A$4,Xero!$E:$E,Heron!$A34)+SUMIFS(Xero!$F:$F,Xero!$B:$B,Heron!BD$9,Xero!$A:$A,Heron!$A$5,Xero!$E:$E,Heron!$A34)</f>
        <v/>
      </c>
      <c r="BE34" s="101">
        <f>SUMIFS(Xero!$F:$F,Xero!$B:$B,Heron!BE$9,Xero!$A:$A,Heron!$A$4,Xero!$E:$E,Heron!$A34)+SUMIFS(Xero!$F:$F,Xero!$B:$B,Heron!BE$9,Xero!$A:$A,Heron!$A$5,Xero!$E:$E,Heron!$A34)</f>
        <v/>
      </c>
      <c r="BF34" s="101">
        <f>SUMIFS(Xero!$F:$F,Xero!$B:$B,Heron!BF$9,Xero!$A:$A,Heron!$A$4,Xero!$E:$E,Heron!$A34)+SUMIFS(Xero!$F:$F,Xero!$B:$B,Heron!BF$9,Xero!$A:$A,Heron!$A$5,Xero!$E:$E,Heron!$A34)</f>
        <v/>
      </c>
      <c r="BG34" s="101">
        <f>SUMIFS(Xero!$F:$F,Xero!$B:$B,Heron!BG$9,Xero!$A:$A,Heron!$A$4,Xero!$E:$E,Heron!$A34)+SUMIFS(Xero!$F:$F,Xero!$B:$B,Heron!BG$9,Xero!$A:$A,Heron!$A$5,Xero!$E:$E,Heron!$A34)</f>
        <v/>
      </c>
      <c r="BH34" s="101">
        <f>SUMIFS(Xero!$F:$F,Xero!$B:$B,Heron!BH$9,Xero!$A:$A,Heron!$A$4,Xero!$E:$E,Heron!$A34)+SUMIFS(Xero!$F:$F,Xero!$B:$B,Heron!BH$9,Xero!$A:$A,Heron!$A$5,Xero!$E:$E,Heron!$A34)</f>
        <v/>
      </c>
      <c r="BI34" s="101">
        <f>SUMIFS(Xero!$F:$F,Xero!$B:$B,Heron!BI$9,Xero!$A:$A,Heron!$A$4,Xero!$E:$E,Heron!$A34)+SUMIFS(Xero!$F:$F,Xero!$B:$B,Heron!BI$9,Xero!$A:$A,Heron!$A$5,Xero!$E:$E,Heron!$A34)</f>
        <v/>
      </c>
      <c r="BJ34" s="101">
        <f>SUMIFS(Xero!$F:$F,Xero!$B:$B,Heron!BJ$9,Xero!$A:$A,Heron!$A$4,Xero!$E:$E,Heron!$A34)+SUMIFS(Xero!$F:$F,Xero!$B:$B,Heron!BJ$9,Xero!$A:$A,Heron!$A$5,Xero!$E:$E,Heron!$A34)</f>
        <v/>
      </c>
      <c r="BK34" s="101">
        <f>sum(D34:BJ34)</f>
        <v/>
      </c>
    </row>
    <row r="35">
      <c r="A35" s="100" t="inlineStr">
        <is>
          <t>Admin - MBA</t>
        </is>
      </c>
      <c r="D35" s="101">
        <f>SUMIFS(Xero!$F:$F,Xero!$B:$B,Heron!D$9,Xero!$A:$A,Heron!$A$4,Xero!$E:$E,Heron!$A35)+SUMIFS(Xero!$F:$F,Xero!$B:$B,Heron!D$9,Xero!$A:$A,Heron!$A$5,Xero!$E:$E,Heron!$A35)</f>
        <v/>
      </c>
      <c r="E35" s="101">
        <f>SUMIFS(Xero!$F:$F,Xero!$B:$B,Heron!E$9,Xero!$A:$A,Heron!$A$4,Xero!$E:$E,Heron!$A35)+SUMIFS(Xero!$F:$F,Xero!$B:$B,Heron!E$9,Xero!$A:$A,Heron!$A$5,Xero!$E:$E,Heron!$A35)</f>
        <v/>
      </c>
      <c r="F35" s="101">
        <f>SUMIFS(Xero!$F:$F,Xero!$B:$B,Heron!F$9,Xero!$A:$A,Heron!$A$4,Xero!$E:$E,Heron!$A35)+SUMIFS(Xero!$F:$F,Xero!$B:$B,Heron!F$9,Xero!$A:$A,Heron!$A$5,Xero!$E:$E,Heron!$A35)</f>
        <v/>
      </c>
      <c r="G35" s="101">
        <f>SUMIFS(Xero!$F:$F,Xero!$B:$B,Heron!G$9,Xero!$A:$A,Heron!$A$4,Xero!$E:$E,Heron!$A35)+SUMIFS(Xero!$F:$F,Xero!$B:$B,Heron!G$9,Xero!$A:$A,Heron!$A$5,Xero!$E:$E,Heron!$A35)</f>
        <v/>
      </c>
      <c r="H35" s="101">
        <f>SUMIFS(Xero!$F:$F,Xero!$B:$B,Heron!H$9,Xero!$A:$A,Heron!$A$4,Xero!$E:$E,Heron!$A35)+SUMIFS(Xero!$F:$F,Xero!$B:$B,Heron!H$9,Xero!$A:$A,Heron!$A$5,Xero!$E:$E,Heron!$A35)</f>
        <v/>
      </c>
      <c r="I35" s="101">
        <f>SUMIFS(Xero!$F:$F,Xero!$B:$B,Heron!I$9,Xero!$A:$A,Heron!$A$4,Xero!$E:$E,Heron!$A35)+SUMIFS(Xero!$F:$F,Xero!$B:$B,Heron!I$9,Xero!$A:$A,Heron!$A$5,Xero!$E:$E,Heron!$A35)</f>
        <v/>
      </c>
      <c r="J35" s="101">
        <f>SUMIFS(Xero!$F:$F,Xero!$B:$B,Heron!J$9,Xero!$A:$A,Heron!$A$4,Xero!$E:$E,Heron!$A35)+SUMIFS(Xero!$F:$F,Xero!$B:$B,Heron!J$9,Xero!$A:$A,Heron!$A$5,Xero!$E:$E,Heron!$A35)</f>
        <v/>
      </c>
      <c r="K35" s="101">
        <f>SUMIFS(Xero!$F:$F,Xero!$B:$B,Heron!K$9,Xero!$A:$A,Heron!$A$4,Xero!$E:$E,Heron!$A35)+SUMIFS(Xero!$F:$F,Xero!$B:$B,Heron!K$9,Xero!$A:$A,Heron!$A$5,Xero!$E:$E,Heron!$A35)</f>
        <v/>
      </c>
      <c r="L35" s="101">
        <f>SUMIFS(Xero!$F:$F,Xero!$B:$B,Heron!L$9,Xero!$A:$A,Heron!$A$4,Xero!$E:$E,Heron!$A35)+SUMIFS(Xero!$F:$F,Xero!$B:$B,Heron!L$9,Xero!$A:$A,Heron!$A$5,Xero!$E:$E,Heron!$A35)</f>
        <v/>
      </c>
      <c r="M35" s="101">
        <f>SUMIFS(Xero!$F:$F,Xero!$B:$B,Heron!M$9,Xero!$A:$A,Heron!$A$4,Xero!$E:$E,Heron!$A35)+SUMIFS(Xero!$F:$F,Xero!$B:$B,Heron!M$9,Xero!$A:$A,Heron!$A$5,Xero!$E:$E,Heron!$A35)</f>
        <v/>
      </c>
      <c r="N35" s="101">
        <f>SUMIFS(Xero!$F:$F,Xero!$B:$B,Heron!N$9,Xero!$A:$A,Heron!$A$4,Xero!$E:$E,Heron!$A35)+SUMIFS(Xero!$F:$F,Xero!$B:$B,Heron!N$9,Xero!$A:$A,Heron!$A$5,Xero!$E:$E,Heron!$A35)</f>
        <v/>
      </c>
      <c r="O35" s="101">
        <f>SUMIFS(Xero!$F:$F,Xero!$B:$B,Heron!O$9,Xero!$A:$A,Heron!$A$4,Xero!$E:$E,Heron!$A35)+SUMIFS(Xero!$F:$F,Xero!$B:$B,Heron!O$9,Xero!$A:$A,Heron!$A$5,Xero!$E:$E,Heron!$A35)</f>
        <v/>
      </c>
      <c r="P35" s="101">
        <f>SUMIFS(Xero!$F:$F,Xero!$B:$B,Heron!P$9,Xero!$A:$A,Heron!$A$4,Xero!$E:$E,Heron!$A35)+SUMIFS(Xero!$F:$F,Xero!$B:$B,Heron!P$9,Xero!$A:$A,Heron!$A$5,Xero!$E:$E,Heron!$A35)</f>
        <v/>
      </c>
      <c r="Q35" s="101">
        <f>SUMIFS(Xero!$F:$F,Xero!$B:$B,Heron!Q$9,Xero!$A:$A,Heron!$A$4,Xero!$E:$E,Heron!$A35)+SUMIFS(Xero!$F:$F,Xero!$B:$B,Heron!Q$9,Xero!$A:$A,Heron!$A$5,Xero!$E:$E,Heron!$A35)</f>
        <v/>
      </c>
      <c r="R35" s="101">
        <f>SUMIFS(Xero!$F:$F,Xero!$B:$B,Heron!R$9,Xero!$A:$A,Heron!$A$4,Xero!$E:$E,Heron!$A35)+SUMIFS(Xero!$F:$F,Xero!$B:$B,Heron!R$9,Xero!$A:$A,Heron!$A$5,Xero!$E:$E,Heron!$A35)</f>
        <v/>
      </c>
      <c r="S35" s="101">
        <f>SUMIFS(Xero!$F:$F,Xero!$B:$B,Heron!S$9,Xero!$A:$A,Heron!$A$4,Xero!$E:$E,Heron!$A35)+SUMIFS(Xero!$F:$F,Xero!$B:$B,Heron!S$9,Xero!$A:$A,Heron!$A$5,Xero!$E:$E,Heron!$A35)</f>
        <v/>
      </c>
      <c r="T35" s="101">
        <f>SUMIFS(Xero!$F:$F,Xero!$B:$B,Heron!T$9,Xero!$A:$A,Heron!$A$4,Xero!$E:$E,Heron!$A35)+SUMIFS(Xero!$F:$F,Xero!$B:$B,Heron!T$9,Xero!$A:$A,Heron!$A$5,Xero!$E:$E,Heron!$A35)</f>
        <v/>
      </c>
      <c r="U35" s="101">
        <f>SUMIFS(Xero!$F:$F,Xero!$B:$B,Heron!U$9,Xero!$A:$A,Heron!$A$4,Xero!$E:$E,Heron!$A35)+SUMIFS(Xero!$F:$F,Xero!$B:$B,Heron!U$9,Xero!$A:$A,Heron!$A$5,Xero!$E:$E,Heron!$A35)</f>
        <v/>
      </c>
      <c r="V35" s="101">
        <f>SUMIFS(Xero!$F:$F,Xero!$B:$B,Heron!V$9,Xero!$A:$A,Heron!$A$4,Xero!$E:$E,Heron!$A35)+SUMIFS(Xero!$F:$F,Xero!$B:$B,Heron!V$9,Xero!$A:$A,Heron!$A$5,Xero!$E:$E,Heron!$A35)</f>
        <v/>
      </c>
      <c r="W35" s="101">
        <f>SUMIFS(Xero!$F:$F,Xero!$B:$B,Heron!W$9,Xero!$A:$A,Heron!$A$4,Xero!$E:$E,Heron!$A35)+SUMIFS(Xero!$F:$F,Xero!$B:$B,Heron!W$9,Xero!$A:$A,Heron!$A$5,Xero!$E:$E,Heron!$A35)</f>
        <v/>
      </c>
      <c r="X35" s="101">
        <f>SUMIFS(Xero!$F:$F,Xero!$B:$B,Heron!X$9,Xero!$A:$A,Heron!$A$4,Xero!$E:$E,Heron!$A35)+SUMIFS(Xero!$F:$F,Xero!$B:$B,Heron!X$9,Xero!$A:$A,Heron!$A$5,Xero!$E:$E,Heron!$A35)</f>
        <v/>
      </c>
      <c r="Y35" s="101">
        <f>SUMIFS(Xero!$F:$F,Xero!$B:$B,Heron!Y$9,Xero!$A:$A,Heron!$A$4,Xero!$E:$E,Heron!$A35)+SUMIFS(Xero!$F:$F,Xero!$B:$B,Heron!Y$9,Xero!$A:$A,Heron!$A$5,Xero!$E:$E,Heron!$A35)</f>
        <v/>
      </c>
      <c r="Z35" s="101">
        <f>SUMIFS(Xero!$F:$F,Xero!$B:$B,Heron!Z$9,Xero!$A:$A,Heron!$A$4,Xero!$E:$E,Heron!$A35)+SUMIFS(Xero!$F:$F,Xero!$B:$B,Heron!Z$9,Xero!$A:$A,Heron!$A$5,Xero!$E:$E,Heron!$A35)</f>
        <v/>
      </c>
      <c r="AA35" s="101">
        <f>SUMIFS(Xero!$F:$F,Xero!$B:$B,Heron!AA$9,Xero!$A:$A,Heron!$A$4,Xero!$E:$E,Heron!$A35)+SUMIFS(Xero!$F:$F,Xero!$B:$B,Heron!AA$9,Xero!$A:$A,Heron!$A$5,Xero!$E:$E,Heron!$A35)</f>
        <v/>
      </c>
      <c r="AB35" s="101">
        <f>SUMIFS(Xero!$F:$F,Xero!$B:$B,Heron!AB$9,Xero!$A:$A,Heron!$A$4,Xero!$E:$E,Heron!$A35)+SUMIFS(Xero!$F:$F,Xero!$B:$B,Heron!AB$9,Xero!$A:$A,Heron!$A$5,Xero!$E:$E,Heron!$A35)</f>
        <v/>
      </c>
      <c r="AC35" s="101">
        <f>SUMIFS(Xero!$F:$F,Xero!$B:$B,Heron!AC$9,Xero!$A:$A,Heron!$A$4,Xero!$E:$E,Heron!$A35)+SUMIFS(Xero!$F:$F,Xero!$B:$B,Heron!AC$9,Xero!$A:$A,Heron!$A$5,Xero!$E:$E,Heron!$A35)</f>
        <v/>
      </c>
      <c r="AD35" s="101">
        <f>SUMIFS(Xero!$F:$F,Xero!$B:$B,Heron!AD$9,Xero!$A:$A,Heron!$A$4,Xero!$E:$E,Heron!$A35)+SUMIFS(Xero!$F:$F,Xero!$B:$B,Heron!AD$9,Xero!$A:$A,Heron!$A$5,Xero!$E:$E,Heron!$A35)</f>
        <v/>
      </c>
      <c r="AE35" s="101">
        <f>SUMIFS(Xero!$F:$F,Xero!$B:$B,Heron!AE$9,Xero!$A:$A,Heron!$A$4,Xero!$E:$E,Heron!$A35)+SUMIFS(Xero!$F:$F,Xero!$B:$B,Heron!AE$9,Xero!$A:$A,Heron!$A$5,Xero!$E:$E,Heron!$A35)</f>
        <v/>
      </c>
      <c r="AF35" s="101">
        <f>SUMIFS(Xero!$F:$F,Xero!$B:$B,Heron!AF$9,Xero!$A:$A,Heron!$A$4,Xero!$E:$E,Heron!$A35)+SUMIFS(Xero!$F:$F,Xero!$B:$B,Heron!AF$9,Xero!$A:$A,Heron!$A$5,Xero!$E:$E,Heron!$A35)</f>
        <v/>
      </c>
      <c r="AG35" s="101">
        <f>SUMIFS(Xero!$F:$F,Xero!$B:$B,Heron!AG$9,Xero!$A:$A,Heron!$A$4,Xero!$E:$E,Heron!$A35)+SUMIFS(Xero!$F:$F,Xero!$B:$B,Heron!AG$9,Xero!$A:$A,Heron!$A$5,Xero!$E:$E,Heron!$A35)</f>
        <v/>
      </c>
      <c r="AH35" s="101">
        <f>SUMIFS(Xero!$F:$F,Xero!$B:$B,Heron!AH$9,Xero!$A:$A,Heron!$A$4,Xero!$E:$E,Heron!$A35)+SUMIFS(Xero!$F:$F,Xero!$B:$B,Heron!AH$9,Xero!$A:$A,Heron!$A$5,Xero!$E:$E,Heron!$A35)</f>
        <v/>
      </c>
      <c r="AI35" s="101">
        <f>SUMIFS(Xero!$F:$F,Xero!$B:$B,Heron!AI$9,Xero!$A:$A,Heron!$A$4,Xero!$E:$E,Heron!$A35)+SUMIFS(Xero!$F:$F,Xero!$B:$B,Heron!AI$9,Xero!$A:$A,Heron!$A$5,Xero!$E:$E,Heron!$A35)</f>
        <v/>
      </c>
      <c r="AJ35" s="101">
        <f>SUMIFS(Xero!$F:$F,Xero!$B:$B,Heron!AJ$9,Xero!$A:$A,Heron!$A$4,Xero!$E:$E,Heron!$A35)+SUMIFS(Xero!$F:$F,Xero!$B:$B,Heron!AJ$9,Xero!$A:$A,Heron!$A$5,Xero!$E:$E,Heron!$A35)</f>
        <v/>
      </c>
      <c r="AK35" s="101">
        <f>SUMIFS(Xero!$F:$F,Xero!$B:$B,Heron!AK$9,Xero!$A:$A,Heron!$A$4,Xero!$E:$E,Heron!$A35)+SUMIFS(Xero!$F:$F,Xero!$B:$B,Heron!AK$9,Xero!$A:$A,Heron!$A$5,Xero!$E:$E,Heron!$A35)</f>
        <v/>
      </c>
      <c r="AL35" s="101">
        <f>SUMIFS(Xero!$F:$F,Xero!$B:$B,Heron!AL$9,Xero!$A:$A,Heron!$A$4,Xero!$E:$E,Heron!$A35)+SUMIFS(Xero!$F:$F,Xero!$B:$B,Heron!AL$9,Xero!$A:$A,Heron!$A$5,Xero!$E:$E,Heron!$A35)</f>
        <v/>
      </c>
      <c r="AM35" s="101">
        <f>SUMIFS(Xero!$F:$F,Xero!$B:$B,Heron!AM$9,Xero!$A:$A,Heron!$A$4,Xero!$E:$E,Heron!$A35)+SUMIFS(Xero!$F:$F,Xero!$B:$B,Heron!AM$9,Xero!$A:$A,Heron!$A$5,Xero!$E:$E,Heron!$A35)</f>
        <v/>
      </c>
      <c r="AN35" s="101">
        <f>SUMIFS(Xero!$F:$F,Xero!$B:$B,Heron!AN$9,Xero!$A:$A,Heron!$A$4,Xero!$E:$E,Heron!$A35)+SUMIFS(Xero!$F:$F,Xero!$B:$B,Heron!AN$9,Xero!$A:$A,Heron!$A$5,Xero!$E:$E,Heron!$A35)</f>
        <v/>
      </c>
      <c r="AO35" s="101">
        <f>SUMIFS(Xero!$F:$F,Xero!$B:$B,Heron!AO$9,Xero!$A:$A,Heron!$A$4,Xero!$E:$E,Heron!$A35)+SUMIFS(Xero!$F:$F,Xero!$B:$B,Heron!AO$9,Xero!$A:$A,Heron!$A$5,Xero!$E:$E,Heron!$A35)</f>
        <v/>
      </c>
      <c r="AP35" s="101">
        <f>SUMIFS(Xero!$F:$F,Xero!$B:$B,Heron!AP$9,Xero!$A:$A,Heron!$A$4,Xero!$E:$E,Heron!$A35)+SUMIFS(Xero!$F:$F,Xero!$B:$B,Heron!AP$9,Xero!$A:$A,Heron!$A$5,Xero!$E:$E,Heron!$A35)</f>
        <v/>
      </c>
      <c r="AQ35" s="101">
        <f>SUMIFS(Xero!$F:$F,Xero!$B:$B,Heron!AQ$9,Xero!$A:$A,Heron!$A$4,Xero!$E:$E,Heron!$A35)+SUMIFS(Xero!$F:$F,Xero!$B:$B,Heron!AQ$9,Xero!$A:$A,Heron!$A$5,Xero!$E:$E,Heron!$A35)</f>
        <v/>
      </c>
      <c r="AR35" s="101">
        <f>SUMIFS(Xero!$F:$F,Xero!$B:$B,Heron!AR$9,Xero!$A:$A,Heron!$A$4,Xero!$E:$E,Heron!$A35)+SUMIFS(Xero!$F:$F,Xero!$B:$B,Heron!AR$9,Xero!$A:$A,Heron!$A$5,Xero!$E:$E,Heron!$A35)</f>
        <v/>
      </c>
      <c r="AS35" s="101">
        <f>SUMIFS(Xero!$F:$F,Xero!$B:$B,Heron!AS$9,Xero!$A:$A,Heron!$A$4,Xero!$E:$E,Heron!$A35)+SUMIFS(Xero!$F:$F,Xero!$B:$B,Heron!AS$9,Xero!$A:$A,Heron!$A$5,Xero!$E:$E,Heron!$A35)</f>
        <v/>
      </c>
      <c r="AT35" s="101">
        <f>SUMIFS(Xero!$F:$F,Xero!$B:$B,Heron!AT$9,Xero!$A:$A,Heron!$A$4,Xero!$E:$E,Heron!$A35)+SUMIFS(Xero!$F:$F,Xero!$B:$B,Heron!AT$9,Xero!$A:$A,Heron!$A$5,Xero!$E:$E,Heron!$A35)</f>
        <v/>
      </c>
      <c r="AU35" s="101">
        <f>SUMIFS(Xero!$F:$F,Xero!$B:$B,Heron!AU$9,Xero!$A:$A,Heron!$A$4,Xero!$E:$E,Heron!$A35)+SUMIFS(Xero!$F:$F,Xero!$B:$B,Heron!AU$9,Xero!$A:$A,Heron!$A$5,Xero!$E:$E,Heron!$A35)</f>
        <v/>
      </c>
      <c r="AV35" s="101">
        <f>SUMIFS(Xero!$F:$F,Xero!$B:$B,Heron!AV$9,Xero!$A:$A,Heron!$A$4,Xero!$E:$E,Heron!$A35)+SUMIFS(Xero!$F:$F,Xero!$B:$B,Heron!AV$9,Xero!$A:$A,Heron!$A$5,Xero!$E:$E,Heron!$A35)</f>
        <v/>
      </c>
      <c r="AW35" s="101">
        <f>SUMIFS(Xero!$F:$F,Xero!$B:$B,Heron!AW$9,Xero!$A:$A,Heron!$A$4,Xero!$E:$E,Heron!$A35)+SUMIFS(Xero!$F:$F,Xero!$B:$B,Heron!AW$9,Xero!$A:$A,Heron!$A$5,Xero!$E:$E,Heron!$A35)</f>
        <v/>
      </c>
      <c r="AX35" s="101">
        <f>SUMIFS(Xero!$F:$F,Xero!$B:$B,Heron!AX$9,Xero!$A:$A,Heron!$A$4,Xero!$E:$E,Heron!$A35)+SUMIFS(Xero!$F:$F,Xero!$B:$B,Heron!AX$9,Xero!$A:$A,Heron!$A$5,Xero!$E:$E,Heron!$A35)</f>
        <v/>
      </c>
      <c r="AY35" s="101">
        <f>SUMIFS(Xero!$F:$F,Xero!$B:$B,Heron!AY$9,Xero!$A:$A,Heron!$A$4,Xero!$E:$E,Heron!$A35)+SUMIFS(Xero!$F:$F,Xero!$B:$B,Heron!AY$9,Xero!$A:$A,Heron!$A$5,Xero!$E:$E,Heron!$A35)</f>
        <v/>
      </c>
      <c r="AZ35" s="101">
        <f>SUMIFS(Xero!$F:$F,Xero!$B:$B,Heron!AZ$9,Xero!$A:$A,Heron!$A$4,Xero!$E:$E,Heron!$A35)+SUMIFS(Xero!$F:$F,Xero!$B:$B,Heron!AZ$9,Xero!$A:$A,Heron!$A$5,Xero!$E:$E,Heron!$A35)</f>
        <v/>
      </c>
      <c r="BA35" s="101">
        <f>SUMIFS(Xero!$F:$F,Xero!$B:$B,Heron!BA$9,Xero!$A:$A,Heron!$A$4,Xero!$E:$E,Heron!$A35)+SUMIFS(Xero!$F:$F,Xero!$B:$B,Heron!BA$9,Xero!$A:$A,Heron!$A$5,Xero!$E:$E,Heron!$A35)</f>
        <v/>
      </c>
      <c r="BB35" s="101">
        <f>SUMIFS(Xero!$F:$F,Xero!$B:$B,Heron!BB$9,Xero!$A:$A,Heron!$A$4,Xero!$E:$E,Heron!$A35)+SUMIFS(Xero!$F:$F,Xero!$B:$B,Heron!BB$9,Xero!$A:$A,Heron!$A$5,Xero!$E:$E,Heron!$A35)</f>
        <v/>
      </c>
      <c r="BC35" s="101">
        <f>SUMIFS(Xero!$F:$F,Xero!$B:$B,Heron!BC$9,Xero!$A:$A,Heron!$A$4,Xero!$E:$E,Heron!$A35)+SUMIFS(Xero!$F:$F,Xero!$B:$B,Heron!BC$9,Xero!$A:$A,Heron!$A$5,Xero!$E:$E,Heron!$A35)</f>
        <v/>
      </c>
      <c r="BD35" s="101">
        <f>SUMIFS(Xero!$F:$F,Xero!$B:$B,Heron!BD$9,Xero!$A:$A,Heron!$A$4,Xero!$E:$E,Heron!$A35)+SUMIFS(Xero!$F:$F,Xero!$B:$B,Heron!BD$9,Xero!$A:$A,Heron!$A$5,Xero!$E:$E,Heron!$A35)</f>
        <v/>
      </c>
      <c r="BE35" s="101">
        <f>SUMIFS(Xero!$F:$F,Xero!$B:$B,Heron!BE$9,Xero!$A:$A,Heron!$A$4,Xero!$E:$E,Heron!$A35)+SUMIFS(Xero!$F:$F,Xero!$B:$B,Heron!BE$9,Xero!$A:$A,Heron!$A$5,Xero!$E:$E,Heron!$A35)</f>
        <v/>
      </c>
      <c r="BF35" s="101">
        <f>SUMIFS(Xero!$F:$F,Xero!$B:$B,Heron!BF$9,Xero!$A:$A,Heron!$A$4,Xero!$E:$E,Heron!$A35)+SUMIFS(Xero!$F:$F,Xero!$B:$B,Heron!BF$9,Xero!$A:$A,Heron!$A$5,Xero!$E:$E,Heron!$A35)</f>
        <v/>
      </c>
      <c r="BG35" s="101">
        <f>SUMIFS(Xero!$F:$F,Xero!$B:$B,Heron!BG$9,Xero!$A:$A,Heron!$A$4,Xero!$E:$E,Heron!$A35)+SUMIFS(Xero!$F:$F,Xero!$B:$B,Heron!BG$9,Xero!$A:$A,Heron!$A$5,Xero!$E:$E,Heron!$A35)</f>
        <v/>
      </c>
      <c r="BH35" s="101">
        <f>SUMIFS(Xero!$F:$F,Xero!$B:$B,Heron!BH$9,Xero!$A:$A,Heron!$A$4,Xero!$E:$E,Heron!$A35)+SUMIFS(Xero!$F:$F,Xero!$B:$B,Heron!BH$9,Xero!$A:$A,Heron!$A$5,Xero!$E:$E,Heron!$A35)</f>
        <v/>
      </c>
      <c r="BI35" s="101">
        <f>SUMIFS(Xero!$F:$F,Xero!$B:$B,Heron!BI$9,Xero!$A:$A,Heron!$A$4,Xero!$E:$E,Heron!$A35)+SUMIFS(Xero!$F:$F,Xero!$B:$B,Heron!BI$9,Xero!$A:$A,Heron!$A$5,Xero!$E:$E,Heron!$A35)</f>
        <v/>
      </c>
      <c r="BJ35" s="101">
        <f>SUMIFS(Xero!$F:$F,Xero!$B:$B,Heron!BJ$9,Xero!$A:$A,Heron!$A$4,Xero!$E:$E,Heron!$A35)+SUMIFS(Xero!$F:$F,Xero!$B:$B,Heron!BJ$9,Xero!$A:$A,Heron!$A$5,Xero!$E:$E,Heron!$A35)</f>
        <v/>
      </c>
      <c r="BK35" s="101">
        <f>sum(D35:BJ35)</f>
        <v/>
      </c>
    </row>
    <row r="36">
      <c r="A36" s="100" t="inlineStr">
        <is>
          <t>Advertising - Media24</t>
        </is>
      </c>
      <c r="D36" s="101">
        <f>SUMIFS(Xero!$F:$F,Xero!$B:$B,Heron!D$9,Xero!$A:$A,Heron!$A$4,Xero!$E:$E,Heron!$A36)+SUMIFS(Xero!$F:$F,Xero!$B:$B,Heron!D$9,Xero!$A:$A,Heron!$A$5,Xero!$E:$E,Heron!$A36)</f>
        <v/>
      </c>
      <c r="E36" s="101">
        <f>SUMIFS(Xero!$F:$F,Xero!$B:$B,Heron!E$9,Xero!$A:$A,Heron!$A$4,Xero!$E:$E,Heron!$A36)+SUMIFS(Xero!$F:$F,Xero!$B:$B,Heron!E$9,Xero!$A:$A,Heron!$A$5,Xero!$E:$E,Heron!$A36)</f>
        <v/>
      </c>
      <c r="F36" s="101">
        <f>SUMIFS(Xero!$F:$F,Xero!$B:$B,Heron!F$9,Xero!$A:$A,Heron!$A$4,Xero!$E:$E,Heron!$A36)+SUMIFS(Xero!$F:$F,Xero!$B:$B,Heron!F$9,Xero!$A:$A,Heron!$A$5,Xero!$E:$E,Heron!$A36)</f>
        <v/>
      </c>
      <c r="G36" s="101">
        <f>SUMIFS(Xero!$F:$F,Xero!$B:$B,Heron!G$9,Xero!$A:$A,Heron!$A$4,Xero!$E:$E,Heron!$A36)+SUMIFS(Xero!$F:$F,Xero!$B:$B,Heron!G$9,Xero!$A:$A,Heron!$A$5,Xero!$E:$E,Heron!$A36)</f>
        <v/>
      </c>
      <c r="H36" s="101">
        <f>SUMIFS(Xero!$F:$F,Xero!$B:$B,Heron!H$9,Xero!$A:$A,Heron!$A$4,Xero!$E:$E,Heron!$A36)+SUMIFS(Xero!$F:$F,Xero!$B:$B,Heron!H$9,Xero!$A:$A,Heron!$A$5,Xero!$E:$E,Heron!$A36)</f>
        <v/>
      </c>
      <c r="I36" s="101">
        <f>SUMIFS(Xero!$F:$F,Xero!$B:$B,Heron!I$9,Xero!$A:$A,Heron!$A$4,Xero!$E:$E,Heron!$A36)+SUMIFS(Xero!$F:$F,Xero!$B:$B,Heron!I$9,Xero!$A:$A,Heron!$A$5,Xero!$E:$E,Heron!$A36)</f>
        <v/>
      </c>
      <c r="J36" s="101">
        <f>SUMIFS(Xero!$F:$F,Xero!$B:$B,Heron!J$9,Xero!$A:$A,Heron!$A$4,Xero!$E:$E,Heron!$A36)+SUMIFS(Xero!$F:$F,Xero!$B:$B,Heron!J$9,Xero!$A:$A,Heron!$A$5,Xero!$E:$E,Heron!$A36)</f>
        <v/>
      </c>
      <c r="K36" s="101">
        <f>SUMIFS(Xero!$F:$F,Xero!$B:$B,Heron!K$9,Xero!$A:$A,Heron!$A$4,Xero!$E:$E,Heron!$A36)+SUMIFS(Xero!$F:$F,Xero!$B:$B,Heron!K$9,Xero!$A:$A,Heron!$A$5,Xero!$E:$E,Heron!$A36)</f>
        <v/>
      </c>
      <c r="L36" s="101">
        <f>SUMIFS(Xero!$F:$F,Xero!$B:$B,Heron!L$9,Xero!$A:$A,Heron!$A$4,Xero!$E:$E,Heron!$A36)+SUMIFS(Xero!$F:$F,Xero!$B:$B,Heron!L$9,Xero!$A:$A,Heron!$A$5,Xero!$E:$E,Heron!$A36)</f>
        <v/>
      </c>
      <c r="M36" s="101">
        <f>SUMIFS(Xero!$F:$F,Xero!$B:$B,Heron!M$9,Xero!$A:$A,Heron!$A$4,Xero!$E:$E,Heron!$A36)+SUMIFS(Xero!$F:$F,Xero!$B:$B,Heron!M$9,Xero!$A:$A,Heron!$A$5,Xero!$E:$E,Heron!$A36)</f>
        <v/>
      </c>
      <c r="N36" s="101">
        <f>SUMIFS(Xero!$F:$F,Xero!$B:$B,Heron!N$9,Xero!$A:$A,Heron!$A$4,Xero!$E:$E,Heron!$A36)+SUMIFS(Xero!$F:$F,Xero!$B:$B,Heron!N$9,Xero!$A:$A,Heron!$A$5,Xero!$E:$E,Heron!$A36)</f>
        <v/>
      </c>
      <c r="O36" s="101">
        <f>SUMIFS(Xero!$F:$F,Xero!$B:$B,Heron!O$9,Xero!$A:$A,Heron!$A$4,Xero!$E:$E,Heron!$A36)+SUMIFS(Xero!$F:$F,Xero!$B:$B,Heron!O$9,Xero!$A:$A,Heron!$A$5,Xero!$E:$E,Heron!$A36)</f>
        <v/>
      </c>
      <c r="P36" s="101">
        <f>SUMIFS(Xero!$F:$F,Xero!$B:$B,Heron!P$9,Xero!$A:$A,Heron!$A$4,Xero!$E:$E,Heron!$A36)+SUMIFS(Xero!$F:$F,Xero!$B:$B,Heron!P$9,Xero!$A:$A,Heron!$A$5,Xero!$E:$E,Heron!$A36)</f>
        <v/>
      </c>
      <c r="Q36" s="101">
        <f>SUMIFS(Xero!$F:$F,Xero!$B:$B,Heron!Q$9,Xero!$A:$A,Heron!$A$4,Xero!$E:$E,Heron!$A36)+SUMIFS(Xero!$F:$F,Xero!$B:$B,Heron!Q$9,Xero!$A:$A,Heron!$A$5,Xero!$E:$E,Heron!$A36)</f>
        <v/>
      </c>
      <c r="R36" s="101">
        <f>SUMIFS(Xero!$F:$F,Xero!$B:$B,Heron!R$9,Xero!$A:$A,Heron!$A$4,Xero!$E:$E,Heron!$A36)+SUMIFS(Xero!$F:$F,Xero!$B:$B,Heron!R$9,Xero!$A:$A,Heron!$A$5,Xero!$E:$E,Heron!$A36)</f>
        <v/>
      </c>
      <c r="S36" s="101">
        <f>SUMIFS(Xero!$F:$F,Xero!$B:$B,Heron!S$9,Xero!$A:$A,Heron!$A$4,Xero!$E:$E,Heron!$A36)+SUMIFS(Xero!$F:$F,Xero!$B:$B,Heron!S$9,Xero!$A:$A,Heron!$A$5,Xero!$E:$E,Heron!$A36)</f>
        <v/>
      </c>
      <c r="T36" s="101">
        <f>SUMIFS(Xero!$F:$F,Xero!$B:$B,Heron!T$9,Xero!$A:$A,Heron!$A$4,Xero!$E:$E,Heron!$A36)+SUMIFS(Xero!$F:$F,Xero!$B:$B,Heron!T$9,Xero!$A:$A,Heron!$A$5,Xero!$E:$E,Heron!$A36)</f>
        <v/>
      </c>
      <c r="U36" s="101">
        <f>SUMIFS(Xero!$F:$F,Xero!$B:$B,Heron!U$9,Xero!$A:$A,Heron!$A$4,Xero!$E:$E,Heron!$A36)+SUMIFS(Xero!$F:$F,Xero!$B:$B,Heron!U$9,Xero!$A:$A,Heron!$A$5,Xero!$E:$E,Heron!$A36)</f>
        <v/>
      </c>
      <c r="V36" s="101">
        <f>SUMIFS(Xero!$F:$F,Xero!$B:$B,Heron!V$9,Xero!$A:$A,Heron!$A$4,Xero!$E:$E,Heron!$A36)+SUMIFS(Xero!$F:$F,Xero!$B:$B,Heron!V$9,Xero!$A:$A,Heron!$A$5,Xero!$E:$E,Heron!$A36)</f>
        <v/>
      </c>
      <c r="W36" s="101">
        <f>SUMIFS(Xero!$F:$F,Xero!$B:$B,Heron!W$9,Xero!$A:$A,Heron!$A$4,Xero!$E:$E,Heron!$A36)+SUMIFS(Xero!$F:$F,Xero!$B:$B,Heron!W$9,Xero!$A:$A,Heron!$A$5,Xero!$E:$E,Heron!$A36)</f>
        <v/>
      </c>
      <c r="X36" s="101">
        <f>SUMIFS(Xero!$F:$F,Xero!$B:$B,Heron!X$9,Xero!$A:$A,Heron!$A$4,Xero!$E:$E,Heron!$A36)+SUMIFS(Xero!$F:$F,Xero!$B:$B,Heron!X$9,Xero!$A:$A,Heron!$A$5,Xero!$E:$E,Heron!$A36)</f>
        <v/>
      </c>
      <c r="Y36" s="101">
        <f>SUMIFS(Xero!$F:$F,Xero!$B:$B,Heron!Y$9,Xero!$A:$A,Heron!$A$4,Xero!$E:$E,Heron!$A36)+SUMIFS(Xero!$F:$F,Xero!$B:$B,Heron!Y$9,Xero!$A:$A,Heron!$A$5,Xero!$E:$E,Heron!$A36)</f>
        <v/>
      </c>
      <c r="Z36" s="101">
        <f>SUMIFS(Xero!$F:$F,Xero!$B:$B,Heron!Z$9,Xero!$A:$A,Heron!$A$4,Xero!$E:$E,Heron!$A36)+SUMIFS(Xero!$F:$F,Xero!$B:$B,Heron!Z$9,Xero!$A:$A,Heron!$A$5,Xero!$E:$E,Heron!$A36)</f>
        <v/>
      </c>
      <c r="AA36" s="101">
        <f>SUMIFS(Xero!$F:$F,Xero!$B:$B,Heron!AA$9,Xero!$A:$A,Heron!$A$4,Xero!$E:$E,Heron!$A36)+SUMIFS(Xero!$F:$F,Xero!$B:$B,Heron!AA$9,Xero!$A:$A,Heron!$A$5,Xero!$E:$E,Heron!$A36)</f>
        <v/>
      </c>
      <c r="AB36" s="101">
        <f>SUMIFS(Xero!$F:$F,Xero!$B:$B,Heron!AB$9,Xero!$A:$A,Heron!$A$4,Xero!$E:$E,Heron!$A36)+SUMIFS(Xero!$F:$F,Xero!$B:$B,Heron!AB$9,Xero!$A:$A,Heron!$A$5,Xero!$E:$E,Heron!$A36)</f>
        <v/>
      </c>
      <c r="AC36" s="101">
        <f>SUMIFS(Xero!$F:$F,Xero!$B:$B,Heron!AC$9,Xero!$A:$A,Heron!$A$4,Xero!$E:$E,Heron!$A36)+SUMIFS(Xero!$F:$F,Xero!$B:$B,Heron!AC$9,Xero!$A:$A,Heron!$A$5,Xero!$E:$E,Heron!$A36)</f>
        <v/>
      </c>
      <c r="AD36" s="101">
        <f>SUMIFS(Xero!$F:$F,Xero!$B:$B,Heron!AD$9,Xero!$A:$A,Heron!$A$4,Xero!$E:$E,Heron!$A36)+SUMIFS(Xero!$F:$F,Xero!$B:$B,Heron!AD$9,Xero!$A:$A,Heron!$A$5,Xero!$E:$E,Heron!$A36)</f>
        <v/>
      </c>
      <c r="AE36" s="101">
        <f>SUMIFS(Xero!$F:$F,Xero!$B:$B,Heron!AE$9,Xero!$A:$A,Heron!$A$4,Xero!$E:$E,Heron!$A36)+SUMIFS(Xero!$F:$F,Xero!$B:$B,Heron!AE$9,Xero!$A:$A,Heron!$A$5,Xero!$E:$E,Heron!$A36)</f>
        <v/>
      </c>
      <c r="AF36" s="101">
        <f>SUMIFS(Xero!$F:$F,Xero!$B:$B,Heron!AF$9,Xero!$A:$A,Heron!$A$4,Xero!$E:$E,Heron!$A36)+SUMIFS(Xero!$F:$F,Xero!$B:$B,Heron!AF$9,Xero!$A:$A,Heron!$A$5,Xero!$E:$E,Heron!$A36)</f>
        <v/>
      </c>
      <c r="AG36" s="101">
        <f>SUMIFS(Xero!$F:$F,Xero!$B:$B,Heron!AG$9,Xero!$A:$A,Heron!$A$4,Xero!$E:$E,Heron!$A36)+SUMIFS(Xero!$F:$F,Xero!$B:$B,Heron!AG$9,Xero!$A:$A,Heron!$A$5,Xero!$E:$E,Heron!$A36)</f>
        <v/>
      </c>
      <c r="AH36" s="101">
        <f>SUMIFS(Xero!$F:$F,Xero!$B:$B,Heron!AH$9,Xero!$A:$A,Heron!$A$4,Xero!$E:$E,Heron!$A36)+SUMIFS(Xero!$F:$F,Xero!$B:$B,Heron!AH$9,Xero!$A:$A,Heron!$A$5,Xero!$E:$E,Heron!$A36)</f>
        <v/>
      </c>
      <c r="AI36" s="101">
        <f>SUMIFS(Xero!$F:$F,Xero!$B:$B,Heron!AI$9,Xero!$A:$A,Heron!$A$4,Xero!$E:$E,Heron!$A36)+SUMIFS(Xero!$F:$F,Xero!$B:$B,Heron!AI$9,Xero!$A:$A,Heron!$A$5,Xero!$E:$E,Heron!$A36)</f>
        <v/>
      </c>
      <c r="AJ36" s="101">
        <f>SUMIFS(Xero!$F:$F,Xero!$B:$B,Heron!AJ$9,Xero!$A:$A,Heron!$A$4,Xero!$E:$E,Heron!$A36)+SUMIFS(Xero!$F:$F,Xero!$B:$B,Heron!AJ$9,Xero!$A:$A,Heron!$A$5,Xero!$E:$E,Heron!$A36)</f>
        <v/>
      </c>
      <c r="AK36" s="101">
        <f>SUMIFS(Xero!$F:$F,Xero!$B:$B,Heron!AK$9,Xero!$A:$A,Heron!$A$4,Xero!$E:$E,Heron!$A36)+SUMIFS(Xero!$F:$F,Xero!$B:$B,Heron!AK$9,Xero!$A:$A,Heron!$A$5,Xero!$E:$E,Heron!$A36)</f>
        <v/>
      </c>
      <c r="AL36" s="101">
        <f>SUMIFS(Xero!$F:$F,Xero!$B:$B,Heron!AL$9,Xero!$A:$A,Heron!$A$4,Xero!$E:$E,Heron!$A36)+SUMIFS(Xero!$F:$F,Xero!$B:$B,Heron!AL$9,Xero!$A:$A,Heron!$A$5,Xero!$E:$E,Heron!$A36)</f>
        <v/>
      </c>
      <c r="AM36" s="101">
        <f>SUMIFS(Xero!$F:$F,Xero!$B:$B,Heron!AM$9,Xero!$A:$A,Heron!$A$4,Xero!$E:$E,Heron!$A36)+SUMIFS(Xero!$F:$F,Xero!$B:$B,Heron!AM$9,Xero!$A:$A,Heron!$A$5,Xero!$E:$E,Heron!$A36)</f>
        <v/>
      </c>
      <c r="AN36" s="101">
        <f>SUMIFS(Xero!$F:$F,Xero!$B:$B,Heron!AN$9,Xero!$A:$A,Heron!$A$4,Xero!$E:$E,Heron!$A36)+SUMIFS(Xero!$F:$F,Xero!$B:$B,Heron!AN$9,Xero!$A:$A,Heron!$A$5,Xero!$E:$E,Heron!$A36)</f>
        <v/>
      </c>
      <c r="AO36" s="101">
        <f>SUMIFS(Xero!$F:$F,Xero!$B:$B,Heron!AO$9,Xero!$A:$A,Heron!$A$4,Xero!$E:$E,Heron!$A36)+SUMIFS(Xero!$F:$F,Xero!$B:$B,Heron!AO$9,Xero!$A:$A,Heron!$A$5,Xero!$E:$E,Heron!$A36)</f>
        <v/>
      </c>
      <c r="AP36" s="101">
        <f>SUMIFS(Xero!$F:$F,Xero!$B:$B,Heron!AP$9,Xero!$A:$A,Heron!$A$4,Xero!$E:$E,Heron!$A36)+SUMIFS(Xero!$F:$F,Xero!$B:$B,Heron!AP$9,Xero!$A:$A,Heron!$A$5,Xero!$E:$E,Heron!$A36)</f>
        <v/>
      </c>
      <c r="AQ36" s="101">
        <f>SUMIFS(Xero!$F:$F,Xero!$B:$B,Heron!AQ$9,Xero!$A:$A,Heron!$A$4,Xero!$E:$E,Heron!$A36)+SUMIFS(Xero!$F:$F,Xero!$B:$B,Heron!AQ$9,Xero!$A:$A,Heron!$A$5,Xero!$E:$E,Heron!$A36)</f>
        <v/>
      </c>
      <c r="AR36" s="101">
        <f>SUMIFS(Xero!$F:$F,Xero!$B:$B,Heron!AR$9,Xero!$A:$A,Heron!$A$4,Xero!$E:$E,Heron!$A36)+SUMIFS(Xero!$F:$F,Xero!$B:$B,Heron!AR$9,Xero!$A:$A,Heron!$A$5,Xero!$E:$E,Heron!$A36)</f>
        <v/>
      </c>
      <c r="AS36" s="101">
        <f>SUMIFS(Xero!$F:$F,Xero!$B:$B,Heron!AS$9,Xero!$A:$A,Heron!$A$4,Xero!$E:$E,Heron!$A36)+SUMIFS(Xero!$F:$F,Xero!$B:$B,Heron!AS$9,Xero!$A:$A,Heron!$A$5,Xero!$E:$E,Heron!$A36)</f>
        <v/>
      </c>
      <c r="AT36" s="101">
        <f>SUMIFS(Xero!$F:$F,Xero!$B:$B,Heron!AT$9,Xero!$A:$A,Heron!$A$4,Xero!$E:$E,Heron!$A36)+SUMIFS(Xero!$F:$F,Xero!$B:$B,Heron!AT$9,Xero!$A:$A,Heron!$A$5,Xero!$E:$E,Heron!$A36)</f>
        <v/>
      </c>
      <c r="AU36" s="101">
        <f>SUMIFS(Xero!$F:$F,Xero!$B:$B,Heron!AU$9,Xero!$A:$A,Heron!$A$4,Xero!$E:$E,Heron!$A36)+SUMIFS(Xero!$F:$F,Xero!$B:$B,Heron!AU$9,Xero!$A:$A,Heron!$A$5,Xero!$E:$E,Heron!$A36)</f>
        <v/>
      </c>
      <c r="AV36" s="101">
        <f>SUMIFS(Xero!$F:$F,Xero!$B:$B,Heron!AV$9,Xero!$A:$A,Heron!$A$4,Xero!$E:$E,Heron!$A36)+SUMIFS(Xero!$F:$F,Xero!$B:$B,Heron!AV$9,Xero!$A:$A,Heron!$A$5,Xero!$E:$E,Heron!$A36)</f>
        <v/>
      </c>
      <c r="AW36" s="101">
        <f>SUMIFS(Xero!$F:$F,Xero!$B:$B,Heron!AW$9,Xero!$A:$A,Heron!$A$4,Xero!$E:$E,Heron!$A36)+SUMIFS(Xero!$F:$F,Xero!$B:$B,Heron!AW$9,Xero!$A:$A,Heron!$A$5,Xero!$E:$E,Heron!$A36)</f>
        <v/>
      </c>
      <c r="AX36" s="101">
        <f>SUMIFS(Xero!$F:$F,Xero!$B:$B,Heron!AX$9,Xero!$A:$A,Heron!$A$4,Xero!$E:$E,Heron!$A36)+SUMIFS(Xero!$F:$F,Xero!$B:$B,Heron!AX$9,Xero!$A:$A,Heron!$A$5,Xero!$E:$E,Heron!$A36)</f>
        <v/>
      </c>
      <c r="AY36" s="101">
        <f>SUMIFS(Xero!$F:$F,Xero!$B:$B,Heron!AY$9,Xero!$A:$A,Heron!$A$4,Xero!$E:$E,Heron!$A36)+SUMIFS(Xero!$F:$F,Xero!$B:$B,Heron!AY$9,Xero!$A:$A,Heron!$A$5,Xero!$E:$E,Heron!$A36)</f>
        <v/>
      </c>
      <c r="AZ36" s="101">
        <f>SUMIFS(Xero!$F:$F,Xero!$B:$B,Heron!AZ$9,Xero!$A:$A,Heron!$A$4,Xero!$E:$E,Heron!$A36)+SUMIFS(Xero!$F:$F,Xero!$B:$B,Heron!AZ$9,Xero!$A:$A,Heron!$A$5,Xero!$E:$E,Heron!$A36)</f>
        <v/>
      </c>
      <c r="BA36" s="101">
        <f>SUMIFS(Xero!$F:$F,Xero!$B:$B,Heron!BA$9,Xero!$A:$A,Heron!$A$4,Xero!$E:$E,Heron!$A36)+SUMIFS(Xero!$F:$F,Xero!$B:$B,Heron!BA$9,Xero!$A:$A,Heron!$A$5,Xero!$E:$E,Heron!$A36)</f>
        <v/>
      </c>
      <c r="BB36" s="101">
        <f>SUMIFS(Xero!$F:$F,Xero!$B:$B,Heron!BB$9,Xero!$A:$A,Heron!$A$4,Xero!$E:$E,Heron!$A36)+SUMIFS(Xero!$F:$F,Xero!$B:$B,Heron!BB$9,Xero!$A:$A,Heron!$A$5,Xero!$E:$E,Heron!$A36)</f>
        <v/>
      </c>
      <c r="BC36" s="101">
        <f>SUMIFS(Xero!$F:$F,Xero!$B:$B,Heron!BC$9,Xero!$A:$A,Heron!$A$4,Xero!$E:$E,Heron!$A36)+SUMIFS(Xero!$F:$F,Xero!$B:$B,Heron!BC$9,Xero!$A:$A,Heron!$A$5,Xero!$E:$E,Heron!$A36)</f>
        <v/>
      </c>
      <c r="BD36" s="101">
        <f>SUMIFS(Xero!$F:$F,Xero!$B:$B,Heron!BD$9,Xero!$A:$A,Heron!$A$4,Xero!$E:$E,Heron!$A36)+SUMIFS(Xero!$F:$F,Xero!$B:$B,Heron!BD$9,Xero!$A:$A,Heron!$A$5,Xero!$E:$E,Heron!$A36)</f>
        <v/>
      </c>
      <c r="BE36" s="101">
        <f>SUMIFS(Xero!$F:$F,Xero!$B:$B,Heron!BE$9,Xero!$A:$A,Heron!$A$4,Xero!$E:$E,Heron!$A36)+SUMIFS(Xero!$F:$F,Xero!$B:$B,Heron!BE$9,Xero!$A:$A,Heron!$A$5,Xero!$E:$E,Heron!$A36)</f>
        <v/>
      </c>
      <c r="BF36" s="101">
        <f>SUMIFS(Xero!$F:$F,Xero!$B:$B,Heron!BF$9,Xero!$A:$A,Heron!$A$4,Xero!$E:$E,Heron!$A36)+SUMIFS(Xero!$F:$F,Xero!$B:$B,Heron!BF$9,Xero!$A:$A,Heron!$A$5,Xero!$E:$E,Heron!$A36)</f>
        <v/>
      </c>
      <c r="BG36" s="101">
        <f>SUMIFS(Xero!$F:$F,Xero!$B:$B,Heron!BG$9,Xero!$A:$A,Heron!$A$4,Xero!$E:$E,Heron!$A36)+SUMIFS(Xero!$F:$F,Xero!$B:$B,Heron!BG$9,Xero!$A:$A,Heron!$A$5,Xero!$E:$E,Heron!$A36)</f>
        <v/>
      </c>
      <c r="BH36" s="101">
        <f>SUMIFS(Xero!$F:$F,Xero!$B:$B,Heron!BH$9,Xero!$A:$A,Heron!$A$4,Xero!$E:$E,Heron!$A36)+SUMIFS(Xero!$F:$F,Xero!$B:$B,Heron!BH$9,Xero!$A:$A,Heron!$A$5,Xero!$E:$E,Heron!$A36)</f>
        <v/>
      </c>
      <c r="BI36" s="101">
        <f>SUMIFS(Xero!$F:$F,Xero!$B:$B,Heron!BI$9,Xero!$A:$A,Heron!$A$4,Xero!$E:$E,Heron!$A36)+SUMIFS(Xero!$F:$F,Xero!$B:$B,Heron!BI$9,Xero!$A:$A,Heron!$A$5,Xero!$E:$E,Heron!$A36)</f>
        <v/>
      </c>
      <c r="BJ36" s="101">
        <f>SUMIFS(Xero!$F:$F,Xero!$B:$B,Heron!BJ$9,Xero!$A:$A,Heron!$A$4,Xero!$E:$E,Heron!$A36)+SUMIFS(Xero!$F:$F,Xero!$B:$B,Heron!BJ$9,Xero!$A:$A,Heron!$A$5,Xero!$E:$E,Heron!$A36)</f>
        <v/>
      </c>
      <c r="BK36" s="101">
        <f>sum(D36:BJ36)</f>
        <v/>
      </c>
    </row>
    <row r="37">
      <c r="A37" s="100" t="inlineStr">
        <is>
          <t>Advertising - Property24</t>
        </is>
      </c>
      <c r="D37" s="101">
        <f>SUMIFS(Xero!$F:$F,Xero!$B:$B,Heron!D$9,Xero!$A:$A,Heron!$A$4,Xero!$E:$E,Heron!$A37)+SUMIFS(Xero!$F:$F,Xero!$B:$B,Heron!D$9,Xero!$A:$A,Heron!$A$5,Xero!$E:$E,Heron!$A37)</f>
        <v/>
      </c>
      <c r="E37" s="101">
        <f>SUMIFS(Xero!$F:$F,Xero!$B:$B,Heron!E$9,Xero!$A:$A,Heron!$A$4,Xero!$E:$E,Heron!$A37)+SUMIFS(Xero!$F:$F,Xero!$B:$B,Heron!E$9,Xero!$A:$A,Heron!$A$5,Xero!$E:$E,Heron!$A37)</f>
        <v/>
      </c>
      <c r="F37" s="101">
        <f>SUMIFS(Xero!$F:$F,Xero!$B:$B,Heron!F$9,Xero!$A:$A,Heron!$A$4,Xero!$E:$E,Heron!$A37)+SUMIFS(Xero!$F:$F,Xero!$B:$B,Heron!F$9,Xero!$A:$A,Heron!$A$5,Xero!$E:$E,Heron!$A37)</f>
        <v/>
      </c>
      <c r="G37" s="101">
        <f>SUMIFS(Xero!$F:$F,Xero!$B:$B,Heron!G$9,Xero!$A:$A,Heron!$A$4,Xero!$E:$E,Heron!$A37)+SUMIFS(Xero!$F:$F,Xero!$B:$B,Heron!G$9,Xero!$A:$A,Heron!$A$5,Xero!$E:$E,Heron!$A37)</f>
        <v/>
      </c>
      <c r="H37" s="101">
        <f>SUMIFS(Xero!$F:$F,Xero!$B:$B,Heron!H$9,Xero!$A:$A,Heron!$A$4,Xero!$E:$E,Heron!$A37)+SUMIFS(Xero!$F:$F,Xero!$B:$B,Heron!H$9,Xero!$A:$A,Heron!$A$5,Xero!$E:$E,Heron!$A37)</f>
        <v/>
      </c>
      <c r="I37" s="101">
        <f>SUMIFS(Xero!$F:$F,Xero!$B:$B,Heron!I$9,Xero!$A:$A,Heron!$A$4,Xero!$E:$E,Heron!$A37)+SUMIFS(Xero!$F:$F,Xero!$B:$B,Heron!I$9,Xero!$A:$A,Heron!$A$5,Xero!$E:$E,Heron!$A37)</f>
        <v/>
      </c>
      <c r="J37" s="101">
        <f>SUMIFS(Xero!$F:$F,Xero!$B:$B,Heron!J$9,Xero!$A:$A,Heron!$A$4,Xero!$E:$E,Heron!$A37)+SUMIFS(Xero!$F:$F,Xero!$B:$B,Heron!J$9,Xero!$A:$A,Heron!$A$5,Xero!$E:$E,Heron!$A37)</f>
        <v/>
      </c>
      <c r="K37" s="101">
        <f>SUMIFS(Xero!$F:$F,Xero!$B:$B,Heron!K$9,Xero!$A:$A,Heron!$A$4,Xero!$E:$E,Heron!$A37)+SUMIFS(Xero!$F:$F,Xero!$B:$B,Heron!K$9,Xero!$A:$A,Heron!$A$5,Xero!$E:$E,Heron!$A37)</f>
        <v/>
      </c>
      <c r="L37" s="101">
        <f>SUMIFS(Xero!$F:$F,Xero!$B:$B,Heron!L$9,Xero!$A:$A,Heron!$A$4,Xero!$E:$E,Heron!$A37)+SUMIFS(Xero!$F:$F,Xero!$B:$B,Heron!L$9,Xero!$A:$A,Heron!$A$5,Xero!$E:$E,Heron!$A37)</f>
        <v/>
      </c>
      <c r="M37" s="101">
        <f>SUMIFS(Xero!$F:$F,Xero!$B:$B,Heron!M$9,Xero!$A:$A,Heron!$A$4,Xero!$E:$E,Heron!$A37)+SUMIFS(Xero!$F:$F,Xero!$B:$B,Heron!M$9,Xero!$A:$A,Heron!$A$5,Xero!$E:$E,Heron!$A37)</f>
        <v/>
      </c>
      <c r="N37" s="101">
        <f>SUMIFS(Xero!$F:$F,Xero!$B:$B,Heron!N$9,Xero!$A:$A,Heron!$A$4,Xero!$E:$E,Heron!$A37)+SUMIFS(Xero!$F:$F,Xero!$B:$B,Heron!N$9,Xero!$A:$A,Heron!$A$5,Xero!$E:$E,Heron!$A37)</f>
        <v/>
      </c>
      <c r="O37" s="101">
        <f>SUMIFS(Xero!$F:$F,Xero!$B:$B,Heron!O$9,Xero!$A:$A,Heron!$A$4,Xero!$E:$E,Heron!$A37)+SUMIFS(Xero!$F:$F,Xero!$B:$B,Heron!O$9,Xero!$A:$A,Heron!$A$5,Xero!$E:$E,Heron!$A37)</f>
        <v/>
      </c>
      <c r="P37" s="101">
        <f>SUMIFS(Xero!$F:$F,Xero!$B:$B,Heron!P$9,Xero!$A:$A,Heron!$A$4,Xero!$E:$E,Heron!$A37)+SUMIFS(Xero!$F:$F,Xero!$B:$B,Heron!P$9,Xero!$A:$A,Heron!$A$5,Xero!$E:$E,Heron!$A37)</f>
        <v/>
      </c>
      <c r="Q37" s="101">
        <f>SUMIFS(Xero!$F:$F,Xero!$B:$B,Heron!Q$9,Xero!$A:$A,Heron!$A$4,Xero!$E:$E,Heron!$A37)+SUMIFS(Xero!$F:$F,Xero!$B:$B,Heron!Q$9,Xero!$A:$A,Heron!$A$5,Xero!$E:$E,Heron!$A37)</f>
        <v/>
      </c>
      <c r="R37" s="101">
        <f>SUMIFS(Xero!$F:$F,Xero!$B:$B,Heron!R$9,Xero!$A:$A,Heron!$A$4,Xero!$E:$E,Heron!$A37)+SUMIFS(Xero!$F:$F,Xero!$B:$B,Heron!R$9,Xero!$A:$A,Heron!$A$5,Xero!$E:$E,Heron!$A37)</f>
        <v/>
      </c>
      <c r="S37" s="101">
        <f>SUMIFS(Xero!$F:$F,Xero!$B:$B,Heron!S$9,Xero!$A:$A,Heron!$A$4,Xero!$E:$E,Heron!$A37)+SUMIFS(Xero!$F:$F,Xero!$B:$B,Heron!S$9,Xero!$A:$A,Heron!$A$5,Xero!$E:$E,Heron!$A37)</f>
        <v/>
      </c>
      <c r="T37" s="101">
        <f>SUMIFS(Xero!$F:$F,Xero!$B:$B,Heron!T$9,Xero!$A:$A,Heron!$A$4,Xero!$E:$E,Heron!$A37)+SUMIFS(Xero!$F:$F,Xero!$B:$B,Heron!T$9,Xero!$A:$A,Heron!$A$5,Xero!$E:$E,Heron!$A37)</f>
        <v/>
      </c>
      <c r="U37" s="101">
        <f>SUMIFS(Xero!$F:$F,Xero!$B:$B,Heron!U$9,Xero!$A:$A,Heron!$A$4,Xero!$E:$E,Heron!$A37)+SUMIFS(Xero!$F:$F,Xero!$B:$B,Heron!U$9,Xero!$A:$A,Heron!$A$5,Xero!$E:$E,Heron!$A37)</f>
        <v/>
      </c>
      <c r="V37" s="101">
        <f>SUMIFS(Xero!$F:$F,Xero!$B:$B,Heron!V$9,Xero!$A:$A,Heron!$A$4,Xero!$E:$E,Heron!$A37)+SUMIFS(Xero!$F:$F,Xero!$B:$B,Heron!V$9,Xero!$A:$A,Heron!$A$5,Xero!$E:$E,Heron!$A37)</f>
        <v/>
      </c>
      <c r="W37" s="101">
        <f>SUMIFS(Xero!$F:$F,Xero!$B:$B,Heron!W$9,Xero!$A:$A,Heron!$A$4,Xero!$E:$E,Heron!$A37)+SUMIFS(Xero!$F:$F,Xero!$B:$B,Heron!W$9,Xero!$A:$A,Heron!$A$5,Xero!$E:$E,Heron!$A37)</f>
        <v/>
      </c>
      <c r="X37" s="101">
        <f>SUMIFS(Xero!$F:$F,Xero!$B:$B,Heron!X$9,Xero!$A:$A,Heron!$A$4,Xero!$E:$E,Heron!$A37)+SUMIFS(Xero!$F:$F,Xero!$B:$B,Heron!X$9,Xero!$A:$A,Heron!$A$5,Xero!$E:$E,Heron!$A37)</f>
        <v/>
      </c>
      <c r="Y37" s="101">
        <f>SUMIFS(Xero!$F:$F,Xero!$B:$B,Heron!Y$9,Xero!$A:$A,Heron!$A$4,Xero!$E:$E,Heron!$A37)+SUMIFS(Xero!$F:$F,Xero!$B:$B,Heron!Y$9,Xero!$A:$A,Heron!$A$5,Xero!$E:$E,Heron!$A37)</f>
        <v/>
      </c>
      <c r="Z37" s="101">
        <f>SUMIFS(Xero!$F:$F,Xero!$B:$B,Heron!Z$9,Xero!$A:$A,Heron!$A$4,Xero!$E:$E,Heron!$A37)+SUMIFS(Xero!$F:$F,Xero!$B:$B,Heron!Z$9,Xero!$A:$A,Heron!$A$5,Xero!$E:$E,Heron!$A37)</f>
        <v/>
      </c>
      <c r="AA37" s="101">
        <f>SUMIFS(Xero!$F:$F,Xero!$B:$B,Heron!AA$9,Xero!$A:$A,Heron!$A$4,Xero!$E:$E,Heron!$A37)+SUMIFS(Xero!$F:$F,Xero!$B:$B,Heron!AA$9,Xero!$A:$A,Heron!$A$5,Xero!$E:$E,Heron!$A37)</f>
        <v/>
      </c>
      <c r="AB37" s="101">
        <f>SUMIFS(Xero!$F:$F,Xero!$B:$B,Heron!AB$9,Xero!$A:$A,Heron!$A$4,Xero!$E:$E,Heron!$A37)+SUMIFS(Xero!$F:$F,Xero!$B:$B,Heron!AB$9,Xero!$A:$A,Heron!$A$5,Xero!$E:$E,Heron!$A37)</f>
        <v/>
      </c>
      <c r="AC37" s="101">
        <f>SUMIFS(Xero!$F:$F,Xero!$B:$B,Heron!AC$9,Xero!$A:$A,Heron!$A$4,Xero!$E:$E,Heron!$A37)+SUMIFS(Xero!$F:$F,Xero!$B:$B,Heron!AC$9,Xero!$A:$A,Heron!$A$5,Xero!$E:$E,Heron!$A37)</f>
        <v/>
      </c>
      <c r="AD37" s="101">
        <f>SUMIFS(Xero!$F:$F,Xero!$B:$B,Heron!AD$9,Xero!$A:$A,Heron!$A$4,Xero!$E:$E,Heron!$A37)+SUMIFS(Xero!$F:$F,Xero!$B:$B,Heron!AD$9,Xero!$A:$A,Heron!$A$5,Xero!$E:$E,Heron!$A37)</f>
        <v/>
      </c>
      <c r="AE37" s="101">
        <f>SUMIFS(Xero!$F:$F,Xero!$B:$B,Heron!AE$9,Xero!$A:$A,Heron!$A$4,Xero!$E:$E,Heron!$A37)+SUMIFS(Xero!$F:$F,Xero!$B:$B,Heron!AE$9,Xero!$A:$A,Heron!$A$5,Xero!$E:$E,Heron!$A37)</f>
        <v/>
      </c>
      <c r="AF37" s="101">
        <f>SUMIFS(Xero!$F:$F,Xero!$B:$B,Heron!AF$9,Xero!$A:$A,Heron!$A$4,Xero!$E:$E,Heron!$A37)+SUMIFS(Xero!$F:$F,Xero!$B:$B,Heron!AF$9,Xero!$A:$A,Heron!$A$5,Xero!$E:$E,Heron!$A37)</f>
        <v/>
      </c>
      <c r="AG37" s="101">
        <f>SUMIFS(Xero!$F:$F,Xero!$B:$B,Heron!AG$9,Xero!$A:$A,Heron!$A$4,Xero!$E:$E,Heron!$A37)+SUMIFS(Xero!$F:$F,Xero!$B:$B,Heron!AG$9,Xero!$A:$A,Heron!$A$5,Xero!$E:$E,Heron!$A37)</f>
        <v/>
      </c>
      <c r="AH37" s="101">
        <f>SUMIFS(Xero!$F:$F,Xero!$B:$B,Heron!AH$9,Xero!$A:$A,Heron!$A$4,Xero!$E:$E,Heron!$A37)+SUMIFS(Xero!$F:$F,Xero!$B:$B,Heron!AH$9,Xero!$A:$A,Heron!$A$5,Xero!$E:$E,Heron!$A37)</f>
        <v/>
      </c>
      <c r="AI37" s="101">
        <f>SUMIFS(Xero!$F:$F,Xero!$B:$B,Heron!AI$9,Xero!$A:$A,Heron!$A$4,Xero!$E:$E,Heron!$A37)+SUMIFS(Xero!$F:$F,Xero!$B:$B,Heron!AI$9,Xero!$A:$A,Heron!$A$5,Xero!$E:$E,Heron!$A37)</f>
        <v/>
      </c>
      <c r="AJ37" s="101">
        <f>SUMIFS(Xero!$F:$F,Xero!$B:$B,Heron!AJ$9,Xero!$A:$A,Heron!$A$4,Xero!$E:$E,Heron!$A37)+SUMIFS(Xero!$F:$F,Xero!$B:$B,Heron!AJ$9,Xero!$A:$A,Heron!$A$5,Xero!$E:$E,Heron!$A37)</f>
        <v/>
      </c>
      <c r="AK37" s="101">
        <f>SUMIFS(Xero!$F:$F,Xero!$B:$B,Heron!AK$9,Xero!$A:$A,Heron!$A$4,Xero!$E:$E,Heron!$A37)+SUMIFS(Xero!$F:$F,Xero!$B:$B,Heron!AK$9,Xero!$A:$A,Heron!$A$5,Xero!$E:$E,Heron!$A37)</f>
        <v/>
      </c>
      <c r="AL37" s="101">
        <f>SUMIFS(Xero!$F:$F,Xero!$B:$B,Heron!AL$9,Xero!$A:$A,Heron!$A$4,Xero!$E:$E,Heron!$A37)+SUMIFS(Xero!$F:$F,Xero!$B:$B,Heron!AL$9,Xero!$A:$A,Heron!$A$5,Xero!$E:$E,Heron!$A37)</f>
        <v/>
      </c>
      <c r="AM37" s="101">
        <f>SUMIFS(Xero!$F:$F,Xero!$B:$B,Heron!AM$9,Xero!$A:$A,Heron!$A$4,Xero!$E:$E,Heron!$A37)+SUMIFS(Xero!$F:$F,Xero!$B:$B,Heron!AM$9,Xero!$A:$A,Heron!$A$5,Xero!$E:$E,Heron!$A37)</f>
        <v/>
      </c>
      <c r="AN37" s="101">
        <f>SUMIFS(Xero!$F:$F,Xero!$B:$B,Heron!AN$9,Xero!$A:$A,Heron!$A$4,Xero!$E:$E,Heron!$A37)+SUMIFS(Xero!$F:$F,Xero!$B:$B,Heron!AN$9,Xero!$A:$A,Heron!$A$5,Xero!$E:$E,Heron!$A37)</f>
        <v/>
      </c>
      <c r="AO37" s="101">
        <f>SUMIFS(Xero!$F:$F,Xero!$B:$B,Heron!AO$9,Xero!$A:$A,Heron!$A$4,Xero!$E:$E,Heron!$A37)+SUMIFS(Xero!$F:$F,Xero!$B:$B,Heron!AO$9,Xero!$A:$A,Heron!$A$5,Xero!$E:$E,Heron!$A37)</f>
        <v/>
      </c>
      <c r="AP37" s="101">
        <f>SUMIFS(Xero!$F:$F,Xero!$B:$B,Heron!AP$9,Xero!$A:$A,Heron!$A$4,Xero!$E:$E,Heron!$A37)+SUMIFS(Xero!$F:$F,Xero!$B:$B,Heron!AP$9,Xero!$A:$A,Heron!$A$5,Xero!$E:$E,Heron!$A37)</f>
        <v/>
      </c>
      <c r="AQ37" s="101">
        <f>SUMIFS(Xero!$F:$F,Xero!$B:$B,Heron!AQ$9,Xero!$A:$A,Heron!$A$4,Xero!$E:$E,Heron!$A37)+SUMIFS(Xero!$F:$F,Xero!$B:$B,Heron!AQ$9,Xero!$A:$A,Heron!$A$5,Xero!$E:$E,Heron!$A37)</f>
        <v/>
      </c>
      <c r="AR37" s="101">
        <f>SUMIFS(Xero!$F:$F,Xero!$B:$B,Heron!AR$9,Xero!$A:$A,Heron!$A$4,Xero!$E:$E,Heron!$A37)+SUMIFS(Xero!$F:$F,Xero!$B:$B,Heron!AR$9,Xero!$A:$A,Heron!$A$5,Xero!$E:$E,Heron!$A37)</f>
        <v/>
      </c>
      <c r="AS37" s="101">
        <f>SUMIFS(Xero!$F:$F,Xero!$B:$B,Heron!AS$9,Xero!$A:$A,Heron!$A$4,Xero!$E:$E,Heron!$A37)+SUMIFS(Xero!$F:$F,Xero!$B:$B,Heron!AS$9,Xero!$A:$A,Heron!$A$5,Xero!$E:$E,Heron!$A37)</f>
        <v/>
      </c>
      <c r="AT37" s="101">
        <f>SUMIFS(Xero!$F:$F,Xero!$B:$B,Heron!AT$9,Xero!$A:$A,Heron!$A$4,Xero!$E:$E,Heron!$A37)+SUMIFS(Xero!$F:$F,Xero!$B:$B,Heron!AT$9,Xero!$A:$A,Heron!$A$5,Xero!$E:$E,Heron!$A37)</f>
        <v/>
      </c>
      <c r="AU37" s="101">
        <f>SUMIFS(Xero!$F:$F,Xero!$B:$B,Heron!AU$9,Xero!$A:$A,Heron!$A$4,Xero!$E:$E,Heron!$A37)+SUMIFS(Xero!$F:$F,Xero!$B:$B,Heron!AU$9,Xero!$A:$A,Heron!$A$5,Xero!$E:$E,Heron!$A37)</f>
        <v/>
      </c>
      <c r="AV37" s="101">
        <f>SUMIFS(Xero!$F:$F,Xero!$B:$B,Heron!AV$9,Xero!$A:$A,Heron!$A$4,Xero!$E:$E,Heron!$A37)+SUMIFS(Xero!$F:$F,Xero!$B:$B,Heron!AV$9,Xero!$A:$A,Heron!$A$5,Xero!$E:$E,Heron!$A37)</f>
        <v/>
      </c>
      <c r="AW37" s="101">
        <f>SUMIFS(Xero!$F:$F,Xero!$B:$B,Heron!AW$9,Xero!$A:$A,Heron!$A$4,Xero!$E:$E,Heron!$A37)+SUMIFS(Xero!$F:$F,Xero!$B:$B,Heron!AW$9,Xero!$A:$A,Heron!$A$5,Xero!$E:$E,Heron!$A37)</f>
        <v/>
      </c>
      <c r="AX37" s="101">
        <f>SUMIFS(Xero!$F:$F,Xero!$B:$B,Heron!AX$9,Xero!$A:$A,Heron!$A$4,Xero!$E:$E,Heron!$A37)+SUMIFS(Xero!$F:$F,Xero!$B:$B,Heron!AX$9,Xero!$A:$A,Heron!$A$5,Xero!$E:$E,Heron!$A37)</f>
        <v/>
      </c>
      <c r="AY37" s="101">
        <f>SUMIFS(Xero!$F:$F,Xero!$B:$B,Heron!AY$9,Xero!$A:$A,Heron!$A$4,Xero!$E:$E,Heron!$A37)+SUMIFS(Xero!$F:$F,Xero!$B:$B,Heron!AY$9,Xero!$A:$A,Heron!$A$5,Xero!$E:$E,Heron!$A37)</f>
        <v/>
      </c>
      <c r="AZ37" s="101">
        <f>SUMIFS(Xero!$F:$F,Xero!$B:$B,Heron!AZ$9,Xero!$A:$A,Heron!$A$4,Xero!$E:$E,Heron!$A37)+SUMIFS(Xero!$F:$F,Xero!$B:$B,Heron!AZ$9,Xero!$A:$A,Heron!$A$5,Xero!$E:$E,Heron!$A37)</f>
        <v/>
      </c>
      <c r="BA37" s="101">
        <f>SUMIFS(Xero!$F:$F,Xero!$B:$B,Heron!BA$9,Xero!$A:$A,Heron!$A$4,Xero!$E:$E,Heron!$A37)+SUMIFS(Xero!$F:$F,Xero!$B:$B,Heron!BA$9,Xero!$A:$A,Heron!$A$5,Xero!$E:$E,Heron!$A37)</f>
        <v/>
      </c>
      <c r="BB37" s="101">
        <f>SUMIFS(Xero!$F:$F,Xero!$B:$B,Heron!BB$9,Xero!$A:$A,Heron!$A$4,Xero!$E:$E,Heron!$A37)+SUMIFS(Xero!$F:$F,Xero!$B:$B,Heron!BB$9,Xero!$A:$A,Heron!$A$5,Xero!$E:$E,Heron!$A37)</f>
        <v/>
      </c>
      <c r="BC37" s="101">
        <f>SUMIFS(Xero!$F:$F,Xero!$B:$B,Heron!BC$9,Xero!$A:$A,Heron!$A$4,Xero!$E:$E,Heron!$A37)+SUMIFS(Xero!$F:$F,Xero!$B:$B,Heron!BC$9,Xero!$A:$A,Heron!$A$5,Xero!$E:$E,Heron!$A37)</f>
        <v/>
      </c>
      <c r="BD37" s="101">
        <f>SUMIFS(Xero!$F:$F,Xero!$B:$B,Heron!BD$9,Xero!$A:$A,Heron!$A$4,Xero!$E:$E,Heron!$A37)+SUMIFS(Xero!$F:$F,Xero!$B:$B,Heron!BD$9,Xero!$A:$A,Heron!$A$5,Xero!$E:$E,Heron!$A37)</f>
        <v/>
      </c>
      <c r="BE37" s="101">
        <f>SUMIFS(Xero!$F:$F,Xero!$B:$B,Heron!BE$9,Xero!$A:$A,Heron!$A$4,Xero!$E:$E,Heron!$A37)+SUMIFS(Xero!$F:$F,Xero!$B:$B,Heron!BE$9,Xero!$A:$A,Heron!$A$5,Xero!$E:$E,Heron!$A37)</f>
        <v/>
      </c>
      <c r="BF37" s="101">
        <f>SUMIFS(Xero!$F:$F,Xero!$B:$B,Heron!BF$9,Xero!$A:$A,Heron!$A$4,Xero!$E:$E,Heron!$A37)+SUMIFS(Xero!$F:$F,Xero!$B:$B,Heron!BF$9,Xero!$A:$A,Heron!$A$5,Xero!$E:$E,Heron!$A37)</f>
        <v/>
      </c>
      <c r="BG37" s="101">
        <f>SUMIFS(Xero!$F:$F,Xero!$B:$B,Heron!BG$9,Xero!$A:$A,Heron!$A$4,Xero!$E:$E,Heron!$A37)+SUMIFS(Xero!$F:$F,Xero!$B:$B,Heron!BG$9,Xero!$A:$A,Heron!$A$5,Xero!$E:$E,Heron!$A37)</f>
        <v/>
      </c>
      <c r="BH37" s="101">
        <f>SUMIFS(Xero!$F:$F,Xero!$B:$B,Heron!BH$9,Xero!$A:$A,Heron!$A$4,Xero!$E:$E,Heron!$A37)+SUMIFS(Xero!$F:$F,Xero!$B:$B,Heron!BH$9,Xero!$A:$A,Heron!$A$5,Xero!$E:$E,Heron!$A37)</f>
        <v/>
      </c>
      <c r="BI37" s="101">
        <f>SUMIFS(Xero!$F:$F,Xero!$B:$B,Heron!BI$9,Xero!$A:$A,Heron!$A$4,Xero!$E:$E,Heron!$A37)+SUMIFS(Xero!$F:$F,Xero!$B:$B,Heron!BI$9,Xero!$A:$A,Heron!$A$5,Xero!$E:$E,Heron!$A37)</f>
        <v/>
      </c>
      <c r="BJ37" s="101">
        <f>SUMIFS(Xero!$F:$F,Xero!$B:$B,Heron!BJ$9,Xero!$A:$A,Heron!$A$4,Xero!$E:$E,Heron!$A37)+SUMIFS(Xero!$F:$F,Xero!$B:$B,Heron!BJ$9,Xero!$A:$A,Heron!$A$5,Xero!$E:$E,Heron!$A37)</f>
        <v/>
      </c>
      <c r="BK37" s="101">
        <f>sum(D37:BJ37)</f>
        <v/>
      </c>
    </row>
    <row r="38">
      <c r="A38" s="100" t="inlineStr">
        <is>
          <t>Advertising - Pure Brand Activation</t>
        </is>
      </c>
      <c r="D38" s="101">
        <f>SUMIFS(Xero!$F:$F,Xero!$B:$B,Heron!D$9,Xero!$A:$A,Heron!$A$4,Xero!$E:$E,Heron!$A38)+SUMIFS(Xero!$F:$F,Xero!$B:$B,Heron!D$9,Xero!$A:$A,Heron!$A$5,Xero!$E:$E,Heron!$A38)</f>
        <v/>
      </c>
      <c r="E38" s="101">
        <f>SUMIFS(Xero!$F:$F,Xero!$B:$B,Heron!E$9,Xero!$A:$A,Heron!$A$4,Xero!$E:$E,Heron!$A38)+SUMIFS(Xero!$F:$F,Xero!$B:$B,Heron!E$9,Xero!$A:$A,Heron!$A$5,Xero!$E:$E,Heron!$A38)</f>
        <v/>
      </c>
      <c r="F38" s="101">
        <f>SUMIFS(Xero!$F:$F,Xero!$B:$B,Heron!F$9,Xero!$A:$A,Heron!$A$4,Xero!$E:$E,Heron!$A38)+SUMIFS(Xero!$F:$F,Xero!$B:$B,Heron!F$9,Xero!$A:$A,Heron!$A$5,Xero!$E:$E,Heron!$A38)</f>
        <v/>
      </c>
      <c r="G38" s="101">
        <f>SUMIFS(Xero!$F:$F,Xero!$B:$B,Heron!G$9,Xero!$A:$A,Heron!$A$4,Xero!$E:$E,Heron!$A38)+SUMIFS(Xero!$F:$F,Xero!$B:$B,Heron!G$9,Xero!$A:$A,Heron!$A$5,Xero!$E:$E,Heron!$A38)</f>
        <v/>
      </c>
      <c r="H38" s="101">
        <f>SUMIFS(Xero!$F:$F,Xero!$B:$B,Heron!H$9,Xero!$A:$A,Heron!$A$4,Xero!$E:$E,Heron!$A38)+SUMIFS(Xero!$F:$F,Xero!$B:$B,Heron!H$9,Xero!$A:$A,Heron!$A$5,Xero!$E:$E,Heron!$A38)</f>
        <v/>
      </c>
      <c r="I38" s="101">
        <f>SUMIFS(Xero!$F:$F,Xero!$B:$B,Heron!I$9,Xero!$A:$A,Heron!$A$4,Xero!$E:$E,Heron!$A38)+SUMIFS(Xero!$F:$F,Xero!$B:$B,Heron!I$9,Xero!$A:$A,Heron!$A$5,Xero!$E:$E,Heron!$A38)</f>
        <v/>
      </c>
      <c r="J38" s="101">
        <f>SUMIFS(Xero!$F:$F,Xero!$B:$B,Heron!J$9,Xero!$A:$A,Heron!$A$4,Xero!$E:$E,Heron!$A38)+SUMIFS(Xero!$F:$F,Xero!$B:$B,Heron!J$9,Xero!$A:$A,Heron!$A$5,Xero!$E:$E,Heron!$A38)</f>
        <v/>
      </c>
      <c r="K38" s="101">
        <f>SUMIFS(Xero!$F:$F,Xero!$B:$B,Heron!K$9,Xero!$A:$A,Heron!$A$4,Xero!$E:$E,Heron!$A38)+SUMIFS(Xero!$F:$F,Xero!$B:$B,Heron!K$9,Xero!$A:$A,Heron!$A$5,Xero!$E:$E,Heron!$A38)</f>
        <v/>
      </c>
      <c r="L38" s="101">
        <f>SUMIFS(Xero!$F:$F,Xero!$B:$B,Heron!L$9,Xero!$A:$A,Heron!$A$4,Xero!$E:$E,Heron!$A38)+SUMIFS(Xero!$F:$F,Xero!$B:$B,Heron!L$9,Xero!$A:$A,Heron!$A$5,Xero!$E:$E,Heron!$A38)</f>
        <v/>
      </c>
      <c r="M38" s="101">
        <f>SUMIFS(Xero!$F:$F,Xero!$B:$B,Heron!M$9,Xero!$A:$A,Heron!$A$4,Xero!$E:$E,Heron!$A38)+SUMIFS(Xero!$F:$F,Xero!$B:$B,Heron!M$9,Xero!$A:$A,Heron!$A$5,Xero!$E:$E,Heron!$A38)</f>
        <v/>
      </c>
      <c r="N38" s="101">
        <f>SUMIFS(Xero!$F:$F,Xero!$B:$B,Heron!N$9,Xero!$A:$A,Heron!$A$4,Xero!$E:$E,Heron!$A38)+SUMIFS(Xero!$F:$F,Xero!$B:$B,Heron!N$9,Xero!$A:$A,Heron!$A$5,Xero!$E:$E,Heron!$A38)</f>
        <v/>
      </c>
      <c r="O38" s="101">
        <f>SUMIFS(Xero!$F:$F,Xero!$B:$B,Heron!O$9,Xero!$A:$A,Heron!$A$4,Xero!$E:$E,Heron!$A38)+SUMIFS(Xero!$F:$F,Xero!$B:$B,Heron!O$9,Xero!$A:$A,Heron!$A$5,Xero!$E:$E,Heron!$A38)</f>
        <v/>
      </c>
      <c r="P38" s="101">
        <f>SUMIFS(Xero!$F:$F,Xero!$B:$B,Heron!P$9,Xero!$A:$A,Heron!$A$4,Xero!$E:$E,Heron!$A38)+SUMIFS(Xero!$F:$F,Xero!$B:$B,Heron!P$9,Xero!$A:$A,Heron!$A$5,Xero!$E:$E,Heron!$A38)</f>
        <v/>
      </c>
      <c r="Q38" s="101">
        <f>SUMIFS(Xero!$F:$F,Xero!$B:$B,Heron!Q$9,Xero!$A:$A,Heron!$A$4,Xero!$E:$E,Heron!$A38)+SUMIFS(Xero!$F:$F,Xero!$B:$B,Heron!Q$9,Xero!$A:$A,Heron!$A$5,Xero!$E:$E,Heron!$A38)</f>
        <v/>
      </c>
      <c r="R38" s="101">
        <f>SUMIFS(Xero!$F:$F,Xero!$B:$B,Heron!R$9,Xero!$A:$A,Heron!$A$4,Xero!$E:$E,Heron!$A38)+SUMIFS(Xero!$F:$F,Xero!$B:$B,Heron!R$9,Xero!$A:$A,Heron!$A$5,Xero!$E:$E,Heron!$A38)</f>
        <v/>
      </c>
      <c r="S38" s="101">
        <f>SUMIFS(Xero!$F:$F,Xero!$B:$B,Heron!S$9,Xero!$A:$A,Heron!$A$4,Xero!$E:$E,Heron!$A38)+SUMIFS(Xero!$F:$F,Xero!$B:$B,Heron!S$9,Xero!$A:$A,Heron!$A$5,Xero!$E:$E,Heron!$A38)</f>
        <v/>
      </c>
      <c r="T38" s="101">
        <f>SUMIFS(Xero!$F:$F,Xero!$B:$B,Heron!T$9,Xero!$A:$A,Heron!$A$4,Xero!$E:$E,Heron!$A38)+SUMIFS(Xero!$F:$F,Xero!$B:$B,Heron!T$9,Xero!$A:$A,Heron!$A$5,Xero!$E:$E,Heron!$A38)</f>
        <v/>
      </c>
      <c r="U38" s="101">
        <f>SUMIFS(Xero!$F:$F,Xero!$B:$B,Heron!U$9,Xero!$A:$A,Heron!$A$4,Xero!$E:$E,Heron!$A38)+SUMIFS(Xero!$F:$F,Xero!$B:$B,Heron!U$9,Xero!$A:$A,Heron!$A$5,Xero!$E:$E,Heron!$A38)</f>
        <v/>
      </c>
      <c r="V38" s="101">
        <f>SUMIFS(Xero!$F:$F,Xero!$B:$B,Heron!V$9,Xero!$A:$A,Heron!$A$4,Xero!$E:$E,Heron!$A38)+SUMIFS(Xero!$F:$F,Xero!$B:$B,Heron!V$9,Xero!$A:$A,Heron!$A$5,Xero!$E:$E,Heron!$A38)</f>
        <v/>
      </c>
      <c r="W38" s="101">
        <f>SUMIFS(Xero!$F:$F,Xero!$B:$B,Heron!W$9,Xero!$A:$A,Heron!$A$4,Xero!$E:$E,Heron!$A38)+SUMIFS(Xero!$F:$F,Xero!$B:$B,Heron!W$9,Xero!$A:$A,Heron!$A$5,Xero!$E:$E,Heron!$A38)</f>
        <v/>
      </c>
      <c r="X38" s="101">
        <f>SUMIFS(Xero!$F:$F,Xero!$B:$B,Heron!X$9,Xero!$A:$A,Heron!$A$4,Xero!$E:$E,Heron!$A38)+SUMIFS(Xero!$F:$F,Xero!$B:$B,Heron!X$9,Xero!$A:$A,Heron!$A$5,Xero!$E:$E,Heron!$A38)</f>
        <v/>
      </c>
      <c r="Y38" s="101">
        <f>SUMIFS(Xero!$F:$F,Xero!$B:$B,Heron!Y$9,Xero!$A:$A,Heron!$A$4,Xero!$E:$E,Heron!$A38)+SUMIFS(Xero!$F:$F,Xero!$B:$B,Heron!Y$9,Xero!$A:$A,Heron!$A$5,Xero!$E:$E,Heron!$A38)</f>
        <v/>
      </c>
      <c r="Z38" s="101">
        <f>SUMIFS(Xero!$F:$F,Xero!$B:$B,Heron!Z$9,Xero!$A:$A,Heron!$A$4,Xero!$E:$E,Heron!$A38)+SUMIFS(Xero!$F:$F,Xero!$B:$B,Heron!Z$9,Xero!$A:$A,Heron!$A$5,Xero!$E:$E,Heron!$A38)</f>
        <v/>
      </c>
      <c r="AA38" s="101">
        <f>SUMIFS(Xero!$F:$F,Xero!$B:$B,Heron!AA$9,Xero!$A:$A,Heron!$A$4,Xero!$E:$E,Heron!$A38)+SUMIFS(Xero!$F:$F,Xero!$B:$B,Heron!AA$9,Xero!$A:$A,Heron!$A$5,Xero!$E:$E,Heron!$A38)</f>
        <v/>
      </c>
      <c r="AB38" s="101">
        <f>SUMIFS(Xero!$F:$F,Xero!$B:$B,Heron!AB$9,Xero!$A:$A,Heron!$A$4,Xero!$E:$E,Heron!$A38)+SUMIFS(Xero!$F:$F,Xero!$B:$B,Heron!AB$9,Xero!$A:$A,Heron!$A$5,Xero!$E:$E,Heron!$A38)</f>
        <v/>
      </c>
      <c r="AC38" s="101">
        <f>SUMIFS(Xero!$F:$F,Xero!$B:$B,Heron!AC$9,Xero!$A:$A,Heron!$A$4,Xero!$E:$E,Heron!$A38)+SUMIFS(Xero!$F:$F,Xero!$B:$B,Heron!AC$9,Xero!$A:$A,Heron!$A$5,Xero!$E:$E,Heron!$A38)</f>
        <v/>
      </c>
      <c r="AD38" s="101">
        <f>SUMIFS(Xero!$F:$F,Xero!$B:$B,Heron!AD$9,Xero!$A:$A,Heron!$A$4,Xero!$E:$E,Heron!$A38)+SUMIFS(Xero!$F:$F,Xero!$B:$B,Heron!AD$9,Xero!$A:$A,Heron!$A$5,Xero!$E:$E,Heron!$A38)</f>
        <v/>
      </c>
      <c r="AE38" s="101">
        <f>SUMIFS(Xero!$F:$F,Xero!$B:$B,Heron!AE$9,Xero!$A:$A,Heron!$A$4,Xero!$E:$E,Heron!$A38)+SUMIFS(Xero!$F:$F,Xero!$B:$B,Heron!AE$9,Xero!$A:$A,Heron!$A$5,Xero!$E:$E,Heron!$A38)</f>
        <v/>
      </c>
      <c r="AF38" s="101">
        <f>SUMIFS(Xero!$F:$F,Xero!$B:$B,Heron!AF$9,Xero!$A:$A,Heron!$A$4,Xero!$E:$E,Heron!$A38)+SUMIFS(Xero!$F:$F,Xero!$B:$B,Heron!AF$9,Xero!$A:$A,Heron!$A$5,Xero!$E:$E,Heron!$A38)</f>
        <v/>
      </c>
      <c r="AG38" s="101">
        <f>SUMIFS(Xero!$F:$F,Xero!$B:$B,Heron!AG$9,Xero!$A:$A,Heron!$A$4,Xero!$E:$E,Heron!$A38)+SUMIFS(Xero!$F:$F,Xero!$B:$B,Heron!AG$9,Xero!$A:$A,Heron!$A$5,Xero!$E:$E,Heron!$A38)</f>
        <v/>
      </c>
      <c r="AH38" s="101">
        <f>SUMIFS(Xero!$F:$F,Xero!$B:$B,Heron!AH$9,Xero!$A:$A,Heron!$A$4,Xero!$E:$E,Heron!$A38)+SUMIFS(Xero!$F:$F,Xero!$B:$B,Heron!AH$9,Xero!$A:$A,Heron!$A$5,Xero!$E:$E,Heron!$A38)</f>
        <v/>
      </c>
      <c r="AI38" s="101">
        <f>SUMIFS(Xero!$F:$F,Xero!$B:$B,Heron!AI$9,Xero!$A:$A,Heron!$A$4,Xero!$E:$E,Heron!$A38)+SUMIFS(Xero!$F:$F,Xero!$B:$B,Heron!AI$9,Xero!$A:$A,Heron!$A$5,Xero!$E:$E,Heron!$A38)</f>
        <v/>
      </c>
      <c r="AJ38" s="101">
        <f>SUMIFS(Xero!$F:$F,Xero!$B:$B,Heron!AJ$9,Xero!$A:$A,Heron!$A$4,Xero!$E:$E,Heron!$A38)+SUMIFS(Xero!$F:$F,Xero!$B:$B,Heron!AJ$9,Xero!$A:$A,Heron!$A$5,Xero!$E:$E,Heron!$A38)</f>
        <v/>
      </c>
      <c r="AK38" s="101">
        <f>SUMIFS(Xero!$F:$F,Xero!$B:$B,Heron!AK$9,Xero!$A:$A,Heron!$A$4,Xero!$E:$E,Heron!$A38)+SUMIFS(Xero!$F:$F,Xero!$B:$B,Heron!AK$9,Xero!$A:$A,Heron!$A$5,Xero!$E:$E,Heron!$A38)</f>
        <v/>
      </c>
      <c r="AL38" s="101">
        <f>SUMIFS(Xero!$F:$F,Xero!$B:$B,Heron!AL$9,Xero!$A:$A,Heron!$A$4,Xero!$E:$E,Heron!$A38)+SUMIFS(Xero!$F:$F,Xero!$B:$B,Heron!AL$9,Xero!$A:$A,Heron!$A$5,Xero!$E:$E,Heron!$A38)</f>
        <v/>
      </c>
      <c r="AM38" s="101">
        <f>SUMIFS(Xero!$F:$F,Xero!$B:$B,Heron!AM$9,Xero!$A:$A,Heron!$A$4,Xero!$E:$E,Heron!$A38)+SUMIFS(Xero!$F:$F,Xero!$B:$B,Heron!AM$9,Xero!$A:$A,Heron!$A$5,Xero!$E:$E,Heron!$A38)</f>
        <v/>
      </c>
      <c r="AN38" s="101">
        <f>SUMIFS(Xero!$F:$F,Xero!$B:$B,Heron!AN$9,Xero!$A:$A,Heron!$A$4,Xero!$E:$E,Heron!$A38)+SUMIFS(Xero!$F:$F,Xero!$B:$B,Heron!AN$9,Xero!$A:$A,Heron!$A$5,Xero!$E:$E,Heron!$A38)</f>
        <v/>
      </c>
      <c r="AO38" s="101">
        <f>SUMIFS(Xero!$F:$F,Xero!$B:$B,Heron!AO$9,Xero!$A:$A,Heron!$A$4,Xero!$E:$E,Heron!$A38)+SUMIFS(Xero!$F:$F,Xero!$B:$B,Heron!AO$9,Xero!$A:$A,Heron!$A$5,Xero!$E:$E,Heron!$A38)</f>
        <v/>
      </c>
      <c r="AP38" s="101">
        <f>SUMIFS(Xero!$F:$F,Xero!$B:$B,Heron!AP$9,Xero!$A:$A,Heron!$A$4,Xero!$E:$E,Heron!$A38)+SUMIFS(Xero!$F:$F,Xero!$B:$B,Heron!AP$9,Xero!$A:$A,Heron!$A$5,Xero!$E:$E,Heron!$A38)</f>
        <v/>
      </c>
      <c r="AQ38" s="101">
        <f>SUMIFS(Xero!$F:$F,Xero!$B:$B,Heron!AQ$9,Xero!$A:$A,Heron!$A$4,Xero!$E:$E,Heron!$A38)+SUMIFS(Xero!$F:$F,Xero!$B:$B,Heron!AQ$9,Xero!$A:$A,Heron!$A$5,Xero!$E:$E,Heron!$A38)</f>
        <v/>
      </c>
      <c r="AR38" s="101">
        <f>SUMIFS(Xero!$F:$F,Xero!$B:$B,Heron!AR$9,Xero!$A:$A,Heron!$A$4,Xero!$E:$E,Heron!$A38)+SUMIFS(Xero!$F:$F,Xero!$B:$B,Heron!AR$9,Xero!$A:$A,Heron!$A$5,Xero!$E:$E,Heron!$A38)</f>
        <v/>
      </c>
      <c r="AS38" s="101">
        <f>SUMIFS(Xero!$F:$F,Xero!$B:$B,Heron!AS$9,Xero!$A:$A,Heron!$A$4,Xero!$E:$E,Heron!$A38)+SUMIFS(Xero!$F:$F,Xero!$B:$B,Heron!AS$9,Xero!$A:$A,Heron!$A$5,Xero!$E:$E,Heron!$A38)</f>
        <v/>
      </c>
      <c r="AT38" s="101">
        <f>SUMIFS(Xero!$F:$F,Xero!$B:$B,Heron!AT$9,Xero!$A:$A,Heron!$A$4,Xero!$E:$E,Heron!$A38)+SUMIFS(Xero!$F:$F,Xero!$B:$B,Heron!AT$9,Xero!$A:$A,Heron!$A$5,Xero!$E:$E,Heron!$A38)</f>
        <v/>
      </c>
      <c r="AU38" s="101">
        <f>SUMIFS(Xero!$F:$F,Xero!$B:$B,Heron!AU$9,Xero!$A:$A,Heron!$A$4,Xero!$E:$E,Heron!$A38)+SUMIFS(Xero!$F:$F,Xero!$B:$B,Heron!AU$9,Xero!$A:$A,Heron!$A$5,Xero!$E:$E,Heron!$A38)</f>
        <v/>
      </c>
      <c r="AV38" s="101">
        <f>SUMIFS(Xero!$F:$F,Xero!$B:$B,Heron!AV$9,Xero!$A:$A,Heron!$A$4,Xero!$E:$E,Heron!$A38)+SUMIFS(Xero!$F:$F,Xero!$B:$B,Heron!AV$9,Xero!$A:$A,Heron!$A$5,Xero!$E:$E,Heron!$A38)</f>
        <v/>
      </c>
      <c r="AW38" s="101">
        <f>SUMIFS(Xero!$F:$F,Xero!$B:$B,Heron!AW$9,Xero!$A:$A,Heron!$A$4,Xero!$E:$E,Heron!$A38)+SUMIFS(Xero!$F:$F,Xero!$B:$B,Heron!AW$9,Xero!$A:$A,Heron!$A$5,Xero!$E:$E,Heron!$A38)</f>
        <v/>
      </c>
      <c r="AX38" s="101">
        <f>SUMIFS(Xero!$F:$F,Xero!$B:$B,Heron!AX$9,Xero!$A:$A,Heron!$A$4,Xero!$E:$E,Heron!$A38)+SUMIFS(Xero!$F:$F,Xero!$B:$B,Heron!AX$9,Xero!$A:$A,Heron!$A$5,Xero!$E:$E,Heron!$A38)</f>
        <v/>
      </c>
      <c r="AY38" s="101">
        <f>SUMIFS(Xero!$F:$F,Xero!$B:$B,Heron!AY$9,Xero!$A:$A,Heron!$A$4,Xero!$E:$E,Heron!$A38)+SUMIFS(Xero!$F:$F,Xero!$B:$B,Heron!AY$9,Xero!$A:$A,Heron!$A$5,Xero!$E:$E,Heron!$A38)</f>
        <v/>
      </c>
      <c r="AZ38" s="101">
        <f>SUMIFS(Xero!$F:$F,Xero!$B:$B,Heron!AZ$9,Xero!$A:$A,Heron!$A$4,Xero!$E:$E,Heron!$A38)+SUMIFS(Xero!$F:$F,Xero!$B:$B,Heron!AZ$9,Xero!$A:$A,Heron!$A$5,Xero!$E:$E,Heron!$A38)</f>
        <v/>
      </c>
      <c r="BA38" s="101">
        <f>SUMIFS(Xero!$F:$F,Xero!$B:$B,Heron!BA$9,Xero!$A:$A,Heron!$A$4,Xero!$E:$E,Heron!$A38)+SUMIFS(Xero!$F:$F,Xero!$B:$B,Heron!BA$9,Xero!$A:$A,Heron!$A$5,Xero!$E:$E,Heron!$A38)</f>
        <v/>
      </c>
      <c r="BB38" s="101">
        <f>SUMIFS(Xero!$F:$F,Xero!$B:$B,Heron!BB$9,Xero!$A:$A,Heron!$A$4,Xero!$E:$E,Heron!$A38)+SUMIFS(Xero!$F:$F,Xero!$B:$B,Heron!BB$9,Xero!$A:$A,Heron!$A$5,Xero!$E:$E,Heron!$A38)</f>
        <v/>
      </c>
      <c r="BC38" s="101">
        <f>SUMIFS(Xero!$F:$F,Xero!$B:$B,Heron!BC$9,Xero!$A:$A,Heron!$A$4,Xero!$E:$E,Heron!$A38)+SUMIFS(Xero!$F:$F,Xero!$B:$B,Heron!BC$9,Xero!$A:$A,Heron!$A$5,Xero!$E:$E,Heron!$A38)</f>
        <v/>
      </c>
      <c r="BD38" s="101">
        <f>SUMIFS(Xero!$F:$F,Xero!$B:$B,Heron!BD$9,Xero!$A:$A,Heron!$A$4,Xero!$E:$E,Heron!$A38)+SUMIFS(Xero!$F:$F,Xero!$B:$B,Heron!BD$9,Xero!$A:$A,Heron!$A$5,Xero!$E:$E,Heron!$A38)</f>
        <v/>
      </c>
      <c r="BE38" s="101">
        <f>SUMIFS(Xero!$F:$F,Xero!$B:$B,Heron!BE$9,Xero!$A:$A,Heron!$A$4,Xero!$E:$E,Heron!$A38)+SUMIFS(Xero!$F:$F,Xero!$B:$B,Heron!BE$9,Xero!$A:$A,Heron!$A$5,Xero!$E:$E,Heron!$A38)</f>
        <v/>
      </c>
      <c r="BF38" s="101">
        <f>SUMIFS(Xero!$F:$F,Xero!$B:$B,Heron!BF$9,Xero!$A:$A,Heron!$A$4,Xero!$E:$E,Heron!$A38)+SUMIFS(Xero!$F:$F,Xero!$B:$B,Heron!BF$9,Xero!$A:$A,Heron!$A$5,Xero!$E:$E,Heron!$A38)</f>
        <v/>
      </c>
      <c r="BG38" s="101">
        <f>SUMIFS(Xero!$F:$F,Xero!$B:$B,Heron!BG$9,Xero!$A:$A,Heron!$A$4,Xero!$E:$E,Heron!$A38)+SUMIFS(Xero!$F:$F,Xero!$B:$B,Heron!BG$9,Xero!$A:$A,Heron!$A$5,Xero!$E:$E,Heron!$A38)</f>
        <v/>
      </c>
      <c r="BH38" s="101">
        <f>SUMIFS(Xero!$F:$F,Xero!$B:$B,Heron!BH$9,Xero!$A:$A,Heron!$A$4,Xero!$E:$E,Heron!$A38)+SUMIFS(Xero!$F:$F,Xero!$B:$B,Heron!BH$9,Xero!$A:$A,Heron!$A$5,Xero!$E:$E,Heron!$A38)</f>
        <v/>
      </c>
      <c r="BI38" s="101">
        <f>SUMIFS(Xero!$F:$F,Xero!$B:$B,Heron!BI$9,Xero!$A:$A,Heron!$A$4,Xero!$E:$E,Heron!$A38)+SUMIFS(Xero!$F:$F,Xero!$B:$B,Heron!BI$9,Xero!$A:$A,Heron!$A$5,Xero!$E:$E,Heron!$A38)</f>
        <v/>
      </c>
      <c r="BJ38" s="101">
        <f>SUMIFS(Xero!$F:$F,Xero!$B:$B,Heron!BJ$9,Xero!$A:$A,Heron!$A$4,Xero!$E:$E,Heron!$A38)+SUMIFS(Xero!$F:$F,Xero!$B:$B,Heron!BJ$9,Xero!$A:$A,Heron!$A$5,Xero!$E:$E,Heron!$A38)</f>
        <v/>
      </c>
      <c r="BK38" s="101">
        <f>sum(D38:BJ38)</f>
        <v/>
      </c>
    </row>
    <row r="39">
      <c r="A39" s="100" t="inlineStr">
        <is>
          <t>Advertising - Real Marketing</t>
        </is>
      </c>
      <c r="D39" s="101">
        <f>SUMIFS(Xero!$F:$F,Xero!$B:$B,Heron!D$9,Xero!$A:$A,Heron!$A$4,Xero!$E:$E,Heron!$A39)+SUMIFS(Xero!$F:$F,Xero!$B:$B,Heron!D$9,Xero!$A:$A,Heron!$A$5,Xero!$E:$E,Heron!$A39)</f>
        <v/>
      </c>
      <c r="E39" s="101">
        <f>SUMIFS(Xero!$F:$F,Xero!$B:$B,Heron!E$9,Xero!$A:$A,Heron!$A$4,Xero!$E:$E,Heron!$A39)+SUMIFS(Xero!$F:$F,Xero!$B:$B,Heron!E$9,Xero!$A:$A,Heron!$A$5,Xero!$E:$E,Heron!$A39)</f>
        <v/>
      </c>
      <c r="F39" s="101">
        <f>SUMIFS(Xero!$F:$F,Xero!$B:$B,Heron!F$9,Xero!$A:$A,Heron!$A$4,Xero!$E:$E,Heron!$A39)+SUMIFS(Xero!$F:$F,Xero!$B:$B,Heron!F$9,Xero!$A:$A,Heron!$A$5,Xero!$E:$E,Heron!$A39)</f>
        <v/>
      </c>
      <c r="G39" s="101">
        <f>SUMIFS(Xero!$F:$F,Xero!$B:$B,Heron!G$9,Xero!$A:$A,Heron!$A$4,Xero!$E:$E,Heron!$A39)+SUMIFS(Xero!$F:$F,Xero!$B:$B,Heron!G$9,Xero!$A:$A,Heron!$A$5,Xero!$E:$E,Heron!$A39)</f>
        <v/>
      </c>
      <c r="H39" s="101">
        <f>SUMIFS(Xero!$F:$F,Xero!$B:$B,Heron!H$9,Xero!$A:$A,Heron!$A$4,Xero!$E:$E,Heron!$A39)+SUMIFS(Xero!$F:$F,Xero!$B:$B,Heron!H$9,Xero!$A:$A,Heron!$A$5,Xero!$E:$E,Heron!$A39)</f>
        <v/>
      </c>
      <c r="I39" s="101">
        <f>SUMIFS(Xero!$F:$F,Xero!$B:$B,Heron!I$9,Xero!$A:$A,Heron!$A$4,Xero!$E:$E,Heron!$A39)+SUMIFS(Xero!$F:$F,Xero!$B:$B,Heron!I$9,Xero!$A:$A,Heron!$A$5,Xero!$E:$E,Heron!$A39)</f>
        <v/>
      </c>
      <c r="J39" s="101">
        <f>SUMIFS(Xero!$F:$F,Xero!$B:$B,Heron!J$9,Xero!$A:$A,Heron!$A$4,Xero!$E:$E,Heron!$A39)+SUMIFS(Xero!$F:$F,Xero!$B:$B,Heron!J$9,Xero!$A:$A,Heron!$A$5,Xero!$E:$E,Heron!$A39)</f>
        <v/>
      </c>
      <c r="K39" s="101">
        <f>SUMIFS(Xero!$F:$F,Xero!$B:$B,Heron!K$9,Xero!$A:$A,Heron!$A$4,Xero!$E:$E,Heron!$A39)+SUMIFS(Xero!$F:$F,Xero!$B:$B,Heron!K$9,Xero!$A:$A,Heron!$A$5,Xero!$E:$E,Heron!$A39)</f>
        <v/>
      </c>
      <c r="L39" s="101">
        <f>SUMIFS(Xero!$F:$F,Xero!$B:$B,Heron!L$9,Xero!$A:$A,Heron!$A$4,Xero!$E:$E,Heron!$A39)+SUMIFS(Xero!$F:$F,Xero!$B:$B,Heron!L$9,Xero!$A:$A,Heron!$A$5,Xero!$E:$E,Heron!$A39)</f>
        <v/>
      </c>
      <c r="M39" s="101">
        <f>SUMIFS(Xero!$F:$F,Xero!$B:$B,Heron!M$9,Xero!$A:$A,Heron!$A$4,Xero!$E:$E,Heron!$A39)+SUMIFS(Xero!$F:$F,Xero!$B:$B,Heron!M$9,Xero!$A:$A,Heron!$A$5,Xero!$E:$E,Heron!$A39)</f>
        <v/>
      </c>
      <c r="N39" s="101">
        <f>SUMIFS(Xero!$F:$F,Xero!$B:$B,Heron!N$9,Xero!$A:$A,Heron!$A$4,Xero!$E:$E,Heron!$A39)+SUMIFS(Xero!$F:$F,Xero!$B:$B,Heron!N$9,Xero!$A:$A,Heron!$A$5,Xero!$E:$E,Heron!$A39)</f>
        <v/>
      </c>
      <c r="O39" s="101">
        <f>SUMIFS(Xero!$F:$F,Xero!$B:$B,Heron!O$9,Xero!$A:$A,Heron!$A$4,Xero!$E:$E,Heron!$A39)+SUMIFS(Xero!$F:$F,Xero!$B:$B,Heron!O$9,Xero!$A:$A,Heron!$A$5,Xero!$E:$E,Heron!$A39)</f>
        <v/>
      </c>
      <c r="P39" s="101">
        <f>SUMIFS(Xero!$F:$F,Xero!$B:$B,Heron!P$9,Xero!$A:$A,Heron!$A$4,Xero!$E:$E,Heron!$A39)+SUMIFS(Xero!$F:$F,Xero!$B:$B,Heron!P$9,Xero!$A:$A,Heron!$A$5,Xero!$E:$E,Heron!$A39)</f>
        <v/>
      </c>
      <c r="Q39" s="101">
        <f>SUMIFS(Xero!$F:$F,Xero!$B:$B,Heron!Q$9,Xero!$A:$A,Heron!$A$4,Xero!$E:$E,Heron!$A39)+SUMIFS(Xero!$F:$F,Xero!$B:$B,Heron!Q$9,Xero!$A:$A,Heron!$A$5,Xero!$E:$E,Heron!$A39)</f>
        <v/>
      </c>
      <c r="R39" s="101">
        <f>SUMIFS(Xero!$F:$F,Xero!$B:$B,Heron!R$9,Xero!$A:$A,Heron!$A$4,Xero!$E:$E,Heron!$A39)+SUMIFS(Xero!$F:$F,Xero!$B:$B,Heron!R$9,Xero!$A:$A,Heron!$A$5,Xero!$E:$E,Heron!$A39)</f>
        <v/>
      </c>
      <c r="S39" s="101">
        <f>SUMIFS(Xero!$F:$F,Xero!$B:$B,Heron!S$9,Xero!$A:$A,Heron!$A$4,Xero!$E:$E,Heron!$A39)+SUMIFS(Xero!$F:$F,Xero!$B:$B,Heron!S$9,Xero!$A:$A,Heron!$A$5,Xero!$E:$E,Heron!$A39)</f>
        <v/>
      </c>
      <c r="T39" s="101">
        <f>SUMIFS(Xero!$F:$F,Xero!$B:$B,Heron!T$9,Xero!$A:$A,Heron!$A$4,Xero!$E:$E,Heron!$A39)+SUMIFS(Xero!$F:$F,Xero!$B:$B,Heron!T$9,Xero!$A:$A,Heron!$A$5,Xero!$E:$E,Heron!$A39)</f>
        <v/>
      </c>
      <c r="U39" s="101">
        <f>SUMIFS(Xero!$F:$F,Xero!$B:$B,Heron!U$9,Xero!$A:$A,Heron!$A$4,Xero!$E:$E,Heron!$A39)+SUMIFS(Xero!$F:$F,Xero!$B:$B,Heron!U$9,Xero!$A:$A,Heron!$A$5,Xero!$E:$E,Heron!$A39)</f>
        <v/>
      </c>
      <c r="V39" s="101">
        <f>SUMIFS(Xero!$F:$F,Xero!$B:$B,Heron!V$9,Xero!$A:$A,Heron!$A$4,Xero!$E:$E,Heron!$A39)+SUMIFS(Xero!$F:$F,Xero!$B:$B,Heron!V$9,Xero!$A:$A,Heron!$A$5,Xero!$E:$E,Heron!$A39)</f>
        <v/>
      </c>
      <c r="W39" s="101">
        <f>SUMIFS(Xero!$F:$F,Xero!$B:$B,Heron!W$9,Xero!$A:$A,Heron!$A$4,Xero!$E:$E,Heron!$A39)+SUMIFS(Xero!$F:$F,Xero!$B:$B,Heron!W$9,Xero!$A:$A,Heron!$A$5,Xero!$E:$E,Heron!$A39)</f>
        <v/>
      </c>
      <c r="X39" s="101">
        <f>SUMIFS(Xero!$F:$F,Xero!$B:$B,Heron!X$9,Xero!$A:$A,Heron!$A$4,Xero!$E:$E,Heron!$A39)+SUMIFS(Xero!$F:$F,Xero!$B:$B,Heron!X$9,Xero!$A:$A,Heron!$A$5,Xero!$E:$E,Heron!$A39)</f>
        <v/>
      </c>
      <c r="Y39" s="101">
        <f>SUMIFS(Xero!$F:$F,Xero!$B:$B,Heron!Y$9,Xero!$A:$A,Heron!$A$4,Xero!$E:$E,Heron!$A39)+SUMIFS(Xero!$F:$F,Xero!$B:$B,Heron!Y$9,Xero!$A:$A,Heron!$A$5,Xero!$E:$E,Heron!$A39)</f>
        <v/>
      </c>
      <c r="Z39" s="101">
        <f>SUMIFS(Xero!$F:$F,Xero!$B:$B,Heron!Z$9,Xero!$A:$A,Heron!$A$4,Xero!$E:$E,Heron!$A39)+SUMIFS(Xero!$F:$F,Xero!$B:$B,Heron!Z$9,Xero!$A:$A,Heron!$A$5,Xero!$E:$E,Heron!$A39)</f>
        <v/>
      </c>
      <c r="AA39" s="101">
        <f>SUMIFS(Xero!$F:$F,Xero!$B:$B,Heron!AA$9,Xero!$A:$A,Heron!$A$4,Xero!$E:$E,Heron!$A39)+SUMIFS(Xero!$F:$F,Xero!$B:$B,Heron!AA$9,Xero!$A:$A,Heron!$A$5,Xero!$E:$E,Heron!$A39)</f>
        <v/>
      </c>
      <c r="AB39" s="101">
        <f>SUMIFS(Xero!$F:$F,Xero!$B:$B,Heron!AB$9,Xero!$A:$A,Heron!$A$4,Xero!$E:$E,Heron!$A39)+SUMIFS(Xero!$F:$F,Xero!$B:$B,Heron!AB$9,Xero!$A:$A,Heron!$A$5,Xero!$E:$E,Heron!$A39)</f>
        <v/>
      </c>
      <c r="AC39" s="101">
        <f>SUMIFS(Xero!$F:$F,Xero!$B:$B,Heron!AC$9,Xero!$A:$A,Heron!$A$4,Xero!$E:$E,Heron!$A39)+SUMIFS(Xero!$F:$F,Xero!$B:$B,Heron!AC$9,Xero!$A:$A,Heron!$A$5,Xero!$E:$E,Heron!$A39)</f>
        <v/>
      </c>
      <c r="AD39" s="101">
        <f>SUMIFS(Xero!$F:$F,Xero!$B:$B,Heron!AD$9,Xero!$A:$A,Heron!$A$4,Xero!$E:$E,Heron!$A39)+SUMIFS(Xero!$F:$F,Xero!$B:$B,Heron!AD$9,Xero!$A:$A,Heron!$A$5,Xero!$E:$E,Heron!$A39)</f>
        <v/>
      </c>
      <c r="AE39" s="101">
        <f>SUMIFS(Xero!$F:$F,Xero!$B:$B,Heron!AE$9,Xero!$A:$A,Heron!$A$4,Xero!$E:$E,Heron!$A39)+SUMIFS(Xero!$F:$F,Xero!$B:$B,Heron!AE$9,Xero!$A:$A,Heron!$A$5,Xero!$E:$E,Heron!$A39)</f>
        <v/>
      </c>
      <c r="AF39" s="101">
        <f>SUMIFS(Xero!$F:$F,Xero!$B:$B,Heron!AF$9,Xero!$A:$A,Heron!$A$4,Xero!$E:$E,Heron!$A39)+SUMIFS(Xero!$F:$F,Xero!$B:$B,Heron!AF$9,Xero!$A:$A,Heron!$A$5,Xero!$E:$E,Heron!$A39)</f>
        <v/>
      </c>
      <c r="AG39" s="101">
        <f>SUMIFS(Xero!$F:$F,Xero!$B:$B,Heron!AG$9,Xero!$A:$A,Heron!$A$4,Xero!$E:$E,Heron!$A39)+SUMIFS(Xero!$F:$F,Xero!$B:$B,Heron!AG$9,Xero!$A:$A,Heron!$A$5,Xero!$E:$E,Heron!$A39)</f>
        <v/>
      </c>
      <c r="AH39" s="101">
        <f>SUMIFS(Xero!$F:$F,Xero!$B:$B,Heron!AH$9,Xero!$A:$A,Heron!$A$4,Xero!$E:$E,Heron!$A39)+SUMIFS(Xero!$F:$F,Xero!$B:$B,Heron!AH$9,Xero!$A:$A,Heron!$A$5,Xero!$E:$E,Heron!$A39)</f>
        <v/>
      </c>
      <c r="AI39" s="101">
        <f>SUMIFS(Xero!$F:$F,Xero!$B:$B,Heron!AI$9,Xero!$A:$A,Heron!$A$4,Xero!$E:$E,Heron!$A39)+SUMIFS(Xero!$F:$F,Xero!$B:$B,Heron!AI$9,Xero!$A:$A,Heron!$A$5,Xero!$E:$E,Heron!$A39)</f>
        <v/>
      </c>
      <c r="AJ39" s="101">
        <f>SUMIFS(Xero!$F:$F,Xero!$B:$B,Heron!AJ$9,Xero!$A:$A,Heron!$A$4,Xero!$E:$E,Heron!$A39)+SUMIFS(Xero!$F:$F,Xero!$B:$B,Heron!AJ$9,Xero!$A:$A,Heron!$A$5,Xero!$E:$E,Heron!$A39)</f>
        <v/>
      </c>
      <c r="AK39" s="101">
        <f>SUMIFS(Xero!$F:$F,Xero!$B:$B,Heron!AK$9,Xero!$A:$A,Heron!$A$4,Xero!$E:$E,Heron!$A39)+SUMIFS(Xero!$F:$F,Xero!$B:$B,Heron!AK$9,Xero!$A:$A,Heron!$A$5,Xero!$E:$E,Heron!$A39)</f>
        <v/>
      </c>
      <c r="AL39" s="101">
        <f>SUMIFS(Xero!$F:$F,Xero!$B:$B,Heron!AL$9,Xero!$A:$A,Heron!$A$4,Xero!$E:$E,Heron!$A39)+SUMIFS(Xero!$F:$F,Xero!$B:$B,Heron!AL$9,Xero!$A:$A,Heron!$A$5,Xero!$E:$E,Heron!$A39)</f>
        <v/>
      </c>
      <c r="AM39" s="101">
        <f>SUMIFS(Xero!$F:$F,Xero!$B:$B,Heron!AM$9,Xero!$A:$A,Heron!$A$4,Xero!$E:$E,Heron!$A39)+SUMIFS(Xero!$F:$F,Xero!$B:$B,Heron!AM$9,Xero!$A:$A,Heron!$A$5,Xero!$E:$E,Heron!$A39)</f>
        <v/>
      </c>
      <c r="AN39" s="101">
        <f>SUMIFS(Xero!$F:$F,Xero!$B:$B,Heron!AN$9,Xero!$A:$A,Heron!$A$4,Xero!$E:$E,Heron!$A39)+SUMIFS(Xero!$F:$F,Xero!$B:$B,Heron!AN$9,Xero!$A:$A,Heron!$A$5,Xero!$E:$E,Heron!$A39)</f>
        <v/>
      </c>
      <c r="AO39" s="101">
        <f>SUMIFS(Xero!$F:$F,Xero!$B:$B,Heron!AO$9,Xero!$A:$A,Heron!$A$4,Xero!$E:$E,Heron!$A39)+SUMIFS(Xero!$F:$F,Xero!$B:$B,Heron!AO$9,Xero!$A:$A,Heron!$A$5,Xero!$E:$E,Heron!$A39)</f>
        <v/>
      </c>
      <c r="AP39" s="101">
        <f>SUMIFS(Xero!$F:$F,Xero!$B:$B,Heron!AP$9,Xero!$A:$A,Heron!$A$4,Xero!$E:$E,Heron!$A39)+SUMIFS(Xero!$F:$F,Xero!$B:$B,Heron!AP$9,Xero!$A:$A,Heron!$A$5,Xero!$E:$E,Heron!$A39)</f>
        <v/>
      </c>
      <c r="AQ39" s="101">
        <f>SUMIFS(Xero!$F:$F,Xero!$B:$B,Heron!AQ$9,Xero!$A:$A,Heron!$A$4,Xero!$E:$E,Heron!$A39)+SUMIFS(Xero!$F:$F,Xero!$B:$B,Heron!AQ$9,Xero!$A:$A,Heron!$A$5,Xero!$E:$E,Heron!$A39)</f>
        <v/>
      </c>
      <c r="AR39" s="101">
        <f>SUMIFS(Xero!$F:$F,Xero!$B:$B,Heron!AR$9,Xero!$A:$A,Heron!$A$4,Xero!$E:$E,Heron!$A39)+SUMIFS(Xero!$F:$F,Xero!$B:$B,Heron!AR$9,Xero!$A:$A,Heron!$A$5,Xero!$E:$E,Heron!$A39)</f>
        <v/>
      </c>
      <c r="AS39" s="101">
        <f>SUMIFS(Xero!$F:$F,Xero!$B:$B,Heron!AS$9,Xero!$A:$A,Heron!$A$4,Xero!$E:$E,Heron!$A39)+SUMIFS(Xero!$F:$F,Xero!$B:$B,Heron!AS$9,Xero!$A:$A,Heron!$A$5,Xero!$E:$E,Heron!$A39)</f>
        <v/>
      </c>
      <c r="AT39" s="101">
        <f>SUMIFS(Xero!$F:$F,Xero!$B:$B,Heron!AT$9,Xero!$A:$A,Heron!$A$4,Xero!$E:$E,Heron!$A39)+SUMIFS(Xero!$F:$F,Xero!$B:$B,Heron!AT$9,Xero!$A:$A,Heron!$A$5,Xero!$E:$E,Heron!$A39)</f>
        <v/>
      </c>
      <c r="AU39" s="101">
        <f>SUMIFS(Xero!$F:$F,Xero!$B:$B,Heron!AU$9,Xero!$A:$A,Heron!$A$4,Xero!$E:$E,Heron!$A39)+SUMIFS(Xero!$F:$F,Xero!$B:$B,Heron!AU$9,Xero!$A:$A,Heron!$A$5,Xero!$E:$E,Heron!$A39)</f>
        <v/>
      </c>
      <c r="AV39" s="101">
        <f>SUMIFS(Xero!$F:$F,Xero!$B:$B,Heron!AV$9,Xero!$A:$A,Heron!$A$4,Xero!$E:$E,Heron!$A39)+SUMIFS(Xero!$F:$F,Xero!$B:$B,Heron!AV$9,Xero!$A:$A,Heron!$A$5,Xero!$E:$E,Heron!$A39)</f>
        <v/>
      </c>
      <c r="AW39" s="101">
        <f>SUMIFS(Xero!$F:$F,Xero!$B:$B,Heron!AW$9,Xero!$A:$A,Heron!$A$4,Xero!$E:$E,Heron!$A39)+SUMIFS(Xero!$F:$F,Xero!$B:$B,Heron!AW$9,Xero!$A:$A,Heron!$A$5,Xero!$E:$E,Heron!$A39)</f>
        <v/>
      </c>
      <c r="AX39" s="101">
        <f>SUMIFS(Xero!$F:$F,Xero!$B:$B,Heron!AX$9,Xero!$A:$A,Heron!$A$4,Xero!$E:$E,Heron!$A39)+SUMIFS(Xero!$F:$F,Xero!$B:$B,Heron!AX$9,Xero!$A:$A,Heron!$A$5,Xero!$E:$E,Heron!$A39)</f>
        <v/>
      </c>
      <c r="AY39" s="101">
        <f>SUMIFS(Xero!$F:$F,Xero!$B:$B,Heron!AY$9,Xero!$A:$A,Heron!$A$4,Xero!$E:$E,Heron!$A39)+SUMIFS(Xero!$F:$F,Xero!$B:$B,Heron!AY$9,Xero!$A:$A,Heron!$A$5,Xero!$E:$E,Heron!$A39)</f>
        <v/>
      </c>
      <c r="AZ39" s="101">
        <f>SUMIFS(Xero!$F:$F,Xero!$B:$B,Heron!AZ$9,Xero!$A:$A,Heron!$A$4,Xero!$E:$E,Heron!$A39)+SUMIFS(Xero!$F:$F,Xero!$B:$B,Heron!AZ$9,Xero!$A:$A,Heron!$A$5,Xero!$E:$E,Heron!$A39)</f>
        <v/>
      </c>
      <c r="BA39" s="101">
        <f>SUMIFS(Xero!$F:$F,Xero!$B:$B,Heron!BA$9,Xero!$A:$A,Heron!$A$4,Xero!$E:$E,Heron!$A39)+SUMIFS(Xero!$F:$F,Xero!$B:$B,Heron!BA$9,Xero!$A:$A,Heron!$A$5,Xero!$E:$E,Heron!$A39)</f>
        <v/>
      </c>
      <c r="BB39" s="101">
        <f>SUMIFS(Xero!$F:$F,Xero!$B:$B,Heron!BB$9,Xero!$A:$A,Heron!$A$4,Xero!$E:$E,Heron!$A39)+SUMIFS(Xero!$F:$F,Xero!$B:$B,Heron!BB$9,Xero!$A:$A,Heron!$A$5,Xero!$E:$E,Heron!$A39)</f>
        <v/>
      </c>
      <c r="BC39" s="101">
        <f>SUMIFS(Xero!$F:$F,Xero!$B:$B,Heron!BC$9,Xero!$A:$A,Heron!$A$4,Xero!$E:$E,Heron!$A39)+SUMIFS(Xero!$F:$F,Xero!$B:$B,Heron!BC$9,Xero!$A:$A,Heron!$A$5,Xero!$E:$E,Heron!$A39)</f>
        <v/>
      </c>
      <c r="BD39" s="101">
        <f>SUMIFS(Xero!$F:$F,Xero!$B:$B,Heron!BD$9,Xero!$A:$A,Heron!$A$4,Xero!$E:$E,Heron!$A39)+SUMIFS(Xero!$F:$F,Xero!$B:$B,Heron!BD$9,Xero!$A:$A,Heron!$A$5,Xero!$E:$E,Heron!$A39)</f>
        <v/>
      </c>
      <c r="BE39" s="101">
        <f>SUMIFS(Xero!$F:$F,Xero!$B:$B,Heron!BE$9,Xero!$A:$A,Heron!$A$4,Xero!$E:$E,Heron!$A39)+SUMIFS(Xero!$F:$F,Xero!$B:$B,Heron!BE$9,Xero!$A:$A,Heron!$A$5,Xero!$E:$E,Heron!$A39)</f>
        <v/>
      </c>
      <c r="BF39" s="101">
        <f>SUMIFS(Xero!$F:$F,Xero!$B:$B,Heron!BF$9,Xero!$A:$A,Heron!$A$4,Xero!$E:$E,Heron!$A39)+SUMIFS(Xero!$F:$F,Xero!$B:$B,Heron!BF$9,Xero!$A:$A,Heron!$A$5,Xero!$E:$E,Heron!$A39)</f>
        <v/>
      </c>
      <c r="BG39" s="101">
        <f>SUMIFS(Xero!$F:$F,Xero!$B:$B,Heron!BG$9,Xero!$A:$A,Heron!$A$4,Xero!$E:$E,Heron!$A39)+SUMIFS(Xero!$F:$F,Xero!$B:$B,Heron!BG$9,Xero!$A:$A,Heron!$A$5,Xero!$E:$E,Heron!$A39)</f>
        <v/>
      </c>
      <c r="BH39" s="101">
        <f>SUMIFS(Xero!$F:$F,Xero!$B:$B,Heron!BH$9,Xero!$A:$A,Heron!$A$4,Xero!$E:$E,Heron!$A39)+SUMIFS(Xero!$F:$F,Xero!$B:$B,Heron!BH$9,Xero!$A:$A,Heron!$A$5,Xero!$E:$E,Heron!$A39)</f>
        <v/>
      </c>
      <c r="BI39" s="101">
        <f>SUMIFS(Xero!$F:$F,Xero!$B:$B,Heron!BI$9,Xero!$A:$A,Heron!$A$4,Xero!$E:$E,Heron!$A39)+SUMIFS(Xero!$F:$F,Xero!$B:$B,Heron!BI$9,Xero!$A:$A,Heron!$A$5,Xero!$E:$E,Heron!$A39)</f>
        <v/>
      </c>
      <c r="BJ39" s="101">
        <f>SUMIFS(Xero!$F:$F,Xero!$B:$B,Heron!BJ$9,Xero!$A:$A,Heron!$A$4,Xero!$E:$E,Heron!$A39)+SUMIFS(Xero!$F:$F,Xero!$B:$B,Heron!BJ$9,Xero!$A:$A,Heron!$A$5,Xero!$E:$E,Heron!$A39)</f>
        <v/>
      </c>
      <c r="BK39" s="101">
        <f>sum(D39:BJ39)</f>
        <v/>
      </c>
    </row>
    <row r="40">
      <c r="A40" s="100" t="inlineStr">
        <is>
          <t>Advertising - Thinkink</t>
        </is>
      </c>
      <c r="D40" s="101">
        <f>SUMIFS(Xero!$F:$F,Xero!$B:$B,Heron!D$9,Xero!$A:$A,Heron!$A$4,Xero!$E:$E,Heron!$A40)+SUMIFS(Xero!$F:$F,Xero!$B:$B,Heron!D$9,Xero!$A:$A,Heron!$A$5,Xero!$E:$E,Heron!$A40)</f>
        <v/>
      </c>
      <c r="E40" s="101">
        <f>SUMIFS(Xero!$F:$F,Xero!$B:$B,Heron!E$9,Xero!$A:$A,Heron!$A$4,Xero!$E:$E,Heron!$A40)+SUMIFS(Xero!$F:$F,Xero!$B:$B,Heron!E$9,Xero!$A:$A,Heron!$A$5,Xero!$E:$E,Heron!$A40)</f>
        <v/>
      </c>
      <c r="F40" s="101">
        <f>SUMIFS(Xero!$F:$F,Xero!$B:$B,Heron!F$9,Xero!$A:$A,Heron!$A$4,Xero!$E:$E,Heron!$A40)+SUMIFS(Xero!$F:$F,Xero!$B:$B,Heron!F$9,Xero!$A:$A,Heron!$A$5,Xero!$E:$E,Heron!$A40)</f>
        <v/>
      </c>
      <c r="G40" s="101">
        <f>SUMIFS(Xero!$F:$F,Xero!$B:$B,Heron!G$9,Xero!$A:$A,Heron!$A$4,Xero!$E:$E,Heron!$A40)+SUMIFS(Xero!$F:$F,Xero!$B:$B,Heron!G$9,Xero!$A:$A,Heron!$A$5,Xero!$E:$E,Heron!$A40)</f>
        <v/>
      </c>
      <c r="H40" s="101">
        <f>SUMIFS(Xero!$F:$F,Xero!$B:$B,Heron!H$9,Xero!$A:$A,Heron!$A$4,Xero!$E:$E,Heron!$A40)+SUMIFS(Xero!$F:$F,Xero!$B:$B,Heron!H$9,Xero!$A:$A,Heron!$A$5,Xero!$E:$E,Heron!$A40)</f>
        <v/>
      </c>
      <c r="I40" s="101">
        <f>SUMIFS(Xero!$F:$F,Xero!$B:$B,Heron!I$9,Xero!$A:$A,Heron!$A$4,Xero!$E:$E,Heron!$A40)+SUMIFS(Xero!$F:$F,Xero!$B:$B,Heron!I$9,Xero!$A:$A,Heron!$A$5,Xero!$E:$E,Heron!$A40)</f>
        <v/>
      </c>
      <c r="J40" s="101">
        <f>SUMIFS(Xero!$F:$F,Xero!$B:$B,Heron!J$9,Xero!$A:$A,Heron!$A$4,Xero!$E:$E,Heron!$A40)+SUMIFS(Xero!$F:$F,Xero!$B:$B,Heron!J$9,Xero!$A:$A,Heron!$A$5,Xero!$E:$E,Heron!$A40)</f>
        <v/>
      </c>
      <c r="K40" s="101">
        <f>SUMIFS(Xero!$F:$F,Xero!$B:$B,Heron!K$9,Xero!$A:$A,Heron!$A$4,Xero!$E:$E,Heron!$A40)+SUMIFS(Xero!$F:$F,Xero!$B:$B,Heron!K$9,Xero!$A:$A,Heron!$A$5,Xero!$E:$E,Heron!$A40)</f>
        <v/>
      </c>
      <c r="L40" s="101">
        <f>SUMIFS(Xero!$F:$F,Xero!$B:$B,Heron!L$9,Xero!$A:$A,Heron!$A$4,Xero!$E:$E,Heron!$A40)+SUMIFS(Xero!$F:$F,Xero!$B:$B,Heron!L$9,Xero!$A:$A,Heron!$A$5,Xero!$E:$E,Heron!$A40)</f>
        <v/>
      </c>
      <c r="M40" s="101">
        <f>SUMIFS(Xero!$F:$F,Xero!$B:$B,Heron!M$9,Xero!$A:$A,Heron!$A$4,Xero!$E:$E,Heron!$A40)+SUMIFS(Xero!$F:$F,Xero!$B:$B,Heron!M$9,Xero!$A:$A,Heron!$A$5,Xero!$E:$E,Heron!$A40)</f>
        <v/>
      </c>
      <c r="N40" s="101">
        <f>SUMIFS(Xero!$F:$F,Xero!$B:$B,Heron!N$9,Xero!$A:$A,Heron!$A$4,Xero!$E:$E,Heron!$A40)+SUMIFS(Xero!$F:$F,Xero!$B:$B,Heron!N$9,Xero!$A:$A,Heron!$A$5,Xero!$E:$E,Heron!$A40)</f>
        <v/>
      </c>
      <c r="O40" s="101">
        <f>SUMIFS(Xero!$F:$F,Xero!$B:$B,Heron!O$9,Xero!$A:$A,Heron!$A$4,Xero!$E:$E,Heron!$A40)+SUMIFS(Xero!$F:$F,Xero!$B:$B,Heron!O$9,Xero!$A:$A,Heron!$A$5,Xero!$E:$E,Heron!$A40)</f>
        <v/>
      </c>
      <c r="P40" s="101">
        <f>SUMIFS(Xero!$F:$F,Xero!$B:$B,Heron!P$9,Xero!$A:$A,Heron!$A$4,Xero!$E:$E,Heron!$A40)+SUMIFS(Xero!$F:$F,Xero!$B:$B,Heron!P$9,Xero!$A:$A,Heron!$A$5,Xero!$E:$E,Heron!$A40)</f>
        <v/>
      </c>
      <c r="Q40" s="101">
        <f>SUMIFS(Xero!$F:$F,Xero!$B:$B,Heron!Q$9,Xero!$A:$A,Heron!$A$4,Xero!$E:$E,Heron!$A40)+SUMIFS(Xero!$F:$F,Xero!$B:$B,Heron!Q$9,Xero!$A:$A,Heron!$A$5,Xero!$E:$E,Heron!$A40)</f>
        <v/>
      </c>
      <c r="R40" s="101">
        <f>SUMIFS(Xero!$F:$F,Xero!$B:$B,Heron!R$9,Xero!$A:$A,Heron!$A$4,Xero!$E:$E,Heron!$A40)+SUMIFS(Xero!$F:$F,Xero!$B:$B,Heron!R$9,Xero!$A:$A,Heron!$A$5,Xero!$E:$E,Heron!$A40)</f>
        <v/>
      </c>
      <c r="S40" s="101">
        <f>SUMIFS(Xero!$F:$F,Xero!$B:$B,Heron!S$9,Xero!$A:$A,Heron!$A$4,Xero!$E:$E,Heron!$A40)+SUMIFS(Xero!$F:$F,Xero!$B:$B,Heron!S$9,Xero!$A:$A,Heron!$A$5,Xero!$E:$E,Heron!$A40)</f>
        <v/>
      </c>
      <c r="T40" s="101">
        <f>SUMIFS(Xero!$F:$F,Xero!$B:$B,Heron!T$9,Xero!$A:$A,Heron!$A$4,Xero!$E:$E,Heron!$A40)+SUMIFS(Xero!$F:$F,Xero!$B:$B,Heron!T$9,Xero!$A:$A,Heron!$A$5,Xero!$E:$E,Heron!$A40)</f>
        <v/>
      </c>
      <c r="U40" s="101">
        <f>SUMIFS(Xero!$F:$F,Xero!$B:$B,Heron!U$9,Xero!$A:$A,Heron!$A$4,Xero!$E:$E,Heron!$A40)+SUMIFS(Xero!$F:$F,Xero!$B:$B,Heron!U$9,Xero!$A:$A,Heron!$A$5,Xero!$E:$E,Heron!$A40)</f>
        <v/>
      </c>
      <c r="V40" s="101">
        <f>SUMIFS(Xero!$F:$F,Xero!$B:$B,Heron!V$9,Xero!$A:$A,Heron!$A$4,Xero!$E:$E,Heron!$A40)+SUMIFS(Xero!$F:$F,Xero!$B:$B,Heron!V$9,Xero!$A:$A,Heron!$A$5,Xero!$E:$E,Heron!$A40)</f>
        <v/>
      </c>
      <c r="W40" s="101">
        <f>SUMIFS(Xero!$F:$F,Xero!$B:$B,Heron!W$9,Xero!$A:$A,Heron!$A$4,Xero!$E:$E,Heron!$A40)+SUMIFS(Xero!$F:$F,Xero!$B:$B,Heron!W$9,Xero!$A:$A,Heron!$A$5,Xero!$E:$E,Heron!$A40)</f>
        <v/>
      </c>
      <c r="X40" s="101">
        <f>SUMIFS(Xero!$F:$F,Xero!$B:$B,Heron!X$9,Xero!$A:$A,Heron!$A$4,Xero!$E:$E,Heron!$A40)+SUMIFS(Xero!$F:$F,Xero!$B:$B,Heron!X$9,Xero!$A:$A,Heron!$A$5,Xero!$E:$E,Heron!$A40)</f>
        <v/>
      </c>
      <c r="Y40" s="101">
        <f>SUMIFS(Xero!$F:$F,Xero!$B:$B,Heron!Y$9,Xero!$A:$A,Heron!$A$4,Xero!$E:$E,Heron!$A40)+SUMIFS(Xero!$F:$F,Xero!$B:$B,Heron!Y$9,Xero!$A:$A,Heron!$A$5,Xero!$E:$E,Heron!$A40)</f>
        <v/>
      </c>
      <c r="Z40" s="101">
        <f>SUMIFS(Xero!$F:$F,Xero!$B:$B,Heron!Z$9,Xero!$A:$A,Heron!$A$4,Xero!$E:$E,Heron!$A40)+SUMIFS(Xero!$F:$F,Xero!$B:$B,Heron!Z$9,Xero!$A:$A,Heron!$A$5,Xero!$E:$E,Heron!$A40)</f>
        <v/>
      </c>
      <c r="AA40" s="101">
        <f>SUMIFS(Xero!$F:$F,Xero!$B:$B,Heron!AA$9,Xero!$A:$A,Heron!$A$4,Xero!$E:$E,Heron!$A40)+SUMIFS(Xero!$F:$F,Xero!$B:$B,Heron!AA$9,Xero!$A:$A,Heron!$A$5,Xero!$E:$E,Heron!$A40)</f>
        <v/>
      </c>
      <c r="AB40" s="101">
        <f>SUMIFS(Xero!$F:$F,Xero!$B:$B,Heron!AB$9,Xero!$A:$A,Heron!$A$4,Xero!$E:$E,Heron!$A40)+SUMIFS(Xero!$F:$F,Xero!$B:$B,Heron!AB$9,Xero!$A:$A,Heron!$A$5,Xero!$E:$E,Heron!$A40)</f>
        <v/>
      </c>
      <c r="AC40" s="101">
        <f>SUMIFS(Xero!$F:$F,Xero!$B:$B,Heron!AC$9,Xero!$A:$A,Heron!$A$4,Xero!$E:$E,Heron!$A40)+SUMIFS(Xero!$F:$F,Xero!$B:$B,Heron!AC$9,Xero!$A:$A,Heron!$A$5,Xero!$E:$E,Heron!$A40)</f>
        <v/>
      </c>
      <c r="AD40" s="101">
        <f>SUMIFS(Xero!$F:$F,Xero!$B:$B,Heron!AD$9,Xero!$A:$A,Heron!$A$4,Xero!$E:$E,Heron!$A40)+SUMIFS(Xero!$F:$F,Xero!$B:$B,Heron!AD$9,Xero!$A:$A,Heron!$A$5,Xero!$E:$E,Heron!$A40)</f>
        <v/>
      </c>
      <c r="AE40" s="101">
        <f>SUMIFS(Xero!$F:$F,Xero!$B:$B,Heron!AE$9,Xero!$A:$A,Heron!$A$4,Xero!$E:$E,Heron!$A40)+SUMIFS(Xero!$F:$F,Xero!$B:$B,Heron!AE$9,Xero!$A:$A,Heron!$A$5,Xero!$E:$E,Heron!$A40)</f>
        <v/>
      </c>
      <c r="AF40" s="101">
        <f>SUMIFS(Xero!$F:$F,Xero!$B:$B,Heron!AF$9,Xero!$A:$A,Heron!$A$4,Xero!$E:$E,Heron!$A40)+SUMIFS(Xero!$F:$F,Xero!$B:$B,Heron!AF$9,Xero!$A:$A,Heron!$A$5,Xero!$E:$E,Heron!$A40)</f>
        <v/>
      </c>
      <c r="AG40" s="101">
        <f>SUMIFS(Xero!$F:$F,Xero!$B:$B,Heron!AG$9,Xero!$A:$A,Heron!$A$4,Xero!$E:$E,Heron!$A40)+SUMIFS(Xero!$F:$F,Xero!$B:$B,Heron!AG$9,Xero!$A:$A,Heron!$A$5,Xero!$E:$E,Heron!$A40)</f>
        <v/>
      </c>
      <c r="AH40" s="101">
        <f>SUMIFS(Xero!$F:$F,Xero!$B:$B,Heron!AH$9,Xero!$A:$A,Heron!$A$4,Xero!$E:$E,Heron!$A40)+SUMIFS(Xero!$F:$F,Xero!$B:$B,Heron!AH$9,Xero!$A:$A,Heron!$A$5,Xero!$E:$E,Heron!$A40)</f>
        <v/>
      </c>
      <c r="AI40" s="101">
        <f>SUMIFS(Xero!$F:$F,Xero!$B:$B,Heron!AI$9,Xero!$A:$A,Heron!$A$4,Xero!$E:$E,Heron!$A40)+SUMIFS(Xero!$F:$F,Xero!$B:$B,Heron!AI$9,Xero!$A:$A,Heron!$A$5,Xero!$E:$E,Heron!$A40)</f>
        <v/>
      </c>
      <c r="AJ40" s="101">
        <f>SUMIFS(Xero!$F:$F,Xero!$B:$B,Heron!AJ$9,Xero!$A:$A,Heron!$A$4,Xero!$E:$E,Heron!$A40)+SUMIFS(Xero!$F:$F,Xero!$B:$B,Heron!AJ$9,Xero!$A:$A,Heron!$A$5,Xero!$E:$E,Heron!$A40)</f>
        <v/>
      </c>
      <c r="AK40" s="101">
        <f>SUMIFS(Xero!$F:$F,Xero!$B:$B,Heron!AK$9,Xero!$A:$A,Heron!$A$4,Xero!$E:$E,Heron!$A40)+SUMIFS(Xero!$F:$F,Xero!$B:$B,Heron!AK$9,Xero!$A:$A,Heron!$A$5,Xero!$E:$E,Heron!$A40)</f>
        <v/>
      </c>
      <c r="AL40" s="101">
        <f>SUMIFS(Xero!$F:$F,Xero!$B:$B,Heron!AL$9,Xero!$A:$A,Heron!$A$4,Xero!$E:$E,Heron!$A40)+SUMIFS(Xero!$F:$F,Xero!$B:$B,Heron!AL$9,Xero!$A:$A,Heron!$A$5,Xero!$E:$E,Heron!$A40)</f>
        <v/>
      </c>
      <c r="AM40" s="101">
        <f>SUMIFS(Xero!$F:$F,Xero!$B:$B,Heron!AM$9,Xero!$A:$A,Heron!$A$4,Xero!$E:$E,Heron!$A40)+SUMIFS(Xero!$F:$F,Xero!$B:$B,Heron!AM$9,Xero!$A:$A,Heron!$A$5,Xero!$E:$E,Heron!$A40)</f>
        <v/>
      </c>
      <c r="AN40" s="101">
        <f>SUMIFS(Xero!$F:$F,Xero!$B:$B,Heron!AN$9,Xero!$A:$A,Heron!$A$4,Xero!$E:$E,Heron!$A40)+SUMIFS(Xero!$F:$F,Xero!$B:$B,Heron!AN$9,Xero!$A:$A,Heron!$A$5,Xero!$E:$E,Heron!$A40)</f>
        <v/>
      </c>
      <c r="AO40" s="101">
        <f>SUMIFS(Xero!$F:$F,Xero!$B:$B,Heron!AO$9,Xero!$A:$A,Heron!$A$4,Xero!$E:$E,Heron!$A40)+SUMIFS(Xero!$F:$F,Xero!$B:$B,Heron!AO$9,Xero!$A:$A,Heron!$A$5,Xero!$E:$E,Heron!$A40)</f>
        <v/>
      </c>
      <c r="AP40" s="101">
        <f>SUMIFS(Xero!$F:$F,Xero!$B:$B,Heron!AP$9,Xero!$A:$A,Heron!$A$4,Xero!$E:$E,Heron!$A40)+SUMIFS(Xero!$F:$F,Xero!$B:$B,Heron!AP$9,Xero!$A:$A,Heron!$A$5,Xero!$E:$E,Heron!$A40)</f>
        <v/>
      </c>
      <c r="AQ40" s="101">
        <f>SUMIFS(Xero!$F:$F,Xero!$B:$B,Heron!AQ$9,Xero!$A:$A,Heron!$A$4,Xero!$E:$E,Heron!$A40)+SUMIFS(Xero!$F:$F,Xero!$B:$B,Heron!AQ$9,Xero!$A:$A,Heron!$A$5,Xero!$E:$E,Heron!$A40)</f>
        <v/>
      </c>
      <c r="AR40" s="101">
        <f>SUMIFS(Xero!$F:$F,Xero!$B:$B,Heron!AR$9,Xero!$A:$A,Heron!$A$4,Xero!$E:$E,Heron!$A40)+SUMIFS(Xero!$F:$F,Xero!$B:$B,Heron!AR$9,Xero!$A:$A,Heron!$A$5,Xero!$E:$E,Heron!$A40)</f>
        <v/>
      </c>
      <c r="AS40" s="101">
        <f>SUMIFS(Xero!$F:$F,Xero!$B:$B,Heron!AS$9,Xero!$A:$A,Heron!$A$4,Xero!$E:$E,Heron!$A40)+SUMIFS(Xero!$F:$F,Xero!$B:$B,Heron!AS$9,Xero!$A:$A,Heron!$A$5,Xero!$E:$E,Heron!$A40)</f>
        <v/>
      </c>
      <c r="AT40" s="101">
        <f>SUMIFS(Xero!$F:$F,Xero!$B:$B,Heron!AT$9,Xero!$A:$A,Heron!$A$4,Xero!$E:$E,Heron!$A40)+SUMIFS(Xero!$F:$F,Xero!$B:$B,Heron!AT$9,Xero!$A:$A,Heron!$A$5,Xero!$E:$E,Heron!$A40)</f>
        <v/>
      </c>
      <c r="AU40" s="101">
        <f>SUMIFS(Xero!$F:$F,Xero!$B:$B,Heron!AU$9,Xero!$A:$A,Heron!$A$4,Xero!$E:$E,Heron!$A40)+SUMIFS(Xero!$F:$F,Xero!$B:$B,Heron!AU$9,Xero!$A:$A,Heron!$A$5,Xero!$E:$E,Heron!$A40)</f>
        <v/>
      </c>
      <c r="AV40" s="101">
        <f>SUMIFS(Xero!$F:$F,Xero!$B:$B,Heron!AV$9,Xero!$A:$A,Heron!$A$4,Xero!$E:$E,Heron!$A40)+SUMIFS(Xero!$F:$F,Xero!$B:$B,Heron!AV$9,Xero!$A:$A,Heron!$A$5,Xero!$E:$E,Heron!$A40)</f>
        <v/>
      </c>
      <c r="AW40" s="101">
        <f>SUMIFS(Xero!$F:$F,Xero!$B:$B,Heron!AW$9,Xero!$A:$A,Heron!$A$4,Xero!$E:$E,Heron!$A40)+SUMIFS(Xero!$F:$F,Xero!$B:$B,Heron!AW$9,Xero!$A:$A,Heron!$A$5,Xero!$E:$E,Heron!$A40)</f>
        <v/>
      </c>
      <c r="AX40" s="101">
        <f>SUMIFS(Xero!$F:$F,Xero!$B:$B,Heron!AX$9,Xero!$A:$A,Heron!$A$4,Xero!$E:$E,Heron!$A40)+SUMIFS(Xero!$F:$F,Xero!$B:$B,Heron!AX$9,Xero!$A:$A,Heron!$A$5,Xero!$E:$E,Heron!$A40)</f>
        <v/>
      </c>
      <c r="AY40" s="101">
        <f>SUMIFS(Xero!$F:$F,Xero!$B:$B,Heron!AY$9,Xero!$A:$A,Heron!$A$4,Xero!$E:$E,Heron!$A40)+SUMIFS(Xero!$F:$F,Xero!$B:$B,Heron!AY$9,Xero!$A:$A,Heron!$A$5,Xero!$E:$E,Heron!$A40)</f>
        <v/>
      </c>
      <c r="AZ40" s="101">
        <f>SUMIFS(Xero!$F:$F,Xero!$B:$B,Heron!AZ$9,Xero!$A:$A,Heron!$A$4,Xero!$E:$E,Heron!$A40)+SUMIFS(Xero!$F:$F,Xero!$B:$B,Heron!AZ$9,Xero!$A:$A,Heron!$A$5,Xero!$E:$E,Heron!$A40)</f>
        <v/>
      </c>
      <c r="BA40" s="101">
        <f>SUMIFS(Xero!$F:$F,Xero!$B:$B,Heron!BA$9,Xero!$A:$A,Heron!$A$4,Xero!$E:$E,Heron!$A40)+SUMIFS(Xero!$F:$F,Xero!$B:$B,Heron!BA$9,Xero!$A:$A,Heron!$A$5,Xero!$E:$E,Heron!$A40)</f>
        <v/>
      </c>
      <c r="BB40" s="101">
        <f>SUMIFS(Xero!$F:$F,Xero!$B:$B,Heron!BB$9,Xero!$A:$A,Heron!$A$4,Xero!$E:$E,Heron!$A40)+SUMIFS(Xero!$F:$F,Xero!$B:$B,Heron!BB$9,Xero!$A:$A,Heron!$A$5,Xero!$E:$E,Heron!$A40)</f>
        <v/>
      </c>
      <c r="BC40" s="101">
        <f>SUMIFS(Xero!$F:$F,Xero!$B:$B,Heron!BC$9,Xero!$A:$A,Heron!$A$4,Xero!$E:$E,Heron!$A40)+SUMIFS(Xero!$F:$F,Xero!$B:$B,Heron!BC$9,Xero!$A:$A,Heron!$A$5,Xero!$E:$E,Heron!$A40)</f>
        <v/>
      </c>
      <c r="BD40" s="101">
        <f>SUMIFS(Xero!$F:$F,Xero!$B:$B,Heron!BD$9,Xero!$A:$A,Heron!$A$4,Xero!$E:$E,Heron!$A40)+SUMIFS(Xero!$F:$F,Xero!$B:$B,Heron!BD$9,Xero!$A:$A,Heron!$A$5,Xero!$E:$E,Heron!$A40)</f>
        <v/>
      </c>
      <c r="BE40" s="101">
        <f>SUMIFS(Xero!$F:$F,Xero!$B:$B,Heron!BE$9,Xero!$A:$A,Heron!$A$4,Xero!$E:$E,Heron!$A40)+SUMIFS(Xero!$F:$F,Xero!$B:$B,Heron!BE$9,Xero!$A:$A,Heron!$A$5,Xero!$E:$E,Heron!$A40)</f>
        <v/>
      </c>
      <c r="BF40" s="101">
        <f>SUMIFS(Xero!$F:$F,Xero!$B:$B,Heron!BF$9,Xero!$A:$A,Heron!$A$4,Xero!$E:$E,Heron!$A40)+SUMIFS(Xero!$F:$F,Xero!$B:$B,Heron!BF$9,Xero!$A:$A,Heron!$A$5,Xero!$E:$E,Heron!$A40)</f>
        <v/>
      </c>
      <c r="BG40" s="101">
        <f>SUMIFS(Xero!$F:$F,Xero!$B:$B,Heron!BG$9,Xero!$A:$A,Heron!$A$4,Xero!$E:$E,Heron!$A40)+SUMIFS(Xero!$F:$F,Xero!$B:$B,Heron!BG$9,Xero!$A:$A,Heron!$A$5,Xero!$E:$E,Heron!$A40)</f>
        <v/>
      </c>
      <c r="BH40" s="101">
        <f>SUMIFS(Xero!$F:$F,Xero!$B:$B,Heron!BH$9,Xero!$A:$A,Heron!$A$4,Xero!$E:$E,Heron!$A40)+SUMIFS(Xero!$F:$F,Xero!$B:$B,Heron!BH$9,Xero!$A:$A,Heron!$A$5,Xero!$E:$E,Heron!$A40)</f>
        <v/>
      </c>
      <c r="BI40" s="101">
        <f>SUMIFS(Xero!$F:$F,Xero!$B:$B,Heron!BI$9,Xero!$A:$A,Heron!$A$4,Xero!$E:$E,Heron!$A40)+SUMIFS(Xero!$F:$F,Xero!$B:$B,Heron!BI$9,Xero!$A:$A,Heron!$A$5,Xero!$E:$E,Heron!$A40)</f>
        <v/>
      </c>
      <c r="BJ40" s="101">
        <f>SUMIFS(Xero!$F:$F,Xero!$B:$B,Heron!BJ$9,Xero!$A:$A,Heron!$A$4,Xero!$E:$E,Heron!$A40)+SUMIFS(Xero!$F:$F,Xero!$B:$B,Heron!BJ$9,Xero!$A:$A,Heron!$A$5,Xero!$E:$E,Heron!$A40)</f>
        <v/>
      </c>
      <c r="BK40" s="101">
        <f>sum(D40:BJ40)</f>
        <v/>
      </c>
    </row>
    <row r="41">
      <c r="A41" s="100" t="inlineStr">
        <is>
          <t>Advertising _AND_ Promotions</t>
        </is>
      </c>
      <c r="D41" s="101">
        <f>SUMIFS(Xero!$F:$F,Xero!$B:$B,Heron!D$9,Xero!$A:$A,Heron!$A$4,Xero!$E:$E,Heron!$A41)+SUMIFS(Xero!$F:$F,Xero!$B:$B,Heron!D$9,Xero!$A:$A,Heron!$A$5,Xero!$E:$E,Heron!$A41)</f>
        <v/>
      </c>
      <c r="E41" s="101">
        <f>SUMIFS(Xero!$F:$F,Xero!$B:$B,Heron!E$9,Xero!$A:$A,Heron!$A$4,Xero!$E:$E,Heron!$A41)+SUMIFS(Xero!$F:$F,Xero!$B:$B,Heron!E$9,Xero!$A:$A,Heron!$A$5,Xero!$E:$E,Heron!$A41)</f>
        <v/>
      </c>
      <c r="F41" s="101">
        <f>SUMIFS(Xero!$F:$F,Xero!$B:$B,Heron!F$9,Xero!$A:$A,Heron!$A$4,Xero!$E:$E,Heron!$A41)+SUMIFS(Xero!$F:$F,Xero!$B:$B,Heron!F$9,Xero!$A:$A,Heron!$A$5,Xero!$E:$E,Heron!$A41)</f>
        <v/>
      </c>
      <c r="G41" s="101">
        <f>SUMIFS(Xero!$F:$F,Xero!$B:$B,Heron!G$9,Xero!$A:$A,Heron!$A$4,Xero!$E:$E,Heron!$A41)+SUMIFS(Xero!$F:$F,Xero!$B:$B,Heron!G$9,Xero!$A:$A,Heron!$A$5,Xero!$E:$E,Heron!$A41)</f>
        <v/>
      </c>
      <c r="H41" s="101">
        <f>SUMIFS(Xero!$F:$F,Xero!$B:$B,Heron!H$9,Xero!$A:$A,Heron!$A$4,Xero!$E:$E,Heron!$A41)+SUMIFS(Xero!$F:$F,Xero!$B:$B,Heron!H$9,Xero!$A:$A,Heron!$A$5,Xero!$E:$E,Heron!$A41)</f>
        <v/>
      </c>
      <c r="I41" s="101">
        <f>SUMIFS(Xero!$F:$F,Xero!$B:$B,Heron!I$9,Xero!$A:$A,Heron!$A$4,Xero!$E:$E,Heron!$A41)+SUMIFS(Xero!$F:$F,Xero!$B:$B,Heron!I$9,Xero!$A:$A,Heron!$A$5,Xero!$E:$E,Heron!$A41)</f>
        <v/>
      </c>
      <c r="J41" s="101">
        <f>SUMIFS(Xero!$F:$F,Xero!$B:$B,Heron!J$9,Xero!$A:$A,Heron!$A$4,Xero!$E:$E,Heron!$A41)+SUMIFS(Xero!$F:$F,Xero!$B:$B,Heron!J$9,Xero!$A:$A,Heron!$A$5,Xero!$E:$E,Heron!$A41)</f>
        <v/>
      </c>
      <c r="K41" s="101">
        <f>SUMIFS(Xero!$F:$F,Xero!$B:$B,Heron!K$9,Xero!$A:$A,Heron!$A$4,Xero!$E:$E,Heron!$A41)+SUMIFS(Xero!$F:$F,Xero!$B:$B,Heron!K$9,Xero!$A:$A,Heron!$A$5,Xero!$E:$E,Heron!$A41)</f>
        <v/>
      </c>
      <c r="L41" s="101">
        <f>SUMIFS(Xero!$F:$F,Xero!$B:$B,Heron!L$9,Xero!$A:$A,Heron!$A$4,Xero!$E:$E,Heron!$A41)+SUMIFS(Xero!$F:$F,Xero!$B:$B,Heron!L$9,Xero!$A:$A,Heron!$A$5,Xero!$E:$E,Heron!$A41)</f>
        <v/>
      </c>
      <c r="M41" s="101">
        <f>SUMIFS(Xero!$F:$F,Xero!$B:$B,Heron!M$9,Xero!$A:$A,Heron!$A$4,Xero!$E:$E,Heron!$A41)+SUMIFS(Xero!$F:$F,Xero!$B:$B,Heron!M$9,Xero!$A:$A,Heron!$A$5,Xero!$E:$E,Heron!$A41)</f>
        <v/>
      </c>
      <c r="N41" s="101">
        <f>SUMIFS(Xero!$F:$F,Xero!$B:$B,Heron!N$9,Xero!$A:$A,Heron!$A$4,Xero!$E:$E,Heron!$A41)+SUMIFS(Xero!$F:$F,Xero!$B:$B,Heron!N$9,Xero!$A:$A,Heron!$A$5,Xero!$E:$E,Heron!$A41)</f>
        <v/>
      </c>
      <c r="O41" s="101">
        <f>SUMIFS(Xero!$F:$F,Xero!$B:$B,Heron!O$9,Xero!$A:$A,Heron!$A$4,Xero!$E:$E,Heron!$A41)+SUMIFS(Xero!$F:$F,Xero!$B:$B,Heron!O$9,Xero!$A:$A,Heron!$A$5,Xero!$E:$E,Heron!$A41)</f>
        <v/>
      </c>
      <c r="P41" s="101">
        <f>SUMIFS(Xero!$F:$F,Xero!$B:$B,Heron!P$9,Xero!$A:$A,Heron!$A$4,Xero!$E:$E,Heron!$A41)+SUMIFS(Xero!$F:$F,Xero!$B:$B,Heron!P$9,Xero!$A:$A,Heron!$A$5,Xero!$E:$E,Heron!$A41)</f>
        <v/>
      </c>
      <c r="Q41" s="101">
        <f>SUMIFS(Xero!$F:$F,Xero!$B:$B,Heron!Q$9,Xero!$A:$A,Heron!$A$4,Xero!$E:$E,Heron!$A41)+SUMIFS(Xero!$F:$F,Xero!$B:$B,Heron!Q$9,Xero!$A:$A,Heron!$A$5,Xero!$E:$E,Heron!$A41)</f>
        <v/>
      </c>
      <c r="R41" s="101">
        <f>SUMIFS(Xero!$F:$F,Xero!$B:$B,Heron!R$9,Xero!$A:$A,Heron!$A$4,Xero!$E:$E,Heron!$A41)+SUMIFS(Xero!$F:$F,Xero!$B:$B,Heron!R$9,Xero!$A:$A,Heron!$A$5,Xero!$E:$E,Heron!$A41)</f>
        <v/>
      </c>
      <c r="S41" s="101">
        <f>SUMIFS(Xero!$F:$F,Xero!$B:$B,Heron!S$9,Xero!$A:$A,Heron!$A$4,Xero!$E:$E,Heron!$A41)+SUMIFS(Xero!$F:$F,Xero!$B:$B,Heron!S$9,Xero!$A:$A,Heron!$A$5,Xero!$E:$E,Heron!$A41)</f>
        <v/>
      </c>
      <c r="T41" s="101">
        <f>SUMIFS(Xero!$F:$F,Xero!$B:$B,Heron!T$9,Xero!$A:$A,Heron!$A$4,Xero!$E:$E,Heron!$A41)+SUMIFS(Xero!$F:$F,Xero!$B:$B,Heron!T$9,Xero!$A:$A,Heron!$A$5,Xero!$E:$E,Heron!$A41)</f>
        <v/>
      </c>
      <c r="U41" s="101">
        <f>SUMIFS(Xero!$F:$F,Xero!$B:$B,Heron!U$9,Xero!$A:$A,Heron!$A$4,Xero!$E:$E,Heron!$A41)+SUMIFS(Xero!$F:$F,Xero!$B:$B,Heron!U$9,Xero!$A:$A,Heron!$A$5,Xero!$E:$E,Heron!$A41)</f>
        <v/>
      </c>
      <c r="V41" s="101">
        <f>SUMIFS(Xero!$F:$F,Xero!$B:$B,Heron!V$9,Xero!$A:$A,Heron!$A$4,Xero!$E:$E,Heron!$A41)+SUMIFS(Xero!$F:$F,Xero!$B:$B,Heron!V$9,Xero!$A:$A,Heron!$A$5,Xero!$E:$E,Heron!$A41)</f>
        <v/>
      </c>
      <c r="W41" s="101">
        <f>SUMIFS(Xero!$F:$F,Xero!$B:$B,Heron!W$9,Xero!$A:$A,Heron!$A$4,Xero!$E:$E,Heron!$A41)+SUMIFS(Xero!$F:$F,Xero!$B:$B,Heron!W$9,Xero!$A:$A,Heron!$A$5,Xero!$E:$E,Heron!$A41)</f>
        <v/>
      </c>
      <c r="X41" s="101">
        <f>SUMIFS(Xero!$F:$F,Xero!$B:$B,Heron!X$9,Xero!$A:$A,Heron!$A$4,Xero!$E:$E,Heron!$A41)+SUMIFS(Xero!$F:$F,Xero!$B:$B,Heron!X$9,Xero!$A:$A,Heron!$A$5,Xero!$E:$E,Heron!$A41)</f>
        <v/>
      </c>
      <c r="Y41" s="101">
        <f>SUMIFS(Xero!$F:$F,Xero!$B:$B,Heron!Y$9,Xero!$A:$A,Heron!$A$4,Xero!$E:$E,Heron!$A41)+SUMIFS(Xero!$F:$F,Xero!$B:$B,Heron!Y$9,Xero!$A:$A,Heron!$A$5,Xero!$E:$E,Heron!$A41)</f>
        <v/>
      </c>
      <c r="Z41" s="101">
        <f>SUMIFS(Xero!$F:$F,Xero!$B:$B,Heron!Z$9,Xero!$A:$A,Heron!$A$4,Xero!$E:$E,Heron!$A41)+SUMIFS(Xero!$F:$F,Xero!$B:$B,Heron!Z$9,Xero!$A:$A,Heron!$A$5,Xero!$E:$E,Heron!$A41)</f>
        <v/>
      </c>
      <c r="AA41" s="101">
        <f>SUMIFS(Xero!$F:$F,Xero!$B:$B,Heron!AA$9,Xero!$A:$A,Heron!$A$4,Xero!$E:$E,Heron!$A41)+SUMIFS(Xero!$F:$F,Xero!$B:$B,Heron!AA$9,Xero!$A:$A,Heron!$A$5,Xero!$E:$E,Heron!$A41)</f>
        <v/>
      </c>
      <c r="AB41" s="101">
        <f>SUMIFS(Xero!$F:$F,Xero!$B:$B,Heron!AB$9,Xero!$A:$A,Heron!$A$4,Xero!$E:$E,Heron!$A41)+SUMIFS(Xero!$F:$F,Xero!$B:$B,Heron!AB$9,Xero!$A:$A,Heron!$A$5,Xero!$E:$E,Heron!$A41)</f>
        <v/>
      </c>
      <c r="AC41" s="101">
        <f>SUMIFS(Xero!$F:$F,Xero!$B:$B,Heron!AC$9,Xero!$A:$A,Heron!$A$4,Xero!$E:$E,Heron!$A41)+SUMIFS(Xero!$F:$F,Xero!$B:$B,Heron!AC$9,Xero!$A:$A,Heron!$A$5,Xero!$E:$E,Heron!$A41)</f>
        <v/>
      </c>
      <c r="AD41" s="101">
        <f>SUMIFS(Xero!$F:$F,Xero!$B:$B,Heron!AD$9,Xero!$A:$A,Heron!$A$4,Xero!$E:$E,Heron!$A41)+SUMIFS(Xero!$F:$F,Xero!$B:$B,Heron!AD$9,Xero!$A:$A,Heron!$A$5,Xero!$E:$E,Heron!$A41)</f>
        <v/>
      </c>
      <c r="AE41" s="101">
        <f>SUMIFS(Xero!$F:$F,Xero!$B:$B,Heron!AE$9,Xero!$A:$A,Heron!$A$4,Xero!$E:$E,Heron!$A41)+SUMIFS(Xero!$F:$F,Xero!$B:$B,Heron!AE$9,Xero!$A:$A,Heron!$A$5,Xero!$E:$E,Heron!$A41)</f>
        <v/>
      </c>
      <c r="AF41" s="101">
        <f>SUMIFS(Xero!$F:$F,Xero!$B:$B,Heron!AF$9,Xero!$A:$A,Heron!$A$4,Xero!$E:$E,Heron!$A41)+SUMIFS(Xero!$F:$F,Xero!$B:$B,Heron!AF$9,Xero!$A:$A,Heron!$A$5,Xero!$E:$E,Heron!$A41)</f>
        <v/>
      </c>
      <c r="AG41" s="101">
        <f>SUMIFS(Xero!$F:$F,Xero!$B:$B,Heron!AG$9,Xero!$A:$A,Heron!$A$4,Xero!$E:$E,Heron!$A41)+SUMIFS(Xero!$F:$F,Xero!$B:$B,Heron!AG$9,Xero!$A:$A,Heron!$A$5,Xero!$E:$E,Heron!$A41)</f>
        <v/>
      </c>
      <c r="AH41" s="101">
        <f>SUMIFS(Xero!$F:$F,Xero!$B:$B,Heron!AH$9,Xero!$A:$A,Heron!$A$4,Xero!$E:$E,Heron!$A41)+SUMIFS(Xero!$F:$F,Xero!$B:$B,Heron!AH$9,Xero!$A:$A,Heron!$A$5,Xero!$E:$E,Heron!$A41)</f>
        <v/>
      </c>
      <c r="AI41" s="101">
        <f>SUMIFS(Xero!$F:$F,Xero!$B:$B,Heron!AI$9,Xero!$A:$A,Heron!$A$4,Xero!$E:$E,Heron!$A41)+SUMIFS(Xero!$F:$F,Xero!$B:$B,Heron!AI$9,Xero!$A:$A,Heron!$A$5,Xero!$E:$E,Heron!$A41)</f>
        <v/>
      </c>
      <c r="AJ41" s="101">
        <f>SUMIFS(Xero!$F:$F,Xero!$B:$B,Heron!AJ$9,Xero!$A:$A,Heron!$A$4,Xero!$E:$E,Heron!$A41)+SUMIFS(Xero!$F:$F,Xero!$B:$B,Heron!AJ$9,Xero!$A:$A,Heron!$A$5,Xero!$E:$E,Heron!$A41)</f>
        <v/>
      </c>
      <c r="AK41" s="101">
        <f>SUMIFS(Xero!$F:$F,Xero!$B:$B,Heron!AK$9,Xero!$A:$A,Heron!$A$4,Xero!$E:$E,Heron!$A41)+SUMIFS(Xero!$F:$F,Xero!$B:$B,Heron!AK$9,Xero!$A:$A,Heron!$A$5,Xero!$E:$E,Heron!$A41)</f>
        <v/>
      </c>
      <c r="AL41" s="101">
        <f>SUMIFS(Xero!$F:$F,Xero!$B:$B,Heron!AL$9,Xero!$A:$A,Heron!$A$4,Xero!$E:$E,Heron!$A41)+SUMIFS(Xero!$F:$F,Xero!$B:$B,Heron!AL$9,Xero!$A:$A,Heron!$A$5,Xero!$E:$E,Heron!$A41)</f>
        <v/>
      </c>
      <c r="AM41" s="101">
        <f>SUMIFS(Xero!$F:$F,Xero!$B:$B,Heron!AM$9,Xero!$A:$A,Heron!$A$4,Xero!$E:$E,Heron!$A41)+SUMIFS(Xero!$F:$F,Xero!$B:$B,Heron!AM$9,Xero!$A:$A,Heron!$A$5,Xero!$E:$E,Heron!$A41)</f>
        <v/>
      </c>
      <c r="AN41" s="101">
        <f>SUMIFS(Xero!$F:$F,Xero!$B:$B,Heron!AN$9,Xero!$A:$A,Heron!$A$4,Xero!$E:$E,Heron!$A41)+SUMIFS(Xero!$F:$F,Xero!$B:$B,Heron!AN$9,Xero!$A:$A,Heron!$A$5,Xero!$E:$E,Heron!$A41)</f>
        <v/>
      </c>
      <c r="AO41" s="101">
        <f>SUMIFS(Xero!$F:$F,Xero!$B:$B,Heron!AO$9,Xero!$A:$A,Heron!$A$4,Xero!$E:$E,Heron!$A41)+SUMIFS(Xero!$F:$F,Xero!$B:$B,Heron!AO$9,Xero!$A:$A,Heron!$A$5,Xero!$E:$E,Heron!$A41)</f>
        <v/>
      </c>
      <c r="AP41" s="101">
        <f>SUMIFS(Xero!$F:$F,Xero!$B:$B,Heron!AP$9,Xero!$A:$A,Heron!$A$4,Xero!$E:$E,Heron!$A41)+SUMIFS(Xero!$F:$F,Xero!$B:$B,Heron!AP$9,Xero!$A:$A,Heron!$A$5,Xero!$E:$E,Heron!$A41)</f>
        <v/>
      </c>
      <c r="AQ41" s="101">
        <f>SUMIFS(Xero!$F:$F,Xero!$B:$B,Heron!AQ$9,Xero!$A:$A,Heron!$A$4,Xero!$E:$E,Heron!$A41)+SUMIFS(Xero!$F:$F,Xero!$B:$B,Heron!AQ$9,Xero!$A:$A,Heron!$A$5,Xero!$E:$E,Heron!$A41)</f>
        <v/>
      </c>
      <c r="AR41" s="101">
        <f>SUMIFS(Xero!$F:$F,Xero!$B:$B,Heron!AR$9,Xero!$A:$A,Heron!$A$4,Xero!$E:$E,Heron!$A41)+SUMIFS(Xero!$F:$F,Xero!$B:$B,Heron!AR$9,Xero!$A:$A,Heron!$A$5,Xero!$E:$E,Heron!$A41)</f>
        <v/>
      </c>
      <c r="AS41" s="101">
        <f>SUMIFS(Xero!$F:$F,Xero!$B:$B,Heron!AS$9,Xero!$A:$A,Heron!$A$4,Xero!$E:$E,Heron!$A41)+SUMIFS(Xero!$F:$F,Xero!$B:$B,Heron!AS$9,Xero!$A:$A,Heron!$A$5,Xero!$E:$E,Heron!$A41)</f>
        <v/>
      </c>
      <c r="AT41" s="101">
        <f>SUMIFS(Xero!$F:$F,Xero!$B:$B,Heron!AT$9,Xero!$A:$A,Heron!$A$4,Xero!$E:$E,Heron!$A41)+SUMIFS(Xero!$F:$F,Xero!$B:$B,Heron!AT$9,Xero!$A:$A,Heron!$A$5,Xero!$E:$E,Heron!$A41)</f>
        <v/>
      </c>
      <c r="AU41" s="101">
        <f>SUMIFS(Xero!$F:$F,Xero!$B:$B,Heron!AU$9,Xero!$A:$A,Heron!$A$4,Xero!$E:$E,Heron!$A41)+SUMIFS(Xero!$F:$F,Xero!$B:$B,Heron!AU$9,Xero!$A:$A,Heron!$A$5,Xero!$E:$E,Heron!$A41)</f>
        <v/>
      </c>
      <c r="AV41" s="101">
        <f>SUMIFS(Xero!$F:$F,Xero!$B:$B,Heron!AV$9,Xero!$A:$A,Heron!$A$4,Xero!$E:$E,Heron!$A41)+SUMIFS(Xero!$F:$F,Xero!$B:$B,Heron!AV$9,Xero!$A:$A,Heron!$A$5,Xero!$E:$E,Heron!$A41)</f>
        <v/>
      </c>
      <c r="AW41" s="101">
        <f>SUMIFS(Xero!$F:$F,Xero!$B:$B,Heron!AW$9,Xero!$A:$A,Heron!$A$4,Xero!$E:$E,Heron!$A41)+SUMIFS(Xero!$F:$F,Xero!$B:$B,Heron!AW$9,Xero!$A:$A,Heron!$A$5,Xero!$E:$E,Heron!$A41)</f>
        <v/>
      </c>
      <c r="AX41" s="101">
        <f>SUMIFS(Xero!$F:$F,Xero!$B:$B,Heron!AX$9,Xero!$A:$A,Heron!$A$4,Xero!$E:$E,Heron!$A41)+SUMIFS(Xero!$F:$F,Xero!$B:$B,Heron!AX$9,Xero!$A:$A,Heron!$A$5,Xero!$E:$E,Heron!$A41)</f>
        <v/>
      </c>
      <c r="AY41" s="101">
        <f>SUMIFS(Xero!$F:$F,Xero!$B:$B,Heron!AY$9,Xero!$A:$A,Heron!$A$4,Xero!$E:$E,Heron!$A41)+SUMIFS(Xero!$F:$F,Xero!$B:$B,Heron!AY$9,Xero!$A:$A,Heron!$A$5,Xero!$E:$E,Heron!$A41)</f>
        <v/>
      </c>
      <c r="AZ41" s="101">
        <f>SUMIFS(Xero!$F:$F,Xero!$B:$B,Heron!AZ$9,Xero!$A:$A,Heron!$A$4,Xero!$E:$E,Heron!$A41)+SUMIFS(Xero!$F:$F,Xero!$B:$B,Heron!AZ$9,Xero!$A:$A,Heron!$A$5,Xero!$E:$E,Heron!$A41)</f>
        <v/>
      </c>
      <c r="BA41" s="101">
        <f>SUMIFS(Xero!$F:$F,Xero!$B:$B,Heron!BA$9,Xero!$A:$A,Heron!$A$4,Xero!$E:$E,Heron!$A41)+SUMIFS(Xero!$F:$F,Xero!$B:$B,Heron!BA$9,Xero!$A:$A,Heron!$A$5,Xero!$E:$E,Heron!$A41)</f>
        <v/>
      </c>
      <c r="BB41" s="101">
        <f>SUMIFS(Xero!$F:$F,Xero!$B:$B,Heron!BB$9,Xero!$A:$A,Heron!$A$4,Xero!$E:$E,Heron!$A41)+SUMIFS(Xero!$F:$F,Xero!$B:$B,Heron!BB$9,Xero!$A:$A,Heron!$A$5,Xero!$E:$E,Heron!$A41)</f>
        <v/>
      </c>
      <c r="BC41" s="101">
        <f>SUMIFS(Xero!$F:$F,Xero!$B:$B,Heron!BC$9,Xero!$A:$A,Heron!$A$4,Xero!$E:$E,Heron!$A41)+SUMIFS(Xero!$F:$F,Xero!$B:$B,Heron!BC$9,Xero!$A:$A,Heron!$A$5,Xero!$E:$E,Heron!$A41)</f>
        <v/>
      </c>
      <c r="BD41" s="101">
        <f>SUMIFS(Xero!$F:$F,Xero!$B:$B,Heron!BD$9,Xero!$A:$A,Heron!$A$4,Xero!$E:$E,Heron!$A41)+SUMIFS(Xero!$F:$F,Xero!$B:$B,Heron!BD$9,Xero!$A:$A,Heron!$A$5,Xero!$E:$E,Heron!$A41)</f>
        <v/>
      </c>
      <c r="BE41" s="101">
        <f>SUMIFS(Xero!$F:$F,Xero!$B:$B,Heron!BE$9,Xero!$A:$A,Heron!$A$4,Xero!$E:$E,Heron!$A41)+SUMIFS(Xero!$F:$F,Xero!$B:$B,Heron!BE$9,Xero!$A:$A,Heron!$A$5,Xero!$E:$E,Heron!$A41)</f>
        <v/>
      </c>
      <c r="BF41" s="101">
        <f>SUMIFS(Xero!$F:$F,Xero!$B:$B,Heron!BF$9,Xero!$A:$A,Heron!$A$4,Xero!$E:$E,Heron!$A41)+SUMIFS(Xero!$F:$F,Xero!$B:$B,Heron!BF$9,Xero!$A:$A,Heron!$A$5,Xero!$E:$E,Heron!$A41)</f>
        <v/>
      </c>
      <c r="BG41" s="101">
        <f>SUMIFS(Xero!$F:$F,Xero!$B:$B,Heron!BG$9,Xero!$A:$A,Heron!$A$4,Xero!$E:$E,Heron!$A41)+SUMIFS(Xero!$F:$F,Xero!$B:$B,Heron!BG$9,Xero!$A:$A,Heron!$A$5,Xero!$E:$E,Heron!$A41)</f>
        <v/>
      </c>
      <c r="BH41" s="101">
        <f>SUMIFS(Xero!$F:$F,Xero!$B:$B,Heron!BH$9,Xero!$A:$A,Heron!$A$4,Xero!$E:$E,Heron!$A41)+SUMIFS(Xero!$F:$F,Xero!$B:$B,Heron!BH$9,Xero!$A:$A,Heron!$A$5,Xero!$E:$E,Heron!$A41)</f>
        <v/>
      </c>
      <c r="BI41" s="101">
        <f>SUMIFS(Xero!$F:$F,Xero!$B:$B,Heron!BI$9,Xero!$A:$A,Heron!$A$4,Xero!$E:$E,Heron!$A41)+SUMIFS(Xero!$F:$F,Xero!$B:$B,Heron!BI$9,Xero!$A:$A,Heron!$A$5,Xero!$E:$E,Heron!$A41)</f>
        <v/>
      </c>
      <c r="BJ41" s="101">
        <f>SUMIFS(Xero!$F:$F,Xero!$B:$B,Heron!BJ$9,Xero!$A:$A,Heron!$A$4,Xero!$E:$E,Heron!$A41)+SUMIFS(Xero!$F:$F,Xero!$B:$B,Heron!BJ$9,Xero!$A:$A,Heron!$A$5,Xero!$E:$E,Heron!$A41)</f>
        <v/>
      </c>
      <c r="BK41" s="101">
        <f>sum(D41:BJ41)</f>
        <v/>
      </c>
    </row>
    <row r="42">
      <c r="A42" s="100" t="inlineStr">
        <is>
          <t>Bank Charges</t>
        </is>
      </c>
      <c r="D42" s="101">
        <f>SUMIFS(Xero!$F:$F,Xero!$B:$B,Heron!D$9,Xero!$A:$A,Heron!$A$4,Xero!$E:$E,Heron!$A42)+SUMIFS(Xero!$F:$F,Xero!$B:$B,Heron!D$9,Xero!$A:$A,Heron!$A$5,Xero!$E:$E,Heron!$A42)</f>
        <v/>
      </c>
      <c r="E42" s="101">
        <f>SUMIFS(Xero!$F:$F,Xero!$B:$B,Heron!E$9,Xero!$A:$A,Heron!$A$4,Xero!$E:$E,Heron!$A42)+SUMIFS(Xero!$F:$F,Xero!$B:$B,Heron!E$9,Xero!$A:$A,Heron!$A$5,Xero!$E:$E,Heron!$A42)</f>
        <v/>
      </c>
      <c r="F42" s="101">
        <f>SUMIFS(Xero!$F:$F,Xero!$B:$B,Heron!F$9,Xero!$A:$A,Heron!$A$4,Xero!$E:$E,Heron!$A42)+SUMIFS(Xero!$F:$F,Xero!$B:$B,Heron!F$9,Xero!$A:$A,Heron!$A$5,Xero!$E:$E,Heron!$A42)</f>
        <v/>
      </c>
      <c r="G42" s="101">
        <f>SUMIFS(Xero!$F:$F,Xero!$B:$B,Heron!G$9,Xero!$A:$A,Heron!$A$4,Xero!$E:$E,Heron!$A42)+SUMIFS(Xero!$F:$F,Xero!$B:$B,Heron!G$9,Xero!$A:$A,Heron!$A$5,Xero!$E:$E,Heron!$A42)</f>
        <v/>
      </c>
      <c r="H42" s="101">
        <f>SUMIFS(Xero!$F:$F,Xero!$B:$B,Heron!H$9,Xero!$A:$A,Heron!$A$4,Xero!$E:$E,Heron!$A42)+SUMIFS(Xero!$F:$F,Xero!$B:$B,Heron!H$9,Xero!$A:$A,Heron!$A$5,Xero!$E:$E,Heron!$A42)</f>
        <v/>
      </c>
      <c r="I42" s="101">
        <f>SUMIFS(Xero!$F:$F,Xero!$B:$B,Heron!I$9,Xero!$A:$A,Heron!$A$4,Xero!$E:$E,Heron!$A42)+SUMIFS(Xero!$F:$F,Xero!$B:$B,Heron!I$9,Xero!$A:$A,Heron!$A$5,Xero!$E:$E,Heron!$A42)</f>
        <v/>
      </c>
      <c r="J42" s="101">
        <f>SUMIFS(Xero!$F:$F,Xero!$B:$B,Heron!J$9,Xero!$A:$A,Heron!$A$4,Xero!$E:$E,Heron!$A42)+SUMIFS(Xero!$F:$F,Xero!$B:$B,Heron!J$9,Xero!$A:$A,Heron!$A$5,Xero!$E:$E,Heron!$A42)</f>
        <v/>
      </c>
      <c r="K42" s="101">
        <f>SUMIFS(Xero!$F:$F,Xero!$B:$B,Heron!K$9,Xero!$A:$A,Heron!$A$4,Xero!$E:$E,Heron!$A42)+SUMIFS(Xero!$F:$F,Xero!$B:$B,Heron!K$9,Xero!$A:$A,Heron!$A$5,Xero!$E:$E,Heron!$A42)</f>
        <v/>
      </c>
      <c r="L42" s="101">
        <f>SUMIFS(Xero!$F:$F,Xero!$B:$B,Heron!L$9,Xero!$A:$A,Heron!$A$4,Xero!$E:$E,Heron!$A42)+SUMIFS(Xero!$F:$F,Xero!$B:$B,Heron!L$9,Xero!$A:$A,Heron!$A$5,Xero!$E:$E,Heron!$A42)</f>
        <v/>
      </c>
      <c r="M42" s="101">
        <f>SUMIFS(Xero!$F:$F,Xero!$B:$B,Heron!M$9,Xero!$A:$A,Heron!$A$4,Xero!$E:$E,Heron!$A42)+SUMIFS(Xero!$F:$F,Xero!$B:$B,Heron!M$9,Xero!$A:$A,Heron!$A$5,Xero!$E:$E,Heron!$A42)</f>
        <v/>
      </c>
      <c r="N42" s="101">
        <f>SUMIFS(Xero!$F:$F,Xero!$B:$B,Heron!N$9,Xero!$A:$A,Heron!$A$4,Xero!$E:$E,Heron!$A42)+SUMIFS(Xero!$F:$F,Xero!$B:$B,Heron!N$9,Xero!$A:$A,Heron!$A$5,Xero!$E:$E,Heron!$A42)</f>
        <v/>
      </c>
      <c r="O42" s="101">
        <f>SUMIFS(Xero!$F:$F,Xero!$B:$B,Heron!O$9,Xero!$A:$A,Heron!$A$4,Xero!$E:$E,Heron!$A42)+SUMIFS(Xero!$F:$F,Xero!$B:$B,Heron!O$9,Xero!$A:$A,Heron!$A$5,Xero!$E:$E,Heron!$A42)</f>
        <v/>
      </c>
      <c r="P42" s="101">
        <f>SUMIFS(Xero!$F:$F,Xero!$B:$B,Heron!P$9,Xero!$A:$A,Heron!$A$4,Xero!$E:$E,Heron!$A42)+SUMIFS(Xero!$F:$F,Xero!$B:$B,Heron!P$9,Xero!$A:$A,Heron!$A$5,Xero!$E:$E,Heron!$A42)</f>
        <v/>
      </c>
      <c r="Q42" s="101">
        <f>SUMIFS(Xero!$F:$F,Xero!$B:$B,Heron!Q$9,Xero!$A:$A,Heron!$A$4,Xero!$E:$E,Heron!$A42)+SUMIFS(Xero!$F:$F,Xero!$B:$B,Heron!Q$9,Xero!$A:$A,Heron!$A$5,Xero!$E:$E,Heron!$A42)</f>
        <v/>
      </c>
      <c r="R42" s="101">
        <f>SUMIFS(Xero!$F:$F,Xero!$B:$B,Heron!R$9,Xero!$A:$A,Heron!$A$4,Xero!$E:$E,Heron!$A42)+SUMIFS(Xero!$F:$F,Xero!$B:$B,Heron!R$9,Xero!$A:$A,Heron!$A$5,Xero!$E:$E,Heron!$A42)</f>
        <v/>
      </c>
      <c r="S42" s="101">
        <f>SUMIFS(Xero!$F:$F,Xero!$B:$B,Heron!S$9,Xero!$A:$A,Heron!$A$4,Xero!$E:$E,Heron!$A42)+SUMIFS(Xero!$F:$F,Xero!$B:$B,Heron!S$9,Xero!$A:$A,Heron!$A$5,Xero!$E:$E,Heron!$A42)</f>
        <v/>
      </c>
      <c r="T42" s="101">
        <f>SUMIFS(Xero!$F:$F,Xero!$B:$B,Heron!T$9,Xero!$A:$A,Heron!$A$4,Xero!$E:$E,Heron!$A42)+SUMIFS(Xero!$F:$F,Xero!$B:$B,Heron!T$9,Xero!$A:$A,Heron!$A$5,Xero!$E:$E,Heron!$A42)</f>
        <v/>
      </c>
      <c r="U42" s="101">
        <f>SUMIFS(Xero!$F:$F,Xero!$B:$B,Heron!U$9,Xero!$A:$A,Heron!$A$4,Xero!$E:$E,Heron!$A42)+SUMIFS(Xero!$F:$F,Xero!$B:$B,Heron!U$9,Xero!$A:$A,Heron!$A$5,Xero!$E:$E,Heron!$A42)</f>
        <v/>
      </c>
      <c r="V42" s="101">
        <f>SUMIFS(Xero!$F:$F,Xero!$B:$B,Heron!V$9,Xero!$A:$A,Heron!$A$4,Xero!$E:$E,Heron!$A42)+SUMIFS(Xero!$F:$F,Xero!$B:$B,Heron!V$9,Xero!$A:$A,Heron!$A$5,Xero!$E:$E,Heron!$A42)</f>
        <v/>
      </c>
      <c r="W42" s="101">
        <f>SUMIFS(Xero!$F:$F,Xero!$B:$B,Heron!W$9,Xero!$A:$A,Heron!$A$4,Xero!$E:$E,Heron!$A42)+SUMIFS(Xero!$F:$F,Xero!$B:$B,Heron!W$9,Xero!$A:$A,Heron!$A$5,Xero!$E:$E,Heron!$A42)</f>
        <v/>
      </c>
      <c r="X42" s="101">
        <f>SUMIFS(Xero!$F:$F,Xero!$B:$B,Heron!X$9,Xero!$A:$A,Heron!$A$4,Xero!$E:$E,Heron!$A42)+SUMIFS(Xero!$F:$F,Xero!$B:$B,Heron!X$9,Xero!$A:$A,Heron!$A$5,Xero!$E:$E,Heron!$A42)</f>
        <v/>
      </c>
      <c r="Y42" s="101">
        <f>SUMIFS(Xero!$F:$F,Xero!$B:$B,Heron!Y$9,Xero!$A:$A,Heron!$A$4,Xero!$E:$E,Heron!$A42)+SUMIFS(Xero!$F:$F,Xero!$B:$B,Heron!Y$9,Xero!$A:$A,Heron!$A$5,Xero!$E:$E,Heron!$A42)</f>
        <v/>
      </c>
      <c r="Z42" s="101">
        <f>SUMIFS(Xero!$F:$F,Xero!$B:$B,Heron!Z$9,Xero!$A:$A,Heron!$A$4,Xero!$E:$E,Heron!$A42)+SUMIFS(Xero!$F:$F,Xero!$B:$B,Heron!Z$9,Xero!$A:$A,Heron!$A$5,Xero!$E:$E,Heron!$A42)</f>
        <v/>
      </c>
      <c r="AA42" s="101">
        <f>SUMIFS(Xero!$F:$F,Xero!$B:$B,Heron!AA$9,Xero!$A:$A,Heron!$A$4,Xero!$E:$E,Heron!$A42)+SUMIFS(Xero!$F:$F,Xero!$B:$B,Heron!AA$9,Xero!$A:$A,Heron!$A$5,Xero!$E:$E,Heron!$A42)</f>
        <v/>
      </c>
      <c r="AB42" s="101">
        <f>SUMIFS(Xero!$F:$F,Xero!$B:$B,Heron!AB$9,Xero!$A:$A,Heron!$A$4,Xero!$E:$E,Heron!$A42)+SUMIFS(Xero!$F:$F,Xero!$B:$B,Heron!AB$9,Xero!$A:$A,Heron!$A$5,Xero!$E:$E,Heron!$A42)</f>
        <v/>
      </c>
      <c r="AC42" s="101">
        <f>SUMIFS(Xero!$F:$F,Xero!$B:$B,Heron!AC$9,Xero!$A:$A,Heron!$A$4,Xero!$E:$E,Heron!$A42)+SUMIFS(Xero!$F:$F,Xero!$B:$B,Heron!AC$9,Xero!$A:$A,Heron!$A$5,Xero!$E:$E,Heron!$A42)</f>
        <v/>
      </c>
      <c r="AD42" s="101">
        <f>SUMIFS(Xero!$F:$F,Xero!$B:$B,Heron!AD$9,Xero!$A:$A,Heron!$A$4,Xero!$E:$E,Heron!$A42)+SUMIFS(Xero!$F:$F,Xero!$B:$B,Heron!AD$9,Xero!$A:$A,Heron!$A$5,Xero!$E:$E,Heron!$A42)</f>
        <v/>
      </c>
      <c r="AE42" s="101">
        <f>SUMIFS(Xero!$F:$F,Xero!$B:$B,Heron!AE$9,Xero!$A:$A,Heron!$A$4,Xero!$E:$E,Heron!$A42)+SUMIFS(Xero!$F:$F,Xero!$B:$B,Heron!AE$9,Xero!$A:$A,Heron!$A$5,Xero!$E:$E,Heron!$A42)</f>
        <v/>
      </c>
      <c r="AF42" s="101">
        <f>SUMIFS(Xero!$F:$F,Xero!$B:$B,Heron!AF$9,Xero!$A:$A,Heron!$A$4,Xero!$E:$E,Heron!$A42)+SUMIFS(Xero!$F:$F,Xero!$B:$B,Heron!AF$9,Xero!$A:$A,Heron!$A$5,Xero!$E:$E,Heron!$A42)</f>
        <v/>
      </c>
      <c r="AG42" s="101">
        <f>SUMIFS(Xero!$F:$F,Xero!$B:$B,Heron!AG$9,Xero!$A:$A,Heron!$A$4,Xero!$E:$E,Heron!$A42)+SUMIFS(Xero!$F:$F,Xero!$B:$B,Heron!AG$9,Xero!$A:$A,Heron!$A$5,Xero!$E:$E,Heron!$A42)</f>
        <v/>
      </c>
      <c r="AH42" s="101">
        <f>SUMIFS(Xero!$F:$F,Xero!$B:$B,Heron!AH$9,Xero!$A:$A,Heron!$A$4,Xero!$E:$E,Heron!$A42)+SUMIFS(Xero!$F:$F,Xero!$B:$B,Heron!AH$9,Xero!$A:$A,Heron!$A$5,Xero!$E:$E,Heron!$A42)</f>
        <v/>
      </c>
      <c r="AI42" s="101">
        <f>SUMIFS(Xero!$F:$F,Xero!$B:$B,Heron!AI$9,Xero!$A:$A,Heron!$A$4,Xero!$E:$E,Heron!$A42)+SUMIFS(Xero!$F:$F,Xero!$B:$B,Heron!AI$9,Xero!$A:$A,Heron!$A$5,Xero!$E:$E,Heron!$A42)</f>
        <v/>
      </c>
      <c r="AJ42" s="101">
        <f>SUMIFS(Xero!$F:$F,Xero!$B:$B,Heron!AJ$9,Xero!$A:$A,Heron!$A$4,Xero!$E:$E,Heron!$A42)+SUMIFS(Xero!$F:$F,Xero!$B:$B,Heron!AJ$9,Xero!$A:$A,Heron!$A$5,Xero!$E:$E,Heron!$A42)</f>
        <v/>
      </c>
      <c r="AK42" s="101">
        <f>SUMIFS(Xero!$F:$F,Xero!$B:$B,Heron!AK$9,Xero!$A:$A,Heron!$A$4,Xero!$E:$E,Heron!$A42)+SUMIFS(Xero!$F:$F,Xero!$B:$B,Heron!AK$9,Xero!$A:$A,Heron!$A$5,Xero!$E:$E,Heron!$A42)</f>
        <v/>
      </c>
      <c r="AL42" s="101">
        <f>SUMIFS(Xero!$F:$F,Xero!$B:$B,Heron!AL$9,Xero!$A:$A,Heron!$A$4,Xero!$E:$E,Heron!$A42)+SUMIFS(Xero!$F:$F,Xero!$B:$B,Heron!AL$9,Xero!$A:$A,Heron!$A$5,Xero!$E:$E,Heron!$A42)</f>
        <v/>
      </c>
      <c r="AM42" s="101">
        <f>SUMIFS(Xero!$F:$F,Xero!$B:$B,Heron!AM$9,Xero!$A:$A,Heron!$A$4,Xero!$E:$E,Heron!$A42)+SUMIFS(Xero!$F:$F,Xero!$B:$B,Heron!AM$9,Xero!$A:$A,Heron!$A$5,Xero!$E:$E,Heron!$A42)</f>
        <v/>
      </c>
      <c r="AN42" s="101">
        <f>SUMIFS(Xero!$F:$F,Xero!$B:$B,Heron!AN$9,Xero!$A:$A,Heron!$A$4,Xero!$E:$E,Heron!$A42)+SUMIFS(Xero!$F:$F,Xero!$B:$B,Heron!AN$9,Xero!$A:$A,Heron!$A$5,Xero!$E:$E,Heron!$A42)</f>
        <v/>
      </c>
      <c r="AO42" s="101">
        <f>SUMIFS(Xero!$F:$F,Xero!$B:$B,Heron!AO$9,Xero!$A:$A,Heron!$A$4,Xero!$E:$E,Heron!$A42)+SUMIFS(Xero!$F:$F,Xero!$B:$B,Heron!AO$9,Xero!$A:$A,Heron!$A$5,Xero!$E:$E,Heron!$A42)</f>
        <v/>
      </c>
      <c r="AP42" s="101">
        <f>SUMIFS(Xero!$F:$F,Xero!$B:$B,Heron!AP$9,Xero!$A:$A,Heron!$A$4,Xero!$E:$E,Heron!$A42)+SUMIFS(Xero!$F:$F,Xero!$B:$B,Heron!AP$9,Xero!$A:$A,Heron!$A$5,Xero!$E:$E,Heron!$A42)</f>
        <v/>
      </c>
      <c r="AQ42" s="101">
        <f>SUMIFS(Xero!$F:$F,Xero!$B:$B,Heron!AQ$9,Xero!$A:$A,Heron!$A$4,Xero!$E:$E,Heron!$A42)+SUMIFS(Xero!$F:$F,Xero!$B:$B,Heron!AQ$9,Xero!$A:$A,Heron!$A$5,Xero!$E:$E,Heron!$A42)</f>
        <v/>
      </c>
      <c r="AR42" s="101">
        <f>SUMIFS(Xero!$F:$F,Xero!$B:$B,Heron!AR$9,Xero!$A:$A,Heron!$A$4,Xero!$E:$E,Heron!$A42)+SUMIFS(Xero!$F:$F,Xero!$B:$B,Heron!AR$9,Xero!$A:$A,Heron!$A$5,Xero!$E:$E,Heron!$A42)</f>
        <v/>
      </c>
      <c r="AS42" s="101">
        <f>SUMIFS(Xero!$F:$F,Xero!$B:$B,Heron!AS$9,Xero!$A:$A,Heron!$A$4,Xero!$E:$E,Heron!$A42)+SUMIFS(Xero!$F:$F,Xero!$B:$B,Heron!AS$9,Xero!$A:$A,Heron!$A$5,Xero!$E:$E,Heron!$A42)</f>
        <v/>
      </c>
      <c r="AT42" s="101">
        <f>SUMIFS(Xero!$F:$F,Xero!$B:$B,Heron!AT$9,Xero!$A:$A,Heron!$A$4,Xero!$E:$E,Heron!$A42)+SUMIFS(Xero!$F:$F,Xero!$B:$B,Heron!AT$9,Xero!$A:$A,Heron!$A$5,Xero!$E:$E,Heron!$A42)</f>
        <v/>
      </c>
      <c r="AU42" s="101">
        <f>SUMIFS(Xero!$F:$F,Xero!$B:$B,Heron!AU$9,Xero!$A:$A,Heron!$A$4,Xero!$E:$E,Heron!$A42)+SUMIFS(Xero!$F:$F,Xero!$B:$B,Heron!AU$9,Xero!$A:$A,Heron!$A$5,Xero!$E:$E,Heron!$A42)</f>
        <v/>
      </c>
      <c r="AV42" s="101">
        <f>SUMIFS(Xero!$F:$F,Xero!$B:$B,Heron!AV$9,Xero!$A:$A,Heron!$A$4,Xero!$E:$E,Heron!$A42)+SUMIFS(Xero!$F:$F,Xero!$B:$B,Heron!AV$9,Xero!$A:$A,Heron!$A$5,Xero!$E:$E,Heron!$A42)</f>
        <v/>
      </c>
      <c r="AW42" s="101">
        <f>SUMIFS(Xero!$F:$F,Xero!$B:$B,Heron!AW$9,Xero!$A:$A,Heron!$A$4,Xero!$E:$E,Heron!$A42)+SUMIFS(Xero!$F:$F,Xero!$B:$B,Heron!AW$9,Xero!$A:$A,Heron!$A$5,Xero!$E:$E,Heron!$A42)</f>
        <v/>
      </c>
      <c r="AX42" s="101">
        <f>SUMIFS(Xero!$F:$F,Xero!$B:$B,Heron!AX$9,Xero!$A:$A,Heron!$A$4,Xero!$E:$E,Heron!$A42)+SUMIFS(Xero!$F:$F,Xero!$B:$B,Heron!AX$9,Xero!$A:$A,Heron!$A$5,Xero!$E:$E,Heron!$A42)</f>
        <v/>
      </c>
      <c r="AY42" s="101">
        <f>SUMIFS(Xero!$F:$F,Xero!$B:$B,Heron!AY$9,Xero!$A:$A,Heron!$A$4,Xero!$E:$E,Heron!$A42)+SUMIFS(Xero!$F:$F,Xero!$B:$B,Heron!AY$9,Xero!$A:$A,Heron!$A$5,Xero!$E:$E,Heron!$A42)</f>
        <v/>
      </c>
      <c r="AZ42" s="101">
        <f>SUMIFS(Xero!$F:$F,Xero!$B:$B,Heron!AZ$9,Xero!$A:$A,Heron!$A$4,Xero!$E:$E,Heron!$A42)+SUMIFS(Xero!$F:$F,Xero!$B:$B,Heron!AZ$9,Xero!$A:$A,Heron!$A$5,Xero!$E:$E,Heron!$A42)</f>
        <v/>
      </c>
      <c r="BA42" s="101">
        <f>SUMIFS(Xero!$F:$F,Xero!$B:$B,Heron!BA$9,Xero!$A:$A,Heron!$A$4,Xero!$E:$E,Heron!$A42)+SUMIFS(Xero!$F:$F,Xero!$B:$B,Heron!BA$9,Xero!$A:$A,Heron!$A$5,Xero!$E:$E,Heron!$A42)</f>
        <v/>
      </c>
      <c r="BB42" s="101">
        <f>SUMIFS(Xero!$F:$F,Xero!$B:$B,Heron!BB$9,Xero!$A:$A,Heron!$A$4,Xero!$E:$E,Heron!$A42)+SUMIFS(Xero!$F:$F,Xero!$B:$B,Heron!BB$9,Xero!$A:$A,Heron!$A$5,Xero!$E:$E,Heron!$A42)</f>
        <v/>
      </c>
      <c r="BC42" s="101">
        <f>SUMIFS(Xero!$F:$F,Xero!$B:$B,Heron!BC$9,Xero!$A:$A,Heron!$A$4,Xero!$E:$E,Heron!$A42)+SUMIFS(Xero!$F:$F,Xero!$B:$B,Heron!BC$9,Xero!$A:$A,Heron!$A$5,Xero!$E:$E,Heron!$A42)</f>
        <v/>
      </c>
      <c r="BD42" s="101">
        <f>SUMIFS(Xero!$F:$F,Xero!$B:$B,Heron!BD$9,Xero!$A:$A,Heron!$A$4,Xero!$E:$E,Heron!$A42)+SUMIFS(Xero!$F:$F,Xero!$B:$B,Heron!BD$9,Xero!$A:$A,Heron!$A$5,Xero!$E:$E,Heron!$A42)</f>
        <v/>
      </c>
      <c r="BE42" s="101">
        <f>SUMIFS(Xero!$F:$F,Xero!$B:$B,Heron!BE$9,Xero!$A:$A,Heron!$A$4,Xero!$E:$E,Heron!$A42)+SUMIFS(Xero!$F:$F,Xero!$B:$B,Heron!BE$9,Xero!$A:$A,Heron!$A$5,Xero!$E:$E,Heron!$A42)</f>
        <v/>
      </c>
      <c r="BF42" s="101">
        <f>SUMIFS(Xero!$F:$F,Xero!$B:$B,Heron!BF$9,Xero!$A:$A,Heron!$A$4,Xero!$E:$E,Heron!$A42)+SUMIFS(Xero!$F:$F,Xero!$B:$B,Heron!BF$9,Xero!$A:$A,Heron!$A$5,Xero!$E:$E,Heron!$A42)</f>
        <v/>
      </c>
      <c r="BG42" s="101">
        <f>SUMIFS(Xero!$F:$F,Xero!$B:$B,Heron!BG$9,Xero!$A:$A,Heron!$A$4,Xero!$E:$E,Heron!$A42)+SUMIFS(Xero!$F:$F,Xero!$B:$B,Heron!BG$9,Xero!$A:$A,Heron!$A$5,Xero!$E:$E,Heron!$A42)</f>
        <v/>
      </c>
      <c r="BH42" s="101">
        <f>SUMIFS(Xero!$F:$F,Xero!$B:$B,Heron!BH$9,Xero!$A:$A,Heron!$A$4,Xero!$E:$E,Heron!$A42)+SUMIFS(Xero!$F:$F,Xero!$B:$B,Heron!BH$9,Xero!$A:$A,Heron!$A$5,Xero!$E:$E,Heron!$A42)</f>
        <v/>
      </c>
      <c r="BI42" s="101">
        <f>SUMIFS(Xero!$F:$F,Xero!$B:$B,Heron!BI$9,Xero!$A:$A,Heron!$A$4,Xero!$E:$E,Heron!$A42)+SUMIFS(Xero!$F:$F,Xero!$B:$B,Heron!BI$9,Xero!$A:$A,Heron!$A$5,Xero!$E:$E,Heron!$A42)</f>
        <v/>
      </c>
      <c r="BJ42" s="101">
        <f>SUMIFS(Xero!$F:$F,Xero!$B:$B,Heron!BJ$9,Xero!$A:$A,Heron!$A$4,Xero!$E:$E,Heron!$A42)+SUMIFS(Xero!$F:$F,Xero!$B:$B,Heron!BJ$9,Xero!$A:$A,Heron!$A$5,Xero!$E:$E,Heron!$A42)</f>
        <v/>
      </c>
      <c r="BK42" s="101">
        <f>sum(D42:BJ42)</f>
        <v/>
      </c>
    </row>
    <row r="43">
      <c r="A43" s="100" t="inlineStr">
        <is>
          <t>COCT: Developers Rates &amp; Refuse Acc: 236356811</t>
        </is>
      </c>
      <c r="D43" s="101">
        <f>SUMIFS(Xero!$F:$F,Xero!$B:$B,Heron!D$9,Xero!$A:$A,Heron!$A$4,Xero!$E:$E,Heron!$A43)+SUMIFS(Xero!$F:$F,Xero!$B:$B,Heron!D$9,Xero!$A:$A,Heron!$A$5,Xero!$E:$E,Heron!$A43)</f>
        <v/>
      </c>
      <c r="E43" s="101">
        <f>SUMIFS(Xero!$F:$F,Xero!$B:$B,Heron!E$9,Xero!$A:$A,Heron!$A$4,Xero!$E:$E,Heron!$A43)+SUMIFS(Xero!$F:$F,Xero!$B:$B,Heron!E$9,Xero!$A:$A,Heron!$A$5,Xero!$E:$E,Heron!$A43)</f>
        <v/>
      </c>
      <c r="F43" s="101">
        <f>SUMIFS(Xero!$F:$F,Xero!$B:$B,Heron!F$9,Xero!$A:$A,Heron!$A$4,Xero!$E:$E,Heron!$A43)+SUMIFS(Xero!$F:$F,Xero!$B:$B,Heron!F$9,Xero!$A:$A,Heron!$A$5,Xero!$E:$E,Heron!$A43)</f>
        <v/>
      </c>
      <c r="G43" s="101">
        <f>SUMIFS(Xero!$F:$F,Xero!$B:$B,Heron!G$9,Xero!$A:$A,Heron!$A$4,Xero!$E:$E,Heron!$A43)+SUMIFS(Xero!$F:$F,Xero!$B:$B,Heron!G$9,Xero!$A:$A,Heron!$A$5,Xero!$E:$E,Heron!$A43)</f>
        <v/>
      </c>
      <c r="H43" s="101">
        <f>SUMIFS(Xero!$F:$F,Xero!$B:$B,Heron!H$9,Xero!$A:$A,Heron!$A$4,Xero!$E:$E,Heron!$A43)+SUMIFS(Xero!$F:$F,Xero!$B:$B,Heron!H$9,Xero!$A:$A,Heron!$A$5,Xero!$E:$E,Heron!$A43)</f>
        <v/>
      </c>
      <c r="I43" s="101">
        <f>SUMIFS(Xero!$F:$F,Xero!$B:$B,Heron!I$9,Xero!$A:$A,Heron!$A$4,Xero!$E:$E,Heron!$A43)+SUMIFS(Xero!$F:$F,Xero!$B:$B,Heron!I$9,Xero!$A:$A,Heron!$A$5,Xero!$E:$E,Heron!$A43)</f>
        <v/>
      </c>
      <c r="J43" s="101">
        <f>SUMIFS(Xero!$F:$F,Xero!$B:$B,Heron!J$9,Xero!$A:$A,Heron!$A$4,Xero!$E:$E,Heron!$A43)+SUMIFS(Xero!$F:$F,Xero!$B:$B,Heron!J$9,Xero!$A:$A,Heron!$A$5,Xero!$E:$E,Heron!$A43)</f>
        <v/>
      </c>
      <c r="K43" s="101">
        <f>SUMIFS(Xero!$F:$F,Xero!$B:$B,Heron!K$9,Xero!$A:$A,Heron!$A$4,Xero!$E:$E,Heron!$A43)+SUMIFS(Xero!$F:$F,Xero!$B:$B,Heron!K$9,Xero!$A:$A,Heron!$A$5,Xero!$E:$E,Heron!$A43)</f>
        <v/>
      </c>
      <c r="L43" s="101">
        <f>SUMIFS(Xero!$F:$F,Xero!$B:$B,Heron!L$9,Xero!$A:$A,Heron!$A$4,Xero!$E:$E,Heron!$A43)+SUMIFS(Xero!$F:$F,Xero!$B:$B,Heron!L$9,Xero!$A:$A,Heron!$A$5,Xero!$E:$E,Heron!$A43)</f>
        <v/>
      </c>
      <c r="M43" s="101">
        <f>SUMIFS(Xero!$F:$F,Xero!$B:$B,Heron!M$9,Xero!$A:$A,Heron!$A$4,Xero!$E:$E,Heron!$A43)+SUMIFS(Xero!$F:$F,Xero!$B:$B,Heron!M$9,Xero!$A:$A,Heron!$A$5,Xero!$E:$E,Heron!$A43)</f>
        <v/>
      </c>
      <c r="N43" s="101">
        <f>SUMIFS(Xero!$F:$F,Xero!$B:$B,Heron!N$9,Xero!$A:$A,Heron!$A$4,Xero!$E:$E,Heron!$A43)+SUMIFS(Xero!$F:$F,Xero!$B:$B,Heron!N$9,Xero!$A:$A,Heron!$A$5,Xero!$E:$E,Heron!$A43)</f>
        <v/>
      </c>
      <c r="O43" s="101">
        <f>SUMIFS(Xero!$F:$F,Xero!$B:$B,Heron!O$9,Xero!$A:$A,Heron!$A$4,Xero!$E:$E,Heron!$A43)+SUMIFS(Xero!$F:$F,Xero!$B:$B,Heron!O$9,Xero!$A:$A,Heron!$A$5,Xero!$E:$E,Heron!$A43)</f>
        <v/>
      </c>
      <c r="P43" s="101">
        <f>SUMIFS(Xero!$F:$F,Xero!$B:$B,Heron!P$9,Xero!$A:$A,Heron!$A$4,Xero!$E:$E,Heron!$A43)+SUMIFS(Xero!$F:$F,Xero!$B:$B,Heron!P$9,Xero!$A:$A,Heron!$A$5,Xero!$E:$E,Heron!$A43)</f>
        <v/>
      </c>
      <c r="Q43" s="101">
        <f>SUMIFS(Xero!$F:$F,Xero!$B:$B,Heron!Q$9,Xero!$A:$A,Heron!$A$4,Xero!$E:$E,Heron!$A43)+SUMIFS(Xero!$F:$F,Xero!$B:$B,Heron!Q$9,Xero!$A:$A,Heron!$A$5,Xero!$E:$E,Heron!$A43)</f>
        <v/>
      </c>
      <c r="R43" s="101">
        <f>SUMIFS(Xero!$F:$F,Xero!$B:$B,Heron!R$9,Xero!$A:$A,Heron!$A$4,Xero!$E:$E,Heron!$A43)+SUMIFS(Xero!$F:$F,Xero!$B:$B,Heron!R$9,Xero!$A:$A,Heron!$A$5,Xero!$E:$E,Heron!$A43)</f>
        <v/>
      </c>
      <c r="S43" s="101">
        <f>SUMIFS(Xero!$F:$F,Xero!$B:$B,Heron!S$9,Xero!$A:$A,Heron!$A$4,Xero!$E:$E,Heron!$A43)+SUMIFS(Xero!$F:$F,Xero!$B:$B,Heron!S$9,Xero!$A:$A,Heron!$A$5,Xero!$E:$E,Heron!$A43)</f>
        <v/>
      </c>
      <c r="T43" s="101">
        <f>SUMIFS(Xero!$F:$F,Xero!$B:$B,Heron!T$9,Xero!$A:$A,Heron!$A$4,Xero!$E:$E,Heron!$A43)+SUMIFS(Xero!$F:$F,Xero!$B:$B,Heron!T$9,Xero!$A:$A,Heron!$A$5,Xero!$E:$E,Heron!$A43)</f>
        <v/>
      </c>
      <c r="U43" s="101">
        <f>SUMIFS(Xero!$F:$F,Xero!$B:$B,Heron!U$9,Xero!$A:$A,Heron!$A$4,Xero!$E:$E,Heron!$A43)+SUMIFS(Xero!$F:$F,Xero!$B:$B,Heron!U$9,Xero!$A:$A,Heron!$A$5,Xero!$E:$E,Heron!$A43)</f>
        <v/>
      </c>
      <c r="V43" s="101">
        <f>SUMIFS(Xero!$F:$F,Xero!$B:$B,Heron!V$9,Xero!$A:$A,Heron!$A$4,Xero!$E:$E,Heron!$A43)+SUMIFS(Xero!$F:$F,Xero!$B:$B,Heron!V$9,Xero!$A:$A,Heron!$A$5,Xero!$E:$E,Heron!$A43)</f>
        <v/>
      </c>
      <c r="W43" s="101">
        <f>SUMIFS(Xero!$F:$F,Xero!$B:$B,Heron!W$9,Xero!$A:$A,Heron!$A$4,Xero!$E:$E,Heron!$A43)+SUMIFS(Xero!$F:$F,Xero!$B:$B,Heron!W$9,Xero!$A:$A,Heron!$A$5,Xero!$E:$E,Heron!$A43)</f>
        <v/>
      </c>
      <c r="X43" s="101">
        <f>SUMIFS(Xero!$F:$F,Xero!$B:$B,Heron!X$9,Xero!$A:$A,Heron!$A$4,Xero!$E:$E,Heron!$A43)+SUMIFS(Xero!$F:$F,Xero!$B:$B,Heron!X$9,Xero!$A:$A,Heron!$A$5,Xero!$E:$E,Heron!$A43)</f>
        <v/>
      </c>
      <c r="Y43" s="101">
        <f>SUMIFS(Xero!$F:$F,Xero!$B:$B,Heron!Y$9,Xero!$A:$A,Heron!$A$4,Xero!$E:$E,Heron!$A43)+SUMIFS(Xero!$F:$F,Xero!$B:$B,Heron!Y$9,Xero!$A:$A,Heron!$A$5,Xero!$E:$E,Heron!$A43)</f>
        <v/>
      </c>
      <c r="Z43" s="101">
        <f>SUMIFS(Xero!$F:$F,Xero!$B:$B,Heron!Z$9,Xero!$A:$A,Heron!$A$4,Xero!$E:$E,Heron!$A43)+SUMIFS(Xero!$F:$F,Xero!$B:$B,Heron!Z$9,Xero!$A:$A,Heron!$A$5,Xero!$E:$E,Heron!$A43)</f>
        <v/>
      </c>
      <c r="AA43" s="101">
        <f>SUMIFS(Xero!$F:$F,Xero!$B:$B,Heron!AA$9,Xero!$A:$A,Heron!$A$4,Xero!$E:$E,Heron!$A43)+SUMIFS(Xero!$F:$F,Xero!$B:$B,Heron!AA$9,Xero!$A:$A,Heron!$A$5,Xero!$E:$E,Heron!$A43)</f>
        <v/>
      </c>
      <c r="AB43" s="101">
        <f>SUMIFS(Xero!$F:$F,Xero!$B:$B,Heron!AB$9,Xero!$A:$A,Heron!$A$4,Xero!$E:$E,Heron!$A43)+SUMIFS(Xero!$F:$F,Xero!$B:$B,Heron!AB$9,Xero!$A:$A,Heron!$A$5,Xero!$E:$E,Heron!$A43)</f>
        <v/>
      </c>
      <c r="AC43" s="101">
        <f>SUMIFS(Xero!$F:$F,Xero!$B:$B,Heron!AC$9,Xero!$A:$A,Heron!$A$4,Xero!$E:$E,Heron!$A43)+SUMIFS(Xero!$F:$F,Xero!$B:$B,Heron!AC$9,Xero!$A:$A,Heron!$A$5,Xero!$E:$E,Heron!$A43)</f>
        <v/>
      </c>
      <c r="AD43" s="101">
        <f>SUMIFS(Xero!$F:$F,Xero!$B:$B,Heron!AD$9,Xero!$A:$A,Heron!$A$4,Xero!$E:$E,Heron!$A43)+SUMIFS(Xero!$F:$F,Xero!$B:$B,Heron!AD$9,Xero!$A:$A,Heron!$A$5,Xero!$E:$E,Heron!$A43)</f>
        <v/>
      </c>
      <c r="AE43" s="101">
        <f>SUMIFS(Xero!$F:$F,Xero!$B:$B,Heron!AE$9,Xero!$A:$A,Heron!$A$4,Xero!$E:$E,Heron!$A43)+SUMIFS(Xero!$F:$F,Xero!$B:$B,Heron!AE$9,Xero!$A:$A,Heron!$A$5,Xero!$E:$E,Heron!$A43)</f>
        <v/>
      </c>
      <c r="AF43" s="101">
        <f>SUMIFS(Xero!$F:$F,Xero!$B:$B,Heron!AF$9,Xero!$A:$A,Heron!$A$4,Xero!$E:$E,Heron!$A43)+SUMIFS(Xero!$F:$F,Xero!$B:$B,Heron!AF$9,Xero!$A:$A,Heron!$A$5,Xero!$E:$E,Heron!$A43)</f>
        <v/>
      </c>
      <c r="AG43" s="101">
        <f>SUMIFS(Xero!$F:$F,Xero!$B:$B,Heron!AG$9,Xero!$A:$A,Heron!$A$4,Xero!$E:$E,Heron!$A43)+SUMIFS(Xero!$F:$F,Xero!$B:$B,Heron!AG$9,Xero!$A:$A,Heron!$A$5,Xero!$E:$E,Heron!$A43)</f>
        <v/>
      </c>
      <c r="AH43" s="101">
        <f>SUMIFS(Xero!$F:$F,Xero!$B:$B,Heron!AH$9,Xero!$A:$A,Heron!$A$4,Xero!$E:$E,Heron!$A43)+SUMIFS(Xero!$F:$F,Xero!$B:$B,Heron!AH$9,Xero!$A:$A,Heron!$A$5,Xero!$E:$E,Heron!$A43)</f>
        <v/>
      </c>
      <c r="AI43" s="101">
        <f>SUMIFS(Xero!$F:$F,Xero!$B:$B,Heron!AI$9,Xero!$A:$A,Heron!$A$4,Xero!$E:$E,Heron!$A43)+SUMIFS(Xero!$F:$F,Xero!$B:$B,Heron!AI$9,Xero!$A:$A,Heron!$A$5,Xero!$E:$E,Heron!$A43)</f>
        <v/>
      </c>
      <c r="AJ43" s="101">
        <f>SUMIFS(Xero!$F:$F,Xero!$B:$B,Heron!AJ$9,Xero!$A:$A,Heron!$A$4,Xero!$E:$E,Heron!$A43)+SUMIFS(Xero!$F:$F,Xero!$B:$B,Heron!AJ$9,Xero!$A:$A,Heron!$A$5,Xero!$E:$E,Heron!$A43)</f>
        <v/>
      </c>
      <c r="AK43" s="101">
        <f>SUMIFS(Xero!$F:$F,Xero!$B:$B,Heron!AK$9,Xero!$A:$A,Heron!$A$4,Xero!$E:$E,Heron!$A43)+SUMIFS(Xero!$F:$F,Xero!$B:$B,Heron!AK$9,Xero!$A:$A,Heron!$A$5,Xero!$E:$E,Heron!$A43)</f>
        <v/>
      </c>
      <c r="AL43" s="101">
        <f>SUMIFS(Xero!$F:$F,Xero!$B:$B,Heron!AL$9,Xero!$A:$A,Heron!$A$4,Xero!$E:$E,Heron!$A43)+SUMIFS(Xero!$F:$F,Xero!$B:$B,Heron!AL$9,Xero!$A:$A,Heron!$A$5,Xero!$E:$E,Heron!$A43)</f>
        <v/>
      </c>
      <c r="AM43" s="101">
        <f>SUMIFS(Xero!$F:$F,Xero!$B:$B,Heron!AM$9,Xero!$A:$A,Heron!$A$4,Xero!$E:$E,Heron!$A43)+SUMIFS(Xero!$F:$F,Xero!$B:$B,Heron!AM$9,Xero!$A:$A,Heron!$A$5,Xero!$E:$E,Heron!$A43)</f>
        <v/>
      </c>
      <c r="AN43" s="101">
        <f>SUMIFS(Xero!$F:$F,Xero!$B:$B,Heron!AN$9,Xero!$A:$A,Heron!$A$4,Xero!$E:$E,Heron!$A43)+SUMIFS(Xero!$F:$F,Xero!$B:$B,Heron!AN$9,Xero!$A:$A,Heron!$A$5,Xero!$E:$E,Heron!$A43)</f>
        <v/>
      </c>
      <c r="AO43" s="101">
        <f>SUMIFS(Xero!$F:$F,Xero!$B:$B,Heron!AO$9,Xero!$A:$A,Heron!$A$4,Xero!$E:$E,Heron!$A43)+SUMIFS(Xero!$F:$F,Xero!$B:$B,Heron!AO$9,Xero!$A:$A,Heron!$A$5,Xero!$E:$E,Heron!$A43)</f>
        <v/>
      </c>
      <c r="AP43" s="101">
        <f>SUMIFS(Xero!$F:$F,Xero!$B:$B,Heron!AP$9,Xero!$A:$A,Heron!$A$4,Xero!$E:$E,Heron!$A43)+SUMIFS(Xero!$F:$F,Xero!$B:$B,Heron!AP$9,Xero!$A:$A,Heron!$A$5,Xero!$E:$E,Heron!$A43)</f>
        <v/>
      </c>
      <c r="AQ43" s="101">
        <f>SUMIFS(Xero!$F:$F,Xero!$B:$B,Heron!AQ$9,Xero!$A:$A,Heron!$A$4,Xero!$E:$E,Heron!$A43)+SUMIFS(Xero!$F:$F,Xero!$B:$B,Heron!AQ$9,Xero!$A:$A,Heron!$A$5,Xero!$E:$E,Heron!$A43)</f>
        <v/>
      </c>
      <c r="AR43" s="101">
        <f>SUMIFS(Xero!$F:$F,Xero!$B:$B,Heron!AR$9,Xero!$A:$A,Heron!$A$4,Xero!$E:$E,Heron!$A43)+SUMIFS(Xero!$F:$F,Xero!$B:$B,Heron!AR$9,Xero!$A:$A,Heron!$A$5,Xero!$E:$E,Heron!$A43)</f>
        <v/>
      </c>
      <c r="AS43" s="101">
        <f>SUMIFS(Xero!$F:$F,Xero!$B:$B,Heron!AS$9,Xero!$A:$A,Heron!$A$4,Xero!$E:$E,Heron!$A43)+SUMIFS(Xero!$F:$F,Xero!$B:$B,Heron!AS$9,Xero!$A:$A,Heron!$A$5,Xero!$E:$E,Heron!$A43)</f>
        <v/>
      </c>
      <c r="AT43" s="101">
        <f>SUMIFS(Xero!$F:$F,Xero!$B:$B,Heron!AT$9,Xero!$A:$A,Heron!$A$4,Xero!$E:$E,Heron!$A43)+SUMIFS(Xero!$F:$F,Xero!$B:$B,Heron!AT$9,Xero!$A:$A,Heron!$A$5,Xero!$E:$E,Heron!$A43)</f>
        <v/>
      </c>
      <c r="AU43" s="101">
        <f>SUMIFS(Xero!$F:$F,Xero!$B:$B,Heron!AU$9,Xero!$A:$A,Heron!$A$4,Xero!$E:$E,Heron!$A43)+SUMIFS(Xero!$F:$F,Xero!$B:$B,Heron!AU$9,Xero!$A:$A,Heron!$A$5,Xero!$E:$E,Heron!$A43)</f>
        <v/>
      </c>
      <c r="AV43" s="101">
        <f>SUMIFS(Xero!$F:$F,Xero!$B:$B,Heron!AV$9,Xero!$A:$A,Heron!$A$4,Xero!$E:$E,Heron!$A43)+SUMIFS(Xero!$F:$F,Xero!$B:$B,Heron!AV$9,Xero!$A:$A,Heron!$A$5,Xero!$E:$E,Heron!$A43)</f>
        <v/>
      </c>
      <c r="AW43" s="101">
        <f>SUMIFS(Xero!$F:$F,Xero!$B:$B,Heron!AW$9,Xero!$A:$A,Heron!$A$4,Xero!$E:$E,Heron!$A43)+SUMIFS(Xero!$F:$F,Xero!$B:$B,Heron!AW$9,Xero!$A:$A,Heron!$A$5,Xero!$E:$E,Heron!$A43)</f>
        <v/>
      </c>
      <c r="AX43" s="101">
        <f>SUMIFS(Xero!$F:$F,Xero!$B:$B,Heron!AX$9,Xero!$A:$A,Heron!$A$4,Xero!$E:$E,Heron!$A43)+SUMIFS(Xero!$F:$F,Xero!$B:$B,Heron!AX$9,Xero!$A:$A,Heron!$A$5,Xero!$E:$E,Heron!$A43)</f>
        <v/>
      </c>
      <c r="AY43" s="101">
        <f>SUMIFS(Xero!$F:$F,Xero!$B:$B,Heron!AY$9,Xero!$A:$A,Heron!$A$4,Xero!$E:$E,Heron!$A43)+SUMIFS(Xero!$F:$F,Xero!$B:$B,Heron!AY$9,Xero!$A:$A,Heron!$A$5,Xero!$E:$E,Heron!$A43)</f>
        <v/>
      </c>
      <c r="AZ43" s="101">
        <f>SUMIFS(Xero!$F:$F,Xero!$B:$B,Heron!AZ$9,Xero!$A:$A,Heron!$A$4,Xero!$E:$E,Heron!$A43)+SUMIFS(Xero!$F:$F,Xero!$B:$B,Heron!AZ$9,Xero!$A:$A,Heron!$A$5,Xero!$E:$E,Heron!$A43)</f>
        <v/>
      </c>
      <c r="BA43" s="101">
        <f>SUMIFS(Xero!$F:$F,Xero!$B:$B,Heron!BA$9,Xero!$A:$A,Heron!$A$4,Xero!$E:$E,Heron!$A43)+SUMIFS(Xero!$F:$F,Xero!$B:$B,Heron!BA$9,Xero!$A:$A,Heron!$A$5,Xero!$E:$E,Heron!$A43)</f>
        <v/>
      </c>
      <c r="BB43" s="101">
        <f>SUMIFS(Xero!$F:$F,Xero!$B:$B,Heron!BB$9,Xero!$A:$A,Heron!$A$4,Xero!$E:$E,Heron!$A43)+SUMIFS(Xero!$F:$F,Xero!$B:$B,Heron!BB$9,Xero!$A:$A,Heron!$A$5,Xero!$E:$E,Heron!$A43)</f>
        <v/>
      </c>
      <c r="BC43" s="101">
        <f>SUMIFS(Xero!$F:$F,Xero!$B:$B,Heron!BC$9,Xero!$A:$A,Heron!$A$4,Xero!$E:$E,Heron!$A43)+SUMIFS(Xero!$F:$F,Xero!$B:$B,Heron!BC$9,Xero!$A:$A,Heron!$A$5,Xero!$E:$E,Heron!$A43)</f>
        <v/>
      </c>
      <c r="BD43" s="101">
        <f>SUMIFS(Xero!$F:$F,Xero!$B:$B,Heron!BD$9,Xero!$A:$A,Heron!$A$4,Xero!$E:$E,Heron!$A43)+SUMIFS(Xero!$F:$F,Xero!$B:$B,Heron!BD$9,Xero!$A:$A,Heron!$A$5,Xero!$E:$E,Heron!$A43)</f>
        <v/>
      </c>
      <c r="BE43" s="101">
        <f>SUMIFS(Xero!$F:$F,Xero!$B:$B,Heron!BE$9,Xero!$A:$A,Heron!$A$4,Xero!$E:$E,Heron!$A43)+SUMIFS(Xero!$F:$F,Xero!$B:$B,Heron!BE$9,Xero!$A:$A,Heron!$A$5,Xero!$E:$E,Heron!$A43)</f>
        <v/>
      </c>
      <c r="BF43" s="101">
        <f>SUMIFS(Xero!$F:$F,Xero!$B:$B,Heron!BF$9,Xero!$A:$A,Heron!$A$4,Xero!$E:$E,Heron!$A43)+SUMIFS(Xero!$F:$F,Xero!$B:$B,Heron!BF$9,Xero!$A:$A,Heron!$A$5,Xero!$E:$E,Heron!$A43)</f>
        <v/>
      </c>
      <c r="BG43" s="101">
        <f>SUMIFS(Xero!$F:$F,Xero!$B:$B,Heron!BG$9,Xero!$A:$A,Heron!$A$4,Xero!$E:$E,Heron!$A43)+SUMIFS(Xero!$F:$F,Xero!$B:$B,Heron!BG$9,Xero!$A:$A,Heron!$A$5,Xero!$E:$E,Heron!$A43)</f>
        <v/>
      </c>
      <c r="BH43" s="101">
        <f>SUMIFS(Xero!$F:$F,Xero!$B:$B,Heron!BH$9,Xero!$A:$A,Heron!$A$4,Xero!$E:$E,Heron!$A43)+SUMIFS(Xero!$F:$F,Xero!$B:$B,Heron!BH$9,Xero!$A:$A,Heron!$A$5,Xero!$E:$E,Heron!$A43)</f>
        <v/>
      </c>
      <c r="BI43" s="101">
        <f>SUMIFS(Xero!$F:$F,Xero!$B:$B,Heron!BI$9,Xero!$A:$A,Heron!$A$4,Xero!$E:$E,Heron!$A43)+SUMIFS(Xero!$F:$F,Xero!$B:$B,Heron!BI$9,Xero!$A:$A,Heron!$A$5,Xero!$E:$E,Heron!$A43)</f>
        <v/>
      </c>
      <c r="BJ43" s="101">
        <f>SUMIFS(Xero!$F:$F,Xero!$B:$B,Heron!BJ$9,Xero!$A:$A,Heron!$A$4,Xero!$E:$E,Heron!$A43)+SUMIFS(Xero!$F:$F,Xero!$B:$B,Heron!BJ$9,Xero!$A:$A,Heron!$A$5,Xero!$E:$E,Heron!$A43)</f>
        <v/>
      </c>
      <c r="BK43" s="101">
        <f>sum(D43:BJ43)</f>
        <v/>
      </c>
    </row>
    <row r="44">
      <c r="A44" s="100" t="inlineStr">
        <is>
          <t>COS - Commission HF Units</t>
        </is>
      </c>
      <c r="D44" s="101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1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1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1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1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1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1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1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1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1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1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1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1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1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1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1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1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1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1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1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1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1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1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1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1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1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1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1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1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1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1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1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1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1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1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1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1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1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1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1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1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1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1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1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1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1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1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1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1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1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1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1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1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1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1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1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1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1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1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1">
        <f>sum(D44:BJ44)</f>
        <v/>
      </c>
    </row>
    <row r="45">
      <c r="A45" s="100" t="inlineStr">
        <is>
          <t>COS - Commission HV Units</t>
        </is>
      </c>
      <c r="D45" s="101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1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1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1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1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1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1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1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1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1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1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1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1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1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1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1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1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1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1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1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1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1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1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1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1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1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1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1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1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1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1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1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1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1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1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1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1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1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1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1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1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1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1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1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1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1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1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1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1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1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1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1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1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1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1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1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1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1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1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1">
        <f>sum(D45:BJ45)</f>
        <v/>
      </c>
    </row>
    <row r="46">
      <c r="A46" s="100" t="inlineStr">
        <is>
          <t>COS - Commission Heron Fields investors</t>
        </is>
      </c>
      <c r="D46" s="101">
        <f>SUMIFS(Xero!$F:$F,Xero!$B:$B,Heron!D$9,Xero!$A:$A,Heron!$A$4,Xero!$E:$E,Heron!$A46)+SUMIFS(Xero!$F:$F,Xero!$B:$B,Heron!D$9,Xero!$A:$A,Heron!$A$5,Xero!$E:$E,Heron!$A46)</f>
        <v/>
      </c>
      <c r="E46" s="101">
        <f>SUMIFS(Xero!$F:$F,Xero!$B:$B,Heron!E$9,Xero!$A:$A,Heron!$A$4,Xero!$E:$E,Heron!$A46)+SUMIFS(Xero!$F:$F,Xero!$B:$B,Heron!E$9,Xero!$A:$A,Heron!$A$5,Xero!$E:$E,Heron!$A46)</f>
        <v/>
      </c>
      <c r="F46" s="101">
        <f>SUMIFS(Xero!$F:$F,Xero!$B:$B,Heron!F$9,Xero!$A:$A,Heron!$A$4,Xero!$E:$E,Heron!$A46)+SUMIFS(Xero!$F:$F,Xero!$B:$B,Heron!F$9,Xero!$A:$A,Heron!$A$5,Xero!$E:$E,Heron!$A46)</f>
        <v/>
      </c>
      <c r="G46" s="101">
        <f>SUMIFS(Xero!$F:$F,Xero!$B:$B,Heron!G$9,Xero!$A:$A,Heron!$A$4,Xero!$E:$E,Heron!$A46)+SUMIFS(Xero!$F:$F,Xero!$B:$B,Heron!G$9,Xero!$A:$A,Heron!$A$5,Xero!$E:$E,Heron!$A46)</f>
        <v/>
      </c>
      <c r="H46" s="101">
        <f>SUMIFS(Xero!$F:$F,Xero!$B:$B,Heron!H$9,Xero!$A:$A,Heron!$A$4,Xero!$E:$E,Heron!$A46)+SUMIFS(Xero!$F:$F,Xero!$B:$B,Heron!H$9,Xero!$A:$A,Heron!$A$5,Xero!$E:$E,Heron!$A46)</f>
        <v/>
      </c>
      <c r="I46" s="101">
        <f>SUMIFS(Xero!$F:$F,Xero!$B:$B,Heron!I$9,Xero!$A:$A,Heron!$A$4,Xero!$E:$E,Heron!$A46)+SUMIFS(Xero!$F:$F,Xero!$B:$B,Heron!I$9,Xero!$A:$A,Heron!$A$5,Xero!$E:$E,Heron!$A46)</f>
        <v/>
      </c>
      <c r="J46" s="101">
        <f>SUMIFS(Xero!$F:$F,Xero!$B:$B,Heron!J$9,Xero!$A:$A,Heron!$A$4,Xero!$E:$E,Heron!$A46)+SUMIFS(Xero!$F:$F,Xero!$B:$B,Heron!J$9,Xero!$A:$A,Heron!$A$5,Xero!$E:$E,Heron!$A46)</f>
        <v/>
      </c>
      <c r="K46" s="101">
        <f>SUMIFS(Xero!$F:$F,Xero!$B:$B,Heron!K$9,Xero!$A:$A,Heron!$A$4,Xero!$E:$E,Heron!$A46)+SUMIFS(Xero!$F:$F,Xero!$B:$B,Heron!K$9,Xero!$A:$A,Heron!$A$5,Xero!$E:$E,Heron!$A46)</f>
        <v/>
      </c>
      <c r="L46" s="101">
        <f>SUMIFS(Xero!$F:$F,Xero!$B:$B,Heron!L$9,Xero!$A:$A,Heron!$A$4,Xero!$E:$E,Heron!$A46)+SUMIFS(Xero!$F:$F,Xero!$B:$B,Heron!L$9,Xero!$A:$A,Heron!$A$5,Xero!$E:$E,Heron!$A46)</f>
        <v/>
      </c>
      <c r="M46" s="101">
        <f>SUMIFS(Xero!$F:$F,Xero!$B:$B,Heron!M$9,Xero!$A:$A,Heron!$A$4,Xero!$E:$E,Heron!$A46)+SUMIFS(Xero!$F:$F,Xero!$B:$B,Heron!M$9,Xero!$A:$A,Heron!$A$5,Xero!$E:$E,Heron!$A46)</f>
        <v/>
      </c>
      <c r="N46" s="101">
        <f>SUMIFS(Xero!$F:$F,Xero!$B:$B,Heron!N$9,Xero!$A:$A,Heron!$A$4,Xero!$E:$E,Heron!$A46)+SUMIFS(Xero!$F:$F,Xero!$B:$B,Heron!N$9,Xero!$A:$A,Heron!$A$5,Xero!$E:$E,Heron!$A46)</f>
        <v/>
      </c>
      <c r="O46" s="101">
        <f>SUMIFS(Xero!$F:$F,Xero!$B:$B,Heron!O$9,Xero!$A:$A,Heron!$A$4,Xero!$E:$E,Heron!$A46)+SUMIFS(Xero!$F:$F,Xero!$B:$B,Heron!O$9,Xero!$A:$A,Heron!$A$5,Xero!$E:$E,Heron!$A46)</f>
        <v/>
      </c>
      <c r="P46" s="101">
        <f>SUMIFS(Xero!$F:$F,Xero!$B:$B,Heron!P$9,Xero!$A:$A,Heron!$A$4,Xero!$E:$E,Heron!$A46)+SUMIFS(Xero!$F:$F,Xero!$B:$B,Heron!P$9,Xero!$A:$A,Heron!$A$5,Xero!$E:$E,Heron!$A46)</f>
        <v/>
      </c>
      <c r="Q46" s="101">
        <f>SUMIFS(Xero!$F:$F,Xero!$B:$B,Heron!Q$9,Xero!$A:$A,Heron!$A$4,Xero!$E:$E,Heron!$A46)+SUMIFS(Xero!$F:$F,Xero!$B:$B,Heron!Q$9,Xero!$A:$A,Heron!$A$5,Xero!$E:$E,Heron!$A46)</f>
        <v/>
      </c>
      <c r="R46" s="101">
        <f>SUMIFS(Xero!$F:$F,Xero!$B:$B,Heron!R$9,Xero!$A:$A,Heron!$A$4,Xero!$E:$E,Heron!$A46)+SUMIFS(Xero!$F:$F,Xero!$B:$B,Heron!R$9,Xero!$A:$A,Heron!$A$5,Xero!$E:$E,Heron!$A46)</f>
        <v/>
      </c>
      <c r="S46" s="101">
        <f>SUMIFS(Xero!$F:$F,Xero!$B:$B,Heron!S$9,Xero!$A:$A,Heron!$A$4,Xero!$E:$E,Heron!$A46)+SUMIFS(Xero!$F:$F,Xero!$B:$B,Heron!S$9,Xero!$A:$A,Heron!$A$5,Xero!$E:$E,Heron!$A46)</f>
        <v/>
      </c>
      <c r="T46" s="101">
        <f>SUMIFS(Xero!$F:$F,Xero!$B:$B,Heron!T$9,Xero!$A:$A,Heron!$A$4,Xero!$E:$E,Heron!$A46)+SUMIFS(Xero!$F:$F,Xero!$B:$B,Heron!T$9,Xero!$A:$A,Heron!$A$5,Xero!$E:$E,Heron!$A46)</f>
        <v/>
      </c>
      <c r="U46" s="101">
        <f>SUMIFS(Xero!$F:$F,Xero!$B:$B,Heron!U$9,Xero!$A:$A,Heron!$A$4,Xero!$E:$E,Heron!$A46)+SUMIFS(Xero!$F:$F,Xero!$B:$B,Heron!U$9,Xero!$A:$A,Heron!$A$5,Xero!$E:$E,Heron!$A46)</f>
        <v/>
      </c>
      <c r="V46" s="101">
        <f>SUMIFS(Xero!$F:$F,Xero!$B:$B,Heron!V$9,Xero!$A:$A,Heron!$A$4,Xero!$E:$E,Heron!$A46)+SUMIFS(Xero!$F:$F,Xero!$B:$B,Heron!V$9,Xero!$A:$A,Heron!$A$5,Xero!$E:$E,Heron!$A46)</f>
        <v/>
      </c>
      <c r="W46" s="101">
        <f>SUMIFS(Xero!$F:$F,Xero!$B:$B,Heron!W$9,Xero!$A:$A,Heron!$A$4,Xero!$E:$E,Heron!$A46)+SUMIFS(Xero!$F:$F,Xero!$B:$B,Heron!W$9,Xero!$A:$A,Heron!$A$5,Xero!$E:$E,Heron!$A46)</f>
        <v/>
      </c>
      <c r="X46" s="101">
        <f>SUMIFS(Xero!$F:$F,Xero!$B:$B,Heron!X$9,Xero!$A:$A,Heron!$A$4,Xero!$E:$E,Heron!$A46)+SUMIFS(Xero!$F:$F,Xero!$B:$B,Heron!X$9,Xero!$A:$A,Heron!$A$5,Xero!$E:$E,Heron!$A46)</f>
        <v/>
      </c>
      <c r="Y46" s="101">
        <f>SUMIFS(Xero!$F:$F,Xero!$B:$B,Heron!Y$9,Xero!$A:$A,Heron!$A$4,Xero!$E:$E,Heron!$A46)+SUMIFS(Xero!$F:$F,Xero!$B:$B,Heron!Y$9,Xero!$A:$A,Heron!$A$5,Xero!$E:$E,Heron!$A46)</f>
        <v/>
      </c>
      <c r="Z46" s="101">
        <f>SUMIFS(Xero!$F:$F,Xero!$B:$B,Heron!Z$9,Xero!$A:$A,Heron!$A$4,Xero!$E:$E,Heron!$A46)+SUMIFS(Xero!$F:$F,Xero!$B:$B,Heron!Z$9,Xero!$A:$A,Heron!$A$5,Xero!$E:$E,Heron!$A46)</f>
        <v/>
      </c>
      <c r="AA46" s="101">
        <f>SUMIFS(Xero!$F:$F,Xero!$B:$B,Heron!AA$9,Xero!$A:$A,Heron!$A$4,Xero!$E:$E,Heron!$A46)+SUMIFS(Xero!$F:$F,Xero!$B:$B,Heron!AA$9,Xero!$A:$A,Heron!$A$5,Xero!$E:$E,Heron!$A46)</f>
        <v/>
      </c>
      <c r="AB46" s="101">
        <f>SUMIFS(Xero!$F:$F,Xero!$B:$B,Heron!AB$9,Xero!$A:$A,Heron!$A$4,Xero!$E:$E,Heron!$A46)+SUMIFS(Xero!$F:$F,Xero!$B:$B,Heron!AB$9,Xero!$A:$A,Heron!$A$5,Xero!$E:$E,Heron!$A46)</f>
        <v/>
      </c>
      <c r="AC46" s="101">
        <f>SUMIFS(Xero!$F:$F,Xero!$B:$B,Heron!AC$9,Xero!$A:$A,Heron!$A$4,Xero!$E:$E,Heron!$A46)+SUMIFS(Xero!$F:$F,Xero!$B:$B,Heron!AC$9,Xero!$A:$A,Heron!$A$5,Xero!$E:$E,Heron!$A46)</f>
        <v/>
      </c>
      <c r="AD46" s="101">
        <f>SUMIFS(Xero!$F:$F,Xero!$B:$B,Heron!AD$9,Xero!$A:$A,Heron!$A$4,Xero!$E:$E,Heron!$A46)+SUMIFS(Xero!$F:$F,Xero!$B:$B,Heron!AD$9,Xero!$A:$A,Heron!$A$5,Xero!$E:$E,Heron!$A46)</f>
        <v/>
      </c>
      <c r="AE46" s="101">
        <f>SUMIFS(Xero!$F:$F,Xero!$B:$B,Heron!AE$9,Xero!$A:$A,Heron!$A$4,Xero!$E:$E,Heron!$A46)+SUMIFS(Xero!$F:$F,Xero!$B:$B,Heron!AE$9,Xero!$A:$A,Heron!$A$5,Xero!$E:$E,Heron!$A46)</f>
        <v/>
      </c>
      <c r="AF46" s="101">
        <f>SUMIFS(Xero!$F:$F,Xero!$B:$B,Heron!AF$9,Xero!$A:$A,Heron!$A$4,Xero!$E:$E,Heron!$A46)+SUMIFS(Xero!$F:$F,Xero!$B:$B,Heron!AF$9,Xero!$A:$A,Heron!$A$5,Xero!$E:$E,Heron!$A46)</f>
        <v/>
      </c>
      <c r="AG46" s="101">
        <f>SUMIFS(Xero!$F:$F,Xero!$B:$B,Heron!AG$9,Xero!$A:$A,Heron!$A$4,Xero!$E:$E,Heron!$A46)+SUMIFS(Xero!$F:$F,Xero!$B:$B,Heron!AG$9,Xero!$A:$A,Heron!$A$5,Xero!$E:$E,Heron!$A46)</f>
        <v/>
      </c>
      <c r="AH46" s="101">
        <f>SUMIFS(Xero!$F:$F,Xero!$B:$B,Heron!AH$9,Xero!$A:$A,Heron!$A$4,Xero!$E:$E,Heron!$A46)+SUMIFS(Xero!$F:$F,Xero!$B:$B,Heron!AH$9,Xero!$A:$A,Heron!$A$5,Xero!$E:$E,Heron!$A46)</f>
        <v/>
      </c>
      <c r="AI46" s="101">
        <f>SUMIFS(Xero!$F:$F,Xero!$B:$B,Heron!AI$9,Xero!$A:$A,Heron!$A$4,Xero!$E:$E,Heron!$A46)+SUMIFS(Xero!$F:$F,Xero!$B:$B,Heron!AI$9,Xero!$A:$A,Heron!$A$5,Xero!$E:$E,Heron!$A46)</f>
        <v/>
      </c>
      <c r="AJ46" s="101">
        <f>SUMIFS(Xero!$F:$F,Xero!$B:$B,Heron!AJ$9,Xero!$A:$A,Heron!$A$4,Xero!$E:$E,Heron!$A46)+SUMIFS(Xero!$F:$F,Xero!$B:$B,Heron!AJ$9,Xero!$A:$A,Heron!$A$5,Xero!$E:$E,Heron!$A46)</f>
        <v/>
      </c>
      <c r="AK46" s="101">
        <f>SUMIFS(Xero!$F:$F,Xero!$B:$B,Heron!AK$9,Xero!$A:$A,Heron!$A$4,Xero!$E:$E,Heron!$A46)+SUMIFS(Xero!$F:$F,Xero!$B:$B,Heron!AK$9,Xero!$A:$A,Heron!$A$5,Xero!$E:$E,Heron!$A46)</f>
        <v/>
      </c>
      <c r="AL46" s="101">
        <f>SUMIFS(Xero!$F:$F,Xero!$B:$B,Heron!AL$9,Xero!$A:$A,Heron!$A$4,Xero!$E:$E,Heron!$A46)+SUMIFS(Xero!$F:$F,Xero!$B:$B,Heron!AL$9,Xero!$A:$A,Heron!$A$5,Xero!$E:$E,Heron!$A46)</f>
        <v/>
      </c>
      <c r="AM46" s="101">
        <f>SUMIFS(Xero!$F:$F,Xero!$B:$B,Heron!AM$9,Xero!$A:$A,Heron!$A$4,Xero!$E:$E,Heron!$A46)+SUMIFS(Xero!$F:$F,Xero!$B:$B,Heron!AM$9,Xero!$A:$A,Heron!$A$5,Xero!$E:$E,Heron!$A46)</f>
        <v/>
      </c>
      <c r="AN46" s="101">
        <f>SUMIFS(Xero!$F:$F,Xero!$B:$B,Heron!AN$9,Xero!$A:$A,Heron!$A$4,Xero!$E:$E,Heron!$A46)+SUMIFS(Xero!$F:$F,Xero!$B:$B,Heron!AN$9,Xero!$A:$A,Heron!$A$5,Xero!$E:$E,Heron!$A46)</f>
        <v/>
      </c>
      <c r="AO46" s="101">
        <f>SUMIFS(Xero!$F:$F,Xero!$B:$B,Heron!AO$9,Xero!$A:$A,Heron!$A$4,Xero!$E:$E,Heron!$A46)+SUMIFS(Xero!$F:$F,Xero!$B:$B,Heron!AO$9,Xero!$A:$A,Heron!$A$5,Xero!$E:$E,Heron!$A46)</f>
        <v/>
      </c>
      <c r="AP46" s="101">
        <f>SUMIFS(Xero!$F:$F,Xero!$B:$B,Heron!AP$9,Xero!$A:$A,Heron!$A$4,Xero!$E:$E,Heron!$A46)+SUMIFS(Xero!$F:$F,Xero!$B:$B,Heron!AP$9,Xero!$A:$A,Heron!$A$5,Xero!$E:$E,Heron!$A46)</f>
        <v/>
      </c>
      <c r="AQ46" s="101">
        <f>SUMIFS(Xero!$F:$F,Xero!$B:$B,Heron!AQ$9,Xero!$A:$A,Heron!$A$4,Xero!$E:$E,Heron!$A46)+SUMIFS(Xero!$F:$F,Xero!$B:$B,Heron!AQ$9,Xero!$A:$A,Heron!$A$5,Xero!$E:$E,Heron!$A46)</f>
        <v/>
      </c>
      <c r="AR46" s="101">
        <f>SUMIFS(Xero!$F:$F,Xero!$B:$B,Heron!AR$9,Xero!$A:$A,Heron!$A$4,Xero!$E:$E,Heron!$A46)+SUMIFS(Xero!$F:$F,Xero!$B:$B,Heron!AR$9,Xero!$A:$A,Heron!$A$5,Xero!$E:$E,Heron!$A46)</f>
        <v/>
      </c>
      <c r="AS46" s="101">
        <f>SUMIFS(Xero!$F:$F,Xero!$B:$B,Heron!AS$9,Xero!$A:$A,Heron!$A$4,Xero!$E:$E,Heron!$A46)+SUMIFS(Xero!$F:$F,Xero!$B:$B,Heron!AS$9,Xero!$A:$A,Heron!$A$5,Xero!$E:$E,Heron!$A46)</f>
        <v/>
      </c>
      <c r="AT46" s="101">
        <f>SUMIFS(Xero!$F:$F,Xero!$B:$B,Heron!AT$9,Xero!$A:$A,Heron!$A$4,Xero!$E:$E,Heron!$A46)+SUMIFS(Xero!$F:$F,Xero!$B:$B,Heron!AT$9,Xero!$A:$A,Heron!$A$5,Xero!$E:$E,Heron!$A46)</f>
        <v/>
      </c>
      <c r="AU46" s="101">
        <f>SUMIFS(Xero!$F:$F,Xero!$B:$B,Heron!AU$9,Xero!$A:$A,Heron!$A$4,Xero!$E:$E,Heron!$A46)+SUMIFS(Xero!$F:$F,Xero!$B:$B,Heron!AU$9,Xero!$A:$A,Heron!$A$5,Xero!$E:$E,Heron!$A46)</f>
        <v/>
      </c>
      <c r="AV46" s="101">
        <f>SUMIFS(Xero!$F:$F,Xero!$B:$B,Heron!AV$9,Xero!$A:$A,Heron!$A$4,Xero!$E:$E,Heron!$A46)+SUMIFS(Xero!$F:$F,Xero!$B:$B,Heron!AV$9,Xero!$A:$A,Heron!$A$5,Xero!$E:$E,Heron!$A46)</f>
        <v/>
      </c>
      <c r="AW46" s="101">
        <f>SUMIFS(Xero!$F:$F,Xero!$B:$B,Heron!AW$9,Xero!$A:$A,Heron!$A$4,Xero!$E:$E,Heron!$A46)+SUMIFS(Xero!$F:$F,Xero!$B:$B,Heron!AW$9,Xero!$A:$A,Heron!$A$5,Xero!$E:$E,Heron!$A46)</f>
        <v/>
      </c>
      <c r="AX46" s="101">
        <f>SUMIFS(Xero!$F:$F,Xero!$B:$B,Heron!AX$9,Xero!$A:$A,Heron!$A$4,Xero!$E:$E,Heron!$A46)+SUMIFS(Xero!$F:$F,Xero!$B:$B,Heron!AX$9,Xero!$A:$A,Heron!$A$5,Xero!$E:$E,Heron!$A46)</f>
        <v/>
      </c>
      <c r="AY46" s="101">
        <f>SUMIFS(Xero!$F:$F,Xero!$B:$B,Heron!AY$9,Xero!$A:$A,Heron!$A$4,Xero!$E:$E,Heron!$A46)+SUMIFS(Xero!$F:$F,Xero!$B:$B,Heron!AY$9,Xero!$A:$A,Heron!$A$5,Xero!$E:$E,Heron!$A46)</f>
        <v/>
      </c>
      <c r="AZ46" s="101">
        <f>SUMIFS(Xero!$F:$F,Xero!$B:$B,Heron!AZ$9,Xero!$A:$A,Heron!$A$4,Xero!$E:$E,Heron!$A46)+SUMIFS(Xero!$F:$F,Xero!$B:$B,Heron!AZ$9,Xero!$A:$A,Heron!$A$5,Xero!$E:$E,Heron!$A46)</f>
        <v/>
      </c>
      <c r="BA46" s="101">
        <f>SUMIFS(Xero!$F:$F,Xero!$B:$B,Heron!BA$9,Xero!$A:$A,Heron!$A$4,Xero!$E:$E,Heron!$A46)+SUMIFS(Xero!$F:$F,Xero!$B:$B,Heron!BA$9,Xero!$A:$A,Heron!$A$5,Xero!$E:$E,Heron!$A46)</f>
        <v/>
      </c>
      <c r="BB46" s="101">
        <f>SUMIFS(Xero!$F:$F,Xero!$B:$B,Heron!BB$9,Xero!$A:$A,Heron!$A$4,Xero!$E:$E,Heron!$A46)+SUMIFS(Xero!$F:$F,Xero!$B:$B,Heron!BB$9,Xero!$A:$A,Heron!$A$5,Xero!$E:$E,Heron!$A46)</f>
        <v/>
      </c>
      <c r="BC46" s="101">
        <f>SUMIFS(Xero!$F:$F,Xero!$B:$B,Heron!BC$9,Xero!$A:$A,Heron!$A$4,Xero!$E:$E,Heron!$A46)+SUMIFS(Xero!$F:$F,Xero!$B:$B,Heron!BC$9,Xero!$A:$A,Heron!$A$5,Xero!$E:$E,Heron!$A46)</f>
        <v/>
      </c>
      <c r="BD46" s="101">
        <f>SUMIFS(Xero!$F:$F,Xero!$B:$B,Heron!BD$9,Xero!$A:$A,Heron!$A$4,Xero!$E:$E,Heron!$A46)+SUMIFS(Xero!$F:$F,Xero!$B:$B,Heron!BD$9,Xero!$A:$A,Heron!$A$5,Xero!$E:$E,Heron!$A46)</f>
        <v/>
      </c>
      <c r="BE46" s="101">
        <f>SUMIFS(Xero!$F:$F,Xero!$B:$B,Heron!BE$9,Xero!$A:$A,Heron!$A$4,Xero!$E:$E,Heron!$A46)+SUMIFS(Xero!$F:$F,Xero!$B:$B,Heron!BE$9,Xero!$A:$A,Heron!$A$5,Xero!$E:$E,Heron!$A46)</f>
        <v/>
      </c>
      <c r="BF46" s="101">
        <f>SUMIFS(Xero!$F:$F,Xero!$B:$B,Heron!BF$9,Xero!$A:$A,Heron!$A$4,Xero!$E:$E,Heron!$A46)+SUMIFS(Xero!$F:$F,Xero!$B:$B,Heron!BF$9,Xero!$A:$A,Heron!$A$5,Xero!$E:$E,Heron!$A46)</f>
        <v/>
      </c>
      <c r="BG46" s="101">
        <f>SUMIFS(Xero!$F:$F,Xero!$B:$B,Heron!BG$9,Xero!$A:$A,Heron!$A$4,Xero!$E:$E,Heron!$A46)+SUMIFS(Xero!$F:$F,Xero!$B:$B,Heron!BG$9,Xero!$A:$A,Heron!$A$5,Xero!$E:$E,Heron!$A46)</f>
        <v/>
      </c>
      <c r="BH46" s="101">
        <f>SUMIFS(Xero!$F:$F,Xero!$B:$B,Heron!BH$9,Xero!$A:$A,Heron!$A$4,Xero!$E:$E,Heron!$A46)+SUMIFS(Xero!$F:$F,Xero!$B:$B,Heron!BH$9,Xero!$A:$A,Heron!$A$5,Xero!$E:$E,Heron!$A46)</f>
        <v/>
      </c>
      <c r="BI46" s="101">
        <f>SUMIFS(Xero!$F:$F,Xero!$B:$B,Heron!BI$9,Xero!$A:$A,Heron!$A$4,Xero!$E:$E,Heron!$A46)+SUMIFS(Xero!$F:$F,Xero!$B:$B,Heron!BI$9,Xero!$A:$A,Heron!$A$5,Xero!$E:$E,Heron!$A46)</f>
        <v/>
      </c>
      <c r="BJ46" s="101">
        <f>SUMIFS(Xero!$F:$F,Xero!$B:$B,Heron!BJ$9,Xero!$A:$A,Heron!$A$4,Xero!$E:$E,Heron!$A46)+SUMIFS(Xero!$F:$F,Xero!$B:$B,Heron!BJ$9,Xero!$A:$A,Heron!$A$5,Xero!$E:$E,Heron!$A46)</f>
        <v/>
      </c>
      <c r="BK46" s="101">
        <f>sum(D46:BJ46)</f>
        <v/>
      </c>
    </row>
    <row r="47">
      <c r="A47" s="100" t="inlineStr">
        <is>
          <t>COS - Construction</t>
        </is>
      </c>
      <c r="D47" s="101">
        <f>SUMIFS(Xero!$F:$F,Xero!$B:$B,Heron!D$9,Xero!$A:$A,Heron!$A$4,Xero!$E:$E,Heron!$A47)+SUMIFS(Xero!$F:$F,Xero!$B:$B,Heron!D$9,Xero!$A:$A,Heron!$A$5,Xero!$E:$E,Heron!$A47)</f>
        <v/>
      </c>
      <c r="E47" s="101">
        <f>SUMIFS(Xero!$F:$F,Xero!$B:$B,Heron!E$9,Xero!$A:$A,Heron!$A$4,Xero!$E:$E,Heron!$A47)+SUMIFS(Xero!$F:$F,Xero!$B:$B,Heron!E$9,Xero!$A:$A,Heron!$A$5,Xero!$E:$E,Heron!$A47)</f>
        <v/>
      </c>
      <c r="F47" s="101">
        <f>SUMIFS(Xero!$F:$F,Xero!$B:$B,Heron!F$9,Xero!$A:$A,Heron!$A$4,Xero!$E:$E,Heron!$A47)+SUMIFS(Xero!$F:$F,Xero!$B:$B,Heron!F$9,Xero!$A:$A,Heron!$A$5,Xero!$E:$E,Heron!$A47)</f>
        <v/>
      </c>
      <c r="G47" s="101">
        <f>SUMIFS(Xero!$F:$F,Xero!$B:$B,Heron!G$9,Xero!$A:$A,Heron!$A$4,Xero!$E:$E,Heron!$A47)+SUMIFS(Xero!$F:$F,Xero!$B:$B,Heron!G$9,Xero!$A:$A,Heron!$A$5,Xero!$E:$E,Heron!$A47)</f>
        <v/>
      </c>
      <c r="H47" s="101">
        <f>SUMIFS(Xero!$F:$F,Xero!$B:$B,Heron!H$9,Xero!$A:$A,Heron!$A$4,Xero!$E:$E,Heron!$A47)+SUMIFS(Xero!$F:$F,Xero!$B:$B,Heron!H$9,Xero!$A:$A,Heron!$A$5,Xero!$E:$E,Heron!$A47)</f>
        <v/>
      </c>
      <c r="I47" s="101">
        <f>SUMIFS(Xero!$F:$F,Xero!$B:$B,Heron!I$9,Xero!$A:$A,Heron!$A$4,Xero!$E:$E,Heron!$A47)+SUMIFS(Xero!$F:$F,Xero!$B:$B,Heron!I$9,Xero!$A:$A,Heron!$A$5,Xero!$E:$E,Heron!$A47)</f>
        <v/>
      </c>
      <c r="J47" s="101">
        <f>SUMIFS(Xero!$F:$F,Xero!$B:$B,Heron!J$9,Xero!$A:$A,Heron!$A$4,Xero!$E:$E,Heron!$A47)+SUMIFS(Xero!$F:$F,Xero!$B:$B,Heron!J$9,Xero!$A:$A,Heron!$A$5,Xero!$E:$E,Heron!$A47)</f>
        <v/>
      </c>
      <c r="K47" s="101">
        <f>SUMIFS(Xero!$F:$F,Xero!$B:$B,Heron!K$9,Xero!$A:$A,Heron!$A$4,Xero!$E:$E,Heron!$A47)+SUMIFS(Xero!$F:$F,Xero!$B:$B,Heron!K$9,Xero!$A:$A,Heron!$A$5,Xero!$E:$E,Heron!$A47)</f>
        <v/>
      </c>
      <c r="L47" s="101">
        <f>SUMIFS(Xero!$F:$F,Xero!$B:$B,Heron!L$9,Xero!$A:$A,Heron!$A$4,Xero!$E:$E,Heron!$A47)+SUMIFS(Xero!$F:$F,Xero!$B:$B,Heron!L$9,Xero!$A:$A,Heron!$A$5,Xero!$E:$E,Heron!$A47)</f>
        <v/>
      </c>
      <c r="M47" s="101">
        <f>SUMIFS(Xero!$F:$F,Xero!$B:$B,Heron!M$9,Xero!$A:$A,Heron!$A$4,Xero!$E:$E,Heron!$A47)+SUMIFS(Xero!$F:$F,Xero!$B:$B,Heron!M$9,Xero!$A:$A,Heron!$A$5,Xero!$E:$E,Heron!$A47)</f>
        <v/>
      </c>
      <c r="N47" s="101">
        <f>SUMIFS(Xero!$F:$F,Xero!$B:$B,Heron!N$9,Xero!$A:$A,Heron!$A$4,Xero!$E:$E,Heron!$A47)+SUMIFS(Xero!$F:$F,Xero!$B:$B,Heron!N$9,Xero!$A:$A,Heron!$A$5,Xero!$E:$E,Heron!$A47)</f>
        <v/>
      </c>
      <c r="O47" s="101">
        <f>SUMIFS(Xero!$F:$F,Xero!$B:$B,Heron!O$9,Xero!$A:$A,Heron!$A$4,Xero!$E:$E,Heron!$A47)+SUMIFS(Xero!$F:$F,Xero!$B:$B,Heron!O$9,Xero!$A:$A,Heron!$A$5,Xero!$E:$E,Heron!$A47)</f>
        <v/>
      </c>
      <c r="P47" s="101">
        <f>SUMIFS(Xero!$F:$F,Xero!$B:$B,Heron!P$9,Xero!$A:$A,Heron!$A$4,Xero!$E:$E,Heron!$A47)+SUMIFS(Xero!$F:$F,Xero!$B:$B,Heron!P$9,Xero!$A:$A,Heron!$A$5,Xero!$E:$E,Heron!$A47)</f>
        <v/>
      </c>
      <c r="Q47" s="101">
        <f>SUMIFS(Xero!$F:$F,Xero!$B:$B,Heron!Q$9,Xero!$A:$A,Heron!$A$4,Xero!$E:$E,Heron!$A47)+SUMIFS(Xero!$F:$F,Xero!$B:$B,Heron!Q$9,Xero!$A:$A,Heron!$A$5,Xero!$E:$E,Heron!$A47)</f>
        <v/>
      </c>
      <c r="R47" s="101">
        <f>SUMIFS(Xero!$F:$F,Xero!$B:$B,Heron!R$9,Xero!$A:$A,Heron!$A$4,Xero!$E:$E,Heron!$A47)+SUMIFS(Xero!$F:$F,Xero!$B:$B,Heron!R$9,Xero!$A:$A,Heron!$A$5,Xero!$E:$E,Heron!$A47)</f>
        <v/>
      </c>
      <c r="S47" s="101">
        <f>SUMIFS(Xero!$F:$F,Xero!$B:$B,Heron!S$9,Xero!$A:$A,Heron!$A$4,Xero!$E:$E,Heron!$A47)+SUMIFS(Xero!$F:$F,Xero!$B:$B,Heron!S$9,Xero!$A:$A,Heron!$A$5,Xero!$E:$E,Heron!$A47)</f>
        <v/>
      </c>
      <c r="T47" s="101">
        <f>SUMIFS(Xero!$F:$F,Xero!$B:$B,Heron!T$9,Xero!$A:$A,Heron!$A$4,Xero!$E:$E,Heron!$A47)+SUMIFS(Xero!$F:$F,Xero!$B:$B,Heron!T$9,Xero!$A:$A,Heron!$A$5,Xero!$E:$E,Heron!$A47)</f>
        <v/>
      </c>
      <c r="U47" s="101">
        <f>SUMIFS(Xero!$F:$F,Xero!$B:$B,Heron!U$9,Xero!$A:$A,Heron!$A$4,Xero!$E:$E,Heron!$A47)+SUMIFS(Xero!$F:$F,Xero!$B:$B,Heron!U$9,Xero!$A:$A,Heron!$A$5,Xero!$E:$E,Heron!$A47)</f>
        <v/>
      </c>
      <c r="V47" s="101">
        <f>SUMIFS(Xero!$F:$F,Xero!$B:$B,Heron!V$9,Xero!$A:$A,Heron!$A$4,Xero!$E:$E,Heron!$A47)+SUMIFS(Xero!$F:$F,Xero!$B:$B,Heron!V$9,Xero!$A:$A,Heron!$A$5,Xero!$E:$E,Heron!$A47)</f>
        <v/>
      </c>
      <c r="W47" s="101">
        <f>SUMIFS(Xero!$F:$F,Xero!$B:$B,Heron!W$9,Xero!$A:$A,Heron!$A$4,Xero!$E:$E,Heron!$A47)+SUMIFS(Xero!$F:$F,Xero!$B:$B,Heron!W$9,Xero!$A:$A,Heron!$A$5,Xero!$E:$E,Heron!$A47)</f>
        <v/>
      </c>
      <c r="X47" s="101">
        <f>SUMIFS(Xero!$F:$F,Xero!$B:$B,Heron!X$9,Xero!$A:$A,Heron!$A$4,Xero!$E:$E,Heron!$A47)+SUMIFS(Xero!$F:$F,Xero!$B:$B,Heron!X$9,Xero!$A:$A,Heron!$A$5,Xero!$E:$E,Heron!$A47)</f>
        <v/>
      </c>
      <c r="Y47" s="101">
        <f>SUMIFS(Xero!$F:$F,Xero!$B:$B,Heron!Y$9,Xero!$A:$A,Heron!$A$4,Xero!$E:$E,Heron!$A47)+SUMIFS(Xero!$F:$F,Xero!$B:$B,Heron!Y$9,Xero!$A:$A,Heron!$A$5,Xero!$E:$E,Heron!$A47)</f>
        <v/>
      </c>
      <c r="Z47" s="101">
        <f>SUMIFS(Xero!$F:$F,Xero!$B:$B,Heron!Z$9,Xero!$A:$A,Heron!$A$4,Xero!$E:$E,Heron!$A47)+SUMIFS(Xero!$F:$F,Xero!$B:$B,Heron!Z$9,Xero!$A:$A,Heron!$A$5,Xero!$E:$E,Heron!$A47)</f>
        <v/>
      </c>
      <c r="AA47" s="101">
        <f>SUMIFS(Xero!$F:$F,Xero!$B:$B,Heron!AA$9,Xero!$A:$A,Heron!$A$4,Xero!$E:$E,Heron!$A47)+SUMIFS(Xero!$F:$F,Xero!$B:$B,Heron!AA$9,Xero!$A:$A,Heron!$A$5,Xero!$E:$E,Heron!$A47)</f>
        <v/>
      </c>
      <c r="AB47" s="101">
        <f>SUMIFS(Xero!$F:$F,Xero!$B:$B,Heron!AB$9,Xero!$A:$A,Heron!$A$4,Xero!$E:$E,Heron!$A47)+SUMIFS(Xero!$F:$F,Xero!$B:$B,Heron!AB$9,Xero!$A:$A,Heron!$A$5,Xero!$E:$E,Heron!$A47)</f>
        <v/>
      </c>
      <c r="AC47" s="101">
        <f>SUMIFS(Xero!$F:$F,Xero!$B:$B,Heron!AC$9,Xero!$A:$A,Heron!$A$4,Xero!$E:$E,Heron!$A47)+SUMIFS(Xero!$F:$F,Xero!$B:$B,Heron!AC$9,Xero!$A:$A,Heron!$A$5,Xero!$E:$E,Heron!$A47)</f>
        <v/>
      </c>
      <c r="AD47" s="101">
        <f>SUMIFS(Xero!$F:$F,Xero!$B:$B,Heron!AD$9,Xero!$A:$A,Heron!$A$4,Xero!$E:$E,Heron!$A47)+SUMIFS(Xero!$F:$F,Xero!$B:$B,Heron!AD$9,Xero!$A:$A,Heron!$A$5,Xero!$E:$E,Heron!$A47)</f>
        <v/>
      </c>
      <c r="AE47" s="101">
        <f>SUMIFS(Xero!$F:$F,Xero!$B:$B,Heron!AE$9,Xero!$A:$A,Heron!$A$4,Xero!$E:$E,Heron!$A47)+SUMIFS(Xero!$F:$F,Xero!$B:$B,Heron!AE$9,Xero!$A:$A,Heron!$A$5,Xero!$E:$E,Heron!$A47)</f>
        <v/>
      </c>
      <c r="AF47" s="101">
        <f>SUMIFS(Xero!$F:$F,Xero!$B:$B,Heron!AF$9,Xero!$A:$A,Heron!$A$4,Xero!$E:$E,Heron!$A47)+SUMIFS(Xero!$F:$F,Xero!$B:$B,Heron!AF$9,Xero!$A:$A,Heron!$A$5,Xero!$E:$E,Heron!$A47)</f>
        <v/>
      </c>
      <c r="AG47" s="101">
        <f>SUMIFS(Xero!$F:$F,Xero!$B:$B,Heron!AG$9,Xero!$A:$A,Heron!$A$4,Xero!$E:$E,Heron!$A47)+SUMIFS(Xero!$F:$F,Xero!$B:$B,Heron!AG$9,Xero!$A:$A,Heron!$A$5,Xero!$E:$E,Heron!$A47)</f>
        <v/>
      </c>
      <c r="AH47" s="101">
        <f>SUMIFS(Xero!$F:$F,Xero!$B:$B,Heron!AH$9,Xero!$A:$A,Heron!$A$4,Xero!$E:$E,Heron!$A47)+SUMIFS(Xero!$F:$F,Xero!$B:$B,Heron!AH$9,Xero!$A:$A,Heron!$A$5,Xero!$E:$E,Heron!$A47)</f>
        <v/>
      </c>
      <c r="AI47" s="101">
        <f>SUMIFS(Xero!$F:$F,Xero!$B:$B,Heron!AI$9,Xero!$A:$A,Heron!$A$4,Xero!$E:$E,Heron!$A47)+SUMIFS(Xero!$F:$F,Xero!$B:$B,Heron!AI$9,Xero!$A:$A,Heron!$A$5,Xero!$E:$E,Heron!$A47)</f>
        <v/>
      </c>
      <c r="AJ47" s="101">
        <f>SUMIFS(Xero!$F:$F,Xero!$B:$B,Heron!AJ$9,Xero!$A:$A,Heron!$A$4,Xero!$E:$E,Heron!$A47)+SUMIFS(Xero!$F:$F,Xero!$B:$B,Heron!AJ$9,Xero!$A:$A,Heron!$A$5,Xero!$E:$E,Heron!$A47)</f>
        <v/>
      </c>
      <c r="AK47" s="101">
        <f>SUMIFS(Xero!$F:$F,Xero!$B:$B,Heron!AK$9,Xero!$A:$A,Heron!$A$4,Xero!$E:$E,Heron!$A47)+SUMIFS(Xero!$F:$F,Xero!$B:$B,Heron!AK$9,Xero!$A:$A,Heron!$A$5,Xero!$E:$E,Heron!$A47)</f>
        <v/>
      </c>
      <c r="AL47" s="101">
        <f>SUMIFS(Xero!$F:$F,Xero!$B:$B,Heron!AL$9,Xero!$A:$A,Heron!$A$4,Xero!$E:$E,Heron!$A47)+SUMIFS(Xero!$F:$F,Xero!$B:$B,Heron!AL$9,Xero!$A:$A,Heron!$A$5,Xero!$E:$E,Heron!$A47)</f>
        <v/>
      </c>
      <c r="AM47" s="101">
        <f>SUMIFS(Xero!$F:$F,Xero!$B:$B,Heron!AM$9,Xero!$A:$A,Heron!$A$4,Xero!$E:$E,Heron!$A47)+SUMIFS(Xero!$F:$F,Xero!$B:$B,Heron!AM$9,Xero!$A:$A,Heron!$A$5,Xero!$E:$E,Heron!$A47)</f>
        <v/>
      </c>
      <c r="AN47" s="101">
        <f>SUMIFS(Xero!$F:$F,Xero!$B:$B,Heron!AN$9,Xero!$A:$A,Heron!$A$4,Xero!$E:$E,Heron!$A47)+SUMIFS(Xero!$F:$F,Xero!$B:$B,Heron!AN$9,Xero!$A:$A,Heron!$A$5,Xero!$E:$E,Heron!$A47)</f>
        <v/>
      </c>
      <c r="AO47" s="101">
        <f>SUMIFS(Xero!$F:$F,Xero!$B:$B,Heron!AO$9,Xero!$A:$A,Heron!$A$4,Xero!$E:$E,Heron!$A47)+SUMIFS(Xero!$F:$F,Xero!$B:$B,Heron!AO$9,Xero!$A:$A,Heron!$A$5,Xero!$E:$E,Heron!$A47)</f>
        <v/>
      </c>
      <c r="AP47" s="101">
        <f>SUMIFS(Xero!$F:$F,Xero!$B:$B,Heron!AP$9,Xero!$A:$A,Heron!$A$4,Xero!$E:$E,Heron!$A47)+SUMIFS(Xero!$F:$F,Xero!$B:$B,Heron!AP$9,Xero!$A:$A,Heron!$A$5,Xero!$E:$E,Heron!$A47)</f>
        <v/>
      </c>
      <c r="AQ47" s="101">
        <f>SUMIFS(Xero!$F:$F,Xero!$B:$B,Heron!AQ$9,Xero!$A:$A,Heron!$A$4,Xero!$E:$E,Heron!$A47)+SUMIFS(Xero!$F:$F,Xero!$B:$B,Heron!AQ$9,Xero!$A:$A,Heron!$A$5,Xero!$E:$E,Heron!$A47)</f>
        <v/>
      </c>
      <c r="AR47" s="101">
        <f>SUMIFS(Xero!$F:$F,Xero!$B:$B,Heron!AR$9,Xero!$A:$A,Heron!$A$4,Xero!$E:$E,Heron!$A47)+SUMIFS(Xero!$F:$F,Xero!$B:$B,Heron!AR$9,Xero!$A:$A,Heron!$A$5,Xero!$E:$E,Heron!$A47)</f>
        <v/>
      </c>
      <c r="AS47" s="101">
        <f>SUMIFS(Xero!$F:$F,Xero!$B:$B,Heron!AS$9,Xero!$A:$A,Heron!$A$4,Xero!$E:$E,Heron!$A47)+SUMIFS(Xero!$F:$F,Xero!$B:$B,Heron!AS$9,Xero!$A:$A,Heron!$A$5,Xero!$E:$E,Heron!$A47)</f>
        <v/>
      </c>
      <c r="AT47" s="101">
        <f>SUMIFS(Xero!$F:$F,Xero!$B:$B,Heron!AT$9,Xero!$A:$A,Heron!$A$4,Xero!$E:$E,Heron!$A47)+SUMIFS(Xero!$F:$F,Xero!$B:$B,Heron!AT$9,Xero!$A:$A,Heron!$A$5,Xero!$E:$E,Heron!$A47)</f>
        <v/>
      </c>
      <c r="AU47" s="101">
        <f>SUMIFS(Xero!$F:$F,Xero!$B:$B,Heron!AU$9,Xero!$A:$A,Heron!$A$4,Xero!$E:$E,Heron!$A47)+SUMIFS(Xero!$F:$F,Xero!$B:$B,Heron!AU$9,Xero!$A:$A,Heron!$A$5,Xero!$E:$E,Heron!$A47)</f>
        <v/>
      </c>
      <c r="AV47" s="101">
        <f>SUMIFS(Xero!$F:$F,Xero!$B:$B,Heron!AV$9,Xero!$A:$A,Heron!$A$4,Xero!$E:$E,Heron!$A47)+SUMIFS(Xero!$F:$F,Xero!$B:$B,Heron!AV$9,Xero!$A:$A,Heron!$A$5,Xero!$E:$E,Heron!$A47)</f>
        <v/>
      </c>
      <c r="AW47" s="101">
        <f>SUMIFS(Xero!$F:$F,Xero!$B:$B,Heron!AW$9,Xero!$A:$A,Heron!$A$4,Xero!$E:$E,Heron!$A47)+SUMIFS(Xero!$F:$F,Xero!$B:$B,Heron!AW$9,Xero!$A:$A,Heron!$A$5,Xero!$E:$E,Heron!$A47)</f>
        <v/>
      </c>
      <c r="AX47" s="101">
        <f>SUMIFS(Xero!$F:$F,Xero!$B:$B,Heron!AX$9,Xero!$A:$A,Heron!$A$4,Xero!$E:$E,Heron!$A47)+SUMIFS(Xero!$F:$F,Xero!$B:$B,Heron!AX$9,Xero!$A:$A,Heron!$A$5,Xero!$E:$E,Heron!$A47)</f>
        <v/>
      </c>
      <c r="AY47" s="101">
        <f>SUMIFS(Xero!$F:$F,Xero!$B:$B,Heron!AY$9,Xero!$A:$A,Heron!$A$4,Xero!$E:$E,Heron!$A47)+SUMIFS(Xero!$F:$F,Xero!$B:$B,Heron!AY$9,Xero!$A:$A,Heron!$A$5,Xero!$E:$E,Heron!$A47)</f>
        <v/>
      </c>
      <c r="AZ47" s="101">
        <f>SUMIFS(Xero!$F:$F,Xero!$B:$B,Heron!AZ$9,Xero!$A:$A,Heron!$A$4,Xero!$E:$E,Heron!$A47)+SUMIFS(Xero!$F:$F,Xero!$B:$B,Heron!AZ$9,Xero!$A:$A,Heron!$A$5,Xero!$E:$E,Heron!$A47)</f>
        <v/>
      </c>
      <c r="BA47" s="101">
        <f>SUMIFS(Xero!$F:$F,Xero!$B:$B,Heron!BA$9,Xero!$A:$A,Heron!$A$4,Xero!$E:$E,Heron!$A47)+SUMIFS(Xero!$F:$F,Xero!$B:$B,Heron!BA$9,Xero!$A:$A,Heron!$A$5,Xero!$E:$E,Heron!$A47)</f>
        <v/>
      </c>
      <c r="BB47" s="101">
        <f>SUMIFS(Xero!$F:$F,Xero!$B:$B,Heron!BB$9,Xero!$A:$A,Heron!$A$4,Xero!$E:$E,Heron!$A47)+SUMIFS(Xero!$F:$F,Xero!$B:$B,Heron!BB$9,Xero!$A:$A,Heron!$A$5,Xero!$E:$E,Heron!$A47)</f>
        <v/>
      </c>
      <c r="BC47" s="101">
        <f>SUMIFS(Xero!$F:$F,Xero!$B:$B,Heron!BC$9,Xero!$A:$A,Heron!$A$4,Xero!$E:$E,Heron!$A47)+SUMIFS(Xero!$F:$F,Xero!$B:$B,Heron!BC$9,Xero!$A:$A,Heron!$A$5,Xero!$E:$E,Heron!$A47)</f>
        <v/>
      </c>
      <c r="BD47" s="101">
        <f>SUMIFS(Xero!$F:$F,Xero!$B:$B,Heron!BD$9,Xero!$A:$A,Heron!$A$4,Xero!$E:$E,Heron!$A47)+SUMIFS(Xero!$F:$F,Xero!$B:$B,Heron!BD$9,Xero!$A:$A,Heron!$A$5,Xero!$E:$E,Heron!$A47)</f>
        <v/>
      </c>
      <c r="BE47" s="101">
        <f>SUMIFS(Xero!$F:$F,Xero!$B:$B,Heron!BE$9,Xero!$A:$A,Heron!$A$4,Xero!$E:$E,Heron!$A47)+SUMIFS(Xero!$F:$F,Xero!$B:$B,Heron!BE$9,Xero!$A:$A,Heron!$A$5,Xero!$E:$E,Heron!$A47)</f>
        <v/>
      </c>
      <c r="BF47" s="101">
        <f>SUMIFS(Xero!$F:$F,Xero!$B:$B,Heron!BF$9,Xero!$A:$A,Heron!$A$4,Xero!$E:$E,Heron!$A47)+SUMIFS(Xero!$F:$F,Xero!$B:$B,Heron!BF$9,Xero!$A:$A,Heron!$A$5,Xero!$E:$E,Heron!$A47)</f>
        <v/>
      </c>
      <c r="BG47" s="101">
        <f>SUMIFS(Xero!$F:$F,Xero!$B:$B,Heron!BG$9,Xero!$A:$A,Heron!$A$4,Xero!$E:$E,Heron!$A47)+SUMIFS(Xero!$F:$F,Xero!$B:$B,Heron!BG$9,Xero!$A:$A,Heron!$A$5,Xero!$E:$E,Heron!$A47)</f>
        <v/>
      </c>
      <c r="BH47" s="101">
        <f>SUMIFS(Xero!$F:$F,Xero!$B:$B,Heron!BH$9,Xero!$A:$A,Heron!$A$4,Xero!$E:$E,Heron!$A47)+SUMIFS(Xero!$F:$F,Xero!$B:$B,Heron!BH$9,Xero!$A:$A,Heron!$A$5,Xero!$E:$E,Heron!$A47)</f>
        <v/>
      </c>
      <c r="BI47" s="101">
        <f>SUMIFS(Xero!$F:$F,Xero!$B:$B,Heron!BI$9,Xero!$A:$A,Heron!$A$4,Xero!$E:$E,Heron!$A47)+SUMIFS(Xero!$F:$F,Xero!$B:$B,Heron!BI$9,Xero!$A:$A,Heron!$A$5,Xero!$E:$E,Heron!$A47)</f>
        <v/>
      </c>
      <c r="BJ47" s="101">
        <f>SUMIFS(Xero!$F:$F,Xero!$B:$B,Heron!BJ$9,Xero!$A:$A,Heron!$A$4,Xero!$E:$E,Heron!$A47)+SUMIFS(Xero!$F:$F,Xero!$B:$B,Heron!BJ$9,Xero!$A:$A,Heron!$A$5,Xero!$E:$E,Heron!$A47)</f>
        <v/>
      </c>
      <c r="BK47" s="101">
        <f>sum(D47:BJ47)</f>
        <v/>
      </c>
    </row>
    <row r="48">
      <c r="A48" s="100" t="inlineStr">
        <is>
          <t>COS - Electricity</t>
        </is>
      </c>
      <c r="D48" s="101">
        <f>SUMIFS(Xero!$F:$F,Xero!$B:$B,Heron!D$9,Xero!$A:$A,Heron!$A$4,Xero!$E:$E,Heron!$A48)+SUMIFS(Xero!$F:$F,Xero!$B:$B,Heron!D$9,Xero!$A:$A,Heron!$A$5,Xero!$E:$E,Heron!$A48)</f>
        <v/>
      </c>
      <c r="E48" s="101">
        <f>SUMIFS(Xero!$F:$F,Xero!$B:$B,Heron!E$9,Xero!$A:$A,Heron!$A$4,Xero!$E:$E,Heron!$A48)+SUMIFS(Xero!$F:$F,Xero!$B:$B,Heron!E$9,Xero!$A:$A,Heron!$A$5,Xero!$E:$E,Heron!$A48)</f>
        <v/>
      </c>
      <c r="F48" s="101">
        <f>SUMIFS(Xero!$F:$F,Xero!$B:$B,Heron!F$9,Xero!$A:$A,Heron!$A$4,Xero!$E:$E,Heron!$A48)+SUMIFS(Xero!$F:$F,Xero!$B:$B,Heron!F$9,Xero!$A:$A,Heron!$A$5,Xero!$E:$E,Heron!$A48)</f>
        <v/>
      </c>
      <c r="G48" s="101">
        <f>SUMIFS(Xero!$F:$F,Xero!$B:$B,Heron!G$9,Xero!$A:$A,Heron!$A$4,Xero!$E:$E,Heron!$A48)+SUMIFS(Xero!$F:$F,Xero!$B:$B,Heron!G$9,Xero!$A:$A,Heron!$A$5,Xero!$E:$E,Heron!$A48)</f>
        <v/>
      </c>
      <c r="H48" s="101">
        <f>SUMIFS(Xero!$F:$F,Xero!$B:$B,Heron!H$9,Xero!$A:$A,Heron!$A$4,Xero!$E:$E,Heron!$A48)+SUMIFS(Xero!$F:$F,Xero!$B:$B,Heron!H$9,Xero!$A:$A,Heron!$A$5,Xero!$E:$E,Heron!$A48)</f>
        <v/>
      </c>
      <c r="I48" s="101">
        <f>SUMIFS(Xero!$F:$F,Xero!$B:$B,Heron!I$9,Xero!$A:$A,Heron!$A$4,Xero!$E:$E,Heron!$A48)+SUMIFS(Xero!$F:$F,Xero!$B:$B,Heron!I$9,Xero!$A:$A,Heron!$A$5,Xero!$E:$E,Heron!$A48)</f>
        <v/>
      </c>
      <c r="J48" s="101">
        <f>SUMIFS(Xero!$F:$F,Xero!$B:$B,Heron!J$9,Xero!$A:$A,Heron!$A$4,Xero!$E:$E,Heron!$A48)+SUMIFS(Xero!$F:$F,Xero!$B:$B,Heron!J$9,Xero!$A:$A,Heron!$A$5,Xero!$E:$E,Heron!$A48)</f>
        <v/>
      </c>
      <c r="K48" s="101">
        <f>SUMIFS(Xero!$F:$F,Xero!$B:$B,Heron!K$9,Xero!$A:$A,Heron!$A$4,Xero!$E:$E,Heron!$A48)+SUMIFS(Xero!$F:$F,Xero!$B:$B,Heron!K$9,Xero!$A:$A,Heron!$A$5,Xero!$E:$E,Heron!$A48)</f>
        <v/>
      </c>
      <c r="L48" s="101">
        <f>SUMIFS(Xero!$F:$F,Xero!$B:$B,Heron!L$9,Xero!$A:$A,Heron!$A$4,Xero!$E:$E,Heron!$A48)+SUMIFS(Xero!$F:$F,Xero!$B:$B,Heron!L$9,Xero!$A:$A,Heron!$A$5,Xero!$E:$E,Heron!$A48)</f>
        <v/>
      </c>
      <c r="M48" s="101">
        <f>SUMIFS(Xero!$F:$F,Xero!$B:$B,Heron!M$9,Xero!$A:$A,Heron!$A$4,Xero!$E:$E,Heron!$A48)+SUMIFS(Xero!$F:$F,Xero!$B:$B,Heron!M$9,Xero!$A:$A,Heron!$A$5,Xero!$E:$E,Heron!$A48)</f>
        <v/>
      </c>
      <c r="N48" s="101">
        <f>SUMIFS(Xero!$F:$F,Xero!$B:$B,Heron!N$9,Xero!$A:$A,Heron!$A$4,Xero!$E:$E,Heron!$A48)+SUMIFS(Xero!$F:$F,Xero!$B:$B,Heron!N$9,Xero!$A:$A,Heron!$A$5,Xero!$E:$E,Heron!$A48)</f>
        <v/>
      </c>
      <c r="O48" s="101">
        <f>SUMIFS(Xero!$F:$F,Xero!$B:$B,Heron!O$9,Xero!$A:$A,Heron!$A$4,Xero!$E:$E,Heron!$A48)+SUMIFS(Xero!$F:$F,Xero!$B:$B,Heron!O$9,Xero!$A:$A,Heron!$A$5,Xero!$E:$E,Heron!$A48)</f>
        <v/>
      </c>
      <c r="P48" s="101">
        <f>SUMIFS(Xero!$F:$F,Xero!$B:$B,Heron!P$9,Xero!$A:$A,Heron!$A$4,Xero!$E:$E,Heron!$A48)+SUMIFS(Xero!$F:$F,Xero!$B:$B,Heron!P$9,Xero!$A:$A,Heron!$A$5,Xero!$E:$E,Heron!$A48)</f>
        <v/>
      </c>
      <c r="Q48" s="101">
        <f>SUMIFS(Xero!$F:$F,Xero!$B:$B,Heron!Q$9,Xero!$A:$A,Heron!$A$4,Xero!$E:$E,Heron!$A48)+SUMIFS(Xero!$F:$F,Xero!$B:$B,Heron!Q$9,Xero!$A:$A,Heron!$A$5,Xero!$E:$E,Heron!$A48)</f>
        <v/>
      </c>
      <c r="R48" s="101">
        <f>SUMIFS(Xero!$F:$F,Xero!$B:$B,Heron!R$9,Xero!$A:$A,Heron!$A$4,Xero!$E:$E,Heron!$A48)+SUMIFS(Xero!$F:$F,Xero!$B:$B,Heron!R$9,Xero!$A:$A,Heron!$A$5,Xero!$E:$E,Heron!$A48)</f>
        <v/>
      </c>
      <c r="S48" s="101">
        <f>SUMIFS(Xero!$F:$F,Xero!$B:$B,Heron!S$9,Xero!$A:$A,Heron!$A$4,Xero!$E:$E,Heron!$A48)+SUMIFS(Xero!$F:$F,Xero!$B:$B,Heron!S$9,Xero!$A:$A,Heron!$A$5,Xero!$E:$E,Heron!$A48)</f>
        <v/>
      </c>
      <c r="T48" s="101">
        <f>SUMIFS(Xero!$F:$F,Xero!$B:$B,Heron!T$9,Xero!$A:$A,Heron!$A$4,Xero!$E:$E,Heron!$A48)+SUMIFS(Xero!$F:$F,Xero!$B:$B,Heron!T$9,Xero!$A:$A,Heron!$A$5,Xero!$E:$E,Heron!$A48)</f>
        <v/>
      </c>
      <c r="U48" s="101">
        <f>SUMIFS(Xero!$F:$F,Xero!$B:$B,Heron!U$9,Xero!$A:$A,Heron!$A$4,Xero!$E:$E,Heron!$A48)+SUMIFS(Xero!$F:$F,Xero!$B:$B,Heron!U$9,Xero!$A:$A,Heron!$A$5,Xero!$E:$E,Heron!$A48)</f>
        <v/>
      </c>
      <c r="V48" s="101">
        <f>SUMIFS(Xero!$F:$F,Xero!$B:$B,Heron!V$9,Xero!$A:$A,Heron!$A$4,Xero!$E:$E,Heron!$A48)+SUMIFS(Xero!$F:$F,Xero!$B:$B,Heron!V$9,Xero!$A:$A,Heron!$A$5,Xero!$E:$E,Heron!$A48)</f>
        <v/>
      </c>
      <c r="W48" s="101">
        <f>SUMIFS(Xero!$F:$F,Xero!$B:$B,Heron!W$9,Xero!$A:$A,Heron!$A$4,Xero!$E:$E,Heron!$A48)+SUMIFS(Xero!$F:$F,Xero!$B:$B,Heron!W$9,Xero!$A:$A,Heron!$A$5,Xero!$E:$E,Heron!$A48)</f>
        <v/>
      </c>
      <c r="X48" s="101">
        <f>SUMIFS(Xero!$F:$F,Xero!$B:$B,Heron!X$9,Xero!$A:$A,Heron!$A$4,Xero!$E:$E,Heron!$A48)+SUMIFS(Xero!$F:$F,Xero!$B:$B,Heron!X$9,Xero!$A:$A,Heron!$A$5,Xero!$E:$E,Heron!$A48)</f>
        <v/>
      </c>
      <c r="Y48" s="101">
        <f>SUMIFS(Xero!$F:$F,Xero!$B:$B,Heron!Y$9,Xero!$A:$A,Heron!$A$4,Xero!$E:$E,Heron!$A48)+SUMIFS(Xero!$F:$F,Xero!$B:$B,Heron!Y$9,Xero!$A:$A,Heron!$A$5,Xero!$E:$E,Heron!$A48)</f>
        <v/>
      </c>
      <c r="Z48" s="101">
        <f>SUMIFS(Xero!$F:$F,Xero!$B:$B,Heron!Z$9,Xero!$A:$A,Heron!$A$4,Xero!$E:$E,Heron!$A48)+SUMIFS(Xero!$F:$F,Xero!$B:$B,Heron!Z$9,Xero!$A:$A,Heron!$A$5,Xero!$E:$E,Heron!$A48)</f>
        <v/>
      </c>
      <c r="AA48" s="101">
        <f>SUMIFS(Xero!$F:$F,Xero!$B:$B,Heron!AA$9,Xero!$A:$A,Heron!$A$4,Xero!$E:$E,Heron!$A48)+SUMIFS(Xero!$F:$F,Xero!$B:$B,Heron!AA$9,Xero!$A:$A,Heron!$A$5,Xero!$E:$E,Heron!$A48)</f>
        <v/>
      </c>
      <c r="AB48" s="101">
        <f>SUMIFS(Xero!$F:$F,Xero!$B:$B,Heron!AB$9,Xero!$A:$A,Heron!$A$4,Xero!$E:$E,Heron!$A48)+SUMIFS(Xero!$F:$F,Xero!$B:$B,Heron!AB$9,Xero!$A:$A,Heron!$A$5,Xero!$E:$E,Heron!$A48)</f>
        <v/>
      </c>
      <c r="AC48" s="101">
        <f>SUMIFS(Xero!$F:$F,Xero!$B:$B,Heron!AC$9,Xero!$A:$A,Heron!$A$4,Xero!$E:$E,Heron!$A48)+SUMIFS(Xero!$F:$F,Xero!$B:$B,Heron!AC$9,Xero!$A:$A,Heron!$A$5,Xero!$E:$E,Heron!$A48)</f>
        <v/>
      </c>
      <c r="AD48" s="101">
        <f>SUMIFS(Xero!$F:$F,Xero!$B:$B,Heron!AD$9,Xero!$A:$A,Heron!$A$4,Xero!$E:$E,Heron!$A48)+SUMIFS(Xero!$F:$F,Xero!$B:$B,Heron!AD$9,Xero!$A:$A,Heron!$A$5,Xero!$E:$E,Heron!$A48)</f>
        <v/>
      </c>
      <c r="AE48" s="101">
        <f>SUMIFS(Xero!$F:$F,Xero!$B:$B,Heron!AE$9,Xero!$A:$A,Heron!$A$4,Xero!$E:$E,Heron!$A48)+SUMIFS(Xero!$F:$F,Xero!$B:$B,Heron!AE$9,Xero!$A:$A,Heron!$A$5,Xero!$E:$E,Heron!$A48)</f>
        <v/>
      </c>
      <c r="AF48" s="101">
        <f>SUMIFS(Xero!$F:$F,Xero!$B:$B,Heron!AF$9,Xero!$A:$A,Heron!$A$4,Xero!$E:$E,Heron!$A48)+SUMIFS(Xero!$F:$F,Xero!$B:$B,Heron!AF$9,Xero!$A:$A,Heron!$A$5,Xero!$E:$E,Heron!$A48)</f>
        <v/>
      </c>
      <c r="AG48" s="101">
        <f>SUMIFS(Xero!$F:$F,Xero!$B:$B,Heron!AG$9,Xero!$A:$A,Heron!$A$4,Xero!$E:$E,Heron!$A48)+SUMIFS(Xero!$F:$F,Xero!$B:$B,Heron!AG$9,Xero!$A:$A,Heron!$A$5,Xero!$E:$E,Heron!$A48)</f>
        <v/>
      </c>
      <c r="AH48" s="101">
        <f>SUMIFS(Xero!$F:$F,Xero!$B:$B,Heron!AH$9,Xero!$A:$A,Heron!$A$4,Xero!$E:$E,Heron!$A48)+SUMIFS(Xero!$F:$F,Xero!$B:$B,Heron!AH$9,Xero!$A:$A,Heron!$A$5,Xero!$E:$E,Heron!$A48)</f>
        <v/>
      </c>
      <c r="AI48" s="101">
        <f>SUMIFS(Xero!$F:$F,Xero!$B:$B,Heron!AI$9,Xero!$A:$A,Heron!$A$4,Xero!$E:$E,Heron!$A48)+SUMIFS(Xero!$F:$F,Xero!$B:$B,Heron!AI$9,Xero!$A:$A,Heron!$A$5,Xero!$E:$E,Heron!$A48)</f>
        <v/>
      </c>
      <c r="AJ48" s="101">
        <f>SUMIFS(Xero!$F:$F,Xero!$B:$B,Heron!AJ$9,Xero!$A:$A,Heron!$A$4,Xero!$E:$E,Heron!$A48)+SUMIFS(Xero!$F:$F,Xero!$B:$B,Heron!AJ$9,Xero!$A:$A,Heron!$A$5,Xero!$E:$E,Heron!$A48)</f>
        <v/>
      </c>
      <c r="AK48" s="101">
        <f>SUMIFS(Xero!$F:$F,Xero!$B:$B,Heron!AK$9,Xero!$A:$A,Heron!$A$4,Xero!$E:$E,Heron!$A48)+SUMIFS(Xero!$F:$F,Xero!$B:$B,Heron!AK$9,Xero!$A:$A,Heron!$A$5,Xero!$E:$E,Heron!$A48)</f>
        <v/>
      </c>
      <c r="AL48" s="101">
        <f>SUMIFS(Xero!$F:$F,Xero!$B:$B,Heron!AL$9,Xero!$A:$A,Heron!$A$4,Xero!$E:$E,Heron!$A48)+SUMIFS(Xero!$F:$F,Xero!$B:$B,Heron!AL$9,Xero!$A:$A,Heron!$A$5,Xero!$E:$E,Heron!$A48)</f>
        <v/>
      </c>
      <c r="AM48" s="101">
        <f>SUMIFS(Xero!$F:$F,Xero!$B:$B,Heron!AM$9,Xero!$A:$A,Heron!$A$4,Xero!$E:$E,Heron!$A48)+SUMIFS(Xero!$F:$F,Xero!$B:$B,Heron!AM$9,Xero!$A:$A,Heron!$A$5,Xero!$E:$E,Heron!$A48)</f>
        <v/>
      </c>
      <c r="AN48" s="101">
        <f>SUMIFS(Xero!$F:$F,Xero!$B:$B,Heron!AN$9,Xero!$A:$A,Heron!$A$4,Xero!$E:$E,Heron!$A48)+SUMIFS(Xero!$F:$F,Xero!$B:$B,Heron!AN$9,Xero!$A:$A,Heron!$A$5,Xero!$E:$E,Heron!$A48)</f>
        <v/>
      </c>
      <c r="AO48" s="101">
        <f>SUMIFS(Xero!$F:$F,Xero!$B:$B,Heron!AO$9,Xero!$A:$A,Heron!$A$4,Xero!$E:$E,Heron!$A48)+SUMIFS(Xero!$F:$F,Xero!$B:$B,Heron!AO$9,Xero!$A:$A,Heron!$A$5,Xero!$E:$E,Heron!$A48)</f>
        <v/>
      </c>
      <c r="AP48" s="101">
        <f>SUMIFS(Xero!$F:$F,Xero!$B:$B,Heron!AP$9,Xero!$A:$A,Heron!$A$4,Xero!$E:$E,Heron!$A48)+SUMIFS(Xero!$F:$F,Xero!$B:$B,Heron!AP$9,Xero!$A:$A,Heron!$A$5,Xero!$E:$E,Heron!$A48)</f>
        <v/>
      </c>
      <c r="AQ48" s="101">
        <f>SUMIFS(Xero!$F:$F,Xero!$B:$B,Heron!AQ$9,Xero!$A:$A,Heron!$A$4,Xero!$E:$E,Heron!$A48)+SUMIFS(Xero!$F:$F,Xero!$B:$B,Heron!AQ$9,Xero!$A:$A,Heron!$A$5,Xero!$E:$E,Heron!$A48)</f>
        <v/>
      </c>
      <c r="AR48" s="101">
        <f>SUMIFS(Xero!$F:$F,Xero!$B:$B,Heron!AR$9,Xero!$A:$A,Heron!$A$4,Xero!$E:$E,Heron!$A48)+SUMIFS(Xero!$F:$F,Xero!$B:$B,Heron!AR$9,Xero!$A:$A,Heron!$A$5,Xero!$E:$E,Heron!$A48)</f>
        <v/>
      </c>
      <c r="AS48" s="101">
        <f>SUMIFS(Xero!$F:$F,Xero!$B:$B,Heron!AS$9,Xero!$A:$A,Heron!$A$4,Xero!$E:$E,Heron!$A48)+SUMIFS(Xero!$F:$F,Xero!$B:$B,Heron!AS$9,Xero!$A:$A,Heron!$A$5,Xero!$E:$E,Heron!$A48)</f>
        <v/>
      </c>
      <c r="AT48" s="101">
        <f>SUMIFS(Xero!$F:$F,Xero!$B:$B,Heron!AT$9,Xero!$A:$A,Heron!$A$4,Xero!$E:$E,Heron!$A48)+SUMIFS(Xero!$F:$F,Xero!$B:$B,Heron!AT$9,Xero!$A:$A,Heron!$A$5,Xero!$E:$E,Heron!$A48)</f>
        <v/>
      </c>
      <c r="AU48" s="101">
        <f>SUMIFS(Xero!$F:$F,Xero!$B:$B,Heron!AU$9,Xero!$A:$A,Heron!$A$4,Xero!$E:$E,Heron!$A48)+SUMIFS(Xero!$F:$F,Xero!$B:$B,Heron!AU$9,Xero!$A:$A,Heron!$A$5,Xero!$E:$E,Heron!$A48)</f>
        <v/>
      </c>
      <c r="AV48" s="101">
        <f>SUMIFS(Xero!$F:$F,Xero!$B:$B,Heron!AV$9,Xero!$A:$A,Heron!$A$4,Xero!$E:$E,Heron!$A48)+SUMIFS(Xero!$F:$F,Xero!$B:$B,Heron!AV$9,Xero!$A:$A,Heron!$A$5,Xero!$E:$E,Heron!$A48)</f>
        <v/>
      </c>
      <c r="AW48" s="101">
        <f>SUMIFS(Xero!$F:$F,Xero!$B:$B,Heron!AW$9,Xero!$A:$A,Heron!$A$4,Xero!$E:$E,Heron!$A48)+SUMIFS(Xero!$F:$F,Xero!$B:$B,Heron!AW$9,Xero!$A:$A,Heron!$A$5,Xero!$E:$E,Heron!$A48)</f>
        <v/>
      </c>
      <c r="AX48" s="101">
        <f>SUMIFS(Xero!$F:$F,Xero!$B:$B,Heron!AX$9,Xero!$A:$A,Heron!$A$4,Xero!$E:$E,Heron!$A48)+SUMIFS(Xero!$F:$F,Xero!$B:$B,Heron!AX$9,Xero!$A:$A,Heron!$A$5,Xero!$E:$E,Heron!$A48)</f>
        <v/>
      </c>
      <c r="AY48" s="101">
        <f>SUMIFS(Xero!$F:$F,Xero!$B:$B,Heron!AY$9,Xero!$A:$A,Heron!$A$4,Xero!$E:$E,Heron!$A48)+SUMIFS(Xero!$F:$F,Xero!$B:$B,Heron!AY$9,Xero!$A:$A,Heron!$A$5,Xero!$E:$E,Heron!$A48)</f>
        <v/>
      </c>
      <c r="AZ48" s="101">
        <f>SUMIFS(Xero!$F:$F,Xero!$B:$B,Heron!AZ$9,Xero!$A:$A,Heron!$A$4,Xero!$E:$E,Heron!$A48)+SUMIFS(Xero!$F:$F,Xero!$B:$B,Heron!AZ$9,Xero!$A:$A,Heron!$A$5,Xero!$E:$E,Heron!$A48)</f>
        <v/>
      </c>
      <c r="BA48" s="101">
        <f>SUMIFS(Xero!$F:$F,Xero!$B:$B,Heron!BA$9,Xero!$A:$A,Heron!$A$4,Xero!$E:$E,Heron!$A48)+SUMIFS(Xero!$F:$F,Xero!$B:$B,Heron!BA$9,Xero!$A:$A,Heron!$A$5,Xero!$E:$E,Heron!$A48)</f>
        <v/>
      </c>
      <c r="BB48" s="101">
        <f>SUMIFS(Xero!$F:$F,Xero!$B:$B,Heron!BB$9,Xero!$A:$A,Heron!$A$4,Xero!$E:$E,Heron!$A48)+SUMIFS(Xero!$F:$F,Xero!$B:$B,Heron!BB$9,Xero!$A:$A,Heron!$A$5,Xero!$E:$E,Heron!$A48)</f>
        <v/>
      </c>
      <c r="BC48" s="101">
        <f>SUMIFS(Xero!$F:$F,Xero!$B:$B,Heron!BC$9,Xero!$A:$A,Heron!$A$4,Xero!$E:$E,Heron!$A48)+SUMIFS(Xero!$F:$F,Xero!$B:$B,Heron!BC$9,Xero!$A:$A,Heron!$A$5,Xero!$E:$E,Heron!$A48)</f>
        <v/>
      </c>
      <c r="BD48" s="101">
        <f>SUMIFS(Xero!$F:$F,Xero!$B:$B,Heron!BD$9,Xero!$A:$A,Heron!$A$4,Xero!$E:$E,Heron!$A48)+SUMIFS(Xero!$F:$F,Xero!$B:$B,Heron!BD$9,Xero!$A:$A,Heron!$A$5,Xero!$E:$E,Heron!$A48)</f>
        <v/>
      </c>
      <c r="BE48" s="101">
        <f>SUMIFS(Xero!$F:$F,Xero!$B:$B,Heron!BE$9,Xero!$A:$A,Heron!$A$4,Xero!$E:$E,Heron!$A48)+SUMIFS(Xero!$F:$F,Xero!$B:$B,Heron!BE$9,Xero!$A:$A,Heron!$A$5,Xero!$E:$E,Heron!$A48)</f>
        <v/>
      </c>
      <c r="BF48" s="101">
        <f>SUMIFS(Xero!$F:$F,Xero!$B:$B,Heron!BF$9,Xero!$A:$A,Heron!$A$4,Xero!$E:$E,Heron!$A48)+SUMIFS(Xero!$F:$F,Xero!$B:$B,Heron!BF$9,Xero!$A:$A,Heron!$A$5,Xero!$E:$E,Heron!$A48)</f>
        <v/>
      </c>
      <c r="BG48" s="101">
        <f>SUMIFS(Xero!$F:$F,Xero!$B:$B,Heron!BG$9,Xero!$A:$A,Heron!$A$4,Xero!$E:$E,Heron!$A48)+SUMIFS(Xero!$F:$F,Xero!$B:$B,Heron!BG$9,Xero!$A:$A,Heron!$A$5,Xero!$E:$E,Heron!$A48)</f>
        <v/>
      </c>
      <c r="BH48" s="101">
        <f>SUMIFS(Xero!$F:$F,Xero!$B:$B,Heron!BH$9,Xero!$A:$A,Heron!$A$4,Xero!$E:$E,Heron!$A48)+SUMIFS(Xero!$F:$F,Xero!$B:$B,Heron!BH$9,Xero!$A:$A,Heron!$A$5,Xero!$E:$E,Heron!$A48)</f>
        <v/>
      </c>
      <c r="BI48" s="101">
        <f>SUMIFS(Xero!$F:$F,Xero!$B:$B,Heron!BI$9,Xero!$A:$A,Heron!$A$4,Xero!$E:$E,Heron!$A48)+SUMIFS(Xero!$F:$F,Xero!$B:$B,Heron!BI$9,Xero!$A:$A,Heron!$A$5,Xero!$E:$E,Heron!$A48)</f>
        <v/>
      </c>
      <c r="BJ48" s="101">
        <f>SUMIFS(Xero!$F:$F,Xero!$B:$B,Heron!BJ$9,Xero!$A:$A,Heron!$A$4,Xero!$E:$E,Heron!$A48)+SUMIFS(Xero!$F:$F,Xero!$B:$B,Heron!BJ$9,Xero!$A:$A,Heron!$A$5,Xero!$E:$E,Heron!$A48)</f>
        <v/>
      </c>
      <c r="BK48" s="101">
        <f>sum(D48:BJ48)</f>
        <v/>
      </c>
    </row>
    <row r="49">
      <c r="A49" s="100" t="inlineStr">
        <is>
          <t>COS - HV COCT Rates clearance</t>
        </is>
      </c>
      <c r="D49" s="101">
        <f>SUMIFS(Xero!$F:$F,Xero!$B:$B,Heron!D$9,Xero!$A:$A,Heron!$A$4,Xero!$E:$E,Heron!$A49)+SUMIFS(Xero!$F:$F,Xero!$B:$B,Heron!D$9,Xero!$A:$A,Heron!$A$5,Xero!$E:$E,Heron!$A49)</f>
        <v/>
      </c>
      <c r="E49" s="101">
        <f>SUMIFS(Xero!$F:$F,Xero!$B:$B,Heron!E$9,Xero!$A:$A,Heron!$A$4,Xero!$E:$E,Heron!$A49)+SUMIFS(Xero!$F:$F,Xero!$B:$B,Heron!E$9,Xero!$A:$A,Heron!$A$5,Xero!$E:$E,Heron!$A49)</f>
        <v/>
      </c>
      <c r="F49" s="101">
        <f>SUMIFS(Xero!$F:$F,Xero!$B:$B,Heron!F$9,Xero!$A:$A,Heron!$A$4,Xero!$E:$E,Heron!$A49)+SUMIFS(Xero!$F:$F,Xero!$B:$B,Heron!F$9,Xero!$A:$A,Heron!$A$5,Xero!$E:$E,Heron!$A49)</f>
        <v/>
      </c>
      <c r="G49" s="101">
        <f>SUMIFS(Xero!$F:$F,Xero!$B:$B,Heron!G$9,Xero!$A:$A,Heron!$A$4,Xero!$E:$E,Heron!$A49)+SUMIFS(Xero!$F:$F,Xero!$B:$B,Heron!G$9,Xero!$A:$A,Heron!$A$5,Xero!$E:$E,Heron!$A49)</f>
        <v/>
      </c>
      <c r="H49" s="101">
        <f>SUMIFS(Xero!$F:$F,Xero!$B:$B,Heron!H$9,Xero!$A:$A,Heron!$A$4,Xero!$E:$E,Heron!$A49)+SUMIFS(Xero!$F:$F,Xero!$B:$B,Heron!H$9,Xero!$A:$A,Heron!$A$5,Xero!$E:$E,Heron!$A49)</f>
        <v/>
      </c>
      <c r="I49" s="101">
        <f>SUMIFS(Xero!$F:$F,Xero!$B:$B,Heron!I$9,Xero!$A:$A,Heron!$A$4,Xero!$E:$E,Heron!$A49)+SUMIFS(Xero!$F:$F,Xero!$B:$B,Heron!I$9,Xero!$A:$A,Heron!$A$5,Xero!$E:$E,Heron!$A49)</f>
        <v/>
      </c>
      <c r="J49" s="101">
        <f>SUMIFS(Xero!$F:$F,Xero!$B:$B,Heron!J$9,Xero!$A:$A,Heron!$A$4,Xero!$E:$E,Heron!$A49)+SUMIFS(Xero!$F:$F,Xero!$B:$B,Heron!J$9,Xero!$A:$A,Heron!$A$5,Xero!$E:$E,Heron!$A49)</f>
        <v/>
      </c>
      <c r="K49" s="101">
        <f>SUMIFS(Xero!$F:$F,Xero!$B:$B,Heron!K$9,Xero!$A:$A,Heron!$A$4,Xero!$E:$E,Heron!$A49)+SUMIFS(Xero!$F:$F,Xero!$B:$B,Heron!K$9,Xero!$A:$A,Heron!$A$5,Xero!$E:$E,Heron!$A49)</f>
        <v/>
      </c>
      <c r="L49" s="101">
        <f>SUMIFS(Xero!$F:$F,Xero!$B:$B,Heron!L$9,Xero!$A:$A,Heron!$A$4,Xero!$E:$E,Heron!$A49)+SUMIFS(Xero!$F:$F,Xero!$B:$B,Heron!L$9,Xero!$A:$A,Heron!$A$5,Xero!$E:$E,Heron!$A49)</f>
        <v/>
      </c>
      <c r="M49" s="101">
        <f>SUMIFS(Xero!$F:$F,Xero!$B:$B,Heron!M$9,Xero!$A:$A,Heron!$A$4,Xero!$E:$E,Heron!$A49)+SUMIFS(Xero!$F:$F,Xero!$B:$B,Heron!M$9,Xero!$A:$A,Heron!$A$5,Xero!$E:$E,Heron!$A49)</f>
        <v/>
      </c>
      <c r="N49" s="101">
        <f>SUMIFS(Xero!$F:$F,Xero!$B:$B,Heron!N$9,Xero!$A:$A,Heron!$A$4,Xero!$E:$E,Heron!$A49)+SUMIFS(Xero!$F:$F,Xero!$B:$B,Heron!N$9,Xero!$A:$A,Heron!$A$5,Xero!$E:$E,Heron!$A49)</f>
        <v/>
      </c>
      <c r="O49" s="101">
        <f>SUMIFS(Xero!$F:$F,Xero!$B:$B,Heron!O$9,Xero!$A:$A,Heron!$A$4,Xero!$E:$E,Heron!$A49)+SUMIFS(Xero!$F:$F,Xero!$B:$B,Heron!O$9,Xero!$A:$A,Heron!$A$5,Xero!$E:$E,Heron!$A49)</f>
        <v/>
      </c>
      <c r="P49" s="101">
        <f>SUMIFS(Xero!$F:$F,Xero!$B:$B,Heron!P$9,Xero!$A:$A,Heron!$A$4,Xero!$E:$E,Heron!$A49)+SUMIFS(Xero!$F:$F,Xero!$B:$B,Heron!P$9,Xero!$A:$A,Heron!$A$5,Xero!$E:$E,Heron!$A49)</f>
        <v/>
      </c>
      <c r="Q49" s="101">
        <f>SUMIFS(Xero!$F:$F,Xero!$B:$B,Heron!Q$9,Xero!$A:$A,Heron!$A$4,Xero!$E:$E,Heron!$A49)+SUMIFS(Xero!$F:$F,Xero!$B:$B,Heron!Q$9,Xero!$A:$A,Heron!$A$5,Xero!$E:$E,Heron!$A49)</f>
        <v/>
      </c>
      <c r="R49" s="101">
        <f>SUMIFS(Xero!$F:$F,Xero!$B:$B,Heron!R$9,Xero!$A:$A,Heron!$A$4,Xero!$E:$E,Heron!$A49)+SUMIFS(Xero!$F:$F,Xero!$B:$B,Heron!R$9,Xero!$A:$A,Heron!$A$5,Xero!$E:$E,Heron!$A49)</f>
        <v/>
      </c>
      <c r="S49" s="101">
        <f>SUMIFS(Xero!$F:$F,Xero!$B:$B,Heron!S$9,Xero!$A:$A,Heron!$A$4,Xero!$E:$E,Heron!$A49)+SUMIFS(Xero!$F:$F,Xero!$B:$B,Heron!S$9,Xero!$A:$A,Heron!$A$5,Xero!$E:$E,Heron!$A49)</f>
        <v/>
      </c>
      <c r="T49" s="101">
        <f>SUMIFS(Xero!$F:$F,Xero!$B:$B,Heron!T$9,Xero!$A:$A,Heron!$A$4,Xero!$E:$E,Heron!$A49)+SUMIFS(Xero!$F:$F,Xero!$B:$B,Heron!T$9,Xero!$A:$A,Heron!$A$5,Xero!$E:$E,Heron!$A49)</f>
        <v/>
      </c>
      <c r="U49" s="101">
        <f>SUMIFS(Xero!$F:$F,Xero!$B:$B,Heron!U$9,Xero!$A:$A,Heron!$A$4,Xero!$E:$E,Heron!$A49)+SUMIFS(Xero!$F:$F,Xero!$B:$B,Heron!U$9,Xero!$A:$A,Heron!$A$5,Xero!$E:$E,Heron!$A49)</f>
        <v/>
      </c>
      <c r="V49" s="101">
        <f>SUMIFS(Xero!$F:$F,Xero!$B:$B,Heron!V$9,Xero!$A:$A,Heron!$A$4,Xero!$E:$E,Heron!$A49)+SUMIFS(Xero!$F:$F,Xero!$B:$B,Heron!V$9,Xero!$A:$A,Heron!$A$5,Xero!$E:$E,Heron!$A49)</f>
        <v/>
      </c>
      <c r="W49" s="101">
        <f>SUMIFS(Xero!$F:$F,Xero!$B:$B,Heron!W$9,Xero!$A:$A,Heron!$A$4,Xero!$E:$E,Heron!$A49)+SUMIFS(Xero!$F:$F,Xero!$B:$B,Heron!W$9,Xero!$A:$A,Heron!$A$5,Xero!$E:$E,Heron!$A49)</f>
        <v/>
      </c>
      <c r="X49" s="101">
        <f>SUMIFS(Xero!$F:$F,Xero!$B:$B,Heron!X$9,Xero!$A:$A,Heron!$A$4,Xero!$E:$E,Heron!$A49)+SUMIFS(Xero!$F:$F,Xero!$B:$B,Heron!X$9,Xero!$A:$A,Heron!$A$5,Xero!$E:$E,Heron!$A49)</f>
        <v/>
      </c>
      <c r="Y49" s="101">
        <f>SUMIFS(Xero!$F:$F,Xero!$B:$B,Heron!Y$9,Xero!$A:$A,Heron!$A$4,Xero!$E:$E,Heron!$A49)+SUMIFS(Xero!$F:$F,Xero!$B:$B,Heron!Y$9,Xero!$A:$A,Heron!$A$5,Xero!$E:$E,Heron!$A49)</f>
        <v/>
      </c>
      <c r="Z49" s="101">
        <f>SUMIFS(Xero!$F:$F,Xero!$B:$B,Heron!Z$9,Xero!$A:$A,Heron!$A$4,Xero!$E:$E,Heron!$A49)+SUMIFS(Xero!$F:$F,Xero!$B:$B,Heron!Z$9,Xero!$A:$A,Heron!$A$5,Xero!$E:$E,Heron!$A49)</f>
        <v/>
      </c>
      <c r="AA49" s="101">
        <f>SUMIFS(Xero!$F:$F,Xero!$B:$B,Heron!AA$9,Xero!$A:$A,Heron!$A$4,Xero!$E:$E,Heron!$A49)+SUMIFS(Xero!$F:$F,Xero!$B:$B,Heron!AA$9,Xero!$A:$A,Heron!$A$5,Xero!$E:$E,Heron!$A49)</f>
        <v/>
      </c>
      <c r="AB49" s="101">
        <f>SUMIFS(Xero!$F:$F,Xero!$B:$B,Heron!AB$9,Xero!$A:$A,Heron!$A$4,Xero!$E:$E,Heron!$A49)+SUMIFS(Xero!$F:$F,Xero!$B:$B,Heron!AB$9,Xero!$A:$A,Heron!$A$5,Xero!$E:$E,Heron!$A49)</f>
        <v/>
      </c>
      <c r="AC49" s="101">
        <f>SUMIFS(Xero!$F:$F,Xero!$B:$B,Heron!AC$9,Xero!$A:$A,Heron!$A$4,Xero!$E:$E,Heron!$A49)+SUMIFS(Xero!$F:$F,Xero!$B:$B,Heron!AC$9,Xero!$A:$A,Heron!$A$5,Xero!$E:$E,Heron!$A49)</f>
        <v/>
      </c>
      <c r="AD49" s="101">
        <f>SUMIFS(Xero!$F:$F,Xero!$B:$B,Heron!AD$9,Xero!$A:$A,Heron!$A$4,Xero!$E:$E,Heron!$A49)+SUMIFS(Xero!$F:$F,Xero!$B:$B,Heron!AD$9,Xero!$A:$A,Heron!$A$5,Xero!$E:$E,Heron!$A49)</f>
        <v/>
      </c>
      <c r="AE49" s="101">
        <f>SUMIFS(Xero!$F:$F,Xero!$B:$B,Heron!AE$9,Xero!$A:$A,Heron!$A$4,Xero!$E:$E,Heron!$A49)+SUMIFS(Xero!$F:$F,Xero!$B:$B,Heron!AE$9,Xero!$A:$A,Heron!$A$5,Xero!$E:$E,Heron!$A49)</f>
        <v/>
      </c>
      <c r="AF49" s="101">
        <f>SUMIFS(Xero!$F:$F,Xero!$B:$B,Heron!AF$9,Xero!$A:$A,Heron!$A$4,Xero!$E:$E,Heron!$A49)+SUMIFS(Xero!$F:$F,Xero!$B:$B,Heron!AF$9,Xero!$A:$A,Heron!$A$5,Xero!$E:$E,Heron!$A49)</f>
        <v/>
      </c>
      <c r="AG49" s="101">
        <f>SUMIFS(Xero!$F:$F,Xero!$B:$B,Heron!AG$9,Xero!$A:$A,Heron!$A$4,Xero!$E:$E,Heron!$A49)+SUMIFS(Xero!$F:$F,Xero!$B:$B,Heron!AG$9,Xero!$A:$A,Heron!$A$5,Xero!$E:$E,Heron!$A49)</f>
        <v/>
      </c>
      <c r="AH49" s="101">
        <f>SUMIFS(Xero!$F:$F,Xero!$B:$B,Heron!AH$9,Xero!$A:$A,Heron!$A$4,Xero!$E:$E,Heron!$A49)+SUMIFS(Xero!$F:$F,Xero!$B:$B,Heron!AH$9,Xero!$A:$A,Heron!$A$5,Xero!$E:$E,Heron!$A49)</f>
        <v/>
      </c>
      <c r="AI49" s="101">
        <f>SUMIFS(Xero!$F:$F,Xero!$B:$B,Heron!AI$9,Xero!$A:$A,Heron!$A$4,Xero!$E:$E,Heron!$A49)+SUMIFS(Xero!$F:$F,Xero!$B:$B,Heron!AI$9,Xero!$A:$A,Heron!$A$5,Xero!$E:$E,Heron!$A49)</f>
        <v/>
      </c>
      <c r="AJ49" s="101">
        <f>SUMIFS(Xero!$F:$F,Xero!$B:$B,Heron!AJ$9,Xero!$A:$A,Heron!$A$4,Xero!$E:$E,Heron!$A49)+SUMIFS(Xero!$F:$F,Xero!$B:$B,Heron!AJ$9,Xero!$A:$A,Heron!$A$5,Xero!$E:$E,Heron!$A49)</f>
        <v/>
      </c>
      <c r="AK49" s="101">
        <f>SUMIFS(Xero!$F:$F,Xero!$B:$B,Heron!AK$9,Xero!$A:$A,Heron!$A$4,Xero!$E:$E,Heron!$A49)+SUMIFS(Xero!$F:$F,Xero!$B:$B,Heron!AK$9,Xero!$A:$A,Heron!$A$5,Xero!$E:$E,Heron!$A49)</f>
        <v/>
      </c>
      <c r="AL49" s="101">
        <f>SUMIFS(Xero!$F:$F,Xero!$B:$B,Heron!AL$9,Xero!$A:$A,Heron!$A$4,Xero!$E:$E,Heron!$A49)+SUMIFS(Xero!$F:$F,Xero!$B:$B,Heron!AL$9,Xero!$A:$A,Heron!$A$5,Xero!$E:$E,Heron!$A49)</f>
        <v/>
      </c>
      <c r="AM49" s="101">
        <f>SUMIFS(Xero!$F:$F,Xero!$B:$B,Heron!AM$9,Xero!$A:$A,Heron!$A$4,Xero!$E:$E,Heron!$A49)+SUMIFS(Xero!$F:$F,Xero!$B:$B,Heron!AM$9,Xero!$A:$A,Heron!$A$5,Xero!$E:$E,Heron!$A49)</f>
        <v/>
      </c>
      <c r="AN49" s="101">
        <f>SUMIFS(Xero!$F:$F,Xero!$B:$B,Heron!AN$9,Xero!$A:$A,Heron!$A$4,Xero!$E:$E,Heron!$A49)+SUMIFS(Xero!$F:$F,Xero!$B:$B,Heron!AN$9,Xero!$A:$A,Heron!$A$5,Xero!$E:$E,Heron!$A49)</f>
        <v/>
      </c>
      <c r="AO49" s="101">
        <f>SUMIFS(Xero!$F:$F,Xero!$B:$B,Heron!AO$9,Xero!$A:$A,Heron!$A$4,Xero!$E:$E,Heron!$A49)+SUMIFS(Xero!$F:$F,Xero!$B:$B,Heron!AO$9,Xero!$A:$A,Heron!$A$5,Xero!$E:$E,Heron!$A49)</f>
        <v/>
      </c>
      <c r="AP49" s="101">
        <f>SUMIFS(Xero!$F:$F,Xero!$B:$B,Heron!AP$9,Xero!$A:$A,Heron!$A$4,Xero!$E:$E,Heron!$A49)+SUMIFS(Xero!$F:$F,Xero!$B:$B,Heron!AP$9,Xero!$A:$A,Heron!$A$5,Xero!$E:$E,Heron!$A49)</f>
        <v/>
      </c>
      <c r="AQ49" s="101">
        <f>SUMIFS(Xero!$F:$F,Xero!$B:$B,Heron!AQ$9,Xero!$A:$A,Heron!$A$4,Xero!$E:$E,Heron!$A49)+SUMIFS(Xero!$F:$F,Xero!$B:$B,Heron!AQ$9,Xero!$A:$A,Heron!$A$5,Xero!$E:$E,Heron!$A49)</f>
        <v/>
      </c>
      <c r="AR49" s="101">
        <f>SUMIFS(Xero!$F:$F,Xero!$B:$B,Heron!AR$9,Xero!$A:$A,Heron!$A$4,Xero!$E:$E,Heron!$A49)+SUMIFS(Xero!$F:$F,Xero!$B:$B,Heron!AR$9,Xero!$A:$A,Heron!$A$5,Xero!$E:$E,Heron!$A49)</f>
        <v/>
      </c>
      <c r="AS49" s="101">
        <f>SUMIFS(Xero!$F:$F,Xero!$B:$B,Heron!AS$9,Xero!$A:$A,Heron!$A$4,Xero!$E:$E,Heron!$A49)+SUMIFS(Xero!$F:$F,Xero!$B:$B,Heron!AS$9,Xero!$A:$A,Heron!$A$5,Xero!$E:$E,Heron!$A49)</f>
        <v/>
      </c>
      <c r="AT49" s="101">
        <f>SUMIFS(Xero!$F:$F,Xero!$B:$B,Heron!AT$9,Xero!$A:$A,Heron!$A$4,Xero!$E:$E,Heron!$A49)+SUMIFS(Xero!$F:$F,Xero!$B:$B,Heron!AT$9,Xero!$A:$A,Heron!$A$5,Xero!$E:$E,Heron!$A49)</f>
        <v/>
      </c>
      <c r="AU49" s="101">
        <f>SUMIFS(Xero!$F:$F,Xero!$B:$B,Heron!AU$9,Xero!$A:$A,Heron!$A$4,Xero!$E:$E,Heron!$A49)+SUMIFS(Xero!$F:$F,Xero!$B:$B,Heron!AU$9,Xero!$A:$A,Heron!$A$5,Xero!$E:$E,Heron!$A49)</f>
        <v/>
      </c>
      <c r="AV49" s="101">
        <f>SUMIFS(Xero!$F:$F,Xero!$B:$B,Heron!AV$9,Xero!$A:$A,Heron!$A$4,Xero!$E:$E,Heron!$A49)+SUMIFS(Xero!$F:$F,Xero!$B:$B,Heron!AV$9,Xero!$A:$A,Heron!$A$5,Xero!$E:$E,Heron!$A49)</f>
        <v/>
      </c>
      <c r="AW49" s="101">
        <f>SUMIFS(Xero!$F:$F,Xero!$B:$B,Heron!AW$9,Xero!$A:$A,Heron!$A$4,Xero!$E:$E,Heron!$A49)+SUMIFS(Xero!$F:$F,Xero!$B:$B,Heron!AW$9,Xero!$A:$A,Heron!$A$5,Xero!$E:$E,Heron!$A49)</f>
        <v/>
      </c>
      <c r="AX49" s="101">
        <f>SUMIFS(Xero!$F:$F,Xero!$B:$B,Heron!AX$9,Xero!$A:$A,Heron!$A$4,Xero!$E:$E,Heron!$A49)+SUMIFS(Xero!$F:$F,Xero!$B:$B,Heron!AX$9,Xero!$A:$A,Heron!$A$5,Xero!$E:$E,Heron!$A49)</f>
        <v/>
      </c>
      <c r="AY49" s="101">
        <f>SUMIFS(Xero!$F:$F,Xero!$B:$B,Heron!AY$9,Xero!$A:$A,Heron!$A$4,Xero!$E:$E,Heron!$A49)+SUMIFS(Xero!$F:$F,Xero!$B:$B,Heron!AY$9,Xero!$A:$A,Heron!$A$5,Xero!$E:$E,Heron!$A49)</f>
        <v/>
      </c>
      <c r="AZ49" s="101">
        <f>SUMIFS(Xero!$F:$F,Xero!$B:$B,Heron!AZ$9,Xero!$A:$A,Heron!$A$4,Xero!$E:$E,Heron!$A49)+SUMIFS(Xero!$F:$F,Xero!$B:$B,Heron!AZ$9,Xero!$A:$A,Heron!$A$5,Xero!$E:$E,Heron!$A49)</f>
        <v/>
      </c>
      <c r="BA49" s="101">
        <f>SUMIFS(Xero!$F:$F,Xero!$B:$B,Heron!BA$9,Xero!$A:$A,Heron!$A$4,Xero!$E:$E,Heron!$A49)+SUMIFS(Xero!$F:$F,Xero!$B:$B,Heron!BA$9,Xero!$A:$A,Heron!$A$5,Xero!$E:$E,Heron!$A49)</f>
        <v/>
      </c>
      <c r="BB49" s="101">
        <f>SUMIFS(Xero!$F:$F,Xero!$B:$B,Heron!BB$9,Xero!$A:$A,Heron!$A$4,Xero!$E:$E,Heron!$A49)+SUMIFS(Xero!$F:$F,Xero!$B:$B,Heron!BB$9,Xero!$A:$A,Heron!$A$5,Xero!$E:$E,Heron!$A49)</f>
        <v/>
      </c>
      <c r="BC49" s="101">
        <f>SUMIFS(Xero!$F:$F,Xero!$B:$B,Heron!BC$9,Xero!$A:$A,Heron!$A$4,Xero!$E:$E,Heron!$A49)+SUMIFS(Xero!$F:$F,Xero!$B:$B,Heron!BC$9,Xero!$A:$A,Heron!$A$5,Xero!$E:$E,Heron!$A49)</f>
        <v/>
      </c>
      <c r="BD49" s="101">
        <f>SUMIFS(Xero!$F:$F,Xero!$B:$B,Heron!BD$9,Xero!$A:$A,Heron!$A$4,Xero!$E:$E,Heron!$A49)+SUMIFS(Xero!$F:$F,Xero!$B:$B,Heron!BD$9,Xero!$A:$A,Heron!$A$5,Xero!$E:$E,Heron!$A49)</f>
        <v/>
      </c>
      <c r="BE49" s="101">
        <f>SUMIFS(Xero!$F:$F,Xero!$B:$B,Heron!BE$9,Xero!$A:$A,Heron!$A$4,Xero!$E:$E,Heron!$A49)+SUMIFS(Xero!$F:$F,Xero!$B:$B,Heron!BE$9,Xero!$A:$A,Heron!$A$5,Xero!$E:$E,Heron!$A49)</f>
        <v/>
      </c>
      <c r="BF49" s="101">
        <f>SUMIFS(Xero!$F:$F,Xero!$B:$B,Heron!BF$9,Xero!$A:$A,Heron!$A$4,Xero!$E:$E,Heron!$A49)+SUMIFS(Xero!$F:$F,Xero!$B:$B,Heron!BF$9,Xero!$A:$A,Heron!$A$5,Xero!$E:$E,Heron!$A49)</f>
        <v/>
      </c>
      <c r="BG49" s="101">
        <f>SUMIFS(Xero!$F:$F,Xero!$B:$B,Heron!BG$9,Xero!$A:$A,Heron!$A$4,Xero!$E:$E,Heron!$A49)+SUMIFS(Xero!$F:$F,Xero!$B:$B,Heron!BG$9,Xero!$A:$A,Heron!$A$5,Xero!$E:$E,Heron!$A49)</f>
        <v/>
      </c>
      <c r="BH49" s="101">
        <f>SUMIFS(Xero!$F:$F,Xero!$B:$B,Heron!BH$9,Xero!$A:$A,Heron!$A$4,Xero!$E:$E,Heron!$A49)+SUMIFS(Xero!$F:$F,Xero!$B:$B,Heron!BH$9,Xero!$A:$A,Heron!$A$5,Xero!$E:$E,Heron!$A49)</f>
        <v/>
      </c>
      <c r="BI49" s="101">
        <f>SUMIFS(Xero!$F:$F,Xero!$B:$B,Heron!BI$9,Xero!$A:$A,Heron!$A$4,Xero!$E:$E,Heron!$A49)+SUMIFS(Xero!$F:$F,Xero!$B:$B,Heron!BI$9,Xero!$A:$A,Heron!$A$5,Xero!$E:$E,Heron!$A49)</f>
        <v/>
      </c>
      <c r="BJ49" s="101">
        <f>SUMIFS(Xero!$F:$F,Xero!$B:$B,Heron!BJ$9,Xero!$A:$A,Heron!$A$4,Xero!$E:$E,Heron!$A49)+SUMIFS(Xero!$F:$F,Xero!$B:$B,Heron!BJ$9,Xero!$A:$A,Heron!$A$5,Xero!$E:$E,Heron!$A49)</f>
        <v/>
      </c>
      <c r="BK49" s="101">
        <f>sum(D49:BJ49)</f>
        <v/>
      </c>
    </row>
    <row r="50">
      <c r="A50" s="100" t="inlineStr">
        <is>
          <t>COS - Heron View</t>
        </is>
      </c>
      <c r="D50" s="101">
        <f>SUMIFS(Xero!$F:$F,Xero!$B:$B,Heron!D$9,Xero!$A:$A,Heron!$A$4,Xero!$E:$E,Heron!$A50)+SUMIFS(Xero!$F:$F,Xero!$B:$B,Heron!D$9,Xero!$A:$A,Heron!$A$5,Xero!$E:$E,Heron!$A50)</f>
        <v/>
      </c>
      <c r="E50" s="101">
        <f>SUMIFS(Xero!$F:$F,Xero!$B:$B,Heron!E$9,Xero!$A:$A,Heron!$A$4,Xero!$E:$E,Heron!$A50)+SUMIFS(Xero!$F:$F,Xero!$B:$B,Heron!E$9,Xero!$A:$A,Heron!$A$5,Xero!$E:$E,Heron!$A50)</f>
        <v/>
      </c>
      <c r="F50" s="101">
        <f>SUMIFS(Xero!$F:$F,Xero!$B:$B,Heron!F$9,Xero!$A:$A,Heron!$A$4,Xero!$E:$E,Heron!$A50)+SUMIFS(Xero!$F:$F,Xero!$B:$B,Heron!F$9,Xero!$A:$A,Heron!$A$5,Xero!$E:$E,Heron!$A50)</f>
        <v/>
      </c>
      <c r="G50" s="101">
        <f>SUMIFS(Xero!$F:$F,Xero!$B:$B,Heron!G$9,Xero!$A:$A,Heron!$A$4,Xero!$E:$E,Heron!$A50)+SUMIFS(Xero!$F:$F,Xero!$B:$B,Heron!G$9,Xero!$A:$A,Heron!$A$5,Xero!$E:$E,Heron!$A50)</f>
        <v/>
      </c>
      <c r="H50" s="101">
        <f>SUMIFS(Xero!$F:$F,Xero!$B:$B,Heron!H$9,Xero!$A:$A,Heron!$A$4,Xero!$E:$E,Heron!$A50)+SUMIFS(Xero!$F:$F,Xero!$B:$B,Heron!H$9,Xero!$A:$A,Heron!$A$5,Xero!$E:$E,Heron!$A50)</f>
        <v/>
      </c>
      <c r="I50" s="101">
        <f>SUMIFS(Xero!$F:$F,Xero!$B:$B,Heron!I$9,Xero!$A:$A,Heron!$A$4,Xero!$E:$E,Heron!$A50)+SUMIFS(Xero!$F:$F,Xero!$B:$B,Heron!I$9,Xero!$A:$A,Heron!$A$5,Xero!$E:$E,Heron!$A50)</f>
        <v/>
      </c>
      <c r="J50" s="101">
        <f>SUMIFS(Xero!$F:$F,Xero!$B:$B,Heron!J$9,Xero!$A:$A,Heron!$A$4,Xero!$E:$E,Heron!$A50)+SUMIFS(Xero!$F:$F,Xero!$B:$B,Heron!J$9,Xero!$A:$A,Heron!$A$5,Xero!$E:$E,Heron!$A50)</f>
        <v/>
      </c>
      <c r="K50" s="101">
        <f>SUMIFS(Xero!$F:$F,Xero!$B:$B,Heron!K$9,Xero!$A:$A,Heron!$A$4,Xero!$E:$E,Heron!$A50)+SUMIFS(Xero!$F:$F,Xero!$B:$B,Heron!K$9,Xero!$A:$A,Heron!$A$5,Xero!$E:$E,Heron!$A50)</f>
        <v/>
      </c>
      <c r="L50" s="101">
        <f>SUMIFS(Xero!$F:$F,Xero!$B:$B,Heron!L$9,Xero!$A:$A,Heron!$A$4,Xero!$E:$E,Heron!$A50)+SUMIFS(Xero!$F:$F,Xero!$B:$B,Heron!L$9,Xero!$A:$A,Heron!$A$5,Xero!$E:$E,Heron!$A50)</f>
        <v/>
      </c>
      <c r="M50" s="101">
        <f>SUMIFS(Xero!$F:$F,Xero!$B:$B,Heron!M$9,Xero!$A:$A,Heron!$A$4,Xero!$E:$E,Heron!$A50)+SUMIFS(Xero!$F:$F,Xero!$B:$B,Heron!M$9,Xero!$A:$A,Heron!$A$5,Xero!$E:$E,Heron!$A50)</f>
        <v/>
      </c>
      <c r="N50" s="101">
        <f>SUMIFS(Xero!$F:$F,Xero!$B:$B,Heron!N$9,Xero!$A:$A,Heron!$A$4,Xero!$E:$E,Heron!$A50)+SUMIFS(Xero!$F:$F,Xero!$B:$B,Heron!N$9,Xero!$A:$A,Heron!$A$5,Xero!$E:$E,Heron!$A50)</f>
        <v/>
      </c>
      <c r="O50" s="101">
        <f>SUMIFS(Xero!$F:$F,Xero!$B:$B,Heron!O$9,Xero!$A:$A,Heron!$A$4,Xero!$E:$E,Heron!$A50)+SUMIFS(Xero!$F:$F,Xero!$B:$B,Heron!O$9,Xero!$A:$A,Heron!$A$5,Xero!$E:$E,Heron!$A50)</f>
        <v/>
      </c>
      <c r="P50" s="101">
        <f>SUMIFS(Xero!$F:$F,Xero!$B:$B,Heron!P$9,Xero!$A:$A,Heron!$A$4,Xero!$E:$E,Heron!$A50)+SUMIFS(Xero!$F:$F,Xero!$B:$B,Heron!P$9,Xero!$A:$A,Heron!$A$5,Xero!$E:$E,Heron!$A50)</f>
        <v/>
      </c>
      <c r="Q50" s="101">
        <f>SUMIFS(Xero!$F:$F,Xero!$B:$B,Heron!Q$9,Xero!$A:$A,Heron!$A$4,Xero!$E:$E,Heron!$A50)+SUMIFS(Xero!$F:$F,Xero!$B:$B,Heron!Q$9,Xero!$A:$A,Heron!$A$5,Xero!$E:$E,Heron!$A50)</f>
        <v/>
      </c>
      <c r="R50" s="101">
        <f>SUMIFS(Xero!$F:$F,Xero!$B:$B,Heron!R$9,Xero!$A:$A,Heron!$A$4,Xero!$E:$E,Heron!$A50)+SUMIFS(Xero!$F:$F,Xero!$B:$B,Heron!R$9,Xero!$A:$A,Heron!$A$5,Xero!$E:$E,Heron!$A50)</f>
        <v/>
      </c>
      <c r="S50" s="101">
        <f>SUMIFS(Xero!$F:$F,Xero!$B:$B,Heron!S$9,Xero!$A:$A,Heron!$A$4,Xero!$E:$E,Heron!$A50)+SUMIFS(Xero!$F:$F,Xero!$B:$B,Heron!S$9,Xero!$A:$A,Heron!$A$5,Xero!$E:$E,Heron!$A50)</f>
        <v/>
      </c>
      <c r="T50" s="101">
        <f>SUMIFS(Xero!$F:$F,Xero!$B:$B,Heron!T$9,Xero!$A:$A,Heron!$A$4,Xero!$E:$E,Heron!$A50)+SUMIFS(Xero!$F:$F,Xero!$B:$B,Heron!T$9,Xero!$A:$A,Heron!$A$5,Xero!$E:$E,Heron!$A50)</f>
        <v/>
      </c>
      <c r="U50" s="101">
        <f>SUMIFS(Xero!$F:$F,Xero!$B:$B,Heron!U$9,Xero!$A:$A,Heron!$A$4,Xero!$E:$E,Heron!$A50)+SUMIFS(Xero!$F:$F,Xero!$B:$B,Heron!U$9,Xero!$A:$A,Heron!$A$5,Xero!$E:$E,Heron!$A50)</f>
        <v/>
      </c>
      <c r="V50" s="101">
        <f>SUMIFS(Xero!$F:$F,Xero!$B:$B,Heron!V$9,Xero!$A:$A,Heron!$A$4,Xero!$E:$E,Heron!$A50)+SUMIFS(Xero!$F:$F,Xero!$B:$B,Heron!V$9,Xero!$A:$A,Heron!$A$5,Xero!$E:$E,Heron!$A50)</f>
        <v/>
      </c>
      <c r="W50" s="101">
        <f>SUMIFS(Xero!$F:$F,Xero!$B:$B,Heron!W$9,Xero!$A:$A,Heron!$A$4,Xero!$E:$E,Heron!$A50)+SUMIFS(Xero!$F:$F,Xero!$B:$B,Heron!W$9,Xero!$A:$A,Heron!$A$5,Xero!$E:$E,Heron!$A50)</f>
        <v/>
      </c>
      <c r="X50" s="101">
        <f>SUMIFS(Xero!$F:$F,Xero!$B:$B,Heron!X$9,Xero!$A:$A,Heron!$A$4,Xero!$E:$E,Heron!$A50)+SUMIFS(Xero!$F:$F,Xero!$B:$B,Heron!X$9,Xero!$A:$A,Heron!$A$5,Xero!$E:$E,Heron!$A50)</f>
        <v/>
      </c>
      <c r="Y50" s="101">
        <f>SUMIFS(Xero!$F:$F,Xero!$B:$B,Heron!Y$9,Xero!$A:$A,Heron!$A$4,Xero!$E:$E,Heron!$A50)+SUMIFS(Xero!$F:$F,Xero!$B:$B,Heron!Y$9,Xero!$A:$A,Heron!$A$5,Xero!$E:$E,Heron!$A50)</f>
        <v/>
      </c>
      <c r="Z50" s="101">
        <f>SUMIFS(Xero!$F:$F,Xero!$B:$B,Heron!Z$9,Xero!$A:$A,Heron!$A$4,Xero!$E:$E,Heron!$A50)+SUMIFS(Xero!$F:$F,Xero!$B:$B,Heron!Z$9,Xero!$A:$A,Heron!$A$5,Xero!$E:$E,Heron!$A50)</f>
        <v/>
      </c>
      <c r="AA50" s="101">
        <f>SUMIFS(Xero!$F:$F,Xero!$B:$B,Heron!AA$9,Xero!$A:$A,Heron!$A$4,Xero!$E:$E,Heron!$A50)+SUMIFS(Xero!$F:$F,Xero!$B:$B,Heron!AA$9,Xero!$A:$A,Heron!$A$5,Xero!$E:$E,Heron!$A50)</f>
        <v/>
      </c>
      <c r="AB50" s="101">
        <f>SUMIFS(Xero!$F:$F,Xero!$B:$B,Heron!AB$9,Xero!$A:$A,Heron!$A$4,Xero!$E:$E,Heron!$A50)+SUMIFS(Xero!$F:$F,Xero!$B:$B,Heron!AB$9,Xero!$A:$A,Heron!$A$5,Xero!$E:$E,Heron!$A50)</f>
        <v/>
      </c>
      <c r="AC50" s="101">
        <f>SUMIFS(Xero!$F:$F,Xero!$B:$B,Heron!AC$9,Xero!$A:$A,Heron!$A$4,Xero!$E:$E,Heron!$A50)+SUMIFS(Xero!$F:$F,Xero!$B:$B,Heron!AC$9,Xero!$A:$A,Heron!$A$5,Xero!$E:$E,Heron!$A50)</f>
        <v/>
      </c>
      <c r="AD50" s="101">
        <f>SUMIFS(Xero!$F:$F,Xero!$B:$B,Heron!AD$9,Xero!$A:$A,Heron!$A$4,Xero!$E:$E,Heron!$A50)+SUMIFS(Xero!$F:$F,Xero!$B:$B,Heron!AD$9,Xero!$A:$A,Heron!$A$5,Xero!$E:$E,Heron!$A50)</f>
        <v/>
      </c>
      <c r="AE50" s="101">
        <f>SUMIFS(Xero!$F:$F,Xero!$B:$B,Heron!AE$9,Xero!$A:$A,Heron!$A$4,Xero!$E:$E,Heron!$A50)+SUMIFS(Xero!$F:$F,Xero!$B:$B,Heron!AE$9,Xero!$A:$A,Heron!$A$5,Xero!$E:$E,Heron!$A50)</f>
        <v/>
      </c>
      <c r="AF50" s="101">
        <f>SUMIFS(Xero!$F:$F,Xero!$B:$B,Heron!AF$9,Xero!$A:$A,Heron!$A$4,Xero!$E:$E,Heron!$A50)+SUMIFS(Xero!$F:$F,Xero!$B:$B,Heron!AF$9,Xero!$A:$A,Heron!$A$5,Xero!$E:$E,Heron!$A50)</f>
        <v/>
      </c>
      <c r="AG50" s="101">
        <f>SUMIFS(Xero!$F:$F,Xero!$B:$B,Heron!AG$9,Xero!$A:$A,Heron!$A$4,Xero!$E:$E,Heron!$A50)+SUMIFS(Xero!$F:$F,Xero!$B:$B,Heron!AG$9,Xero!$A:$A,Heron!$A$5,Xero!$E:$E,Heron!$A50)</f>
        <v/>
      </c>
      <c r="AH50" s="101">
        <f>SUMIFS(Xero!$F:$F,Xero!$B:$B,Heron!AH$9,Xero!$A:$A,Heron!$A$4,Xero!$E:$E,Heron!$A50)+SUMIFS(Xero!$F:$F,Xero!$B:$B,Heron!AH$9,Xero!$A:$A,Heron!$A$5,Xero!$E:$E,Heron!$A50)</f>
        <v/>
      </c>
      <c r="AI50" s="101">
        <f>SUMIFS(Xero!$F:$F,Xero!$B:$B,Heron!AI$9,Xero!$A:$A,Heron!$A$4,Xero!$E:$E,Heron!$A50)+SUMIFS(Xero!$F:$F,Xero!$B:$B,Heron!AI$9,Xero!$A:$A,Heron!$A$5,Xero!$E:$E,Heron!$A50)</f>
        <v/>
      </c>
      <c r="AJ50" s="101">
        <f>SUMIFS(Xero!$F:$F,Xero!$B:$B,Heron!AJ$9,Xero!$A:$A,Heron!$A$4,Xero!$E:$E,Heron!$A50)+SUMIFS(Xero!$F:$F,Xero!$B:$B,Heron!AJ$9,Xero!$A:$A,Heron!$A$5,Xero!$E:$E,Heron!$A50)</f>
        <v/>
      </c>
      <c r="AK50" s="101">
        <f>SUMIFS(Xero!$F:$F,Xero!$B:$B,Heron!AK$9,Xero!$A:$A,Heron!$A$4,Xero!$E:$E,Heron!$A50)+SUMIFS(Xero!$F:$F,Xero!$B:$B,Heron!AK$9,Xero!$A:$A,Heron!$A$5,Xero!$E:$E,Heron!$A50)</f>
        <v/>
      </c>
      <c r="AL50" s="101">
        <f>SUMIFS(Xero!$F:$F,Xero!$B:$B,Heron!AL$9,Xero!$A:$A,Heron!$A$4,Xero!$E:$E,Heron!$A50)+SUMIFS(Xero!$F:$F,Xero!$B:$B,Heron!AL$9,Xero!$A:$A,Heron!$A$5,Xero!$E:$E,Heron!$A50)</f>
        <v/>
      </c>
      <c r="AM50" s="101">
        <f>SUMIFS(Xero!$F:$F,Xero!$B:$B,Heron!AM$9,Xero!$A:$A,Heron!$A$4,Xero!$E:$E,Heron!$A50)+SUMIFS(Xero!$F:$F,Xero!$B:$B,Heron!AM$9,Xero!$A:$A,Heron!$A$5,Xero!$E:$E,Heron!$A50)</f>
        <v/>
      </c>
      <c r="AN50" s="101">
        <f>SUMIFS(Xero!$F:$F,Xero!$B:$B,Heron!AN$9,Xero!$A:$A,Heron!$A$4,Xero!$E:$E,Heron!$A50)+SUMIFS(Xero!$F:$F,Xero!$B:$B,Heron!AN$9,Xero!$A:$A,Heron!$A$5,Xero!$E:$E,Heron!$A50)</f>
        <v/>
      </c>
      <c r="AO50" s="101">
        <f>SUMIFS(Xero!$F:$F,Xero!$B:$B,Heron!AO$9,Xero!$A:$A,Heron!$A$4,Xero!$E:$E,Heron!$A50)+SUMIFS(Xero!$F:$F,Xero!$B:$B,Heron!AO$9,Xero!$A:$A,Heron!$A$5,Xero!$E:$E,Heron!$A50)</f>
        <v/>
      </c>
      <c r="AP50" s="101">
        <f>SUMIFS(Xero!$F:$F,Xero!$B:$B,Heron!AP$9,Xero!$A:$A,Heron!$A$4,Xero!$E:$E,Heron!$A50)+SUMIFS(Xero!$F:$F,Xero!$B:$B,Heron!AP$9,Xero!$A:$A,Heron!$A$5,Xero!$E:$E,Heron!$A50)</f>
        <v/>
      </c>
      <c r="AQ50" s="101">
        <f>SUMIFS(Xero!$F:$F,Xero!$B:$B,Heron!AQ$9,Xero!$A:$A,Heron!$A$4,Xero!$E:$E,Heron!$A50)+SUMIFS(Xero!$F:$F,Xero!$B:$B,Heron!AQ$9,Xero!$A:$A,Heron!$A$5,Xero!$E:$E,Heron!$A50)</f>
        <v/>
      </c>
      <c r="AR50" s="101">
        <f>SUMIFS(Xero!$F:$F,Xero!$B:$B,Heron!AR$9,Xero!$A:$A,Heron!$A$4,Xero!$E:$E,Heron!$A50)+SUMIFS(Xero!$F:$F,Xero!$B:$B,Heron!AR$9,Xero!$A:$A,Heron!$A$5,Xero!$E:$E,Heron!$A50)</f>
        <v/>
      </c>
      <c r="AS50" s="101">
        <f>SUMIFS(Xero!$F:$F,Xero!$B:$B,Heron!AS$9,Xero!$A:$A,Heron!$A$4,Xero!$E:$E,Heron!$A50)+SUMIFS(Xero!$F:$F,Xero!$B:$B,Heron!AS$9,Xero!$A:$A,Heron!$A$5,Xero!$E:$E,Heron!$A50)</f>
        <v/>
      </c>
      <c r="AT50" s="101">
        <f>SUMIFS(Xero!$F:$F,Xero!$B:$B,Heron!AT$9,Xero!$A:$A,Heron!$A$4,Xero!$E:$E,Heron!$A50)+SUMIFS(Xero!$F:$F,Xero!$B:$B,Heron!AT$9,Xero!$A:$A,Heron!$A$5,Xero!$E:$E,Heron!$A50)</f>
        <v/>
      </c>
      <c r="AU50" s="101">
        <f>SUMIFS(Xero!$F:$F,Xero!$B:$B,Heron!AU$9,Xero!$A:$A,Heron!$A$4,Xero!$E:$E,Heron!$A50)+SUMIFS(Xero!$F:$F,Xero!$B:$B,Heron!AU$9,Xero!$A:$A,Heron!$A$5,Xero!$E:$E,Heron!$A50)</f>
        <v/>
      </c>
      <c r="AV50" s="101">
        <f>SUMIFS(Xero!$F:$F,Xero!$B:$B,Heron!AV$9,Xero!$A:$A,Heron!$A$4,Xero!$E:$E,Heron!$A50)+SUMIFS(Xero!$F:$F,Xero!$B:$B,Heron!AV$9,Xero!$A:$A,Heron!$A$5,Xero!$E:$E,Heron!$A50)</f>
        <v/>
      </c>
      <c r="AW50" s="101">
        <f>SUMIFS(Xero!$F:$F,Xero!$B:$B,Heron!AW$9,Xero!$A:$A,Heron!$A$4,Xero!$E:$E,Heron!$A50)+SUMIFS(Xero!$F:$F,Xero!$B:$B,Heron!AW$9,Xero!$A:$A,Heron!$A$5,Xero!$E:$E,Heron!$A50)</f>
        <v/>
      </c>
      <c r="AX50" s="101">
        <f>SUMIFS(Xero!$F:$F,Xero!$B:$B,Heron!AX$9,Xero!$A:$A,Heron!$A$4,Xero!$E:$E,Heron!$A50)+SUMIFS(Xero!$F:$F,Xero!$B:$B,Heron!AX$9,Xero!$A:$A,Heron!$A$5,Xero!$E:$E,Heron!$A50)</f>
        <v/>
      </c>
      <c r="AY50" s="101">
        <f>SUMIFS(Xero!$F:$F,Xero!$B:$B,Heron!AY$9,Xero!$A:$A,Heron!$A$4,Xero!$E:$E,Heron!$A50)+SUMIFS(Xero!$F:$F,Xero!$B:$B,Heron!AY$9,Xero!$A:$A,Heron!$A$5,Xero!$E:$E,Heron!$A50)</f>
        <v/>
      </c>
      <c r="AZ50" s="101">
        <f>SUMIFS(Xero!$F:$F,Xero!$B:$B,Heron!AZ$9,Xero!$A:$A,Heron!$A$4,Xero!$E:$E,Heron!$A50)+SUMIFS(Xero!$F:$F,Xero!$B:$B,Heron!AZ$9,Xero!$A:$A,Heron!$A$5,Xero!$E:$E,Heron!$A50)</f>
        <v/>
      </c>
      <c r="BA50" s="101">
        <f>SUMIFS(Xero!$F:$F,Xero!$B:$B,Heron!BA$9,Xero!$A:$A,Heron!$A$4,Xero!$E:$E,Heron!$A50)+SUMIFS(Xero!$F:$F,Xero!$B:$B,Heron!BA$9,Xero!$A:$A,Heron!$A$5,Xero!$E:$E,Heron!$A50)</f>
        <v/>
      </c>
      <c r="BB50" s="101">
        <f>SUMIFS(Xero!$F:$F,Xero!$B:$B,Heron!BB$9,Xero!$A:$A,Heron!$A$4,Xero!$E:$E,Heron!$A50)+SUMIFS(Xero!$F:$F,Xero!$B:$B,Heron!BB$9,Xero!$A:$A,Heron!$A$5,Xero!$E:$E,Heron!$A50)</f>
        <v/>
      </c>
      <c r="BC50" s="101">
        <f>SUMIFS(Xero!$F:$F,Xero!$B:$B,Heron!BC$9,Xero!$A:$A,Heron!$A$4,Xero!$E:$E,Heron!$A50)+SUMIFS(Xero!$F:$F,Xero!$B:$B,Heron!BC$9,Xero!$A:$A,Heron!$A$5,Xero!$E:$E,Heron!$A50)</f>
        <v/>
      </c>
      <c r="BD50" s="101">
        <f>SUMIFS(Xero!$F:$F,Xero!$B:$B,Heron!BD$9,Xero!$A:$A,Heron!$A$4,Xero!$E:$E,Heron!$A50)+SUMIFS(Xero!$F:$F,Xero!$B:$B,Heron!BD$9,Xero!$A:$A,Heron!$A$5,Xero!$E:$E,Heron!$A50)</f>
        <v/>
      </c>
      <c r="BE50" s="101">
        <f>SUMIFS(Xero!$F:$F,Xero!$B:$B,Heron!BE$9,Xero!$A:$A,Heron!$A$4,Xero!$E:$E,Heron!$A50)+SUMIFS(Xero!$F:$F,Xero!$B:$B,Heron!BE$9,Xero!$A:$A,Heron!$A$5,Xero!$E:$E,Heron!$A50)</f>
        <v/>
      </c>
      <c r="BF50" s="101">
        <f>SUMIFS(Xero!$F:$F,Xero!$B:$B,Heron!BF$9,Xero!$A:$A,Heron!$A$4,Xero!$E:$E,Heron!$A50)+SUMIFS(Xero!$F:$F,Xero!$B:$B,Heron!BF$9,Xero!$A:$A,Heron!$A$5,Xero!$E:$E,Heron!$A50)</f>
        <v/>
      </c>
      <c r="BG50" s="101">
        <f>SUMIFS(Xero!$F:$F,Xero!$B:$B,Heron!BG$9,Xero!$A:$A,Heron!$A$4,Xero!$E:$E,Heron!$A50)+SUMIFS(Xero!$F:$F,Xero!$B:$B,Heron!BG$9,Xero!$A:$A,Heron!$A$5,Xero!$E:$E,Heron!$A50)</f>
        <v/>
      </c>
      <c r="BH50" s="101">
        <f>SUMIFS(Xero!$F:$F,Xero!$B:$B,Heron!BH$9,Xero!$A:$A,Heron!$A$4,Xero!$E:$E,Heron!$A50)+SUMIFS(Xero!$F:$F,Xero!$B:$B,Heron!BH$9,Xero!$A:$A,Heron!$A$5,Xero!$E:$E,Heron!$A50)</f>
        <v/>
      </c>
      <c r="BI50" s="101">
        <f>SUMIFS(Xero!$F:$F,Xero!$B:$B,Heron!BI$9,Xero!$A:$A,Heron!$A$4,Xero!$E:$E,Heron!$A50)+SUMIFS(Xero!$F:$F,Xero!$B:$B,Heron!BI$9,Xero!$A:$A,Heron!$A$5,Xero!$E:$E,Heron!$A50)</f>
        <v/>
      </c>
      <c r="BJ50" s="101">
        <f>SUMIFS(Xero!$F:$F,Xero!$B:$B,Heron!BJ$9,Xero!$A:$A,Heron!$A$4,Xero!$E:$E,Heron!$A50)+SUMIFS(Xero!$F:$F,Xero!$B:$B,Heron!BJ$9,Xero!$A:$A,Heron!$A$5,Xero!$E:$E,Heron!$A50)</f>
        <v/>
      </c>
      <c r="BK50" s="101">
        <f>sum(D50:BJ50)</f>
        <v/>
      </c>
    </row>
    <row r="51">
      <c r="A51" s="100" t="inlineStr">
        <is>
          <t>COS - Heron View Showhouse</t>
        </is>
      </c>
      <c r="D51" s="101">
        <f>SUMIFS(Xero!$F:$F,Xero!$B:$B,Heron!D$9,Xero!$A:$A,Heron!$A$4,Xero!$E:$E,Heron!$A51)+SUMIFS(Xero!$F:$F,Xero!$B:$B,Heron!D$9,Xero!$A:$A,Heron!$A$5,Xero!$E:$E,Heron!$A51)</f>
        <v/>
      </c>
      <c r="E51" s="101">
        <f>SUMIFS(Xero!$F:$F,Xero!$B:$B,Heron!E$9,Xero!$A:$A,Heron!$A$4,Xero!$E:$E,Heron!$A51)+SUMIFS(Xero!$F:$F,Xero!$B:$B,Heron!E$9,Xero!$A:$A,Heron!$A$5,Xero!$E:$E,Heron!$A51)</f>
        <v/>
      </c>
      <c r="F51" s="101">
        <f>SUMIFS(Xero!$F:$F,Xero!$B:$B,Heron!F$9,Xero!$A:$A,Heron!$A$4,Xero!$E:$E,Heron!$A51)+SUMIFS(Xero!$F:$F,Xero!$B:$B,Heron!F$9,Xero!$A:$A,Heron!$A$5,Xero!$E:$E,Heron!$A51)</f>
        <v/>
      </c>
      <c r="G51" s="101">
        <f>SUMIFS(Xero!$F:$F,Xero!$B:$B,Heron!G$9,Xero!$A:$A,Heron!$A$4,Xero!$E:$E,Heron!$A51)+SUMIFS(Xero!$F:$F,Xero!$B:$B,Heron!G$9,Xero!$A:$A,Heron!$A$5,Xero!$E:$E,Heron!$A51)</f>
        <v/>
      </c>
      <c r="H51" s="101">
        <f>SUMIFS(Xero!$F:$F,Xero!$B:$B,Heron!H$9,Xero!$A:$A,Heron!$A$4,Xero!$E:$E,Heron!$A51)+SUMIFS(Xero!$F:$F,Xero!$B:$B,Heron!H$9,Xero!$A:$A,Heron!$A$5,Xero!$E:$E,Heron!$A51)</f>
        <v/>
      </c>
      <c r="I51" s="101">
        <f>SUMIFS(Xero!$F:$F,Xero!$B:$B,Heron!I$9,Xero!$A:$A,Heron!$A$4,Xero!$E:$E,Heron!$A51)+SUMIFS(Xero!$F:$F,Xero!$B:$B,Heron!I$9,Xero!$A:$A,Heron!$A$5,Xero!$E:$E,Heron!$A51)</f>
        <v/>
      </c>
      <c r="J51" s="101">
        <f>SUMIFS(Xero!$F:$F,Xero!$B:$B,Heron!J$9,Xero!$A:$A,Heron!$A$4,Xero!$E:$E,Heron!$A51)+SUMIFS(Xero!$F:$F,Xero!$B:$B,Heron!J$9,Xero!$A:$A,Heron!$A$5,Xero!$E:$E,Heron!$A51)</f>
        <v/>
      </c>
      <c r="K51" s="101">
        <f>SUMIFS(Xero!$F:$F,Xero!$B:$B,Heron!K$9,Xero!$A:$A,Heron!$A$4,Xero!$E:$E,Heron!$A51)+SUMIFS(Xero!$F:$F,Xero!$B:$B,Heron!K$9,Xero!$A:$A,Heron!$A$5,Xero!$E:$E,Heron!$A51)</f>
        <v/>
      </c>
      <c r="L51" s="101">
        <f>SUMIFS(Xero!$F:$F,Xero!$B:$B,Heron!L$9,Xero!$A:$A,Heron!$A$4,Xero!$E:$E,Heron!$A51)+SUMIFS(Xero!$F:$F,Xero!$B:$B,Heron!L$9,Xero!$A:$A,Heron!$A$5,Xero!$E:$E,Heron!$A51)</f>
        <v/>
      </c>
      <c r="M51" s="101">
        <f>SUMIFS(Xero!$F:$F,Xero!$B:$B,Heron!M$9,Xero!$A:$A,Heron!$A$4,Xero!$E:$E,Heron!$A51)+SUMIFS(Xero!$F:$F,Xero!$B:$B,Heron!M$9,Xero!$A:$A,Heron!$A$5,Xero!$E:$E,Heron!$A51)</f>
        <v/>
      </c>
      <c r="N51" s="101">
        <f>SUMIFS(Xero!$F:$F,Xero!$B:$B,Heron!N$9,Xero!$A:$A,Heron!$A$4,Xero!$E:$E,Heron!$A51)+SUMIFS(Xero!$F:$F,Xero!$B:$B,Heron!N$9,Xero!$A:$A,Heron!$A$5,Xero!$E:$E,Heron!$A51)</f>
        <v/>
      </c>
      <c r="O51" s="101">
        <f>SUMIFS(Xero!$F:$F,Xero!$B:$B,Heron!O$9,Xero!$A:$A,Heron!$A$4,Xero!$E:$E,Heron!$A51)+SUMIFS(Xero!$F:$F,Xero!$B:$B,Heron!O$9,Xero!$A:$A,Heron!$A$5,Xero!$E:$E,Heron!$A51)</f>
        <v/>
      </c>
      <c r="P51" s="101">
        <f>SUMIFS(Xero!$F:$F,Xero!$B:$B,Heron!P$9,Xero!$A:$A,Heron!$A$4,Xero!$E:$E,Heron!$A51)+SUMIFS(Xero!$F:$F,Xero!$B:$B,Heron!P$9,Xero!$A:$A,Heron!$A$5,Xero!$E:$E,Heron!$A51)</f>
        <v/>
      </c>
      <c r="Q51" s="101">
        <f>SUMIFS(Xero!$F:$F,Xero!$B:$B,Heron!Q$9,Xero!$A:$A,Heron!$A$4,Xero!$E:$E,Heron!$A51)+SUMIFS(Xero!$F:$F,Xero!$B:$B,Heron!Q$9,Xero!$A:$A,Heron!$A$5,Xero!$E:$E,Heron!$A51)</f>
        <v/>
      </c>
      <c r="R51" s="101">
        <f>SUMIFS(Xero!$F:$F,Xero!$B:$B,Heron!R$9,Xero!$A:$A,Heron!$A$4,Xero!$E:$E,Heron!$A51)+SUMIFS(Xero!$F:$F,Xero!$B:$B,Heron!R$9,Xero!$A:$A,Heron!$A$5,Xero!$E:$E,Heron!$A51)</f>
        <v/>
      </c>
      <c r="S51" s="101">
        <f>SUMIFS(Xero!$F:$F,Xero!$B:$B,Heron!S$9,Xero!$A:$A,Heron!$A$4,Xero!$E:$E,Heron!$A51)+SUMIFS(Xero!$F:$F,Xero!$B:$B,Heron!S$9,Xero!$A:$A,Heron!$A$5,Xero!$E:$E,Heron!$A51)</f>
        <v/>
      </c>
      <c r="T51" s="101">
        <f>SUMIFS(Xero!$F:$F,Xero!$B:$B,Heron!T$9,Xero!$A:$A,Heron!$A$4,Xero!$E:$E,Heron!$A51)+SUMIFS(Xero!$F:$F,Xero!$B:$B,Heron!T$9,Xero!$A:$A,Heron!$A$5,Xero!$E:$E,Heron!$A51)</f>
        <v/>
      </c>
      <c r="U51" s="101">
        <f>SUMIFS(Xero!$F:$F,Xero!$B:$B,Heron!U$9,Xero!$A:$A,Heron!$A$4,Xero!$E:$E,Heron!$A51)+SUMIFS(Xero!$F:$F,Xero!$B:$B,Heron!U$9,Xero!$A:$A,Heron!$A$5,Xero!$E:$E,Heron!$A51)</f>
        <v/>
      </c>
      <c r="V51" s="101">
        <f>SUMIFS(Xero!$F:$F,Xero!$B:$B,Heron!V$9,Xero!$A:$A,Heron!$A$4,Xero!$E:$E,Heron!$A51)+SUMIFS(Xero!$F:$F,Xero!$B:$B,Heron!V$9,Xero!$A:$A,Heron!$A$5,Xero!$E:$E,Heron!$A51)</f>
        <v/>
      </c>
      <c r="W51" s="101">
        <f>SUMIFS(Xero!$F:$F,Xero!$B:$B,Heron!W$9,Xero!$A:$A,Heron!$A$4,Xero!$E:$E,Heron!$A51)+SUMIFS(Xero!$F:$F,Xero!$B:$B,Heron!W$9,Xero!$A:$A,Heron!$A$5,Xero!$E:$E,Heron!$A51)</f>
        <v/>
      </c>
      <c r="X51" s="101">
        <f>SUMIFS(Xero!$F:$F,Xero!$B:$B,Heron!X$9,Xero!$A:$A,Heron!$A$4,Xero!$E:$E,Heron!$A51)+SUMIFS(Xero!$F:$F,Xero!$B:$B,Heron!X$9,Xero!$A:$A,Heron!$A$5,Xero!$E:$E,Heron!$A51)</f>
        <v/>
      </c>
      <c r="Y51" s="101">
        <f>SUMIFS(Xero!$F:$F,Xero!$B:$B,Heron!Y$9,Xero!$A:$A,Heron!$A$4,Xero!$E:$E,Heron!$A51)+SUMIFS(Xero!$F:$F,Xero!$B:$B,Heron!Y$9,Xero!$A:$A,Heron!$A$5,Xero!$E:$E,Heron!$A51)</f>
        <v/>
      </c>
      <c r="Z51" s="101">
        <f>SUMIFS(Xero!$F:$F,Xero!$B:$B,Heron!Z$9,Xero!$A:$A,Heron!$A$4,Xero!$E:$E,Heron!$A51)+SUMIFS(Xero!$F:$F,Xero!$B:$B,Heron!Z$9,Xero!$A:$A,Heron!$A$5,Xero!$E:$E,Heron!$A51)</f>
        <v/>
      </c>
      <c r="AA51" s="101">
        <f>SUMIFS(Xero!$F:$F,Xero!$B:$B,Heron!AA$9,Xero!$A:$A,Heron!$A$4,Xero!$E:$E,Heron!$A51)+SUMIFS(Xero!$F:$F,Xero!$B:$B,Heron!AA$9,Xero!$A:$A,Heron!$A$5,Xero!$E:$E,Heron!$A51)</f>
        <v/>
      </c>
      <c r="AB51" s="101">
        <f>SUMIFS(Xero!$F:$F,Xero!$B:$B,Heron!AB$9,Xero!$A:$A,Heron!$A$4,Xero!$E:$E,Heron!$A51)+SUMIFS(Xero!$F:$F,Xero!$B:$B,Heron!AB$9,Xero!$A:$A,Heron!$A$5,Xero!$E:$E,Heron!$A51)</f>
        <v/>
      </c>
      <c r="AC51" s="101">
        <f>SUMIFS(Xero!$F:$F,Xero!$B:$B,Heron!AC$9,Xero!$A:$A,Heron!$A$4,Xero!$E:$E,Heron!$A51)+SUMIFS(Xero!$F:$F,Xero!$B:$B,Heron!AC$9,Xero!$A:$A,Heron!$A$5,Xero!$E:$E,Heron!$A51)</f>
        <v/>
      </c>
      <c r="AD51" s="101">
        <f>SUMIFS(Xero!$F:$F,Xero!$B:$B,Heron!AD$9,Xero!$A:$A,Heron!$A$4,Xero!$E:$E,Heron!$A51)+SUMIFS(Xero!$F:$F,Xero!$B:$B,Heron!AD$9,Xero!$A:$A,Heron!$A$5,Xero!$E:$E,Heron!$A51)</f>
        <v/>
      </c>
      <c r="AE51" s="101">
        <f>SUMIFS(Xero!$F:$F,Xero!$B:$B,Heron!AE$9,Xero!$A:$A,Heron!$A$4,Xero!$E:$E,Heron!$A51)+SUMIFS(Xero!$F:$F,Xero!$B:$B,Heron!AE$9,Xero!$A:$A,Heron!$A$5,Xero!$E:$E,Heron!$A51)</f>
        <v/>
      </c>
      <c r="AF51" s="101">
        <f>SUMIFS(Xero!$F:$F,Xero!$B:$B,Heron!AF$9,Xero!$A:$A,Heron!$A$4,Xero!$E:$E,Heron!$A51)+SUMIFS(Xero!$F:$F,Xero!$B:$B,Heron!AF$9,Xero!$A:$A,Heron!$A$5,Xero!$E:$E,Heron!$A51)</f>
        <v/>
      </c>
      <c r="AG51" s="101">
        <f>SUMIFS(Xero!$F:$F,Xero!$B:$B,Heron!AG$9,Xero!$A:$A,Heron!$A$4,Xero!$E:$E,Heron!$A51)+SUMIFS(Xero!$F:$F,Xero!$B:$B,Heron!AG$9,Xero!$A:$A,Heron!$A$5,Xero!$E:$E,Heron!$A51)</f>
        <v/>
      </c>
      <c r="AH51" s="101">
        <f>SUMIFS(Xero!$F:$F,Xero!$B:$B,Heron!AH$9,Xero!$A:$A,Heron!$A$4,Xero!$E:$E,Heron!$A51)+SUMIFS(Xero!$F:$F,Xero!$B:$B,Heron!AH$9,Xero!$A:$A,Heron!$A$5,Xero!$E:$E,Heron!$A51)</f>
        <v/>
      </c>
      <c r="AI51" s="101">
        <f>SUMIFS(Xero!$F:$F,Xero!$B:$B,Heron!AI$9,Xero!$A:$A,Heron!$A$4,Xero!$E:$E,Heron!$A51)+SUMIFS(Xero!$F:$F,Xero!$B:$B,Heron!AI$9,Xero!$A:$A,Heron!$A$5,Xero!$E:$E,Heron!$A51)</f>
        <v/>
      </c>
      <c r="AJ51" s="101">
        <f>SUMIFS(Xero!$F:$F,Xero!$B:$B,Heron!AJ$9,Xero!$A:$A,Heron!$A$4,Xero!$E:$E,Heron!$A51)+SUMIFS(Xero!$F:$F,Xero!$B:$B,Heron!AJ$9,Xero!$A:$A,Heron!$A$5,Xero!$E:$E,Heron!$A51)</f>
        <v/>
      </c>
      <c r="AK51" s="101">
        <f>SUMIFS(Xero!$F:$F,Xero!$B:$B,Heron!AK$9,Xero!$A:$A,Heron!$A$4,Xero!$E:$E,Heron!$A51)+SUMIFS(Xero!$F:$F,Xero!$B:$B,Heron!AK$9,Xero!$A:$A,Heron!$A$5,Xero!$E:$E,Heron!$A51)</f>
        <v/>
      </c>
      <c r="AL51" s="101">
        <f>SUMIFS(Xero!$F:$F,Xero!$B:$B,Heron!AL$9,Xero!$A:$A,Heron!$A$4,Xero!$E:$E,Heron!$A51)+SUMIFS(Xero!$F:$F,Xero!$B:$B,Heron!AL$9,Xero!$A:$A,Heron!$A$5,Xero!$E:$E,Heron!$A51)</f>
        <v/>
      </c>
      <c r="AM51" s="101">
        <f>SUMIFS(Xero!$F:$F,Xero!$B:$B,Heron!AM$9,Xero!$A:$A,Heron!$A$4,Xero!$E:$E,Heron!$A51)+SUMIFS(Xero!$F:$F,Xero!$B:$B,Heron!AM$9,Xero!$A:$A,Heron!$A$5,Xero!$E:$E,Heron!$A51)</f>
        <v/>
      </c>
      <c r="AN51" s="101">
        <f>SUMIFS(Xero!$F:$F,Xero!$B:$B,Heron!AN$9,Xero!$A:$A,Heron!$A$4,Xero!$E:$E,Heron!$A51)+SUMIFS(Xero!$F:$F,Xero!$B:$B,Heron!AN$9,Xero!$A:$A,Heron!$A$5,Xero!$E:$E,Heron!$A51)</f>
        <v/>
      </c>
      <c r="AO51" s="101">
        <f>SUMIFS(Xero!$F:$F,Xero!$B:$B,Heron!AO$9,Xero!$A:$A,Heron!$A$4,Xero!$E:$E,Heron!$A51)+SUMIFS(Xero!$F:$F,Xero!$B:$B,Heron!AO$9,Xero!$A:$A,Heron!$A$5,Xero!$E:$E,Heron!$A51)</f>
        <v/>
      </c>
      <c r="AP51" s="101">
        <f>SUMIFS(Xero!$F:$F,Xero!$B:$B,Heron!AP$9,Xero!$A:$A,Heron!$A$4,Xero!$E:$E,Heron!$A51)+SUMIFS(Xero!$F:$F,Xero!$B:$B,Heron!AP$9,Xero!$A:$A,Heron!$A$5,Xero!$E:$E,Heron!$A51)</f>
        <v/>
      </c>
      <c r="AQ51" s="101">
        <f>SUMIFS(Xero!$F:$F,Xero!$B:$B,Heron!AQ$9,Xero!$A:$A,Heron!$A$4,Xero!$E:$E,Heron!$A51)+SUMIFS(Xero!$F:$F,Xero!$B:$B,Heron!AQ$9,Xero!$A:$A,Heron!$A$5,Xero!$E:$E,Heron!$A51)</f>
        <v/>
      </c>
      <c r="AR51" s="101">
        <f>SUMIFS(Xero!$F:$F,Xero!$B:$B,Heron!AR$9,Xero!$A:$A,Heron!$A$4,Xero!$E:$E,Heron!$A51)+SUMIFS(Xero!$F:$F,Xero!$B:$B,Heron!AR$9,Xero!$A:$A,Heron!$A$5,Xero!$E:$E,Heron!$A51)</f>
        <v/>
      </c>
      <c r="AS51" s="101">
        <f>SUMIFS(Xero!$F:$F,Xero!$B:$B,Heron!AS$9,Xero!$A:$A,Heron!$A$4,Xero!$E:$E,Heron!$A51)+SUMIFS(Xero!$F:$F,Xero!$B:$B,Heron!AS$9,Xero!$A:$A,Heron!$A$5,Xero!$E:$E,Heron!$A51)</f>
        <v/>
      </c>
      <c r="AT51" s="101">
        <f>SUMIFS(Xero!$F:$F,Xero!$B:$B,Heron!AT$9,Xero!$A:$A,Heron!$A$4,Xero!$E:$E,Heron!$A51)+SUMIFS(Xero!$F:$F,Xero!$B:$B,Heron!AT$9,Xero!$A:$A,Heron!$A$5,Xero!$E:$E,Heron!$A51)</f>
        <v/>
      </c>
      <c r="AU51" s="101">
        <f>SUMIFS(Xero!$F:$F,Xero!$B:$B,Heron!AU$9,Xero!$A:$A,Heron!$A$4,Xero!$E:$E,Heron!$A51)+SUMIFS(Xero!$F:$F,Xero!$B:$B,Heron!AU$9,Xero!$A:$A,Heron!$A$5,Xero!$E:$E,Heron!$A51)</f>
        <v/>
      </c>
      <c r="AV51" s="101">
        <f>SUMIFS(Xero!$F:$F,Xero!$B:$B,Heron!AV$9,Xero!$A:$A,Heron!$A$4,Xero!$E:$E,Heron!$A51)+SUMIFS(Xero!$F:$F,Xero!$B:$B,Heron!AV$9,Xero!$A:$A,Heron!$A$5,Xero!$E:$E,Heron!$A51)</f>
        <v/>
      </c>
      <c r="AW51" s="101">
        <f>SUMIFS(Xero!$F:$F,Xero!$B:$B,Heron!AW$9,Xero!$A:$A,Heron!$A$4,Xero!$E:$E,Heron!$A51)+SUMIFS(Xero!$F:$F,Xero!$B:$B,Heron!AW$9,Xero!$A:$A,Heron!$A$5,Xero!$E:$E,Heron!$A51)</f>
        <v/>
      </c>
      <c r="AX51" s="101">
        <f>SUMIFS(Xero!$F:$F,Xero!$B:$B,Heron!AX$9,Xero!$A:$A,Heron!$A$4,Xero!$E:$E,Heron!$A51)+SUMIFS(Xero!$F:$F,Xero!$B:$B,Heron!AX$9,Xero!$A:$A,Heron!$A$5,Xero!$E:$E,Heron!$A51)</f>
        <v/>
      </c>
      <c r="AY51" s="101">
        <f>SUMIFS(Xero!$F:$F,Xero!$B:$B,Heron!AY$9,Xero!$A:$A,Heron!$A$4,Xero!$E:$E,Heron!$A51)+SUMIFS(Xero!$F:$F,Xero!$B:$B,Heron!AY$9,Xero!$A:$A,Heron!$A$5,Xero!$E:$E,Heron!$A51)</f>
        <v/>
      </c>
      <c r="AZ51" s="101">
        <f>SUMIFS(Xero!$F:$F,Xero!$B:$B,Heron!AZ$9,Xero!$A:$A,Heron!$A$4,Xero!$E:$E,Heron!$A51)+SUMIFS(Xero!$F:$F,Xero!$B:$B,Heron!AZ$9,Xero!$A:$A,Heron!$A$5,Xero!$E:$E,Heron!$A51)</f>
        <v/>
      </c>
      <c r="BA51" s="101">
        <f>SUMIFS(Xero!$F:$F,Xero!$B:$B,Heron!BA$9,Xero!$A:$A,Heron!$A$4,Xero!$E:$E,Heron!$A51)+SUMIFS(Xero!$F:$F,Xero!$B:$B,Heron!BA$9,Xero!$A:$A,Heron!$A$5,Xero!$E:$E,Heron!$A51)</f>
        <v/>
      </c>
      <c r="BB51" s="101">
        <f>SUMIFS(Xero!$F:$F,Xero!$B:$B,Heron!BB$9,Xero!$A:$A,Heron!$A$4,Xero!$E:$E,Heron!$A51)+SUMIFS(Xero!$F:$F,Xero!$B:$B,Heron!BB$9,Xero!$A:$A,Heron!$A$5,Xero!$E:$E,Heron!$A51)</f>
        <v/>
      </c>
      <c r="BC51" s="101">
        <f>SUMIFS(Xero!$F:$F,Xero!$B:$B,Heron!BC$9,Xero!$A:$A,Heron!$A$4,Xero!$E:$E,Heron!$A51)+SUMIFS(Xero!$F:$F,Xero!$B:$B,Heron!BC$9,Xero!$A:$A,Heron!$A$5,Xero!$E:$E,Heron!$A51)</f>
        <v/>
      </c>
      <c r="BD51" s="101">
        <f>SUMIFS(Xero!$F:$F,Xero!$B:$B,Heron!BD$9,Xero!$A:$A,Heron!$A$4,Xero!$E:$E,Heron!$A51)+SUMIFS(Xero!$F:$F,Xero!$B:$B,Heron!BD$9,Xero!$A:$A,Heron!$A$5,Xero!$E:$E,Heron!$A51)</f>
        <v/>
      </c>
      <c r="BE51" s="101">
        <f>SUMIFS(Xero!$F:$F,Xero!$B:$B,Heron!BE$9,Xero!$A:$A,Heron!$A$4,Xero!$E:$E,Heron!$A51)+SUMIFS(Xero!$F:$F,Xero!$B:$B,Heron!BE$9,Xero!$A:$A,Heron!$A$5,Xero!$E:$E,Heron!$A51)</f>
        <v/>
      </c>
      <c r="BF51" s="101">
        <f>SUMIFS(Xero!$F:$F,Xero!$B:$B,Heron!BF$9,Xero!$A:$A,Heron!$A$4,Xero!$E:$E,Heron!$A51)+SUMIFS(Xero!$F:$F,Xero!$B:$B,Heron!BF$9,Xero!$A:$A,Heron!$A$5,Xero!$E:$E,Heron!$A51)</f>
        <v/>
      </c>
      <c r="BG51" s="101">
        <f>SUMIFS(Xero!$F:$F,Xero!$B:$B,Heron!BG$9,Xero!$A:$A,Heron!$A$4,Xero!$E:$E,Heron!$A51)+SUMIFS(Xero!$F:$F,Xero!$B:$B,Heron!BG$9,Xero!$A:$A,Heron!$A$5,Xero!$E:$E,Heron!$A51)</f>
        <v/>
      </c>
      <c r="BH51" s="101">
        <f>SUMIFS(Xero!$F:$F,Xero!$B:$B,Heron!BH$9,Xero!$A:$A,Heron!$A$4,Xero!$E:$E,Heron!$A51)+SUMIFS(Xero!$F:$F,Xero!$B:$B,Heron!BH$9,Xero!$A:$A,Heron!$A$5,Xero!$E:$E,Heron!$A51)</f>
        <v/>
      </c>
      <c r="BI51" s="101">
        <f>SUMIFS(Xero!$F:$F,Xero!$B:$B,Heron!BI$9,Xero!$A:$A,Heron!$A$4,Xero!$E:$E,Heron!$A51)+SUMIFS(Xero!$F:$F,Xero!$B:$B,Heron!BI$9,Xero!$A:$A,Heron!$A$5,Xero!$E:$E,Heron!$A51)</f>
        <v/>
      </c>
      <c r="BJ51" s="101">
        <f>SUMIFS(Xero!$F:$F,Xero!$B:$B,Heron!BJ$9,Xero!$A:$A,Heron!$A$4,Xero!$E:$E,Heron!$A51)+SUMIFS(Xero!$F:$F,Xero!$B:$B,Heron!BJ$9,Xero!$A:$A,Heron!$A$5,Xero!$E:$E,Heron!$A51)</f>
        <v/>
      </c>
      <c r="BK51" s="101">
        <f>sum(D51:BJ51)</f>
        <v/>
      </c>
    </row>
    <row r="52">
      <c r="A52" s="100" t="inlineStr">
        <is>
          <t>COS - Heron sales office</t>
        </is>
      </c>
      <c r="D52" s="101">
        <f>SUMIFS(Xero!$F:$F,Xero!$B:$B,Heron!D$9,Xero!$A:$A,Heron!$A$4,Xero!$E:$E,Heron!$A52)+SUMIFS(Xero!$F:$F,Xero!$B:$B,Heron!D$9,Xero!$A:$A,Heron!$A$5,Xero!$E:$E,Heron!$A52)</f>
        <v/>
      </c>
      <c r="E52" s="101">
        <f>SUMIFS(Xero!$F:$F,Xero!$B:$B,Heron!E$9,Xero!$A:$A,Heron!$A$4,Xero!$E:$E,Heron!$A52)+SUMIFS(Xero!$F:$F,Xero!$B:$B,Heron!E$9,Xero!$A:$A,Heron!$A$5,Xero!$E:$E,Heron!$A52)</f>
        <v/>
      </c>
      <c r="F52" s="101">
        <f>SUMIFS(Xero!$F:$F,Xero!$B:$B,Heron!F$9,Xero!$A:$A,Heron!$A$4,Xero!$E:$E,Heron!$A52)+SUMIFS(Xero!$F:$F,Xero!$B:$B,Heron!F$9,Xero!$A:$A,Heron!$A$5,Xero!$E:$E,Heron!$A52)</f>
        <v/>
      </c>
      <c r="G52" s="101">
        <f>SUMIFS(Xero!$F:$F,Xero!$B:$B,Heron!G$9,Xero!$A:$A,Heron!$A$4,Xero!$E:$E,Heron!$A52)+SUMIFS(Xero!$F:$F,Xero!$B:$B,Heron!G$9,Xero!$A:$A,Heron!$A$5,Xero!$E:$E,Heron!$A52)</f>
        <v/>
      </c>
      <c r="H52" s="101">
        <f>SUMIFS(Xero!$F:$F,Xero!$B:$B,Heron!H$9,Xero!$A:$A,Heron!$A$4,Xero!$E:$E,Heron!$A52)+SUMIFS(Xero!$F:$F,Xero!$B:$B,Heron!H$9,Xero!$A:$A,Heron!$A$5,Xero!$E:$E,Heron!$A52)</f>
        <v/>
      </c>
      <c r="I52" s="101">
        <f>SUMIFS(Xero!$F:$F,Xero!$B:$B,Heron!I$9,Xero!$A:$A,Heron!$A$4,Xero!$E:$E,Heron!$A52)+SUMIFS(Xero!$F:$F,Xero!$B:$B,Heron!I$9,Xero!$A:$A,Heron!$A$5,Xero!$E:$E,Heron!$A52)</f>
        <v/>
      </c>
      <c r="J52" s="101">
        <f>SUMIFS(Xero!$F:$F,Xero!$B:$B,Heron!J$9,Xero!$A:$A,Heron!$A$4,Xero!$E:$E,Heron!$A52)+SUMIFS(Xero!$F:$F,Xero!$B:$B,Heron!J$9,Xero!$A:$A,Heron!$A$5,Xero!$E:$E,Heron!$A52)</f>
        <v/>
      </c>
      <c r="K52" s="101">
        <f>SUMIFS(Xero!$F:$F,Xero!$B:$B,Heron!K$9,Xero!$A:$A,Heron!$A$4,Xero!$E:$E,Heron!$A52)+SUMIFS(Xero!$F:$F,Xero!$B:$B,Heron!K$9,Xero!$A:$A,Heron!$A$5,Xero!$E:$E,Heron!$A52)</f>
        <v/>
      </c>
      <c r="L52" s="101">
        <f>SUMIFS(Xero!$F:$F,Xero!$B:$B,Heron!L$9,Xero!$A:$A,Heron!$A$4,Xero!$E:$E,Heron!$A52)+SUMIFS(Xero!$F:$F,Xero!$B:$B,Heron!L$9,Xero!$A:$A,Heron!$A$5,Xero!$E:$E,Heron!$A52)</f>
        <v/>
      </c>
      <c r="M52" s="101">
        <f>SUMIFS(Xero!$F:$F,Xero!$B:$B,Heron!M$9,Xero!$A:$A,Heron!$A$4,Xero!$E:$E,Heron!$A52)+SUMIFS(Xero!$F:$F,Xero!$B:$B,Heron!M$9,Xero!$A:$A,Heron!$A$5,Xero!$E:$E,Heron!$A52)</f>
        <v/>
      </c>
      <c r="N52" s="101">
        <f>SUMIFS(Xero!$F:$F,Xero!$B:$B,Heron!N$9,Xero!$A:$A,Heron!$A$4,Xero!$E:$E,Heron!$A52)+SUMIFS(Xero!$F:$F,Xero!$B:$B,Heron!N$9,Xero!$A:$A,Heron!$A$5,Xero!$E:$E,Heron!$A52)</f>
        <v/>
      </c>
      <c r="O52" s="101">
        <f>SUMIFS(Xero!$F:$F,Xero!$B:$B,Heron!O$9,Xero!$A:$A,Heron!$A$4,Xero!$E:$E,Heron!$A52)+SUMIFS(Xero!$F:$F,Xero!$B:$B,Heron!O$9,Xero!$A:$A,Heron!$A$5,Xero!$E:$E,Heron!$A52)</f>
        <v/>
      </c>
      <c r="P52" s="101">
        <f>SUMIFS(Xero!$F:$F,Xero!$B:$B,Heron!P$9,Xero!$A:$A,Heron!$A$4,Xero!$E:$E,Heron!$A52)+SUMIFS(Xero!$F:$F,Xero!$B:$B,Heron!P$9,Xero!$A:$A,Heron!$A$5,Xero!$E:$E,Heron!$A52)</f>
        <v/>
      </c>
      <c r="Q52" s="101">
        <f>SUMIFS(Xero!$F:$F,Xero!$B:$B,Heron!Q$9,Xero!$A:$A,Heron!$A$4,Xero!$E:$E,Heron!$A52)+SUMIFS(Xero!$F:$F,Xero!$B:$B,Heron!Q$9,Xero!$A:$A,Heron!$A$5,Xero!$E:$E,Heron!$A52)</f>
        <v/>
      </c>
      <c r="R52" s="101">
        <f>SUMIFS(Xero!$F:$F,Xero!$B:$B,Heron!R$9,Xero!$A:$A,Heron!$A$4,Xero!$E:$E,Heron!$A52)+SUMIFS(Xero!$F:$F,Xero!$B:$B,Heron!R$9,Xero!$A:$A,Heron!$A$5,Xero!$E:$E,Heron!$A52)</f>
        <v/>
      </c>
      <c r="S52" s="101">
        <f>SUMIFS(Xero!$F:$F,Xero!$B:$B,Heron!S$9,Xero!$A:$A,Heron!$A$4,Xero!$E:$E,Heron!$A52)+SUMIFS(Xero!$F:$F,Xero!$B:$B,Heron!S$9,Xero!$A:$A,Heron!$A$5,Xero!$E:$E,Heron!$A52)</f>
        <v/>
      </c>
      <c r="T52" s="101">
        <f>SUMIFS(Xero!$F:$F,Xero!$B:$B,Heron!T$9,Xero!$A:$A,Heron!$A$4,Xero!$E:$E,Heron!$A52)+SUMIFS(Xero!$F:$F,Xero!$B:$B,Heron!T$9,Xero!$A:$A,Heron!$A$5,Xero!$E:$E,Heron!$A52)</f>
        <v/>
      </c>
      <c r="U52" s="101">
        <f>SUMIFS(Xero!$F:$F,Xero!$B:$B,Heron!U$9,Xero!$A:$A,Heron!$A$4,Xero!$E:$E,Heron!$A52)+SUMIFS(Xero!$F:$F,Xero!$B:$B,Heron!U$9,Xero!$A:$A,Heron!$A$5,Xero!$E:$E,Heron!$A52)</f>
        <v/>
      </c>
      <c r="V52" s="101">
        <f>SUMIFS(Xero!$F:$F,Xero!$B:$B,Heron!V$9,Xero!$A:$A,Heron!$A$4,Xero!$E:$E,Heron!$A52)+SUMIFS(Xero!$F:$F,Xero!$B:$B,Heron!V$9,Xero!$A:$A,Heron!$A$5,Xero!$E:$E,Heron!$A52)</f>
        <v/>
      </c>
      <c r="W52" s="101">
        <f>SUMIFS(Xero!$F:$F,Xero!$B:$B,Heron!W$9,Xero!$A:$A,Heron!$A$4,Xero!$E:$E,Heron!$A52)+SUMIFS(Xero!$F:$F,Xero!$B:$B,Heron!W$9,Xero!$A:$A,Heron!$A$5,Xero!$E:$E,Heron!$A52)</f>
        <v/>
      </c>
      <c r="X52" s="101">
        <f>SUMIFS(Xero!$F:$F,Xero!$B:$B,Heron!X$9,Xero!$A:$A,Heron!$A$4,Xero!$E:$E,Heron!$A52)+SUMIFS(Xero!$F:$F,Xero!$B:$B,Heron!X$9,Xero!$A:$A,Heron!$A$5,Xero!$E:$E,Heron!$A52)</f>
        <v/>
      </c>
      <c r="Y52" s="101">
        <f>SUMIFS(Xero!$F:$F,Xero!$B:$B,Heron!Y$9,Xero!$A:$A,Heron!$A$4,Xero!$E:$E,Heron!$A52)+SUMIFS(Xero!$F:$F,Xero!$B:$B,Heron!Y$9,Xero!$A:$A,Heron!$A$5,Xero!$E:$E,Heron!$A52)</f>
        <v/>
      </c>
      <c r="Z52" s="101">
        <f>SUMIFS(Xero!$F:$F,Xero!$B:$B,Heron!Z$9,Xero!$A:$A,Heron!$A$4,Xero!$E:$E,Heron!$A52)+SUMIFS(Xero!$F:$F,Xero!$B:$B,Heron!Z$9,Xero!$A:$A,Heron!$A$5,Xero!$E:$E,Heron!$A52)</f>
        <v/>
      </c>
      <c r="AA52" s="101">
        <f>SUMIFS(Xero!$F:$F,Xero!$B:$B,Heron!AA$9,Xero!$A:$A,Heron!$A$4,Xero!$E:$E,Heron!$A52)+SUMIFS(Xero!$F:$F,Xero!$B:$B,Heron!AA$9,Xero!$A:$A,Heron!$A$5,Xero!$E:$E,Heron!$A52)</f>
        <v/>
      </c>
      <c r="AB52" s="101">
        <f>SUMIFS(Xero!$F:$F,Xero!$B:$B,Heron!AB$9,Xero!$A:$A,Heron!$A$4,Xero!$E:$E,Heron!$A52)+SUMIFS(Xero!$F:$F,Xero!$B:$B,Heron!AB$9,Xero!$A:$A,Heron!$A$5,Xero!$E:$E,Heron!$A52)</f>
        <v/>
      </c>
      <c r="AC52" s="101">
        <f>SUMIFS(Xero!$F:$F,Xero!$B:$B,Heron!AC$9,Xero!$A:$A,Heron!$A$4,Xero!$E:$E,Heron!$A52)+SUMIFS(Xero!$F:$F,Xero!$B:$B,Heron!AC$9,Xero!$A:$A,Heron!$A$5,Xero!$E:$E,Heron!$A52)</f>
        <v/>
      </c>
      <c r="AD52" s="101">
        <f>SUMIFS(Xero!$F:$F,Xero!$B:$B,Heron!AD$9,Xero!$A:$A,Heron!$A$4,Xero!$E:$E,Heron!$A52)+SUMIFS(Xero!$F:$F,Xero!$B:$B,Heron!AD$9,Xero!$A:$A,Heron!$A$5,Xero!$E:$E,Heron!$A52)</f>
        <v/>
      </c>
      <c r="AE52" s="101">
        <f>SUMIFS(Xero!$F:$F,Xero!$B:$B,Heron!AE$9,Xero!$A:$A,Heron!$A$4,Xero!$E:$E,Heron!$A52)+SUMIFS(Xero!$F:$F,Xero!$B:$B,Heron!AE$9,Xero!$A:$A,Heron!$A$5,Xero!$E:$E,Heron!$A52)</f>
        <v/>
      </c>
      <c r="AF52" s="101">
        <f>SUMIFS(Xero!$F:$F,Xero!$B:$B,Heron!AF$9,Xero!$A:$A,Heron!$A$4,Xero!$E:$E,Heron!$A52)+SUMIFS(Xero!$F:$F,Xero!$B:$B,Heron!AF$9,Xero!$A:$A,Heron!$A$5,Xero!$E:$E,Heron!$A52)</f>
        <v/>
      </c>
      <c r="AG52" s="101">
        <f>SUMIFS(Xero!$F:$F,Xero!$B:$B,Heron!AG$9,Xero!$A:$A,Heron!$A$4,Xero!$E:$E,Heron!$A52)+SUMIFS(Xero!$F:$F,Xero!$B:$B,Heron!AG$9,Xero!$A:$A,Heron!$A$5,Xero!$E:$E,Heron!$A52)</f>
        <v/>
      </c>
      <c r="AH52" s="101">
        <f>SUMIFS(Xero!$F:$F,Xero!$B:$B,Heron!AH$9,Xero!$A:$A,Heron!$A$4,Xero!$E:$E,Heron!$A52)+SUMIFS(Xero!$F:$F,Xero!$B:$B,Heron!AH$9,Xero!$A:$A,Heron!$A$5,Xero!$E:$E,Heron!$A52)</f>
        <v/>
      </c>
      <c r="AI52" s="101">
        <f>SUMIFS(Xero!$F:$F,Xero!$B:$B,Heron!AI$9,Xero!$A:$A,Heron!$A$4,Xero!$E:$E,Heron!$A52)+SUMIFS(Xero!$F:$F,Xero!$B:$B,Heron!AI$9,Xero!$A:$A,Heron!$A$5,Xero!$E:$E,Heron!$A52)</f>
        <v/>
      </c>
      <c r="AJ52" s="101">
        <f>SUMIFS(Xero!$F:$F,Xero!$B:$B,Heron!AJ$9,Xero!$A:$A,Heron!$A$4,Xero!$E:$E,Heron!$A52)+SUMIFS(Xero!$F:$F,Xero!$B:$B,Heron!AJ$9,Xero!$A:$A,Heron!$A$5,Xero!$E:$E,Heron!$A52)</f>
        <v/>
      </c>
      <c r="AK52" s="101">
        <f>SUMIFS(Xero!$F:$F,Xero!$B:$B,Heron!AK$9,Xero!$A:$A,Heron!$A$4,Xero!$E:$E,Heron!$A52)+SUMIFS(Xero!$F:$F,Xero!$B:$B,Heron!AK$9,Xero!$A:$A,Heron!$A$5,Xero!$E:$E,Heron!$A52)</f>
        <v/>
      </c>
      <c r="AL52" s="101">
        <f>SUMIFS(Xero!$F:$F,Xero!$B:$B,Heron!AL$9,Xero!$A:$A,Heron!$A$4,Xero!$E:$E,Heron!$A52)+SUMIFS(Xero!$F:$F,Xero!$B:$B,Heron!AL$9,Xero!$A:$A,Heron!$A$5,Xero!$E:$E,Heron!$A52)</f>
        <v/>
      </c>
      <c r="AM52" s="101">
        <f>SUMIFS(Xero!$F:$F,Xero!$B:$B,Heron!AM$9,Xero!$A:$A,Heron!$A$4,Xero!$E:$E,Heron!$A52)+SUMIFS(Xero!$F:$F,Xero!$B:$B,Heron!AM$9,Xero!$A:$A,Heron!$A$5,Xero!$E:$E,Heron!$A52)</f>
        <v/>
      </c>
      <c r="AN52" s="101">
        <f>SUMIFS(Xero!$F:$F,Xero!$B:$B,Heron!AN$9,Xero!$A:$A,Heron!$A$4,Xero!$E:$E,Heron!$A52)+SUMIFS(Xero!$F:$F,Xero!$B:$B,Heron!AN$9,Xero!$A:$A,Heron!$A$5,Xero!$E:$E,Heron!$A52)</f>
        <v/>
      </c>
      <c r="AO52" s="101">
        <f>SUMIFS(Xero!$F:$F,Xero!$B:$B,Heron!AO$9,Xero!$A:$A,Heron!$A$4,Xero!$E:$E,Heron!$A52)+SUMIFS(Xero!$F:$F,Xero!$B:$B,Heron!AO$9,Xero!$A:$A,Heron!$A$5,Xero!$E:$E,Heron!$A52)</f>
        <v/>
      </c>
      <c r="AP52" s="101">
        <f>SUMIFS(Xero!$F:$F,Xero!$B:$B,Heron!AP$9,Xero!$A:$A,Heron!$A$4,Xero!$E:$E,Heron!$A52)+SUMIFS(Xero!$F:$F,Xero!$B:$B,Heron!AP$9,Xero!$A:$A,Heron!$A$5,Xero!$E:$E,Heron!$A52)</f>
        <v/>
      </c>
      <c r="AQ52" s="101">
        <f>SUMIFS(Xero!$F:$F,Xero!$B:$B,Heron!AQ$9,Xero!$A:$A,Heron!$A$4,Xero!$E:$E,Heron!$A52)+SUMIFS(Xero!$F:$F,Xero!$B:$B,Heron!AQ$9,Xero!$A:$A,Heron!$A$5,Xero!$E:$E,Heron!$A52)</f>
        <v/>
      </c>
      <c r="AR52" s="101">
        <f>SUMIFS(Xero!$F:$F,Xero!$B:$B,Heron!AR$9,Xero!$A:$A,Heron!$A$4,Xero!$E:$E,Heron!$A52)+SUMIFS(Xero!$F:$F,Xero!$B:$B,Heron!AR$9,Xero!$A:$A,Heron!$A$5,Xero!$E:$E,Heron!$A52)</f>
        <v/>
      </c>
      <c r="AS52" s="101">
        <f>SUMIFS(Xero!$F:$F,Xero!$B:$B,Heron!AS$9,Xero!$A:$A,Heron!$A$4,Xero!$E:$E,Heron!$A52)+SUMIFS(Xero!$F:$F,Xero!$B:$B,Heron!AS$9,Xero!$A:$A,Heron!$A$5,Xero!$E:$E,Heron!$A52)</f>
        <v/>
      </c>
      <c r="AT52" s="101">
        <f>SUMIFS(Xero!$F:$F,Xero!$B:$B,Heron!AT$9,Xero!$A:$A,Heron!$A$4,Xero!$E:$E,Heron!$A52)+SUMIFS(Xero!$F:$F,Xero!$B:$B,Heron!AT$9,Xero!$A:$A,Heron!$A$5,Xero!$E:$E,Heron!$A52)</f>
        <v/>
      </c>
      <c r="AU52" s="101">
        <f>SUMIFS(Xero!$F:$F,Xero!$B:$B,Heron!AU$9,Xero!$A:$A,Heron!$A$4,Xero!$E:$E,Heron!$A52)+SUMIFS(Xero!$F:$F,Xero!$B:$B,Heron!AU$9,Xero!$A:$A,Heron!$A$5,Xero!$E:$E,Heron!$A52)</f>
        <v/>
      </c>
      <c r="AV52" s="101">
        <f>SUMIFS(Xero!$F:$F,Xero!$B:$B,Heron!AV$9,Xero!$A:$A,Heron!$A$4,Xero!$E:$E,Heron!$A52)+SUMIFS(Xero!$F:$F,Xero!$B:$B,Heron!AV$9,Xero!$A:$A,Heron!$A$5,Xero!$E:$E,Heron!$A52)</f>
        <v/>
      </c>
      <c r="AW52" s="101">
        <f>SUMIFS(Xero!$F:$F,Xero!$B:$B,Heron!AW$9,Xero!$A:$A,Heron!$A$4,Xero!$E:$E,Heron!$A52)+SUMIFS(Xero!$F:$F,Xero!$B:$B,Heron!AW$9,Xero!$A:$A,Heron!$A$5,Xero!$E:$E,Heron!$A52)</f>
        <v/>
      </c>
      <c r="AX52" s="101">
        <f>SUMIFS(Xero!$F:$F,Xero!$B:$B,Heron!AX$9,Xero!$A:$A,Heron!$A$4,Xero!$E:$E,Heron!$A52)+SUMIFS(Xero!$F:$F,Xero!$B:$B,Heron!AX$9,Xero!$A:$A,Heron!$A$5,Xero!$E:$E,Heron!$A52)</f>
        <v/>
      </c>
      <c r="AY52" s="101">
        <f>SUMIFS(Xero!$F:$F,Xero!$B:$B,Heron!AY$9,Xero!$A:$A,Heron!$A$4,Xero!$E:$E,Heron!$A52)+SUMIFS(Xero!$F:$F,Xero!$B:$B,Heron!AY$9,Xero!$A:$A,Heron!$A$5,Xero!$E:$E,Heron!$A52)</f>
        <v/>
      </c>
      <c r="AZ52" s="101">
        <f>SUMIFS(Xero!$F:$F,Xero!$B:$B,Heron!AZ$9,Xero!$A:$A,Heron!$A$4,Xero!$E:$E,Heron!$A52)+SUMIFS(Xero!$F:$F,Xero!$B:$B,Heron!AZ$9,Xero!$A:$A,Heron!$A$5,Xero!$E:$E,Heron!$A52)</f>
        <v/>
      </c>
      <c r="BA52" s="101">
        <f>SUMIFS(Xero!$F:$F,Xero!$B:$B,Heron!BA$9,Xero!$A:$A,Heron!$A$4,Xero!$E:$E,Heron!$A52)+SUMIFS(Xero!$F:$F,Xero!$B:$B,Heron!BA$9,Xero!$A:$A,Heron!$A$5,Xero!$E:$E,Heron!$A52)</f>
        <v/>
      </c>
      <c r="BB52" s="101">
        <f>SUMIFS(Xero!$F:$F,Xero!$B:$B,Heron!BB$9,Xero!$A:$A,Heron!$A$4,Xero!$E:$E,Heron!$A52)+SUMIFS(Xero!$F:$F,Xero!$B:$B,Heron!BB$9,Xero!$A:$A,Heron!$A$5,Xero!$E:$E,Heron!$A52)</f>
        <v/>
      </c>
      <c r="BC52" s="101">
        <f>SUMIFS(Xero!$F:$F,Xero!$B:$B,Heron!BC$9,Xero!$A:$A,Heron!$A$4,Xero!$E:$E,Heron!$A52)+SUMIFS(Xero!$F:$F,Xero!$B:$B,Heron!BC$9,Xero!$A:$A,Heron!$A$5,Xero!$E:$E,Heron!$A52)</f>
        <v/>
      </c>
      <c r="BD52" s="101">
        <f>SUMIFS(Xero!$F:$F,Xero!$B:$B,Heron!BD$9,Xero!$A:$A,Heron!$A$4,Xero!$E:$E,Heron!$A52)+SUMIFS(Xero!$F:$F,Xero!$B:$B,Heron!BD$9,Xero!$A:$A,Heron!$A$5,Xero!$E:$E,Heron!$A52)</f>
        <v/>
      </c>
      <c r="BE52" s="101">
        <f>SUMIFS(Xero!$F:$F,Xero!$B:$B,Heron!BE$9,Xero!$A:$A,Heron!$A$4,Xero!$E:$E,Heron!$A52)+SUMIFS(Xero!$F:$F,Xero!$B:$B,Heron!BE$9,Xero!$A:$A,Heron!$A$5,Xero!$E:$E,Heron!$A52)</f>
        <v/>
      </c>
      <c r="BF52" s="101">
        <f>SUMIFS(Xero!$F:$F,Xero!$B:$B,Heron!BF$9,Xero!$A:$A,Heron!$A$4,Xero!$E:$E,Heron!$A52)+SUMIFS(Xero!$F:$F,Xero!$B:$B,Heron!BF$9,Xero!$A:$A,Heron!$A$5,Xero!$E:$E,Heron!$A52)</f>
        <v/>
      </c>
      <c r="BG52" s="101">
        <f>SUMIFS(Xero!$F:$F,Xero!$B:$B,Heron!BG$9,Xero!$A:$A,Heron!$A$4,Xero!$E:$E,Heron!$A52)+SUMIFS(Xero!$F:$F,Xero!$B:$B,Heron!BG$9,Xero!$A:$A,Heron!$A$5,Xero!$E:$E,Heron!$A52)</f>
        <v/>
      </c>
      <c r="BH52" s="101">
        <f>SUMIFS(Xero!$F:$F,Xero!$B:$B,Heron!BH$9,Xero!$A:$A,Heron!$A$4,Xero!$E:$E,Heron!$A52)+SUMIFS(Xero!$F:$F,Xero!$B:$B,Heron!BH$9,Xero!$A:$A,Heron!$A$5,Xero!$E:$E,Heron!$A52)</f>
        <v/>
      </c>
      <c r="BI52" s="101">
        <f>SUMIFS(Xero!$F:$F,Xero!$B:$B,Heron!BI$9,Xero!$A:$A,Heron!$A$4,Xero!$E:$E,Heron!$A52)+SUMIFS(Xero!$F:$F,Xero!$B:$B,Heron!BI$9,Xero!$A:$A,Heron!$A$5,Xero!$E:$E,Heron!$A52)</f>
        <v/>
      </c>
      <c r="BJ52" s="101">
        <f>SUMIFS(Xero!$F:$F,Xero!$B:$B,Heron!BJ$9,Xero!$A:$A,Heron!$A$4,Xero!$E:$E,Heron!$A52)+SUMIFS(Xero!$F:$F,Xero!$B:$B,Heron!BJ$9,Xero!$A:$A,Heron!$A$5,Xero!$E:$E,Heron!$A52)</f>
        <v/>
      </c>
      <c r="BK52" s="101">
        <f>sum(D52:BJ52)</f>
        <v/>
      </c>
    </row>
    <row r="53">
      <c r="A53" s="100" t="inlineStr">
        <is>
          <t>COS - Inverters</t>
        </is>
      </c>
      <c r="D53" s="101">
        <f>SUMIFS(Xero!$F:$F,Xero!$B:$B,Heron!D$9,Xero!$A:$A,Heron!$A$4,Xero!$E:$E,Heron!$A53)+SUMIFS(Xero!$F:$F,Xero!$B:$B,Heron!D$9,Xero!$A:$A,Heron!$A$5,Xero!$E:$E,Heron!$A53)</f>
        <v/>
      </c>
      <c r="E53" s="101">
        <f>SUMIFS(Xero!$F:$F,Xero!$B:$B,Heron!E$9,Xero!$A:$A,Heron!$A$4,Xero!$E:$E,Heron!$A53)+SUMIFS(Xero!$F:$F,Xero!$B:$B,Heron!E$9,Xero!$A:$A,Heron!$A$5,Xero!$E:$E,Heron!$A53)</f>
        <v/>
      </c>
      <c r="F53" s="101">
        <f>SUMIFS(Xero!$F:$F,Xero!$B:$B,Heron!F$9,Xero!$A:$A,Heron!$A$4,Xero!$E:$E,Heron!$A53)+SUMIFS(Xero!$F:$F,Xero!$B:$B,Heron!F$9,Xero!$A:$A,Heron!$A$5,Xero!$E:$E,Heron!$A53)</f>
        <v/>
      </c>
      <c r="G53" s="101">
        <f>SUMIFS(Xero!$F:$F,Xero!$B:$B,Heron!G$9,Xero!$A:$A,Heron!$A$4,Xero!$E:$E,Heron!$A53)+SUMIFS(Xero!$F:$F,Xero!$B:$B,Heron!G$9,Xero!$A:$A,Heron!$A$5,Xero!$E:$E,Heron!$A53)</f>
        <v/>
      </c>
      <c r="H53" s="101">
        <f>SUMIFS(Xero!$F:$F,Xero!$B:$B,Heron!H$9,Xero!$A:$A,Heron!$A$4,Xero!$E:$E,Heron!$A53)+SUMIFS(Xero!$F:$F,Xero!$B:$B,Heron!H$9,Xero!$A:$A,Heron!$A$5,Xero!$E:$E,Heron!$A53)</f>
        <v/>
      </c>
      <c r="I53" s="101">
        <f>SUMIFS(Xero!$F:$F,Xero!$B:$B,Heron!I$9,Xero!$A:$A,Heron!$A$4,Xero!$E:$E,Heron!$A53)+SUMIFS(Xero!$F:$F,Xero!$B:$B,Heron!I$9,Xero!$A:$A,Heron!$A$5,Xero!$E:$E,Heron!$A53)</f>
        <v/>
      </c>
      <c r="J53" s="101">
        <f>SUMIFS(Xero!$F:$F,Xero!$B:$B,Heron!J$9,Xero!$A:$A,Heron!$A$4,Xero!$E:$E,Heron!$A53)+SUMIFS(Xero!$F:$F,Xero!$B:$B,Heron!J$9,Xero!$A:$A,Heron!$A$5,Xero!$E:$E,Heron!$A53)</f>
        <v/>
      </c>
      <c r="K53" s="101">
        <f>SUMIFS(Xero!$F:$F,Xero!$B:$B,Heron!K$9,Xero!$A:$A,Heron!$A$4,Xero!$E:$E,Heron!$A53)+SUMIFS(Xero!$F:$F,Xero!$B:$B,Heron!K$9,Xero!$A:$A,Heron!$A$5,Xero!$E:$E,Heron!$A53)</f>
        <v/>
      </c>
      <c r="L53" s="101">
        <f>SUMIFS(Xero!$F:$F,Xero!$B:$B,Heron!L$9,Xero!$A:$A,Heron!$A$4,Xero!$E:$E,Heron!$A53)+SUMIFS(Xero!$F:$F,Xero!$B:$B,Heron!L$9,Xero!$A:$A,Heron!$A$5,Xero!$E:$E,Heron!$A53)</f>
        <v/>
      </c>
      <c r="M53" s="101">
        <f>SUMIFS(Xero!$F:$F,Xero!$B:$B,Heron!M$9,Xero!$A:$A,Heron!$A$4,Xero!$E:$E,Heron!$A53)+SUMIFS(Xero!$F:$F,Xero!$B:$B,Heron!M$9,Xero!$A:$A,Heron!$A$5,Xero!$E:$E,Heron!$A53)</f>
        <v/>
      </c>
      <c r="N53" s="101">
        <f>SUMIFS(Xero!$F:$F,Xero!$B:$B,Heron!N$9,Xero!$A:$A,Heron!$A$4,Xero!$E:$E,Heron!$A53)+SUMIFS(Xero!$F:$F,Xero!$B:$B,Heron!N$9,Xero!$A:$A,Heron!$A$5,Xero!$E:$E,Heron!$A53)</f>
        <v/>
      </c>
      <c r="O53" s="101">
        <f>SUMIFS(Xero!$F:$F,Xero!$B:$B,Heron!O$9,Xero!$A:$A,Heron!$A$4,Xero!$E:$E,Heron!$A53)+SUMIFS(Xero!$F:$F,Xero!$B:$B,Heron!O$9,Xero!$A:$A,Heron!$A$5,Xero!$E:$E,Heron!$A53)</f>
        <v/>
      </c>
      <c r="P53" s="101">
        <f>SUMIFS(Xero!$F:$F,Xero!$B:$B,Heron!P$9,Xero!$A:$A,Heron!$A$4,Xero!$E:$E,Heron!$A53)+SUMIFS(Xero!$F:$F,Xero!$B:$B,Heron!P$9,Xero!$A:$A,Heron!$A$5,Xero!$E:$E,Heron!$A53)</f>
        <v/>
      </c>
      <c r="Q53" s="101">
        <f>SUMIFS(Xero!$F:$F,Xero!$B:$B,Heron!Q$9,Xero!$A:$A,Heron!$A$4,Xero!$E:$E,Heron!$A53)+SUMIFS(Xero!$F:$F,Xero!$B:$B,Heron!Q$9,Xero!$A:$A,Heron!$A$5,Xero!$E:$E,Heron!$A53)</f>
        <v/>
      </c>
      <c r="R53" s="101">
        <f>SUMIFS(Xero!$F:$F,Xero!$B:$B,Heron!R$9,Xero!$A:$A,Heron!$A$4,Xero!$E:$E,Heron!$A53)+SUMIFS(Xero!$F:$F,Xero!$B:$B,Heron!R$9,Xero!$A:$A,Heron!$A$5,Xero!$E:$E,Heron!$A53)</f>
        <v/>
      </c>
      <c r="S53" s="101">
        <f>SUMIFS(Xero!$F:$F,Xero!$B:$B,Heron!S$9,Xero!$A:$A,Heron!$A$4,Xero!$E:$E,Heron!$A53)+SUMIFS(Xero!$F:$F,Xero!$B:$B,Heron!S$9,Xero!$A:$A,Heron!$A$5,Xero!$E:$E,Heron!$A53)</f>
        <v/>
      </c>
      <c r="T53" s="101">
        <f>SUMIFS(Xero!$F:$F,Xero!$B:$B,Heron!T$9,Xero!$A:$A,Heron!$A$4,Xero!$E:$E,Heron!$A53)+SUMIFS(Xero!$F:$F,Xero!$B:$B,Heron!T$9,Xero!$A:$A,Heron!$A$5,Xero!$E:$E,Heron!$A53)</f>
        <v/>
      </c>
      <c r="U53" s="101">
        <f>SUMIFS(Xero!$F:$F,Xero!$B:$B,Heron!U$9,Xero!$A:$A,Heron!$A$4,Xero!$E:$E,Heron!$A53)+SUMIFS(Xero!$F:$F,Xero!$B:$B,Heron!U$9,Xero!$A:$A,Heron!$A$5,Xero!$E:$E,Heron!$A53)</f>
        <v/>
      </c>
      <c r="V53" s="101">
        <f>SUMIFS(Xero!$F:$F,Xero!$B:$B,Heron!V$9,Xero!$A:$A,Heron!$A$4,Xero!$E:$E,Heron!$A53)+SUMIFS(Xero!$F:$F,Xero!$B:$B,Heron!V$9,Xero!$A:$A,Heron!$A$5,Xero!$E:$E,Heron!$A53)</f>
        <v/>
      </c>
      <c r="W53" s="101">
        <f>SUMIFS(Xero!$F:$F,Xero!$B:$B,Heron!W$9,Xero!$A:$A,Heron!$A$4,Xero!$E:$E,Heron!$A53)+SUMIFS(Xero!$F:$F,Xero!$B:$B,Heron!W$9,Xero!$A:$A,Heron!$A$5,Xero!$E:$E,Heron!$A53)</f>
        <v/>
      </c>
      <c r="X53" s="101">
        <f>SUMIFS(Xero!$F:$F,Xero!$B:$B,Heron!X$9,Xero!$A:$A,Heron!$A$4,Xero!$E:$E,Heron!$A53)+SUMIFS(Xero!$F:$F,Xero!$B:$B,Heron!X$9,Xero!$A:$A,Heron!$A$5,Xero!$E:$E,Heron!$A53)</f>
        <v/>
      </c>
      <c r="Y53" s="101">
        <f>SUMIFS(Xero!$F:$F,Xero!$B:$B,Heron!Y$9,Xero!$A:$A,Heron!$A$4,Xero!$E:$E,Heron!$A53)+SUMIFS(Xero!$F:$F,Xero!$B:$B,Heron!Y$9,Xero!$A:$A,Heron!$A$5,Xero!$E:$E,Heron!$A53)</f>
        <v/>
      </c>
      <c r="Z53" s="101">
        <f>SUMIFS(Xero!$F:$F,Xero!$B:$B,Heron!Z$9,Xero!$A:$A,Heron!$A$4,Xero!$E:$E,Heron!$A53)+SUMIFS(Xero!$F:$F,Xero!$B:$B,Heron!Z$9,Xero!$A:$A,Heron!$A$5,Xero!$E:$E,Heron!$A53)</f>
        <v/>
      </c>
      <c r="AA53" s="101">
        <f>SUMIFS(Xero!$F:$F,Xero!$B:$B,Heron!AA$9,Xero!$A:$A,Heron!$A$4,Xero!$E:$E,Heron!$A53)+SUMIFS(Xero!$F:$F,Xero!$B:$B,Heron!AA$9,Xero!$A:$A,Heron!$A$5,Xero!$E:$E,Heron!$A53)</f>
        <v/>
      </c>
      <c r="AB53" s="101">
        <f>SUMIFS(Xero!$F:$F,Xero!$B:$B,Heron!AB$9,Xero!$A:$A,Heron!$A$4,Xero!$E:$E,Heron!$A53)+SUMIFS(Xero!$F:$F,Xero!$B:$B,Heron!AB$9,Xero!$A:$A,Heron!$A$5,Xero!$E:$E,Heron!$A53)</f>
        <v/>
      </c>
      <c r="AC53" s="101">
        <f>SUMIFS(Xero!$F:$F,Xero!$B:$B,Heron!AC$9,Xero!$A:$A,Heron!$A$4,Xero!$E:$E,Heron!$A53)+SUMIFS(Xero!$F:$F,Xero!$B:$B,Heron!AC$9,Xero!$A:$A,Heron!$A$5,Xero!$E:$E,Heron!$A53)</f>
        <v/>
      </c>
      <c r="AD53" s="101">
        <f>SUMIFS(Xero!$F:$F,Xero!$B:$B,Heron!AD$9,Xero!$A:$A,Heron!$A$4,Xero!$E:$E,Heron!$A53)+SUMIFS(Xero!$F:$F,Xero!$B:$B,Heron!AD$9,Xero!$A:$A,Heron!$A$5,Xero!$E:$E,Heron!$A53)</f>
        <v/>
      </c>
      <c r="AE53" s="101">
        <f>SUMIFS(Xero!$F:$F,Xero!$B:$B,Heron!AE$9,Xero!$A:$A,Heron!$A$4,Xero!$E:$E,Heron!$A53)+SUMIFS(Xero!$F:$F,Xero!$B:$B,Heron!AE$9,Xero!$A:$A,Heron!$A$5,Xero!$E:$E,Heron!$A53)</f>
        <v/>
      </c>
      <c r="AF53" s="101">
        <f>SUMIFS(Xero!$F:$F,Xero!$B:$B,Heron!AF$9,Xero!$A:$A,Heron!$A$4,Xero!$E:$E,Heron!$A53)+SUMIFS(Xero!$F:$F,Xero!$B:$B,Heron!AF$9,Xero!$A:$A,Heron!$A$5,Xero!$E:$E,Heron!$A53)</f>
        <v/>
      </c>
      <c r="AG53" s="101">
        <f>SUMIFS(Xero!$F:$F,Xero!$B:$B,Heron!AG$9,Xero!$A:$A,Heron!$A$4,Xero!$E:$E,Heron!$A53)+SUMIFS(Xero!$F:$F,Xero!$B:$B,Heron!AG$9,Xero!$A:$A,Heron!$A$5,Xero!$E:$E,Heron!$A53)</f>
        <v/>
      </c>
      <c r="AH53" s="101">
        <f>SUMIFS(Xero!$F:$F,Xero!$B:$B,Heron!AH$9,Xero!$A:$A,Heron!$A$4,Xero!$E:$E,Heron!$A53)+SUMIFS(Xero!$F:$F,Xero!$B:$B,Heron!AH$9,Xero!$A:$A,Heron!$A$5,Xero!$E:$E,Heron!$A53)</f>
        <v/>
      </c>
      <c r="AI53" s="101">
        <f>SUMIFS(Xero!$F:$F,Xero!$B:$B,Heron!AI$9,Xero!$A:$A,Heron!$A$4,Xero!$E:$E,Heron!$A53)+SUMIFS(Xero!$F:$F,Xero!$B:$B,Heron!AI$9,Xero!$A:$A,Heron!$A$5,Xero!$E:$E,Heron!$A53)</f>
        <v/>
      </c>
      <c r="AJ53" s="101">
        <f>SUMIFS(Xero!$F:$F,Xero!$B:$B,Heron!AJ$9,Xero!$A:$A,Heron!$A$4,Xero!$E:$E,Heron!$A53)+SUMIFS(Xero!$F:$F,Xero!$B:$B,Heron!AJ$9,Xero!$A:$A,Heron!$A$5,Xero!$E:$E,Heron!$A53)</f>
        <v/>
      </c>
      <c r="AK53" s="101">
        <f>SUMIFS(Xero!$F:$F,Xero!$B:$B,Heron!AK$9,Xero!$A:$A,Heron!$A$4,Xero!$E:$E,Heron!$A53)+SUMIFS(Xero!$F:$F,Xero!$B:$B,Heron!AK$9,Xero!$A:$A,Heron!$A$5,Xero!$E:$E,Heron!$A53)</f>
        <v/>
      </c>
      <c r="AL53" s="101">
        <f>SUMIFS(Xero!$F:$F,Xero!$B:$B,Heron!AL$9,Xero!$A:$A,Heron!$A$4,Xero!$E:$E,Heron!$A53)+SUMIFS(Xero!$F:$F,Xero!$B:$B,Heron!AL$9,Xero!$A:$A,Heron!$A$5,Xero!$E:$E,Heron!$A53)</f>
        <v/>
      </c>
      <c r="AM53" s="101">
        <f>SUMIFS(Xero!$F:$F,Xero!$B:$B,Heron!AM$9,Xero!$A:$A,Heron!$A$4,Xero!$E:$E,Heron!$A53)+SUMIFS(Xero!$F:$F,Xero!$B:$B,Heron!AM$9,Xero!$A:$A,Heron!$A$5,Xero!$E:$E,Heron!$A53)</f>
        <v/>
      </c>
      <c r="AN53" s="101">
        <f>SUMIFS(Xero!$F:$F,Xero!$B:$B,Heron!AN$9,Xero!$A:$A,Heron!$A$4,Xero!$E:$E,Heron!$A53)+SUMIFS(Xero!$F:$F,Xero!$B:$B,Heron!AN$9,Xero!$A:$A,Heron!$A$5,Xero!$E:$E,Heron!$A53)</f>
        <v/>
      </c>
      <c r="AO53" s="101">
        <f>SUMIFS(Xero!$F:$F,Xero!$B:$B,Heron!AO$9,Xero!$A:$A,Heron!$A$4,Xero!$E:$E,Heron!$A53)+SUMIFS(Xero!$F:$F,Xero!$B:$B,Heron!AO$9,Xero!$A:$A,Heron!$A$5,Xero!$E:$E,Heron!$A53)</f>
        <v/>
      </c>
      <c r="AP53" s="101">
        <f>SUMIFS(Xero!$F:$F,Xero!$B:$B,Heron!AP$9,Xero!$A:$A,Heron!$A$4,Xero!$E:$E,Heron!$A53)+SUMIFS(Xero!$F:$F,Xero!$B:$B,Heron!AP$9,Xero!$A:$A,Heron!$A$5,Xero!$E:$E,Heron!$A53)</f>
        <v/>
      </c>
      <c r="AQ53" s="101">
        <f>SUMIFS(Xero!$F:$F,Xero!$B:$B,Heron!AQ$9,Xero!$A:$A,Heron!$A$4,Xero!$E:$E,Heron!$A53)+SUMIFS(Xero!$F:$F,Xero!$B:$B,Heron!AQ$9,Xero!$A:$A,Heron!$A$5,Xero!$E:$E,Heron!$A53)</f>
        <v/>
      </c>
      <c r="AR53" s="101">
        <f>SUMIFS(Xero!$F:$F,Xero!$B:$B,Heron!AR$9,Xero!$A:$A,Heron!$A$4,Xero!$E:$E,Heron!$A53)+SUMIFS(Xero!$F:$F,Xero!$B:$B,Heron!AR$9,Xero!$A:$A,Heron!$A$5,Xero!$E:$E,Heron!$A53)</f>
        <v/>
      </c>
      <c r="AS53" s="101">
        <f>SUMIFS(Xero!$F:$F,Xero!$B:$B,Heron!AS$9,Xero!$A:$A,Heron!$A$4,Xero!$E:$E,Heron!$A53)+SUMIFS(Xero!$F:$F,Xero!$B:$B,Heron!AS$9,Xero!$A:$A,Heron!$A$5,Xero!$E:$E,Heron!$A53)</f>
        <v/>
      </c>
      <c r="AT53" s="101">
        <f>SUMIFS(Xero!$F:$F,Xero!$B:$B,Heron!AT$9,Xero!$A:$A,Heron!$A$4,Xero!$E:$E,Heron!$A53)+SUMIFS(Xero!$F:$F,Xero!$B:$B,Heron!AT$9,Xero!$A:$A,Heron!$A$5,Xero!$E:$E,Heron!$A53)</f>
        <v/>
      </c>
      <c r="AU53" s="101">
        <f>SUMIFS(Xero!$F:$F,Xero!$B:$B,Heron!AU$9,Xero!$A:$A,Heron!$A$4,Xero!$E:$E,Heron!$A53)+SUMIFS(Xero!$F:$F,Xero!$B:$B,Heron!AU$9,Xero!$A:$A,Heron!$A$5,Xero!$E:$E,Heron!$A53)</f>
        <v/>
      </c>
      <c r="AV53" s="101">
        <f>SUMIFS(Xero!$F:$F,Xero!$B:$B,Heron!AV$9,Xero!$A:$A,Heron!$A$4,Xero!$E:$E,Heron!$A53)+SUMIFS(Xero!$F:$F,Xero!$B:$B,Heron!AV$9,Xero!$A:$A,Heron!$A$5,Xero!$E:$E,Heron!$A53)</f>
        <v/>
      </c>
      <c r="AW53" s="101">
        <f>SUMIFS(Xero!$F:$F,Xero!$B:$B,Heron!AW$9,Xero!$A:$A,Heron!$A$4,Xero!$E:$E,Heron!$A53)+SUMIFS(Xero!$F:$F,Xero!$B:$B,Heron!AW$9,Xero!$A:$A,Heron!$A$5,Xero!$E:$E,Heron!$A53)</f>
        <v/>
      </c>
      <c r="AX53" s="101">
        <f>SUMIFS(Xero!$F:$F,Xero!$B:$B,Heron!AX$9,Xero!$A:$A,Heron!$A$4,Xero!$E:$E,Heron!$A53)+SUMIFS(Xero!$F:$F,Xero!$B:$B,Heron!AX$9,Xero!$A:$A,Heron!$A$5,Xero!$E:$E,Heron!$A53)</f>
        <v/>
      </c>
      <c r="AY53" s="101">
        <f>SUMIFS(Xero!$F:$F,Xero!$B:$B,Heron!AY$9,Xero!$A:$A,Heron!$A$4,Xero!$E:$E,Heron!$A53)+SUMIFS(Xero!$F:$F,Xero!$B:$B,Heron!AY$9,Xero!$A:$A,Heron!$A$5,Xero!$E:$E,Heron!$A53)</f>
        <v/>
      </c>
      <c r="AZ53" s="101">
        <f>SUMIFS(Xero!$F:$F,Xero!$B:$B,Heron!AZ$9,Xero!$A:$A,Heron!$A$4,Xero!$E:$E,Heron!$A53)+SUMIFS(Xero!$F:$F,Xero!$B:$B,Heron!AZ$9,Xero!$A:$A,Heron!$A$5,Xero!$E:$E,Heron!$A53)</f>
        <v/>
      </c>
      <c r="BA53" s="101">
        <f>SUMIFS(Xero!$F:$F,Xero!$B:$B,Heron!BA$9,Xero!$A:$A,Heron!$A$4,Xero!$E:$E,Heron!$A53)+SUMIFS(Xero!$F:$F,Xero!$B:$B,Heron!BA$9,Xero!$A:$A,Heron!$A$5,Xero!$E:$E,Heron!$A53)</f>
        <v/>
      </c>
      <c r="BB53" s="101">
        <f>SUMIFS(Xero!$F:$F,Xero!$B:$B,Heron!BB$9,Xero!$A:$A,Heron!$A$4,Xero!$E:$E,Heron!$A53)+SUMIFS(Xero!$F:$F,Xero!$B:$B,Heron!BB$9,Xero!$A:$A,Heron!$A$5,Xero!$E:$E,Heron!$A53)</f>
        <v/>
      </c>
      <c r="BC53" s="101">
        <f>SUMIFS(Xero!$F:$F,Xero!$B:$B,Heron!BC$9,Xero!$A:$A,Heron!$A$4,Xero!$E:$E,Heron!$A53)+SUMIFS(Xero!$F:$F,Xero!$B:$B,Heron!BC$9,Xero!$A:$A,Heron!$A$5,Xero!$E:$E,Heron!$A53)</f>
        <v/>
      </c>
      <c r="BD53" s="101">
        <f>SUMIFS(Xero!$F:$F,Xero!$B:$B,Heron!BD$9,Xero!$A:$A,Heron!$A$4,Xero!$E:$E,Heron!$A53)+SUMIFS(Xero!$F:$F,Xero!$B:$B,Heron!BD$9,Xero!$A:$A,Heron!$A$5,Xero!$E:$E,Heron!$A53)</f>
        <v/>
      </c>
      <c r="BE53" s="101">
        <f>SUMIFS(Xero!$F:$F,Xero!$B:$B,Heron!BE$9,Xero!$A:$A,Heron!$A$4,Xero!$E:$E,Heron!$A53)+SUMIFS(Xero!$F:$F,Xero!$B:$B,Heron!BE$9,Xero!$A:$A,Heron!$A$5,Xero!$E:$E,Heron!$A53)</f>
        <v/>
      </c>
      <c r="BF53" s="101">
        <f>SUMIFS(Xero!$F:$F,Xero!$B:$B,Heron!BF$9,Xero!$A:$A,Heron!$A$4,Xero!$E:$E,Heron!$A53)+SUMIFS(Xero!$F:$F,Xero!$B:$B,Heron!BF$9,Xero!$A:$A,Heron!$A$5,Xero!$E:$E,Heron!$A53)</f>
        <v/>
      </c>
      <c r="BG53" s="101">
        <f>SUMIFS(Xero!$F:$F,Xero!$B:$B,Heron!BG$9,Xero!$A:$A,Heron!$A$4,Xero!$E:$E,Heron!$A53)+SUMIFS(Xero!$F:$F,Xero!$B:$B,Heron!BG$9,Xero!$A:$A,Heron!$A$5,Xero!$E:$E,Heron!$A53)</f>
        <v/>
      </c>
      <c r="BH53" s="101">
        <f>SUMIFS(Xero!$F:$F,Xero!$B:$B,Heron!BH$9,Xero!$A:$A,Heron!$A$4,Xero!$E:$E,Heron!$A53)+SUMIFS(Xero!$F:$F,Xero!$B:$B,Heron!BH$9,Xero!$A:$A,Heron!$A$5,Xero!$E:$E,Heron!$A53)</f>
        <v/>
      </c>
      <c r="BI53" s="101">
        <f>SUMIFS(Xero!$F:$F,Xero!$B:$B,Heron!BI$9,Xero!$A:$A,Heron!$A$4,Xero!$E:$E,Heron!$A53)+SUMIFS(Xero!$F:$F,Xero!$B:$B,Heron!BI$9,Xero!$A:$A,Heron!$A$5,Xero!$E:$E,Heron!$A53)</f>
        <v/>
      </c>
      <c r="BJ53" s="101">
        <f>SUMIFS(Xero!$F:$F,Xero!$B:$B,Heron!BJ$9,Xero!$A:$A,Heron!$A$4,Xero!$E:$E,Heron!$A53)+SUMIFS(Xero!$F:$F,Xero!$B:$B,Heron!BJ$9,Xero!$A:$A,Heron!$A$5,Xero!$E:$E,Heron!$A53)</f>
        <v/>
      </c>
      <c r="BK53" s="101">
        <f>sum(D53:BJ53)</f>
        <v/>
      </c>
    </row>
    <row r="54">
      <c r="A54" s="100" t="inlineStr">
        <is>
          <t>COS - Legal Fees</t>
        </is>
      </c>
      <c r="D54" s="101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1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1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1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1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1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1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1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1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1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1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1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1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1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1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1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1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1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1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1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1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1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1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1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1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1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1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1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1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1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1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1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1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1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1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1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1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1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1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1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1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1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1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1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1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1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1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1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1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1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1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1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1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1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1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1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1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1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1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1">
        <f>sum(D54:BJ54)</f>
        <v/>
      </c>
    </row>
    <row r="55">
      <c r="A55" s="100" t="inlineStr">
        <is>
          <t>COS - Legal Fees Opening of Sec Title Fees</t>
        </is>
      </c>
      <c r="D55" s="101">
        <f>SUMIFS(Xero!$F:$F,Xero!$B:$B,Heron!D$9,Xero!$A:$A,Heron!$A$4,Xero!$E:$E,Heron!$A55)+SUMIFS(Xero!$F:$F,Xero!$B:$B,Heron!D$9,Xero!$A:$A,Heron!$A$5,Xero!$E:$E,Heron!$A55)</f>
        <v/>
      </c>
      <c r="E55" s="101">
        <f>SUMIFS(Xero!$F:$F,Xero!$B:$B,Heron!E$9,Xero!$A:$A,Heron!$A$4,Xero!$E:$E,Heron!$A55)+SUMIFS(Xero!$F:$F,Xero!$B:$B,Heron!E$9,Xero!$A:$A,Heron!$A$5,Xero!$E:$E,Heron!$A55)</f>
        <v/>
      </c>
      <c r="F55" s="101">
        <f>SUMIFS(Xero!$F:$F,Xero!$B:$B,Heron!F$9,Xero!$A:$A,Heron!$A$4,Xero!$E:$E,Heron!$A55)+SUMIFS(Xero!$F:$F,Xero!$B:$B,Heron!F$9,Xero!$A:$A,Heron!$A$5,Xero!$E:$E,Heron!$A55)</f>
        <v/>
      </c>
      <c r="G55" s="101">
        <f>SUMIFS(Xero!$F:$F,Xero!$B:$B,Heron!G$9,Xero!$A:$A,Heron!$A$4,Xero!$E:$E,Heron!$A55)+SUMIFS(Xero!$F:$F,Xero!$B:$B,Heron!G$9,Xero!$A:$A,Heron!$A$5,Xero!$E:$E,Heron!$A55)</f>
        <v/>
      </c>
      <c r="H55" s="101">
        <f>SUMIFS(Xero!$F:$F,Xero!$B:$B,Heron!H$9,Xero!$A:$A,Heron!$A$4,Xero!$E:$E,Heron!$A55)+SUMIFS(Xero!$F:$F,Xero!$B:$B,Heron!H$9,Xero!$A:$A,Heron!$A$5,Xero!$E:$E,Heron!$A55)</f>
        <v/>
      </c>
      <c r="I55" s="101">
        <f>SUMIFS(Xero!$F:$F,Xero!$B:$B,Heron!I$9,Xero!$A:$A,Heron!$A$4,Xero!$E:$E,Heron!$A55)+SUMIFS(Xero!$F:$F,Xero!$B:$B,Heron!I$9,Xero!$A:$A,Heron!$A$5,Xero!$E:$E,Heron!$A55)</f>
        <v/>
      </c>
      <c r="J55" s="101">
        <f>SUMIFS(Xero!$F:$F,Xero!$B:$B,Heron!J$9,Xero!$A:$A,Heron!$A$4,Xero!$E:$E,Heron!$A55)+SUMIFS(Xero!$F:$F,Xero!$B:$B,Heron!J$9,Xero!$A:$A,Heron!$A$5,Xero!$E:$E,Heron!$A55)</f>
        <v/>
      </c>
      <c r="K55" s="101">
        <f>SUMIFS(Xero!$F:$F,Xero!$B:$B,Heron!K$9,Xero!$A:$A,Heron!$A$4,Xero!$E:$E,Heron!$A55)+SUMIFS(Xero!$F:$F,Xero!$B:$B,Heron!K$9,Xero!$A:$A,Heron!$A$5,Xero!$E:$E,Heron!$A55)</f>
        <v/>
      </c>
      <c r="L55" s="101">
        <f>SUMIFS(Xero!$F:$F,Xero!$B:$B,Heron!L$9,Xero!$A:$A,Heron!$A$4,Xero!$E:$E,Heron!$A55)+SUMIFS(Xero!$F:$F,Xero!$B:$B,Heron!L$9,Xero!$A:$A,Heron!$A$5,Xero!$E:$E,Heron!$A55)</f>
        <v/>
      </c>
      <c r="M55" s="101">
        <f>SUMIFS(Xero!$F:$F,Xero!$B:$B,Heron!M$9,Xero!$A:$A,Heron!$A$4,Xero!$E:$E,Heron!$A55)+SUMIFS(Xero!$F:$F,Xero!$B:$B,Heron!M$9,Xero!$A:$A,Heron!$A$5,Xero!$E:$E,Heron!$A55)</f>
        <v/>
      </c>
      <c r="N55" s="101">
        <f>SUMIFS(Xero!$F:$F,Xero!$B:$B,Heron!N$9,Xero!$A:$A,Heron!$A$4,Xero!$E:$E,Heron!$A55)+SUMIFS(Xero!$F:$F,Xero!$B:$B,Heron!N$9,Xero!$A:$A,Heron!$A$5,Xero!$E:$E,Heron!$A55)</f>
        <v/>
      </c>
      <c r="O55" s="101">
        <f>SUMIFS(Xero!$F:$F,Xero!$B:$B,Heron!O$9,Xero!$A:$A,Heron!$A$4,Xero!$E:$E,Heron!$A55)+SUMIFS(Xero!$F:$F,Xero!$B:$B,Heron!O$9,Xero!$A:$A,Heron!$A$5,Xero!$E:$E,Heron!$A55)</f>
        <v/>
      </c>
      <c r="P55" s="101">
        <f>SUMIFS(Xero!$F:$F,Xero!$B:$B,Heron!P$9,Xero!$A:$A,Heron!$A$4,Xero!$E:$E,Heron!$A55)+SUMIFS(Xero!$F:$F,Xero!$B:$B,Heron!P$9,Xero!$A:$A,Heron!$A$5,Xero!$E:$E,Heron!$A55)</f>
        <v/>
      </c>
      <c r="Q55" s="101">
        <f>SUMIFS(Xero!$F:$F,Xero!$B:$B,Heron!Q$9,Xero!$A:$A,Heron!$A$4,Xero!$E:$E,Heron!$A55)+SUMIFS(Xero!$F:$F,Xero!$B:$B,Heron!Q$9,Xero!$A:$A,Heron!$A$5,Xero!$E:$E,Heron!$A55)</f>
        <v/>
      </c>
      <c r="R55" s="101">
        <f>SUMIFS(Xero!$F:$F,Xero!$B:$B,Heron!R$9,Xero!$A:$A,Heron!$A$4,Xero!$E:$E,Heron!$A55)+SUMIFS(Xero!$F:$F,Xero!$B:$B,Heron!R$9,Xero!$A:$A,Heron!$A$5,Xero!$E:$E,Heron!$A55)</f>
        <v/>
      </c>
      <c r="S55" s="101">
        <f>SUMIFS(Xero!$F:$F,Xero!$B:$B,Heron!S$9,Xero!$A:$A,Heron!$A$4,Xero!$E:$E,Heron!$A55)+SUMIFS(Xero!$F:$F,Xero!$B:$B,Heron!S$9,Xero!$A:$A,Heron!$A$5,Xero!$E:$E,Heron!$A55)</f>
        <v/>
      </c>
      <c r="T55" s="101">
        <f>SUMIFS(Xero!$F:$F,Xero!$B:$B,Heron!T$9,Xero!$A:$A,Heron!$A$4,Xero!$E:$E,Heron!$A55)+SUMIFS(Xero!$F:$F,Xero!$B:$B,Heron!T$9,Xero!$A:$A,Heron!$A$5,Xero!$E:$E,Heron!$A55)</f>
        <v/>
      </c>
      <c r="U55" s="101">
        <f>SUMIFS(Xero!$F:$F,Xero!$B:$B,Heron!U$9,Xero!$A:$A,Heron!$A$4,Xero!$E:$E,Heron!$A55)+SUMIFS(Xero!$F:$F,Xero!$B:$B,Heron!U$9,Xero!$A:$A,Heron!$A$5,Xero!$E:$E,Heron!$A55)</f>
        <v/>
      </c>
      <c r="V55" s="101">
        <f>SUMIFS(Xero!$F:$F,Xero!$B:$B,Heron!V$9,Xero!$A:$A,Heron!$A$4,Xero!$E:$E,Heron!$A55)+SUMIFS(Xero!$F:$F,Xero!$B:$B,Heron!V$9,Xero!$A:$A,Heron!$A$5,Xero!$E:$E,Heron!$A55)</f>
        <v/>
      </c>
      <c r="W55" s="101">
        <f>SUMIFS(Xero!$F:$F,Xero!$B:$B,Heron!W$9,Xero!$A:$A,Heron!$A$4,Xero!$E:$E,Heron!$A55)+SUMIFS(Xero!$F:$F,Xero!$B:$B,Heron!W$9,Xero!$A:$A,Heron!$A$5,Xero!$E:$E,Heron!$A55)</f>
        <v/>
      </c>
      <c r="X55" s="101">
        <f>SUMIFS(Xero!$F:$F,Xero!$B:$B,Heron!X$9,Xero!$A:$A,Heron!$A$4,Xero!$E:$E,Heron!$A55)+SUMIFS(Xero!$F:$F,Xero!$B:$B,Heron!X$9,Xero!$A:$A,Heron!$A$5,Xero!$E:$E,Heron!$A55)</f>
        <v/>
      </c>
      <c r="Y55" s="101">
        <f>SUMIFS(Xero!$F:$F,Xero!$B:$B,Heron!Y$9,Xero!$A:$A,Heron!$A$4,Xero!$E:$E,Heron!$A55)+SUMIFS(Xero!$F:$F,Xero!$B:$B,Heron!Y$9,Xero!$A:$A,Heron!$A$5,Xero!$E:$E,Heron!$A55)</f>
        <v/>
      </c>
      <c r="Z55" s="101">
        <f>SUMIFS(Xero!$F:$F,Xero!$B:$B,Heron!Z$9,Xero!$A:$A,Heron!$A$4,Xero!$E:$E,Heron!$A55)+SUMIFS(Xero!$F:$F,Xero!$B:$B,Heron!Z$9,Xero!$A:$A,Heron!$A$5,Xero!$E:$E,Heron!$A55)</f>
        <v/>
      </c>
      <c r="AA55" s="101">
        <f>SUMIFS(Xero!$F:$F,Xero!$B:$B,Heron!AA$9,Xero!$A:$A,Heron!$A$4,Xero!$E:$E,Heron!$A55)+SUMIFS(Xero!$F:$F,Xero!$B:$B,Heron!AA$9,Xero!$A:$A,Heron!$A$5,Xero!$E:$E,Heron!$A55)</f>
        <v/>
      </c>
      <c r="AB55" s="101">
        <f>SUMIFS(Xero!$F:$F,Xero!$B:$B,Heron!AB$9,Xero!$A:$A,Heron!$A$4,Xero!$E:$E,Heron!$A55)+SUMIFS(Xero!$F:$F,Xero!$B:$B,Heron!AB$9,Xero!$A:$A,Heron!$A$5,Xero!$E:$E,Heron!$A55)</f>
        <v/>
      </c>
      <c r="AC55" s="101">
        <f>SUMIFS(Xero!$F:$F,Xero!$B:$B,Heron!AC$9,Xero!$A:$A,Heron!$A$4,Xero!$E:$E,Heron!$A55)+SUMIFS(Xero!$F:$F,Xero!$B:$B,Heron!AC$9,Xero!$A:$A,Heron!$A$5,Xero!$E:$E,Heron!$A55)</f>
        <v/>
      </c>
      <c r="AD55" s="101">
        <f>SUMIFS(Xero!$F:$F,Xero!$B:$B,Heron!AD$9,Xero!$A:$A,Heron!$A$4,Xero!$E:$E,Heron!$A55)+SUMIFS(Xero!$F:$F,Xero!$B:$B,Heron!AD$9,Xero!$A:$A,Heron!$A$5,Xero!$E:$E,Heron!$A55)</f>
        <v/>
      </c>
      <c r="AE55" s="101">
        <f>SUMIFS(Xero!$F:$F,Xero!$B:$B,Heron!AE$9,Xero!$A:$A,Heron!$A$4,Xero!$E:$E,Heron!$A55)+SUMIFS(Xero!$F:$F,Xero!$B:$B,Heron!AE$9,Xero!$A:$A,Heron!$A$5,Xero!$E:$E,Heron!$A55)</f>
        <v/>
      </c>
      <c r="AF55" s="101">
        <f>SUMIFS(Xero!$F:$F,Xero!$B:$B,Heron!AF$9,Xero!$A:$A,Heron!$A$4,Xero!$E:$E,Heron!$A55)+SUMIFS(Xero!$F:$F,Xero!$B:$B,Heron!AF$9,Xero!$A:$A,Heron!$A$5,Xero!$E:$E,Heron!$A55)</f>
        <v/>
      </c>
      <c r="AG55" s="101">
        <f>SUMIFS(Xero!$F:$F,Xero!$B:$B,Heron!AG$9,Xero!$A:$A,Heron!$A$4,Xero!$E:$E,Heron!$A55)+SUMIFS(Xero!$F:$F,Xero!$B:$B,Heron!AG$9,Xero!$A:$A,Heron!$A$5,Xero!$E:$E,Heron!$A55)</f>
        <v/>
      </c>
      <c r="AH55" s="101">
        <f>SUMIFS(Xero!$F:$F,Xero!$B:$B,Heron!AH$9,Xero!$A:$A,Heron!$A$4,Xero!$E:$E,Heron!$A55)+SUMIFS(Xero!$F:$F,Xero!$B:$B,Heron!AH$9,Xero!$A:$A,Heron!$A$5,Xero!$E:$E,Heron!$A55)</f>
        <v/>
      </c>
      <c r="AI55" s="101">
        <f>SUMIFS(Xero!$F:$F,Xero!$B:$B,Heron!AI$9,Xero!$A:$A,Heron!$A$4,Xero!$E:$E,Heron!$A55)+SUMIFS(Xero!$F:$F,Xero!$B:$B,Heron!AI$9,Xero!$A:$A,Heron!$A$5,Xero!$E:$E,Heron!$A55)</f>
        <v/>
      </c>
      <c r="AJ55" s="101">
        <f>SUMIFS(Xero!$F:$F,Xero!$B:$B,Heron!AJ$9,Xero!$A:$A,Heron!$A$4,Xero!$E:$E,Heron!$A55)+SUMIFS(Xero!$F:$F,Xero!$B:$B,Heron!AJ$9,Xero!$A:$A,Heron!$A$5,Xero!$E:$E,Heron!$A55)</f>
        <v/>
      </c>
      <c r="AK55" s="101">
        <f>SUMIFS(Xero!$F:$F,Xero!$B:$B,Heron!AK$9,Xero!$A:$A,Heron!$A$4,Xero!$E:$E,Heron!$A55)+SUMIFS(Xero!$F:$F,Xero!$B:$B,Heron!AK$9,Xero!$A:$A,Heron!$A$5,Xero!$E:$E,Heron!$A55)</f>
        <v/>
      </c>
      <c r="AL55" s="101">
        <f>SUMIFS(Xero!$F:$F,Xero!$B:$B,Heron!AL$9,Xero!$A:$A,Heron!$A$4,Xero!$E:$E,Heron!$A55)+SUMIFS(Xero!$F:$F,Xero!$B:$B,Heron!AL$9,Xero!$A:$A,Heron!$A$5,Xero!$E:$E,Heron!$A55)</f>
        <v/>
      </c>
      <c r="AM55" s="101">
        <f>SUMIFS(Xero!$F:$F,Xero!$B:$B,Heron!AM$9,Xero!$A:$A,Heron!$A$4,Xero!$E:$E,Heron!$A55)+SUMIFS(Xero!$F:$F,Xero!$B:$B,Heron!AM$9,Xero!$A:$A,Heron!$A$5,Xero!$E:$E,Heron!$A55)</f>
        <v/>
      </c>
      <c r="AN55" s="101">
        <f>SUMIFS(Xero!$F:$F,Xero!$B:$B,Heron!AN$9,Xero!$A:$A,Heron!$A$4,Xero!$E:$E,Heron!$A55)+SUMIFS(Xero!$F:$F,Xero!$B:$B,Heron!AN$9,Xero!$A:$A,Heron!$A$5,Xero!$E:$E,Heron!$A55)</f>
        <v/>
      </c>
      <c r="AO55" s="101">
        <f>SUMIFS(Xero!$F:$F,Xero!$B:$B,Heron!AO$9,Xero!$A:$A,Heron!$A$4,Xero!$E:$E,Heron!$A55)+SUMIFS(Xero!$F:$F,Xero!$B:$B,Heron!AO$9,Xero!$A:$A,Heron!$A$5,Xero!$E:$E,Heron!$A55)</f>
        <v/>
      </c>
      <c r="AP55" s="101">
        <f>SUMIFS(Xero!$F:$F,Xero!$B:$B,Heron!AP$9,Xero!$A:$A,Heron!$A$4,Xero!$E:$E,Heron!$A55)+SUMIFS(Xero!$F:$F,Xero!$B:$B,Heron!AP$9,Xero!$A:$A,Heron!$A$5,Xero!$E:$E,Heron!$A55)</f>
        <v/>
      </c>
      <c r="AQ55" s="101">
        <f>SUMIFS(Xero!$F:$F,Xero!$B:$B,Heron!AQ$9,Xero!$A:$A,Heron!$A$4,Xero!$E:$E,Heron!$A55)+SUMIFS(Xero!$F:$F,Xero!$B:$B,Heron!AQ$9,Xero!$A:$A,Heron!$A$5,Xero!$E:$E,Heron!$A55)</f>
        <v/>
      </c>
      <c r="AR55" s="101">
        <f>SUMIFS(Xero!$F:$F,Xero!$B:$B,Heron!AR$9,Xero!$A:$A,Heron!$A$4,Xero!$E:$E,Heron!$A55)+SUMIFS(Xero!$F:$F,Xero!$B:$B,Heron!AR$9,Xero!$A:$A,Heron!$A$5,Xero!$E:$E,Heron!$A55)</f>
        <v/>
      </c>
      <c r="AS55" s="101">
        <f>SUMIFS(Xero!$F:$F,Xero!$B:$B,Heron!AS$9,Xero!$A:$A,Heron!$A$4,Xero!$E:$E,Heron!$A55)+SUMIFS(Xero!$F:$F,Xero!$B:$B,Heron!AS$9,Xero!$A:$A,Heron!$A$5,Xero!$E:$E,Heron!$A55)</f>
        <v/>
      </c>
      <c r="AT55" s="101">
        <f>SUMIFS(Xero!$F:$F,Xero!$B:$B,Heron!AT$9,Xero!$A:$A,Heron!$A$4,Xero!$E:$E,Heron!$A55)+SUMIFS(Xero!$F:$F,Xero!$B:$B,Heron!AT$9,Xero!$A:$A,Heron!$A$5,Xero!$E:$E,Heron!$A55)</f>
        <v/>
      </c>
      <c r="AU55" s="101">
        <f>SUMIFS(Xero!$F:$F,Xero!$B:$B,Heron!AU$9,Xero!$A:$A,Heron!$A$4,Xero!$E:$E,Heron!$A55)+SUMIFS(Xero!$F:$F,Xero!$B:$B,Heron!AU$9,Xero!$A:$A,Heron!$A$5,Xero!$E:$E,Heron!$A55)</f>
        <v/>
      </c>
      <c r="AV55" s="101">
        <f>SUMIFS(Xero!$F:$F,Xero!$B:$B,Heron!AV$9,Xero!$A:$A,Heron!$A$4,Xero!$E:$E,Heron!$A55)+SUMIFS(Xero!$F:$F,Xero!$B:$B,Heron!AV$9,Xero!$A:$A,Heron!$A$5,Xero!$E:$E,Heron!$A55)</f>
        <v/>
      </c>
      <c r="AW55" s="101">
        <f>SUMIFS(Xero!$F:$F,Xero!$B:$B,Heron!AW$9,Xero!$A:$A,Heron!$A$4,Xero!$E:$E,Heron!$A55)+SUMIFS(Xero!$F:$F,Xero!$B:$B,Heron!AW$9,Xero!$A:$A,Heron!$A$5,Xero!$E:$E,Heron!$A55)</f>
        <v/>
      </c>
      <c r="AX55" s="101">
        <f>SUMIFS(Xero!$F:$F,Xero!$B:$B,Heron!AX$9,Xero!$A:$A,Heron!$A$4,Xero!$E:$E,Heron!$A55)+SUMIFS(Xero!$F:$F,Xero!$B:$B,Heron!AX$9,Xero!$A:$A,Heron!$A$5,Xero!$E:$E,Heron!$A55)</f>
        <v/>
      </c>
      <c r="AY55" s="101">
        <f>SUMIFS(Xero!$F:$F,Xero!$B:$B,Heron!AY$9,Xero!$A:$A,Heron!$A$4,Xero!$E:$E,Heron!$A55)+SUMIFS(Xero!$F:$F,Xero!$B:$B,Heron!AY$9,Xero!$A:$A,Heron!$A$5,Xero!$E:$E,Heron!$A55)</f>
        <v/>
      </c>
      <c r="AZ55" s="101">
        <f>SUMIFS(Xero!$F:$F,Xero!$B:$B,Heron!AZ$9,Xero!$A:$A,Heron!$A$4,Xero!$E:$E,Heron!$A55)+SUMIFS(Xero!$F:$F,Xero!$B:$B,Heron!AZ$9,Xero!$A:$A,Heron!$A$5,Xero!$E:$E,Heron!$A55)</f>
        <v/>
      </c>
      <c r="BA55" s="101">
        <f>SUMIFS(Xero!$F:$F,Xero!$B:$B,Heron!BA$9,Xero!$A:$A,Heron!$A$4,Xero!$E:$E,Heron!$A55)+SUMIFS(Xero!$F:$F,Xero!$B:$B,Heron!BA$9,Xero!$A:$A,Heron!$A$5,Xero!$E:$E,Heron!$A55)</f>
        <v/>
      </c>
      <c r="BB55" s="101">
        <f>SUMIFS(Xero!$F:$F,Xero!$B:$B,Heron!BB$9,Xero!$A:$A,Heron!$A$4,Xero!$E:$E,Heron!$A55)+SUMIFS(Xero!$F:$F,Xero!$B:$B,Heron!BB$9,Xero!$A:$A,Heron!$A$5,Xero!$E:$E,Heron!$A55)</f>
        <v/>
      </c>
      <c r="BC55" s="101">
        <f>SUMIFS(Xero!$F:$F,Xero!$B:$B,Heron!BC$9,Xero!$A:$A,Heron!$A$4,Xero!$E:$E,Heron!$A55)+SUMIFS(Xero!$F:$F,Xero!$B:$B,Heron!BC$9,Xero!$A:$A,Heron!$A$5,Xero!$E:$E,Heron!$A55)</f>
        <v/>
      </c>
      <c r="BD55" s="101">
        <f>SUMIFS(Xero!$F:$F,Xero!$B:$B,Heron!BD$9,Xero!$A:$A,Heron!$A$4,Xero!$E:$E,Heron!$A55)+SUMIFS(Xero!$F:$F,Xero!$B:$B,Heron!BD$9,Xero!$A:$A,Heron!$A$5,Xero!$E:$E,Heron!$A55)</f>
        <v/>
      </c>
      <c r="BE55" s="101">
        <f>SUMIFS(Xero!$F:$F,Xero!$B:$B,Heron!BE$9,Xero!$A:$A,Heron!$A$4,Xero!$E:$E,Heron!$A55)+SUMIFS(Xero!$F:$F,Xero!$B:$B,Heron!BE$9,Xero!$A:$A,Heron!$A$5,Xero!$E:$E,Heron!$A55)</f>
        <v/>
      </c>
      <c r="BF55" s="101">
        <f>SUMIFS(Xero!$F:$F,Xero!$B:$B,Heron!BF$9,Xero!$A:$A,Heron!$A$4,Xero!$E:$E,Heron!$A55)+SUMIFS(Xero!$F:$F,Xero!$B:$B,Heron!BF$9,Xero!$A:$A,Heron!$A$5,Xero!$E:$E,Heron!$A55)</f>
        <v/>
      </c>
      <c r="BG55" s="101">
        <f>SUMIFS(Xero!$F:$F,Xero!$B:$B,Heron!BG$9,Xero!$A:$A,Heron!$A$4,Xero!$E:$E,Heron!$A55)+SUMIFS(Xero!$F:$F,Xero!$B:$B,Heron!BG$9,Xero!$A:$A,Heron!$A$5,Xero!$E:$E,Heron!$A55)</f>
        <v/>
      </c>
      <c r="BH55" s="101">
        <f>SUMIFS(Xero!$F:$F,Xero!$B:$B,Heron!BH$9,Xero!$A:$A,Heron!$A$4,Xero!$E:$E,Heron!$A55)+SUMIFS(Xero!$F:$F,Xero!$B:$B,Heron!BH$9,Xero!$A:$A,Heron!$A$5,Xero!$E:$E,Heron!$A55)</f>
        <v/>
      </c>
      <c r="BI55" s="101">
        <f>SUMIFS(Xero!$F:$F,Xero!$B:$B,Heron!BI$9,Xero!$A:$A,Heron!$A$4,Xero!$E:$E,Heron!$A55)+SUMIFS(Xero!$F:$F,Xero!$B:$B,Heron!BI$9,Xero!$A:$A,Heron!$A$5,Xero!$E:$E,Heron!$A55)</f>
        <v/>
      </c>
      <c r="BJ55" s="101">
        <f>SUMIFS(Xero!$F:$F,Xero!$B:$B,Heron!BJ$9,Xero!$A:$A,Heron!$A$4,Xero!$E:$E,Heron!$A55)+SUMIFS(Xero!$F:$F,Xero!$B:$B,Heron!BJ$9,Xero!$A:$A,Heron!$A$5,Xero!$E:$E,Heron!$A55)</f>
        <v/>
      </c>
      <c r="BK55" s="101">
        <f>sum(D55:BJ55)</f>
        <v/>
      </c>
    </row>
    <row r="56">
      <c r="A56" s="100" t="inlineStr">
        <is>
          <t>COS - Legal Fees Opening of Sec Title Scheme</t>
        </is>
      </c>
      <c r="D56" s="101">
        <f>SUMIFS(Xero!$F:$F,Xero!$B:$B,Heron!D$9,Xero!$A:$A,Heron!$A$4,Xero!$E:$E,Heron!$A56)+SUMIFS(Xero!$F:$F,Xero!$B:$B,Heron!D$9,Xero!$A:$A,Heron!$A$5,Xero!$E:$E,Heron!$A56)</f>
        <v/>
      </c>
      <c r="E56" s="101">
        <f>SUMIFS(Xero!$F:$F,Xero!$B:$B,Heron!E$9,Xero!$A:$A,Heron!$A$4,Xero!$E:$E,Heron!$A56)+SUMIFS(Xero!$F:$F,Xero!$B:$B,Heron!E$9,Xero!$A:$A,Heron!$A$5,Xero!$E:$E,Heron!$A56)</f>
        <v/>
      </c>
      <c r="F56" s="101">
        <f>SUMIFS(Xero!$F:$F,Xero!$B:$B,Heron!F$9,Xero!$A:$A,Heron!$A$4,Xero!$E:$E,Heron!$A56)+SUMIFS(Xero!$F:$F,Xero!$B:$B,Heron!F$9,Xero!$A:$A,Heron!$A$5,Xero!$E:$E,Heron!$A56)</f>
        <v/>
      </c>
      <c r="G56" s="101">
        <f>SUMIFS(Xero!$F:$F,Xero!$B:$B,Heron!G$9,Xero!$A:$A,Heron!$A$4,Xero!$E:$E,Heron!$A56)+SUMIFS(Xero!$F:$F,Xero!$B:$B,Heron!G$9,Xero!$A:$A,Heron!$A$5,Xero!$E:$E,Heron!$A56)</f>
        <v/>
      </c>
      <c r="H56" s="101">
        <f>SUMIFS(Xero!$F:$F,Xero!$B:$B,Heron!H$9,Xero!$A:$A,Heron!$A$4,Xero!$E:$E,Heron!$A56)+SUMIFS(Xero!$F:$F,Xero!$B:$B,Heron!H$9,Xero!$A:$A,Heron!$A$5,Xero!$E:$E,Heron!$A56)</f>
        <v/>
      </c>
      <c r="I56" s="101">
        <f>SUMIFS(Xero!$F:$F,Xero!$B:$B,Heron!I$9,Xero!$A:$A,Heron!$A$4,Xero!$E:$E,Heron!$A56)+SUMIFS(Xero!$F:$F,Xero!$B:$B,Heron!I$9,Xero!$A:$A,Heron!$A$5,Xero!$E:$E,Heron!$A56)</f>
        <v/>
      </c>
      <c r="J56" s="101">
        <f>SUMIFS(Xero!$F:$F,Xero!$B:$B,Heron!J$9,Xero!$A:$A,Heron!$A$4,Xero!$E:$E,Heron!$A56)+SUMIFS(Xero!$F:$F,Xero!$B:$B,Heron!J$9,Xero!$A:$A,Heron!$A$5,Xero!$E:$E,Heron!$A56)</f>
        <v/>
      </c>
      <c r="K56" s="101">
        <f>SUMIFS(Xero!$F:$F,Xero!$B:$B,Heron!K$9,Xero!$A:$A,Heron!$A$4,Xero!$E:$E,Heron!$A56)+SUMIFS(Xero!$F:$F,Xero!$B:$B,Heron!K$9,Xero!$A:$A,Heron!$A$5,Xero!$E:$E,Heron!$A56)</f>
        <v/>
      </c>
      <c r="L56" s="101">
        <f>SUMIFS(Xero!$F:$F,Xero!$B:$B,Heron!L$9,Xero!$A:$A,Heron!$A$4,Xero!$E:$E,Heron!$A56)+SUMIFS(Xero!$F:$F,Xero!$B:$B,Heron!L$9,Xero!$A:$A,Heron!$A$5,Xero!$E:$E,Heron!$A56)</f>
        <v/>
      </c>
      <c r="M56" s="101">
        <f>SUMIFS(Xero!$F:$F,Xero!$B:$B,Heron!M$9,Xero!$A:$A,Heron!$A$4,Xero!$E:$E,Heron!$A56)+SUMIFS(Xero!$F:$F,Xero!$B:$B,Heron!M$9,Xero!$A:$A,Heron!$A$5,Xero!$E:$E,Heron!$A56)</f>
        <v/>
      </c>
      <c r="N56" s="101">
        <f>SUMIFS(Xero!$F:$F,Xero!$B:$B,Heron!N$9,Xero!$A:$A,Heron!$A$4,Xero!$E:$E,Heron!$A56)+SUMIFS(Xero!$F:$F,Xero!$B:$B,Heron!N$9,Xero!$A:$A,Heron!$A$5,Xero!$E:$E,Heron!$A56)</f>
        <v/>
      </c>
      <c r="O56" s="101">
        <f>SUMIFS(Xero!$F:$F,Xero!$B:$B,Heron!O$9,Xero!$A:$A,Heron!$A$4,Xero!$E:$E,Heron!$A56)+SUMIFS(Xero!$F:$F,Xero!$B:$B,Heron!O$9,Xero!$A:$A,Heron!$A$5,Xero!$E:$E,Heron!$A56)</f>
        <v/>
      </c>
      <c r="P56" s="101">
        <f>SUMIFS(Xero!$F:$F,Xero!$B:$B,Heron!P$9,Xero!$A:$A,Heron!$A$4,Xero!$E:$E,Heron!$A56)+SUMIFS(Xero!$F:$F,Xero!$B:$B,Heron!P$9,Xero!$A:$A,Heron!$A$5,Xero!$E:$E,Heron!$A56)</f>
        <v/>
      </c>
      <c r="Q56" s="101">
        <f>SUMIFS(Xero!$F:$F,Xero!$B:$B,Heron!Q$9,Xero!$A:$A,Heron!$A$4,Xero!$E:$E,Heron!$A56)+SUMIFS(Xero!$F:$F,Xero!$B:$B,Heron!Q$9,Xero!$A:$A,Heron!$A$5,Xero!$E:$E,Heron!$A56)</f>
        <v/>
      </c>
      <c r="R56" s="101">
        <f>SUMIFS(Xero!$F:$F,Xero!$B:$B,Heron!R$9,Xero!$A:$A,Heron!$A$4,Xero!$E:$E,Heron!$A56)+SUMIFS(Xero!$F:$F,Xero!$B:$B,Heron!R$9,Xero!$A:$A,Heron!$A$5,Xero!$E:$E,Heron!$A56)</f>
        <v/>
      </c>
      <c r="S56" s="101">
        <f>SUMIFS(Xero!$F:$F,Xero!$B:$B,Heron!S$9,Xero!$A:$A,Heron!$A$4,Xero!$E:$E,Heron!$A56)+SUMIFS(Xero!$F:$F,Xero!$B:$B,Heron!S$9,Xero!$A:$A,Heron!$A$5,Xero!$E:$E,Heron!$A56)</f>
        <v/>
      </c>
      <c r="T56" s="101">
        <f>SUMIFS(Xero!$F:$F,Xero!$B:$B,Heron!T$9,Xero!$A:$A,Heron!$A$4,Xero!$E:$E,Heron!$A56)+SUMIFS(Xero!$F:$F,Xero!$B:$B,Heron!T$9,Xero!$A:$A,Heron!$A$5,Xero!$E:$E,Heron!$A56)</f>
        <v/>
      </c>
      <c r="U56" s="101">
        <f>SUMIFS(Xero!$F:$F,Xero!$B:$B,Heron!U$9,Xero!$A:$A,Heron!$A$4,Xero!$E:$E,Heron!$A56)+SUMIFS(Xero!$F:$F,Xero!$B:$B,Heron!U$9,Xero!$A:$A,Heron!$A$5,Xero!$E:$E,Heron!$A56)</f>
        <v/>
      </c>
      <c r="V56" s="101">
        <f>SUMIFS(Xero!$F:$F,Xero!$B:$B,Heron!V$9,Xero!$A:$A,Heron!$A$4,Xero!$E:$E,Heron!$A56)+SUMIFS(Xero!$F:$F,Xero!$B:$B,Heron!V$9,Xero!$A:$A,Heron!$A$5,Xero!$E:$E,Heron!$A56)</f>
        <v/>
      </c>
      <c r="W56" s="101">
        <f>SUMIFS(Xero!$F:$F,Xero!$B:$B,Heron!W$9,Xero!$A:$A,Heron!$A$4,Xero!$E:$E,Heron!$A56)+SUMIFS(Xero!$F:$F,Xero!$B:$B,Heron!W$9,Xero!$A:$A,Heron!$A$5,Xero!$E:$E,Heron!$A56)</f>
        <v/>
      </c>
      <c r="X56" s="101">
        <f>SUMIFS(Xero!$F:$F,Xero!$B:$B,Heron!X$9,Xero!$A:$A,Heron!$A$4,Xero!$E:$E,Heron!$A56)+SUMIFS(Xero!$F:$F,Xero!$B:$B,Heron!X$9,Xero!$A:$A,Heron!$A$5,Xero!$E:$E,Heron!$A56)</f>
        <v/>
      </c>
      <c r="Y56" s="101">
        <f>SUMIFS(Xero!$F:$F,Xero!$B:$B,Heron!Y$9,Xero!$A:$A,Heron!$A$4,Xero!$E:$E,Heron!$A56)+SUMIFS(Xero!$F:$F,Xero!$B:$B,Heron!Y$9,Xero!$A:$A,Heron!$A$5,Xero!$E:$E,Heron!$A56)</f>
        <v/>
      </c>
      <c r="Z56" s="101">
        <f>SUMIFS(Xero!$F:$F,Xero!$B:$B,Heron!Z$9,Xero!$A:$A,Heron!$A$4,Xero!$E:$E,Heron!$A56)+SUMIFS(Xero!$F:$F,Xero!$B:$B,Heron!Z$9,Xero!$A:$A,Heron!$A$5,Xero!$E:$E,Heron!$A56)</f>
        <v/>
      </c>
      <c r="AA56" s="101">
        <f>SUMIFS(Xero!$F:$F,Xero!$B:$B,Heron!AA$9,Xero!$A:$A,Heron!$A$4,Xero!$E:$E,Heron!$A56)+SUMIFS(Xero!$F:$F,Xero!$B:$B,Heron!AA$9,Xero!$A:$A,Heron!$A$5,Xero!$E:$E,Heron!$A56)</f>
        <v/>
      </c>
      <c r="AB56" s="101">
        <f>SUMIFS(Xero!$F:$F,Xero!$B:$B,Heron!AB$9,Xero!$A:$A,Heron!$A$4,Xero!$E:$E,Heron!$A56)+SUMIFS(Xero!$F:$F,Xero!$B:$B,Heron!AB$9,Xero!$A:$A,Heron!$A$5,Xero!$E:$E,Heron!$A56)</f>
        <v/>
      </c>
      <c r="AC56" s="101">
        <f>SUMIFS(Xero!$F:$F,Xero!$B:$B,Heron!AC$9,Xero!$A:$A,Heron!$A$4,Xero!$E:$E,Heron!$A56)+SUMIFS(Xero!$F:$F,Xero!$B:$B,Heron!AC$9,Xero!$A:$A,Heron!$A$5,Xero!$E:$E,Heron!$A56)</f>
        <v/>
      </c>
      <c r="AD56" s="101">
        <f>SUMIFS(Xero!$F:$F,Xero!$B:$B,Heron!AD$9,Xero!$A:$A,Heron!$A$4,Xero!$E:$E,Heron!$A56)+SUMIFS(Xero!$F:$F,Xero!$B:$B,Heron!AD$9,Xero!$A:$A,Heron!$A$5,Xero!$E:$E,Heron!$A56)</f>
        <v/>
      </c>
      <c r="AE56" s="101">
        <f>SUMIFS(Xero!$F:$F,Xero!$B:$B,Heron!AE$9,Xero!$A:$A,Heron!$A$4,Xero!$E:$E,Heron!$A56)+SUMIFS(Xero!$F:$F,Xero!$B:$B,Heron!AE$9,Xero!$A:$A,Heron!$A$5,Xero!$E:$E,Heron!$A56)</f>
        <v/>
      </c>
      <c r="AF56" s="101">
        <f>SUMIFS(Xero!$F:$F,Xero!$B:$B,Heron!AF$9,Xero!$A:$A,Heron!$A$4,Xero!$E:$E,Heron!$A56)+SUMIFS(Xero!$F:$F,Xero!$B:$B,Heron!AF$9,Xero!$A:$A,Heron!$A$5,Xero!$E:$E,Heron!$A56)</f>
        <v/>
      </c>
      <c r="AG56" s="101">
        <f>SUMIFS(Xero!$F:$F,Xero!$B:$B,Heron!AG$9,Xero!$A:$A,Heron!$A$4,Xero!$E:$E,Heron!$A56)+SUMIFS(Xero!$F:$F,Xero!$B:$B,Heron!AG$9,Xero!$A:$A,Heron!$A$5,Xero!$E:$E,Heron!$A56)</f>
        <v/>
      </c>
      <c r="AH56" s="101">
        <f>SUMIFS(Xero!$F:$F,Xero!$B:$B,Heron!AH$9,Xero!$A:$A,Heron!$A$4,Xero!$E:$E,Heron!$A56)+SUMIFS(Xero!$F:$F,Xero!$B:$B,Heron!AH$9,Xero!$A:$A,Heron!$A$5,Xero!$E:$E,Heron!$A56)</f>
        <v/>
      </c>
      <c r="AI56" s="101">
        <f>SUMIFS(Xero!$F:$F,Xero!$B:$B,Heron!AI$9,Xero!$A:$A,Heron!$A$4,Xero!$E:$E,Heron!$A56)+SUMIFS(Xero!$F:$F,Xero!$B:$B,Heron!AI$9,Xero!$A:$A,Heron!$A$5,Xero!$E:$E,Heron!$A56)</f>
        <v/>
      </c>
      <c r="AJ56" s="101">
        <f>SUMIFS(Xero!$F:$F,Xero!$B:$B,Heron!AJ$9,Xero!$A:$A,Heron!$A$4,Xero!$E:$E,Heron!$A56)+SUMIFS(Xero!$F:$F,Xero!$B:$B,Heron!AJ$9,Xero!$A:$A,Heron!$A$5,Xero!$E:$E,Heron!$A56)</f>
        <v/>
      </c>
      <c r="AK56" s="101">
        <f>SUMIFS(Xero!$F:$F,Xero!$B:$B,Heron!AK$9,Xero!$A:$A,Heron!$A$4,Xero!$E:$E,Heron!$A56)+SUMIFS(Xero!$F:$F,Xero!$B:$B,Heron!AK$9,Xero!$A:$A,Heron!$A$5,Xero!$E:$E,Heron!$A56)</f>
        <v/>
      </c>
      <c r="AL56" s="101">
        <f>SUMIFS(Xero!$F:$F,Xero!$B:$B,Heron!AL$9,Xero!$A:$A,Heron!$A$4,Xero!$E:$E,Heron!$A56)+SUMIFS(Xero!$F:$F,Xero!$B:$B,Heron!AL$9,Xero!$A:$A,Heron!$A$5,Xero!$E:$E,Heron!$A56)</f>
        <v/>
      </c>
      <c r="AM56" s="101">
        <f>SUMIFS(Xero!$F:$F,Xero!$B:$B,Heron!AM$9,Xero!$A:$A,Heron!$A$4,Xero!$E:$E,Heron!$A56)+SUMIFS(Xero!$F:$F,Xero!$B:$B,Heron!AM$9,Xero!$A:$A,Heron!$A$5,Xero!$E:$E,Heron!$A56)</f>
        <v/>
      </c>
      <c r="AN56" s="101">
        <f>SUMIFS(Xero!$F:$F,Xero!$B:$B,Heron!AN$9,Xero!$A:$A,Heron!$A$4,Xero!$E:$E,Heron!$A56)+SUMIFS(Xero!$F:$F,Xero!$B:$B,Heron!AN$9,Xero!$A:$A,Heron!$A$5,Xero!$E:$E,Heron!$A56)</f>
        <v/>
      </c>
      <c r="AO56" s="101">
        <f>SUMIFS(Xero!$F:$F,Xero!$B:$B,Heron!AO$9,Xero!$A:$A,Heron!$A$4,Xero!$E:$E,Heron!$A56)+SUMIFS(Xero!$F:$F,Xero!$B:$B,Heron!AO$9,Xero!$A:$A,Heron!$A$5,Xero!$E:$E,Heron!$A56)</f>
        <v/>
      </c>
      <c r="AP56" s="101">
        <f>SUMIFS(Xero!$F:$F,Xero!$B:$B,Heron!AP$9,Xero!$A:$A,Heron!$A$4,Xero!$E:$E,Heron!$A56)+SUMIFS(Xero!$F:$F,Xero!$B:$B,Heron!AP$9,Xero!$A:$A,Heron!$A$5,Xero!$E:$E,Heron!$A56)</f>
        <v/>
      </c>
      <c r="AQ56" s="101">
        <f>SUMIFS(Xero!$F:$F,Xero!$B:$B,Heron!AQ$9,Xero!$A:$A,Heron!$A$4,Xero!$E:$E,Heron!$A56)+SUMIFS(Xero!$F:$F,Xero!$B:$B,Heron!AQ$9,Xero!$A:$A,Heron!$A$5,Xero!$E:$E,Heron!$A56)</f>
        <v/>
      </c>
      <c r="AR56" s="101">
        <f>SUMIFS(Xero!$F:$F,Xero!$B:$B,Heron!AR$9,Xero!$A:$A,Heron!$A$4,Xero!$E:$E,Heron!$A56)+SUMIFS(Xero!$F:$F,Xero!$B:$B,Heron!AR$9,Xero!$A:$A,Heron!$A$5,Xero!$E:$E,Heron!$A56)</f>
        <v/>
      </c>
      <c r="AS56" s="101">
        <f>SUMIFS(Xero!$F:$F,Xero!$B:$B,Heron!AS$9,Xero!$A:$A,Heron!$A$4,Xero!$E:$E,Heron!$A56)+SUMIFS(Xero!$F:$F,Xero!$B:$B,Heron!AS$9,Xero!$A:$A,Heron!$A$5,Xero!$E:$E,Heron!$A56)</f>
        <v/>
      </c>
      <c r="AT56" s="101">
        <f>SUMIFS(Xero!$F:$F,Xero!$B:$B,Heron!AT$9,Xero!$A:$A,Heron!$A$4,Xero!$E:$E,Heron!$A56)+SUMIFS(Xero!$F:$F,Xero!$B:$B,Heron!AT$9,Xero!$A:$A,Heron!$A$5,Xero!$E:$E,Heron!$A56)</f>
        <v/>
      </c>
      <c r="AU56" s="101">
        <f>SUMIFS(Xero!$F:$F,Xero!$B:$B,Heron!AU$9,Xero!$A:$A,Heron!$A$4,Xero!$E:$E,Heron!$A56)+SUMIFS(Xero!$F:$F,Xero!$B:$B,Heron!AU$9,Xero!$A:$A,Heron!$A$5,Xero!$E:$E,Heron!$A56)</f>
        <v/>
      </c>
      <c r="AV56" s="101">
        <f>SUMIFS(Xero!$F:$F,Xero!$B:$B,Heron!AV$9,Xero!$A:$A,Heron!$A$4,Xero!$E:$E,Heron!$A56)+SUMIFS(Xero!$F:$F,Xero!$B:$B,Heron!AV$9,Xero!$A:$A,Heron!$A$5,Xero!$E:$E,Heron!$A56)</f>
        <v/>
      </c>
      <c r="AW56" s="101">
        <f>SUMIFS(Xero!$F:$F,Xero!$B:$B,Heron!AW$9,Xero!$A:$A,Heron!$A$4,Xero!$E:$E,Heron!$A56)+SUMIFS(Xero!$F:$F,Xero!$B:$B,Heron!AW$9,Xero!$A:$A,Heron!$A$5,Xero!$E:$E,Heron!$A56)</f>
        <v/>
      </c>
      <c r="AX56" s="101">
        <f>SUMIFS(Xero!$F:$F,Xero!$B:$B,Heron!AX$9,Xero!$A:$A,Heron!$A$4,Xero!$E:$E,Heron!$A56)+SUMIFS(Xero!$F:$F,Xero!$B:$B,Heron!AX$9,Xero!$A:$A,Heron!$A$5,Xero!$E:$E,Heron!$A56)</f>
        <v/>
      </c>
      <c r="AY56" s="101">
        <f>SUMIFS(Xero!$F:$F,Xero!$B:$B,Heron!AY$9,Xero!$A:$A,Heron!$A$4,Xero!$E:$E,Heron!$A56)+SUMIFS(Xero!$F:$F,Xero!$B:$B,Heron!AY$9,Xero!$A:$A,Heron!$A$5,Xero!$E:$E,Heron!$A56)</f>
        <v/>
      </c>
      <c r="AZ56" s="101">
        <f>SUMIFS(Xero!$F:$F,Xero!$B:$B,Heron!AZ$9,Xero!$A:$A,Heron!$A$4,Xero!$E:$E,Heron!$A56)+SUMIFS(Xero!$F:$F,Xero!$B:$B,Heron!AZ$9,Xero!$A:$A,Heron!$A$5,Xero!$E:$E,Heron!$A56)</f>
        <v/>
      </c>
      <c r="BA56" s="101">
        <f>SUMIFS(Xero!$F:$F,Xero!$B:$B,Heron!BA$9,Xero!$A:$A,Heron!$A$4,Xero!$E:$E,Heron!$A56)+SUMIFS(Xero!$F:$F,Xero!$B:$B,Heron!BA$9,Xero!$A:$A,Heron!$A$5,Xero!$E:$E,Heron!$A56)</f>
        <v/>
      </c>
      <c r="BB56" s="101">
        <f>SUMIFS(Xero!$F:$F,Xero!$B:$B,Heron!BB$9,Xero!$A:$A,Heron!$A$4,Xero!$E:$E,Heron!$A56)+SUMIFS(Xero!$F:$F,Xero!$B:$B,Heron!BB$9,Xero!$A:$A,Heron!$A$5,Xero!$E:$E,Heron!$A56)</f>
        <v/>
      </c>
      <c r="BC56" s="101">
        <f>SUMIFS(Xero!$F:$F,Xero!$B:$B,Heron!BC$9,Xero!$A:$A,Heron!$A$4,Xero!$E:$E,Heron!$A56)+SUMIFS(Xero!$F:$F,Xero!$B:$B,Heron!BC$9,Xero!$A:$A,Heron!$A$5,Xero!$E:$E,Heron!$A56)</f>
        <v/>
      </c>
      <c r="BD56" s="101">
        <f>SUMIFS(Xero!$F:$F,Xero!$B:$B,Heron!BD$9,Xero!$A:$A,Heron!$A$4,Xero!$E:$E,Heron!$A56)+SUMIFS(Xero!$F:$F,Xero!$B:$B,Heron!BD$9,Xero!$A:$A,Heron!$A$5,Xero!$E:$E,Heron!$A56)</f>
        <v/>
      </c>
      <c r="BE56" s="101">
        <f>SUMIFS(Xero!$F:$F,Xero!$B:$B,Heron!BE$9,Xero!$A:$A,Heron!$A$4,Xero!$E:$E,Heron!$A56)+SUMIFS(Xero!$F:$F,Xero!$B:$B,Heron!BE$9,Xero!$A:$A,Heron!$A$5,Xero!$E:$E,Heron!$A56)</f>
        <v/>
      </c>
      <c r="BF56" s="101">
        <f>SUMIFS(Xero!$F:$F,Xero!$B:$B,Heron!BF$9,Xero!$A:$A,Heron!$A$4,Xero!$E:$E,Heron!$A56)+SUMIFS(Xero!$F:$F,Xero!$B:$B,Heron!BF$9,Xero!$A:$A,Heron!$A$5,Xero!$E:$E,Heron!$A56)</f>
        <v/>
      </c>
      <c r="BG56" s="101">
        <f>SUMIFS(Xero!$F:$F,Xero!$B:$B,Heron!BG$9,Xero!$A:$A,Heron!$A$4,Xero!$E:$E,Heron!$A56)+SUMIFS(Xero!$F:$F,Xero!$B:$B,Heron!BG$9,Xero!$A:$A,Heron!$A$5,Xero!$E:$E,Heron!$A56)</f>
        <v/>
      </c>
      <c r="BH56" s="101">
        <f>SUMIFS(Xero!$F:$F,Xero!$B:$B,Heron!BH$9,Xero!$A:$A,Heron!$A$4,Xero!$E:$E,Heron!$A56)+SUMIFS(Xero!$F:$F,Xero!$B:$B,Heron!BH$9,Xero!$A:$A,Heron!$A$5,Xero!$E:$E,Heron!$A56)</f>
        <v/>
      </c>
      <c r="BI56" s="101">
        <f>SUMIFS(Xero!$F:$F,Xero!$B:$B,Heron!BI$9,Xero!$A:$A,Heron!$A$4,Xero!$E:$E,Heron!$A56)+SUMIFS(Xero!$F:$F,Xero!$B:$B,Heron!BI$9,Xero!$A:$A,Heron!$A$5,Xero!$E:$E,Heron!$A56)</f>
        <v/>
      </c>
      <c r="BJ56" s="101">
        <f>SUMIFS(Xero!$F:$F,Xero!$B:$B,Heron!BJ$9,Xero!$A:$A,Heron!$A$4,Xero!$E:$E,Heron!$A56)+SUMIFS(Xero!$F:$F,Xero!$B:$B,Heron!BJ$9,Xero!$A:$A,Heron!$A$5,Xero!$E:$E,Heron!$A56)</f>
        <v/>
      </c>
      <c r="BK56" s="101">
        <f>sum(D56:BJ56)</f>
        <v/>
      </c>
    </row>
    <row r="57">
      <c r="A57" s="100" t="inlineStr">
        <is>
          <t>COS - Levies</t>
        </is>
      </c>
      <c r="D57" s="101">
        <f>SUMIFS(Xero!$F:$F,Xero!$B:$B,Heron!D$9,Xero!$A:$A,Heron!$A$4,Xero!$E:$E,Heron!$A57)+SUMIFS(Xero!$F:$F,Xero!$B:$B,Heron!D$9,Xero!$A:$A,Heron!$A$5,Xero!$E:$E,Heron!$A57)</f>
        <v/>
      </c>
      <c r="E57" s="101">
        <f>SUMIFS(Xero!$F:$F,Xero!$B:$B,Heron!E$9,Xero!$A:$A,Heron!$A$4,Xero!$E:$E,Heron!$A57)+SUMIFS(Xero!$F:$F,Xero!$B:$B,Heron!E$9,Xero!$A:$A,Heron!$A$5,Xero!$E:$E,Heron!$A57)</f>
        <v/>
      </c>
      <c r="F57" s="101">
        <f>SUMIFS(Xero!$F:$F,Xero!$B:$B,Heron!F$9,Xero!$A:$A,Heron!$A$4,Xero!$E:$E,Heron!$A57)+SUMIFS(Xero!$F:$F,Xero!$B:$B,Heron!F$9,Xero!$A:$A,Heron!$A$5,Xero!$E:$E,Heron!$A57)</f>
        <v/>
      </c>
      <c r="G57" s="101">
        <f>SUMIFS(Xero!$F:$F,Xero!$B:$B,Heron!G$9,Xero!$A:$A,Heron!$A$4,Xero!$E:$E,Heron!$A57)+SUMIFS(Xero!$F:$F,Xero!$B:$B,Heron!G$9,Xero!$A:$A,Heron!$A$5,Xero!$E:$E,Heron!$A57)</f>
        <v/>
      </c>
      <c r="H57" s="101">
        <f>SUMIFS(Xero!$F:$F,Xero!$B:$B,Heron!H$9,Xero!$A:$A,Heron!$A$4,Xero!$E:$E,Heron!$A57)+SUMIFS(Xero!$F:$F,Xero!$B:$B,Heron!H$9,Xero!$A:$A,Heron!$A$5,Xero!$E:$E,Heron!$A57)</f>
        <v/>
      </c>
      <c r="I57" s="101">
        <f>SUMIFS(Xero!$F:$F,Xero!$B:$B,Heron!I$9,Xero!$A:$A,Heron!$A$4,Xero!$E:$E,Heron!$A57)+SUMIFS(Xero!$F:$F,Xero!$B:$B,Heron!I$9,Xero!$A:$A,Heron!$A$5,Xero!$E:$E,Heron!$A57)</f>
        <v/>
      </c>
      <c r="J57" s="101">
        <f>SUMIFS(Xero!$F:$F,Xero!$B:$B,Heron!J$9,Xero!$A:$A,Heron!$A$4,Xero!$E:$E,Heron!$A57)+SUMIFS(Xero!$F:$F,Xero!$B:$B,Heron!J$9,Xero!$A:$A,Heron!$A$5,Xero!$E:$E,Heron!$A57)</f>
        <v/>
      </c>
      <c r="K57" s="101">
        <f>SUMIFS(Xero!$F:$F,Xero!$B:$B,Heron!K$9,Xero!$A:$A,Heron!$A$4,Xero!$E:$E,Heron!$A57)+SUMIFS(Xero!$F:$F,Xero!$B:$B,Heron!K$9,Xero!$A:$A,Heron!$A$5,Xero!$E:$E,Heron!$A57)</f>
        <v/>
      </c>
      <c r="L57" s="101">
        <f>SUMIFS(Xero!$F:$F,Xero!$B:$B,Heron!L$9,Xero!$A:$A,Heron!$A$4,Xero!$E:$E,Heron!$A57)+SUMIFS(Xero!$F:$F,Xero!$B:$B,Heron!L$9,Xero!$A:$A,Heron!$A$5,Xero!$E:$E,Heron!$A57)</f>
        <v/>
      </c>
      <c r="M57" s="101">
        <f>SUMIFS(Xero!$F:$F,Xero!$B:$B,Heron!M$9,Xero!$A:$A,Heron!$A$4,Xero!$E:$E,Heron!$A57)+SUMIFS(Xero!$F:$F,Xero!$B:$B,Heron!M$9,Xero!$A:$A,Heron!$A$5,Xero!$E:$E,Heron!$A57)</f>
        <v/>
      </c>
      <c r="N57" s="101">
        <f>SUMIFS(Xero!$F:$F,Xero!$B:$B,Heron!N$9,Xero!$A:$A,Heron!$A$4,Xero!$E:$E,Heron!$A57)+SUMIFS(Xero!$F:$F,Xero!$B:$B,Heron!N$9,Xero!$A:$A,Heron!$A$5,Xero!$E:$E,Heron!$A57)</f>
        <v/>
      </c>
      <c r="O57" s="101">
        <f>SUMIFS(Xero!$F:$F,Xero!$B:$B,Heron!O$9,Xero!$A:$A,Heron!$A$4,Xero!$E:$E,Heron!$A57)+SUMIFS(Xero!$F:$F,Xero!$B:$B,Heron!O$9,Xero!$A:$A,Heron!$A$5,Xero!$E:$E,Heron!$A57)</f>
        <v/>
      </c>
      <c r="P57" s="101">
        <f>SUMIFS(Xero!$F:$F,Xero!$B:$B,Heron!P$9,Xero!$A:$A,Heron!$A$4,Xero!$E:$E,Heron!$A57)+SUMIFS(Xero!$F:$F,Xero!$B:$B,Heron!P$9,Xero!$A:$A,Heron!$A$5,Xero!$E:$E,Heron!$A57)</f>
        <v/>
      </c>
      <c r="Q57" s="101">
        <f>SUMIFS(Xero!$F:$F,Xero!$B:$B,Heron!Q$9,Xero!$A:$A,Heron!$A$4,Xero!$E:$E,Heron!$A57)+SUMIFS(Xero!$F:$F,Xero!$B:$B,Heron!Q$9,Xero!$A:$A,Heron!$A$5,Xero!$E:$E,Heron!$A57)</f>
        <v/>
      </c>
      <c r="R57" s="101">
        <f>SUMIFS(Xero!$F:$F,Xero!$B:$B,Heron!R$9,Xero!$A:$A,Heron!$A$4,Xero!$E:$E,Heron!$A57)+SUMIFS(Xero!$F:$F,Xero!$B:$B,Heron!R$9,Xero!$A:$A,Heron!$A$5,Xero!$E:$E,Heron!$A57)</f>
        <v/>
      </c>
      <c r="S57" s="101">
        <f>SUMIFS(Xero!$F:$F,Xero!$B:$B,Heron!S$9,Xero!$A:$A,Heron!$A$4,Xero!$E:$E,Heron!$A57)+SUMIFS(Xero!$F:$F,Xero!$B:$B,Heron!S$9,Xero!$A:$A,Heron!$A$5,Xero!$E:$E,Heron!$A57)</f>
        <v/>
      </c>
      <c r="T57" s="101">
        <f>SUMIFS(Xero!$F:$F,Xero!$B:$B,Heron!T$9,Xero!$A:$A,Heron!$A$4,Xero!$E:$E,Heron!$A57)+SUMIFS(Xero!$F:$F,Xero!$B:$B,Heron!T$9,Xero!$A:$A,Heron!$A$5,Xero!$E:$E,Heron!$A57)</f>
        <v/>
      </c>
      <c r="U57" s="101">
        <f>SUMIFS(Xero!$F:$F,Xero!$B:$B,Heron!U$9,Xero!$A:$A,Heron!$A$4,Xero!$E:$E,Heron!$A57)+SUMIFS(Xero!$F:$F,Xero!$B:$B,Heron!U$9,Xero!$A:$A,Heron!$A$5,Xero!$E:$E,Heron!$A57)</f>
        <v/>
      </c>
      <c r="V57" s="101">
        <f>SUMIFS(Xero!$F:$F,Xero!$B:$B,Heron!V$9,Xero!$A:$A,Heron!$A$4,Xero!$E:$E,Heron!$A57)+SUMIFS(Xero!$F:$F,Xero!$B:$B,Heron!V$9,Xero!$A:$A,Heron!$A$5,Xero!$E:$E,Heron!$A57)</f>
        <v/>
      </c>
      <c r="W57" s="101">
        <f>SUMIFS(Xero!$F:$F,Xero!$B:$B,Heron!W$9,Xero!$A:$A,Heron!$A$4,Xero!$E:$E,Heron!$A57)+SUMIFS(Xero!$F:$F,Xero!$B:$B,Heron!W$9,Xero!$A:$A,Heron!$A$5,Xero!$E:$E,Heron!$A57)</f>
        <v/>
      </c>
      <c r="X57" s="101">
        <f>SUMIFS(Xero!$F:$F,Xero!$B:$B,Heron!X$9,Xero!$A:$A,Heron!$A$4,Xero!$E:$E,Heron!$A57)+SUMIFS(Xero!$F:$F,Xero!$B:$B,Heron!X$9,Xero!$A:$A,Heron!$A$5,Xero!$E:$E,Heron!$A57)</f>
        <v/>
      </c>
      <c r="Y57" s="101">
        <f>SUMIFS(Xero!$F:$F,Xero!$B:$B,Heron!Y$9,Xero!$A:$A,Heron!$A$4,Xero!$E:$E,Heron!$A57)+SUMIFS(Xero!$F:$F,Xero!$B:$B,Heron!Y$9,Xero!$A:$A,Heron!$A$5,Xero!$E:$E,Heron!$A57)</f>
        <v/>
      </c>
      <c r="Z57" s="101">
        <f>SUMIFS(Xero!$F:$F,Xero!$B:$B,Heron!Z$9,Xero!$A:$A,Heron!$A$4,Xero!$E:$E,Heron!$A57)+SUMIFS(Xero!$F:$F,Xero!$B:$B,Heron!Z$9,Xero!$A:$A,Heron!$A$5,Xero!$E:$E,Heron!$A57)</f>
        <v/>
      </c>
      <c r="AA57" s="101">
        <f>SUMIFS(Xero!$F:$F,Xero!$B:$B,Heron!AA$9,Xero!$A:$A,Heron!$A$4,Xero!$E:$E,Heron!$A57)+SUMIFS(Xero!$F:$F,Xero!$B:$B,Heron!AA$9,Xero!$A:$A,Heron!$A$5,Xero!$E:$E,Heron!$A57)</f>
        <v/>
      </c>
      <c r="AB57" s="101">
        <f>SUMIFS(Xero!$F:$F,Xero!$B:$B,Heron!AB$9,Xero!$A:$A,Heron!$A$4,Xero!$E:$E,Heron!$A57)+SUMIFS(Xero!$F:$F,Xero!$B:$B,Heron!AB$9,Xero!$A:$A,Heron!$A$5,Xero!$E:$E,Heron!$A57)</f>
        <v/>
      </c>
      <c r="AC57" s="101">
        <f>SUMIFS(Xero!$F:$F,Xero!$B:$B,Heron!AC$9,Xero!$A:$A,Heron!$A$4,Xero!$E:$E,Heron!$A57)+SUMIFS(Xero!$F:$F,Xero!$B:$B,Heron!AC$9,Xero!$A:$A,Heron!$A$5,Xero!$E:$E,Heron!$A57)</f>
        <v/>
      </c>
      <c r="AD57" s="101">
        <f>SUMIFS(Xero!$F:$F,Xero!$B:$B,Heron!AD$9,Xero!$A:$A,Heron!$A$4,Xero!$E:$E,Heron!$A57)+SUMIFS(Xero!$F:$F,Xero!$B:$B,Heron!AD$9,Xero!$A:$A,Heron!$A$5,Xero!$E:$E,Heron!$A57)</f>
        <v/>
      </c>
      <c r="AE57" s="101">
        <f>SUMIFS(Xero!$F:$F,Xero!$B:$B,Heron!AE$9,Xero!$A:$A,Heron!$A$4,Xero!$E:$E,Heron!$A57)+SUMIFS(Xero!$F:$F,Xero!$B:$B,Heron!AE$9,Xero!$A:$A,Heron!$A$5,Xero!$E:$E,Heron!$A57)</f>
        <v/>
      </c>
      <c r="AF57" s="101">
        <f>SUMIFS(Xero!$F:$F,Xero!$B:$B,Heron!AF$9,Xero!$A:$A,Heron!$A$4,Xero!$E:$E,Heron!$A57)+SUMIFS(Xero!$F:$F,Xero!$B:$B,Heron!AF$9,Xero!$A:$A,Heron!$A$5,Xero!$E:$E,Heron!$A57)</f>
        <v/>
      </c>
      <c r="AG57" s="101">
        <f>SUMIFS(Xero!$F:$F,Xero!$B:$B,Heron!AG$9,Xero!$A:$A,Heron!$A$4,Xero!$E:$E,Heron!$A57)+SUMIFS(Xero!$F:$F,Xero!$B:$B,Heron!AG$9,Xero!$A:$A,Heron!$A$5,Xero!$E:$E,Heron!$A57)</f>
        <v/>
      </c>
      <c r="AH57" s="101">
        <f>SUMIFS(Xero!$F:$F,Xero!$B:$B,Heron!AH$9,Xero!$A:$A,Heron!$A$4,Xero!$E:$E,Heron!$A57)+SUMIFS(Xero!$F:$F,Xero!$B:$B,Heron!AH$9,Xero!$A:$A,Heron!$A$5,Xero!$E:$E,Heron!$A57)</f>
        <v/>
      </c>
      <c r="AI57" s="101">
        <f>SUMIFS(Xero!$F:$F,Xero!$B:$B,Heron!AI$9,Xero!$A:$A,Heron!$A$4,Xero!$E:$E,Heron!$A57)+SUMIFS(Xero!$F:$F,Xero!$B:$B,Heron!AI$9,Xero!$A:$A,Heron!$A$5,Xero!$E:$E,Heron!$A57)</f>
        <v/>
      </c>
      <c r="AJ57" s="101">
        <f>SUMIFS(Xero!$F:$F,Xero!$B:$B,Heron!AJ$9,Xero!$A:$A,Heron!$A$4,Xero!$E:$E,Heron!$A57)+SUMIFS(Xero!$F:$F,Xero!$B:$B,Heron!AJ$9,Xero!$A:$A,Heron!$A$5,Xero!$E:$E,Heron!$A57)</f>
        <v/>
      </c>
      <c r="AK57" s="101">
        <f>SUMIFS(Xero!$F:$F,Xero!$B:$B,Heron!AK$9,Xero!$A:$A,Heron!$A$4,Xero!$E:$E,Heron!$A57)+SUMIFS(Xero!$F:$F,Xero!$B:$B,Heron!AK$9,Xero!$A:$A,Heron!$A$5,Xero!$E:$E,Heron!$A57)</f>
        <v/>
      </c>
      <c r="AL57" s="101">
        <f>SUMIFS(Xero!$F:$F,Xero!$B:$B,Heron!AL$9,Xero!$A:$A,Heron!$A$4,Xero!$E:$E,Heron!$A57)+SUMIFS(Xero!$F:$F,Xero!$B:$B,Heron!AL$9,Xero!$A:$A,Heron!$A$5,Xero!$E:$E,Heron!$A57)</f>
        <v/>
      </c>
      <c r="AM57" s="101">
        <f>SUMIFS(Xero!$F:$F,Xero!$B:$B,Heron!AM$9,Xero!$A:$A,Heron!$A$4,Xero!$E:$E,Heron!$A57)+SUMIFS(Xero!$F:$F,Xero!$B:$B,Heron!AM$9,Xero!$A:$A,Heron!$A$5,Xero!$E:$E,Heron!$A57)</f>
        <v/>
      </c>
      <c r="AN57" s="101">
        <f>SUMIFS(Xero!$F:$F,Xero!$B:$B,Heron!AN$9,Xero!$A:$A,Heron!$A$4,Xero!$E:$E,Heron!$A57)+SUMIFS(Xero!$F:$F,Xero!$B:$B,Heron!AN$9,Xero!$A:$A,Heron!$A$5,Xero!$E:$E,Heron!$A57)</f>
        <v/>
      </c>
      <c r="AO57" s="101">
        <f>SUMIFS(Xero!$F:$F,Xero!$B:$B,Heron!AO$9,Xero!$A:$A,Heron!$A$4,Xero!$E:$E,Heron!$A57)+SUMIFS(Xero!$F:$F,Xero!$B:$B,Heron!AO$9,Xero!$A:$A,Heron!$A$5,Xero!$E:$E,Heron!$A57)</f>
        <v/>
      </c>
      <c r="AP57" s="101">
        <f>SUMIFS(Xero!$F:$F,Xero!$B:$B,Heron!AP$9,Xero!$A:$A,Heron!$A$4,Xero!$E:$E,Heron!$A57)+SUMIFS(Xero!$F:$F,Xero!$B:$B,Heron!AP$9,Xero!$A:$A,Heron!$A$5,Xero!$E:$E,Heron!$A57)</f>
        <v/>
      </c>
      <c r="AQ57" s="101">
        <f>SUMIFS(Xero!$F:$F,Xero!$B:$B,Heron!AQ$9,Xero!$A:$A,Heron!$A$4,Xero!$E:$E,Heron!$A57)+SUMIFS(Xero!$F:$F,Xero!$B:$B,Heron!AQ$9,Xero!$A:$A,Heron!$A$5,Xero!$E:$E,Heron!$A57)</f>
        <v/>
      </c>
      <c r="AR57" s="101">
        <f>SUMIFS(Xero!$F:$F,Xero!$B:$B,Heron!AR$9,Xero!$A:$A,Heron!$A$4,Xero!$E:$E,Heron!$A57)+SUMIFS(Xero!$F:$F,Xero!$B:$B,Heron!AR$9,Xero!$A:$A,Heron!$A$5,Xero!$E:$E,Heron!$A57)</f>
        <v/>
      </c>
      <c r="AS57" s="101">
        <f>SUMIFS(Xero!$F:$F,Xero!$B:$B,Heron!AS$9,Xero!$A:$A,Heron!$A$4,Xero!$E:$E,Heron!$A57)+SUMIFS(Xero!$F:$F,Xero!$B:$B,Heron!AS$9,Xero!$A:$A,Heron!$A$5,Xero!$E:$E,Heron!$A57)</f>
        <v/>
      </c>
      <c r="AT57" s="101">
        <f>SUMIFS(Xero!$F:$F,Xero!$B:$B,Heron!AT$9,Xero!$A:$A,Heron!$A$4,Xero!$E:$E,Heron!$A57)+SUMIFS(Xero!$F:$F,Xero!$B:$B,Heron!AT$9,Xero!$A:$A,Heron!$A$5,Xero!$E:$E,Heron!$A57)</f>
        <v/>
      </c>
      <c r="AU57" s="101">
        <f>SUMIFS(Xero!$F:$F,Xero!$B:$B,Heron!AU$9,Xero!$A:$A,Heron!$A$4,Xero!$E:$E,Heron!$A57)+SUMIFS(Xero!$F:$F,Xero!$B:$B,Heron!AU$9,Xero!$A:$A,Heron!$A$5,Xero!$E:$E,Heron!$A57)</f>
        <v/>
      </c>
      <c r="AV57" s="101">
        <f>SUMIFS(Xero!$F:$F,Xero!$B:$B,Heron!AV$9,Xero!$A:$A,Heron!$A$4,Xero!$E:$E,Heron!$A57)+SUMIFS(Xero!$F:$F,Xero!$B:$B,Heron!AV$9,Xero!$A:$A,Heron!$A$5,Xero!$E:$E,Heron!$A57)</f>
        <v/>
      </c>
      <c r="AW57" s="101">
        <f>SUMIFS(Xero!$F:$F,Xero!$B:$B,Heron!AW$9,Xero!$A:$A,Heron!$A$4,Xero!$E:$E,Heron!$A57)+SUMIFS(Xero!$F:$F,Xero!$B:$B,Heron!AW$9,Xero!$A:$A,Heron!$A$5,Xero!$E:$E,Heron!$A57)</f>
        <v/>
      </c>
      <c r="AX57" s="101">
        <f>SUMIFS(Xero!$F:$F,Xero!$B:$B,Heron!AX$9,Xero!$A:$A,Heron!$A$4,Xero!$E:$E,Heron!$A57)+SUMIFS(Xero!$F:$F,Xero!$B:$B,Heron!AX$9,Xero!$A:$A,Heron!$A$5,Xero!$E:$E,Heron!$A57)</f>
        <v/>
      </c>
      <c r="AY57" s="101">
        <f>SUMIFS(Xero!$F:$F,Xero!$B:$B,Heron!AY$9,Xero!$A:$A,Heron!$A$4,Xero!$E:$E,Heron!$A57)+SUMIFS(Xero!$F:$F,Xero!$B:$B,Heron!AY$9,Xero!$A:$A,Heron!$A$5,Xero!$E:$E,Heron!$A57)</f>
        <v/>
      </c>
      <c r="AZ57" s="101">
        <f>SUMIFS(Xero!$F:$F,Xero!$B:$B,Heron!AZ$9,Xero!$A:$A,Heron!$A$4,Xero!$E:$E,Heron!$A57)+SUMIFS(Xero!$F:$F,Xero!$B:$B,Heron!AZ$9,Xero!$A:$A,Heron!$A$5,Xero!$E:$E,Heron!$A57)</f>
        <v/>
      </c>
      <c r="BA57" s="101">
        <f>SUMIFS(Xero!$F:$F,Xero!$B:$B,Heron!BA$9,Xero!$A:$A,Heron!$A$4,Xero!$E:$E,Heron!$A57)+SUMIFS(Xero!$F:$F,Xero!$B:$B,Heron!BA$9,Xero!$A:$A,Heron!$A$5,Xero!$E:$E,Heron!$A57)</f>
        <v/>
      </c>
      <c r="BB57" s="101">
        <f>SUMIFS(Xero!$F:$F,Xero!$B:$B,Heron!BB$9,Xero!$A:$A,Heron!$A$4,Xero!$E:$E,Heron!$A57)+SUMIFS(Xero!$F:$F,Xero!$B:$B,Heron!BB$9,Xero!$A:$A,Heron!$A$5,Xero!$E:$E,Heron!$A57)</f>
        <v/>
      </c>
      <c r="BC57" s="101">
        <f>SUMIFS(Xero!$F:$F,Xero!$B:$B,Heron!BC$9,Xero!$A:$A,Heron!$A$4,Xero!$E:$E,Heron!$A57)+SUMIFS(Xero!$F:$F,Xero!$B:$B,Heron!BC$9,Xero!$A:$A,Heron!$A$5,Xero!$E:$E,Heron!$A57)</f>
        <v/>
      </c>
      <c r="BD57" s="101">
        <f>SUMIFS(Xero!$F:$F,Xero!$B:$B,Heron!BD$9,Xero!$A:$A,Heron!$A$4,Xero!$E:$E,Heron!$A57)+SUMIFS(Xero!$F:$F,Xero!$B:$B,Heron!BD$9,Xero!$A:$A,Heron!$A$5,Xero!$E:$E,Heron!$A57)</f>
        <v/>
      </c>
      <c r="BE57" s="101">
        <f>SUMIFS(Xero!$F:$F,Xero!$B:$B,Heron!BE$9,Xero!$A:$A,Heron!$A$4,Xero!$E:$E,Heron!$A57)+SUMIFS(Xero!$F:$F,Xero!$B:$B,Heron!BE$9,Xero!$A:$A,Heron!$A$5,Xero!$E:$E,Heron!$A57)</f>
        <v/>
      </c>
      <c r="BF57" s="101">
        <f>SUMIFS(Xero!$F:$F,Xero!$B:$B,Heron!BF$9,Xero!$A:$A,Heron!$A$4,Xero!$E:$E,Heron!$A57)+SUMIFS(Xero!$F:$F,Xero!$B:$B,Heron!BF$9,Xero!$A:$A,Heron!$A$5,Xero!$E:$E,Heron!$A57)</f>
        <v/>
      </c>
      <c r="BG57" s="101">
        <f>SUMIFS(Xero!$F:$F,Xero!$B:$B,Heron!BG$9,Xero!$A:$A,Heron!$A$4,Xero!$E:$E,Heron!$A57)+SUMIFS(Xero!$F:$F,Xero!$B:$B,Heron!BG$9,Xero!$A:$A,Heron!$A$5,Xero!$E:$E,Heron!$A57)</f>
        <v/>
      </c>
      <c r="BH57" s="101">
        <f>SUMIFS(Xero!$F:$F,Xero!$B:$B,Heron!BH$9,Xero!$A:$A,Heron!$A$4,Xero!$E:$E,Heron!$A57)+SUMIFS(Xero!$F:$F,Xero!$B:$B,Heron!BH$9,Xero!$A:$A,Heron!$A$5,Xero!$E:$E,Heron!$A57)</f>
        <v/>
      </c>
      <c r="BI57" s="101">
        <f>SUMIFS(Xero!$F:$F,Xero!$B:$B,Heron!BI$9,Xero!$A:$A,Heron!$A$4,Xero!$E:$E,Heron!$A57)+SUMIFS(Xero!$F:$F,Xero!$B:$B,Heron!BI$9,Xero!$A:$A,Heron!$A$5,Xero!$E:$E,Heron!$A57)</f>
        <v/>
      </c>
      <c r="BJ57" s="101">
        <f>SUMIFS(Xero!$F:$F,Xero!$B:$B,Heron!BJ$9,Xero!$A:$A,Heron!$A$4,Xero!$E:$E,Heron!$A57)+SUMIFS(Xero!$F:$F,Xero!$B:$B,Heron!BJ$9,Xero!$A:$A,Heron!$A$5,Xero!$E:$E,Heron!$A57)</f>
        <v/>
      </c>
      <c r="BK57" s="101">
        <f>sum(D57:BJ57)</f>
        <v/>
      </c>
    </row>
    <row r="58">
      <c r="A58" s="100" t="inlineStr">
        <is>
          <t>COS - Rates clearance</t>
        </is>
      </c>
      <c r="D58" s="101">
        <f>SUMIFS(Xero!$F:$F,Xero!$B:$B,Heron!D$9,Xero!$A:$A,Heron!$A$4,Xero!$E:$E,Heron!$A58)+SUMIFS(Xero!$F:$F,Xero!$B:$B,Heron!D$9,Xero!$A:$A,Heron!$A$5,Xero!$E:$E,Heron!$A58)</f>
        <v/>
      </c>
      <c r="E58" s="101">
        <f>SUMIFS(Xero!$F:$F,Xero!$B:$B,Heron!E$9,Xero!$A:$A,Heron!$A$4,Xero!$E:$E,Heron!$A58)+SUMIFS(Xero!$F:$F,Xero!$B:$B,Heron!E$9,Xero!$A:$A,Heron!$A$5,Xero!$E:$E,Heron!$A58)</f>
        <v/>
      </c>
      <c r="F58" s="101">
        <f>SUMIFS(Xero!$F:$F,Xero!$B:$B,Heron!F$9,Xero!$A:$A,Heron!$A$4,Xero!$E:$E,Heron!$A58)+SUMIFS(Xero!$F:$F,Xero!$B:$B,Heron!F$9,Xero!$A:$A,Heron!$A$5,Xero!$E:$E,Heron!$A58)</f>
        <v/>
      </c>
      <c r="G58" s="101">
        <f>SUMIFS(Xero!$F:$F,Xero!$B:$B,Heron!G$9,Xero!$A:$A,Heron!$A$4,Xero!$E:$E,Heron!$A58)+SUMIFS(Xero!$F:$F,Xero!$B:$B,Heron!G$9,Xero!$A:$A,Heron!$A$5,Xero!$E:$E,Heron!$A58)</f>
        <v/>
      </c>
      <c r="H58" s="101">
        <f>SUMIFS(Xero!$F:$F,Xero!$B:$B,Heron!H$9,Xero!$A:$A,Heron!$A$4,Xero!$E:$E,Heron!$A58)+SUMIFS(Xero!$F:$F,Xero!$B:$B,Heron!H$9,Xero!$A:$A,Heron!$A$5,Xero!$E:$E,Heron!$A58)</f>
        <v/>
      </c>
      <c r="I58" s="101">
        <f>SUMIFS(Xero!$F:$F,Xero!$B:$B,Heron!I$9,Xero!$A:$A,Heron!$A$4,Xero!$E:$E,Heron!$A58)+SUMIFS(Xero!$F:$F,Xero!$B:$B,Heron!I$9,Xero!$A:$A,Heron!$A$5,Xero!$E:$E,Heron!$A58)</f>
        <v/>
      </c>
      <c r="J58" s="101">
        <f>SUMIFS(Xero!$F:$F,Xero!$B:$B,Heron!J$9,Xero!$A:$A,Heron!$A$4,Xero!$E:$E,Heron!$A58)+SUMIFS(Xero!$F:$F,Xero!$B:$B,Heron!J$9,Xero!$A:$A,Heron!$A$5,Xero!$E:$E,Heron!$A58)</f>
        <v/>
      </c>
      <c r="K58" s="101">
        <f>SUMIFS(Xero!$F:$F,Xero!$B:$B,Heron!K$9,Xero!$A:$A,Heron!$A$4,Xero!$E:$E,Heron!$A58)+SUMIFS(Xero!$F:$F,Xero!$B:$B,Heron!K$9,Xero!$A:$A,Heron!$A$5,Xero!$E:$E,Heron!$A58)</f>
        <v/>
      </c>
      <c r="L58" s="101">
        <f>SUMIFS(Xero!$F:$F,Xero!$B:$B,Heron!L$9,Xero!$A:$A,Heron!$A$4,Xero!$E:$E,Heron!$A58)+SUMIFS(Xero!$F:$F,Xero!$B:$B,Heron!L$9,Xero!$A:$A,Heron!$A$5,Xero!$E:$E,Heron!$A58)</f>
        <v/>
      </c>
      <c r="M58" s="101">
        <f>SUMIFS(Xero!$F:$F,Xero!$B:$B,Heron!M$9,Xero!$A:$A,Heron!$A$4,Xero!$E:$E,Heron!$A58)+SUMIFS(Xero!$F:$F,Xero!$B:$B,Heron!M$9,Xero!$A:$A,Heron!$A$5,Xero!$E:$E,Heron!$A58)</f>
        <v/>
      </c>
      <c r="N58" s="101">
        <f>SUMIFS(Xero!$F:$F,Xero!$B:$B,Heron!N$9,Xero!$A:$A,Heron!$A$4,Xero!$E:$E,Heron!$A58)+SUMIFS(Xero!$F:$F,Xero!$B:$B,Heron!N$9,Xero!$A:$A,Heron!$A$5,Xero!$E:$E,Heron!$A58)</f>
        <v/>
      </c>
      <c r="O58" s="101">
        <f>SUMIFS(Xero!$F:$F,Xero!$B:$B,Heron!O$9,Xero!$A:$A,Heron!$A$4,Xero!$E:$E,Heron!$A58)+SUMIFS(Xero!$F:$F,Xero!$B:$B,Heron!O$9,Xero!$A:$A,Heron!$A$5,Xero!$E:$E,Heron!$A58)</f>
        <v/>
      </c>
      <c r="P58" s="101">
        <f>SUMIFS(Xero!$F:$F,Xero!$B:$B,Heron!P$9,Xero!$A:$A,Heron!$A$4,Xero!$E:$E,Heron!$A58)+SUMIFS(Xero!$F:$F,Xero!$B:$B,Heron!P$9,Xero!$A:$A,Heron!$A$5,Xero!$E:$E,Heron!$A58)</f>
        <v/>
      </c>
      <c r="Q58" s="101">
        <f>SUMIFS(Xero!$F:$F,Xero!$B:$B,Heron!Q$9,Xero!$A:$A,Heron!$A$4,Xero!$E:$E,Heron!$A58)+SUMIFS(Xero!$F:$F,Xero!$B:$B,Heron!Q$9,Xero!$A:$A,Heron!$A$5,Xero!$E:$E,Heron!$A58)</f>
        <v/>
      </c>
      <c r="R58" s="101">
        <f>SUMIFS(Xero!$F:$F,Xero!$B:$B,Heron!R$9,Xero!$A:$A,Heron!$A$4,Xero!$E:$E,Heron!$A58)+SUMIFS(Xero!$F:$F,Xero!$B:$B,Heron!R$9,Xero!$A:$A,Heron!$A$5,Xero!$E:$E,Heron!$A58)</f>
        <v/>
      </c>
      <c r="S58" s="101">
        <f>SUMIFS(Xero!$F:$F,Xero!$B:$B,Heron!S$9,Xero!$A:$A,Heron!$A$4,Xero!$E:$E,Heron!$A58)+SUMIFS(Xero!$F:$F,Xero!$B:$B,Heron!S$9,Xero!$A:$A,Heron!$A$5,Xero!$E:$E,Heron!$A58)</f>
        <v/>
      </c>
      <c r="T58" s="101">
        <f>SUMIFS(Xero!$F:$F,Xero!$B:$B,Heron!T$9,Xero!$A:$A,Heron!$A$4,Xero!$E:$E,Heron!$A58)+SUMIFS(Xero!$F:$F,Xero!$B:$B,Heron!T$9,Xero!$A:$A,Heron!$A$5,Xero!$E:$E,Heron!$A58)</f>
        <v/>
      </c>
      <c r="U58" s="101">
        <f>SUMIFS(Xero!$F:$F,Xero!$B:$B,Heron!U$9,Xero!$A:$A,Heron!$A$4,Xero!$E:$E,Heron!$A58)+SUMIFS(Xero!$F:$F,Xero!$B:$B,Heron!U$9,Xero!$A:$A,Heron!$A$5,Xero!$E:$E,Heron!$A58)</f>
        <v/>
      </c>
      <c r="V58" s="101">
        <f>SUMIFS(Xero!$F:$F,Xero!$B:$B,Heron!V$9,Xero!$A:$A,Heron!$A$4,Xero!$E:$E,Heron!$A58)+SUMIFS(Xero!$F:$F,Xero!$B:$B,Heron!V$9,Xero!$A:$A,Heron!$A$5,Xero!$E:$E,Heron!$A58)</f>
        <v/>
      </c>
      <c r="W58" s="101">
        <f>SUMIFS(Xero!$F:$F,Xero!$B:$B,Heron!W$9,Xero!$A:$A,Heron!$A$4,Xero!$E:$E,Heron!$A58)+SUMIFS(Xero!$F:$F,Xero!$B:$B,Heron!W$9,Xero!$A:$A,Heron!$A$5,Xero!$E:$E,Heron!$A58)</f>
        <v/>
      </c>
      <c r="X58" s="101">
        <f>SUMIFS(Xero!$F:$F,Xero!$B:$B,Heron!X$9,Xero!$A:$A,Heron!$A$4,Xero!$E:$E,Heron!$A58)+SUMIFS(Xero!$F:$F,Xero!$B:$B,Heron!X$9,Xero!$A:$A,Heron!$A$5,Xero!$E:$E,Heron!$A58)</f>
        <v/>
      </c>
      <c r="Y58" s="101">
        <f>SUMIFS(Xero!$F:$F,Xero!$B:$B,Heron!Y$9,Xero!$A:$A,Heron!$A$4,Xero!$E:$E,Heron!$A58)+SUMIFS(Xero!$F:$F,Xero!$B:$B,Heron!Y$9,Xero!$A:$A,Heron!$A$5,Xero!$E:$E,Heron!$A58)</f>
        <v/>
      </c>
      <c r="Z58" s="101">
        <f>SUMIFS(Xero!$F:$F,Xero!$B:$B,Heron!Z$9,Xero!$A:$A,Heron!$A$4,Xero!$E:$E,Heron!$A58)+SUMIFS(Xero!$F:$F,Xero!$B:$B,Heron!Z$9,Xero!$A:$A,Heron!$A$5,Xero!$E:$E,Heron!$A58)</f>
        <v/>
      </c>
      <c r="AA58" s="101">
        <f>SUMIFS(Xero!$F:$F,Xero!$B:$B,Heron!AA$9,Xero!$A:$A,Heron!$A$4,Xero!$E:$E,Heron!$A58)+SUMIFS(Xero!$F:$F,Xero!$B:$B,Heron!AA$9,Xero!$A:$A,Heron!$A$5,Xero!$E:$E,Heron!$A58)</f>
        <v/>
      </c>
      <c r="AB58" s="101">
        <f>SUMIFS(Xero!$F:$F,Xero!$B:$B,Heron!AB$9,Xero!$A:$A,Heron!$A$4,Xero!$E:$E,Heron!$A58)+SUMIFS(Xero!$F:$F,Xero!$B:$B,Heron!AB$9,Xero!$A:$A,Heron!$A$5,Xero!$E:$E,Heron!$A58)</f>
        <v/>
      </c>
      <c r="AC58" s="101">
        <f>SUMIFS(Xero!$F:$F,Xero!$B:$B,Heron!AC$9,Xero!$A:$A,Heron!$A$4,Xero!$E:$E,Heron!$A58)+SUMIFS(Xero!$F:$F,Xero!$B:$B,Heron!AC$9,Xero!$A:$A,Heron!$A$5,Xero!$E:$E,Heron!$A58)</f>
        <v/>
      </c>
      <c r="AD58" s="101">
        <f>SUMIFS(Xero!$F:$F,Xero!$B:$B,Heron!AD$9,Xero!$A:$A,Heron!$A$4,Xero!$E:$E,Heron!$A58)+SUMIFS(Xero!$F:$F,Xero!$B:$B,Heron!AD$9,Xero!$A:$A,Heron!$A$5,Xero!$E:$E,Heron!$A58)</f>
        <v/>
      </c>
      <c r="AE58" s="101">
        <f>SUMIFS(Xero!$F:$F,Xero!$B:$B,Heron!AE$9,Xero!$A:$A,Heron!$A$4,Xero!$E:$E,Heron!$A58)+SUMIFS(Xero!$F:$F,Xero!$B:$B,Heron!AE$9,Xero!$A:$A,Heron!$A$5,Xero!$E:$E,Heron!$A58)</f>
        <v/>
      </c>
      <c r="AF58" s="101">
        <f>SUMIFS(Xero!$F:$F,Xero!$B:$B,Heron!AF$9,Xero!$A:$A,Heron!$A$4,Xero!$E:$E,Heron!$A58)+SUMIFS(Xero!$F:$F,Xero!$B:$B,Heron!AF$9,Xero!$A:$A,Heron!$A$5,Xero!$E:$E,Heron!$A58)</f>
        <v/>
      </c>
      <c r="AG58" s="101">
        <f>SUMIFS(Xero!$F:$F,Xero!$B:$B,Heron!AG$9,Xero!$A:$A,Heron!$A$4,Xero!$E:$E,Heron!$A58)+SUMIFS(Xero!$F:$F,Xero!$B:$B,Heron!AG$9,Xero!$A:$A,Heron!$A$5,Xero!$E:$E,Heron!$A58)</f>
        <v/>
      </c>
      <c r="AH58" s="101">
        <f>SUMIFS(Xero!$F:$F,Xero!$B:$B,Heron!AH$9,Xero!$A:$A,Heron!$A$4,Xero!$E:$E,Heron!$A58)+SUMIFS(Xero!$F:$F,Xero!$B:$B,Heron!AH$9,Xero!$A:$A,Heron!$A$5,Xero!$E:$E,Heron!$A58)</f>
        <v/>
      </c>
      <c r="AI58" s="101">
        <f>SUMIFS(Xero!$F:$F,Xero!$B:$B,Heron!AI$9,Xero!$A:$A,Heron!$A$4,Xero!$E:$E,Heron!$A58)+SUMIFS(Xero!$F:$F,Xero!$B:$B,Heron!AI$9,Xero!$A:$A,Heron!$A$5,Xero!$E:$E,Heron!$A58)</f>
        <v/>
      </c>
      <c r="AJ58" s="101">
        <f>SUMIFS(Xero!$F:$F,Xero!$B:$B,Heron!AJ$9,Xero!$A:$A,Heron!$A$4,Xero!$E:$E,Heron!$A58)+SUMIFS(Xero!$F:$F,Xero!$B:$B,Heron!AJ$9,Xero!$A:$A,Heron!$A$5,Xero!$E:$E,Heron!$A58)</f>
        <v/>
      </c>
      <c r="AK58" s="101">
        <f>SUMIFS(Xero!$F:$F,Xero!$B:$B,Heron!AK$9,Xero!$A:$A,Heron!$A$4,Xero!$E:$E,Heron!$A58)+SUMIFS(Xero!$F:$F,Xero!$B:$B,Heron!AK$9,Xero!$A:$A,Heron!$A$5,Xero!$E:$E,Heron!$A58)</f>
        <v/>
      </c>
      <c r="AL58" s="101">
        <f>SUMIFS(Xero!$F:$F,Xero!$B:$B,Heron!AL$9,Xero!$A:$A,Heron!$A$4,Xero!$E:$E,Heron!$A58)+SUMIFS(Xero!$F:$F,Xero!$B:$B,Heron!AL$9,Xero!$A:$A,Heron!$A$5,Xero!$E:$E,Heron!$A58)</f>
        <v/>
      </c>
      <c r="AM58" s="101">
        <f>SUMIFS(Xero!$F:$F,Xero!$B:$B,Heron!AM$9,Xero!$A:$A,Heron!$A$4,Xero!$E:$E,Heron!$A58)+SUMIFS(Xero!$F:$F,Xero!$B:$B,Heron!AM$9,Xero!$A:$A,Heron!$A$5,Xero!$E:$E,Heron!$A58)</f>
        <v/>
      </c>
      <c r="AN58" s="101">
        <f>SUMIFS(Xero!$F:$F,Xero!$B:$B,Heron!AN$9,Xero!$A:$A,Heron!$A$4,Xero!$E:$E,Heron!$A58)+SUMIFS(Xero!$F:$F,Xero!$B:$B,Heron!AN$9,Xero!$A:$A,Heron!$A$5,Xero!$E:$E,Heron!$A58)</f>
        <v/>
      </c>
      <c r="AO58" s="101">
        <f>SUMIFS(Xero!$F:$F,Xero!$B:$B,Heron!AO$9,Xero!$A:$A,Heron!$A$4,Xero!$E:$E,Heron!$A58)+SUMIFS(Xero!$F:$F,Xero!$B:$B,Heron!AO$9,Xero!$A:$A,Heron!$A$5,Xero!$E:$E,Heron!$A58)</f>
        <v/>
      </c>
      <c r="AP58" s="101">
        <f>SUMIFS(Xero!$F:$F,Xero!$B:$B,Heron!AP$9,Xero!$A:$A,Heron!$A$4,Xero!$E:$E,Heron!$A58)+SUMIFS(Xero!$F:$F,Xero!$B:$B,Heron!AP$9,Xero!$A:$A,Heron!$A$5,Xero!$E:$E,Heron!$A58)</f>
        <v/>
      </c>
      <c r="AQ58" s="101">
        <f>SUMIFS(Xero!$F:$F,Xero!$B:$B,Heron!AQ$9,Xero!$A:$A,Heron!$A$4,Xero!$E:$E,Heron!$A58)+SUMIFS(Xero!$F:$F,Xero!$B:$B,Heron!AQ$9,Xero!$A:$A,Heron!$A$5,Xero!$E:$E,Heron!$A58)</f>
        <v/>
      </c>
      <c r="AR58" s="101">
        <f>SUMIFS(Xero!$F:$F,Xero!$B:$B,Heron!AR$9,Xero!$A:$A,Heron!$A$4,Xero!$E:$E,Heron!$A58)+SUMIFS(Xero!$F:$F,Xero!$B:$B,Heron!AR$9,Xero!$A:$A,Heron!$A$5,Xero!$E:$E,Heron!$A58)</f>
        <v/>
      </c>
      <c r="AS58" s="101">
        <f>SUMIFS(Xero!$F:$F,Xero!$B:$B,Heron!AS$9,Xero!$A:$A,Heron!$A$4,Xero!$E:$E,Heron!$A58)+SUMIFS(Xero!$F:$F,Xero!$B:$B,Heron!AS$9,Xero!$A:$A,Heron!$A$5,Xero!$E:$E,Heron!$A58)</f>
        <v/>
      </c>
      <c r="AT58" s="101">
        <f>SUMIFS(Xero!$F:$F,Xero!$B:$B,Heron!AT$9,Xero!$A:$A,Heron!$A$4,Xero!$E:$E,Heron!$A58)+SUMIFS(Xero!$F:$F,Xero!$B:$B,Heron!AT$9,Xero!$A:$A,Heron!$A$5,Xero!$E:$E,Heron!$A58)</f>
        <v/>
      </c>
      <c r="AU58" s="101">
        <f>SUMIFS(Xero!$F:$F,Xero!$B:$B,Heron!AU$9,Xero!$A:$A,Heron!$A$4,Xero!$E:$E,Heron!$A58)+SUMIFS(Xero!$F:$F,Xero!$B:$B,Heron!AU$9,Xero!$A:$A,Heron!$A$5,Xero!$E:$E,Heron!$A58)</f>
        <v/>
      </c>
      <c r="AV58" s="101">
        <f>SUMIFS(Xero!$F:$F,Xero!$B:$B,Heron!AV$9,Xero!$A:$A,Heron!$A$4,Xero!$E:$E,Heron!$A58)+SUMIFS(Xero!$F:$F,Xero!$B:$B,Heron!AV$9,Xero!$A:$A,Heron!$A$5,Xero!$E:$E,Heron!$A58)</f>
        <v/>
      </c>
      <c r="AW58" s="101">
        <f>SUMIFS(Xero!$F:$F,Xero!$B:$B,Heron!AW$9,Xero!$A:$A,Heron!$A$4,Xero!$E:$E,Heron!$A58)+SUMIFS(Xero!$F:$F,Xero!$B:$B,Heron!AW$9,Xero!$A:$A,Heron!$A$5,Xero!$E:$E,Heron!$A58)</f>
        <v/>
      </c>
      <c r="AX58" s="101">
        <f>SUMIFS(Xero!$F:$F,Xero!$B:$B,Heron!AX$9,Xero!$A:$A,Heron!$A$4,Xero!$E:$E,Heron!$A58)+SUMIFS(Xero!$F:$F,Xero!$B:$B,Heron!AX$9,Xero!$A:$A,Heron!$A$5,Xero!$E:$E,Heron!$A58)</f>
        <v/>
      </c>
      <c r="AY58" s="101">
        <f>SUMIFS(Xero!$F:$F,Xero!$B:$B,Heron!AY$9,Xero!$A:$A,Heron!$A$4,Xero!$E:$E,Heron!$A58)+SUMIFS(Xero!$F:$F,Xero!$B:$B,Heron!AY$9,Xero!$A:$A,Heron!$A$5,Xero!$E:$E,Heron!$A58)</f>
        <v/>
      </c>
      <c r="AZ58" s="101">
        <f>SUMIFS(Xero!$F:$F,Xero!$B:$B,Heron!AZ$9,Xero!$A:$A,Heron!$A$4,Xero!$E:$E,Heron!$A58)+SUMIFS(Xero!$F:$F,Xero!$B:$B,Heron!AZ$9,Xero!$A:$A,Heron!$A$5,Xero!$E:$E,Heron!$A58)</f>
        <v/>
      </c>
      <c r="BA58" s="101">
        <f>SUMIFS(Xero!$F:$F,Xero!$B:$B,Heron!BA$9,Xero!$A:$A,Heron!$A$4,Xero!$E:$E,Heron!$A58)+SUMIFS(Xero!$F:$F,Xero!$B:$B,Heron!BA$9,Xero!$A:$A,Heron!$A$5,Xero!$E:$E,Heron!$A58)</f>
        <v/>
      </c>
      <c r="BB58" s="101">
        <f>SUMIFS(Xero!$F:$F,Xero!$B:$B,Heron!BB$9,Xero!$A:$A,Heron!$A$4,Xero!$E:$E,Heron!$A58)+SUMIFS(Xero!$F:$F,Xero!$B:$B,Heron!BB$9,Xero!$A:$A,Heron!$A$5,Xero!$E:$E,Heron!$A58)</f>
        <v/>
      </c>
      <c r="BC58" s="101">
        <f>SUMIFS(Xero!$F:$F,Xero!$B:$B,Heron!BC$9,Xero!$A:$A,Heron!$A$4,Xero!$E:$E,Heron!$A58)+SUMIFS(Xero!$F:$F,Xero!$B:$B,Heron!BC$9,Xero!$A:$A,Heron!$A$5,Xero!$E:$E,Heron!$A58)</f>
        <v/>
      </c>
      <c r="BD58" s="101">
        <f>SUMIFS(Xero!$F:$F,Xero!$B:$B,Heron!BD$9,Xero!$A:$A,Heron!$A$4,Xero!$E:$E,Heron!$A58)+SUMIFS(Xero!$F:$F,Xero!$B:$B,Heron!BD$9,Xero!$A:$A,Heron!$A$5,Xero!$E:$E,Heron!$A58)</f>
        <v/>
      </c>
      <c r="BE58" s="101">
        <f>SUMIFS(Xero!$F:$F,Xero!$B:$B,Heron!BE$9,Xero!$A:$A,Heron!$A$4,Xero!$E:$E,Heron!$A58)+SUMIFS(Xero!$F:$F,Xero!$B:$B,Heron!BE$9,Xero!$A:$A,Heron!$A$5,Xero!$E:$E,Heron!$A58)</f>
        <v/>
      </c>
      <c r="BF58" s="101">
        <f>SUMIFS(Xero!$F:$F,Xero!$B:$B,Heron!BF$9,Xero!$A:$A,Heron!$A$4,Xero!$E:$E,Heron!$A58)+SUMIFS(Xero!$F:$F,Xero!$B:$B,Heron!BF$9,Xero!$A:$A,Heron!$A$5,Xero!$E:$E,Heron!$A58)</f>
        <v/>
      </c>
      <c r="BG58" s="101">
        <f>SUMIFS(Xero!$F:$F,Xero!$B:$B,Heron!BG$9,Xero!$A:$A,Heron!$A$4,Xero!$E:$E,Heron!$A58)+SUMIFS(Xero!$F:$F,Xero!$B:$B,Heron!BG$9,Xero!$A:$A,Heron!$A$5,Xero!$E:$E,Heron!$A58)</f>
        <v/>
      </c>
      <c r="BH58" s="101">
        <f>SUMIFS(Xero!$F:$F,Xero!$B:$B,Heron!BH$9,Xero!$A:$A,Heron!$A$4,Xero!$E:$E,Heron!$A58)+SUMIFS(Xero!$F:$F,Xero!$B:$B,Heron!BH$9,Xero!$A:$A,Heron!$A$5,Xero!$E:$E,Heron!$A58)</f>
        <v/>
      </c>
      <c r="BI58" s="101">
        <f>SUMIFS(Xero!$F:$F,Xero!$B:$B,Heron!BI$9,Xero!$A:$A,Heron!$A$4,Xero!$E:$E,Heron!$A58)+SUMIFS(Xero!$F:$F,Xero!$B:$B,Heron!BI$9,Xero!$A:$A,Heron!$A$5,Xero!$E:$E,Heron!$A58)</f>
        <v/>
      </c>
      <c r="BJ58" s="101">
        <f>SUMIFS(Xero!$F:$F,Xero!$B:$B,Heron!BJ$9,Xero!$A:$A,Heron!$A$4,Xero!$E:$E,Heron!$A58)+SUMIFS(Xero!$F:$F,Xero!$B:$B,Heron!BJ$9,Xero!$A:$A,Heron!$A$5,Xero!$E:$E,Heron!$A58)</f>
        <v/>
      </c>
      <c r="BK58" s="101">
        <f>sum(D58:BJ58)</f>
        <v/>
      </c>
    </row>
    <row r="59">
      <c r="A59" s="100" t="inlineStr">
        <is>
          <t>COS - Showhouse - HF</t>
        </is>
      </c>
      <c r="D59" s="101">
        <f>SUMIFS(Xero!$F:$F,Xero!$B:$B,Heron!D$9,Xero!$A:$A,Heron!$A$4,Xero!$E:$E,Heron!$A59)+SUMIFS(Xero!$F:$F,Xero!$B:$B,Heron!D$9,Xero!$A:$A,Heron!$A$5,Xero!$E:$E,Heron!$A59)</f>
        <v/>
      </c>
      <c r="E59" s="101">
        <f>SUMIFS(Xero!$F:$F,Xero!$B:$B,Heron!E$9,Xero!$A:$A,Heron!$A$4,Xero!$E:$E,Heron!$A59)+SUMIFS(Xero!$F:$F,Xero!$B:$B,Heron!E$9,Xero!$A:$A,Heron!$A$5,Xero!$E:$E,Heron!$A59)</f>
        <v/>
      </c>
      <c r="F59" s="101">
        <f>SUMIFS(Xero!$F:$F,Xero!$B:$B,Heron!F$9,Xero!$A:$A,Heron!$A$4,Xero!$E:$E,Heron!$A59)+SUMIFS(Xero!$F:$F,Xero!$B:$B,Heron!F$9,Xero!$A:$A,Heron!$A$5,Xero!$E:$E,Heron!$A59)</f>
        <v/>
      </c>
      <c r="G59" s="101">
        <f>SUMIFS(Xero!$F:$F,Xero!$B:$B,Heron!G$9,Xero!$A:$A,Heron!$A$4,Xero!$E:$E,Heron!$A59)+SUMIFS(Xero!$F:$F,Xero!$B:$B,Heron!G$9,Xero!$A:$A,Heron!$A$5,Xero!$E:$E,Heron!$A59)</f>
        <v/>
      </c>
      <c r="H59" s="101">
        <f>SUMIFS(Xero!$F:$F,Xero!$B:$B,Heron!H$9,Xero!$A:$A,Heron!$A$4,Xero!$E:$E,Heron!$A59)+SUMIFS(Xero!$F:$F,Xero!$B:$B,Heron!H$9,Xero!$A:$A,Heron!$A$5,Xero!$E:$E,Heron!$A59)</f>
        <v/>
      </c>
      <c r="I59" s="101">
        <f>SUMIFS(Xero!$F:$F,Xero!$B:$B,Heron!I$9,Xero!$A:$A,Heron!$A$4,Xero!$E:$E,Heron!$A59)+SUMIFS(Xero!$F:$F,Xero!$B:$B,Heron!I$9,Xero!$A:$A,Heron!$A$5,Xero!$E:$E,Heron!$A59)</f>
        <v/>
      </c>
      <c r="J59" s="101">
        <f>SUMIFS(Xero!$F:$F,Xero!$B:$B,Heron!J$9,Xero!$A:$A,Heron!$A$4,Xero!$E:$E,Heron!$A59)+SUMIFS(Xero!$F:$F,Xero!$B:$B,Heron!J$9,Xero!$A:$A,Heron!$A$5,Xero!$E:$E,Heron!$A59)</f>
        <v/>
      </c>
      <c r="K59" s="101">
        <f>SUMIFS(Xero!$F:$F,Xero!$B:$B,Heron!K$9,Xero!$A:$A,Heron!$A$4,Xero!$E:$E,Heron!$A59)+SUMIFS(Xero!$F:$F,Xero!$B:$B,Heron!K$9,Xero!$A:$A,Heron!$A$5,Xero!$E:$E,Heron!$A59)</f>
        <v/>
      </c>
      <c r="L59" s="101">
        <f>SUMIFS(Xero!$F:$F,Xero!$B:$B,Heron!L$9,Xero!$A:$A,Heron!$A$4,Xero!$E:$E,Heron!$A59)+SUMIFS(Xero!$F:$F,Xero!$B:$B,Heron!L$9,Xero!$A:$A,Heron!$A$5,Xero!$E:$E,Heron!$A59)</f>
        <v/>
      </c>
      <c r="M59" s="101">
        <f>SUMIFS(Xero!$F:$F,Xero!$B:$B,Heron!M$9,Xero!$A:$A,Heron!$A$4,Xero!$E:$E,Heron!$A59)+SUMIFS(Xero!$F:$F,Xero!$B:$B,Heron!M$9,Xero!$A:$A,Heron!$A$5,Xero!$E:$E,Heron!$A59)</f>
        <v/>
      </c>
      <c r="N59" s="101">
        <f>SUMIFS(Xero!$F:$F,Xero!$B:$B,Heron!N$9,Xero!$A:$A,Heron!$A$4,Xero!$E:$E,Heron!$A59)+SUMIFS(Xero!$F:$F,Xero!$B:$B,Heron!N$9,Xero!$A:$A,Heron!$A$5,Xero!$E:$E,Heron!$A59)</f>
        <v/>
      </c>
      <c r="O59" s="101">
        <f>SUMIFS(Xero!$F:$F,Xero!$B:$B,Heron!O$9,Xero!$A:$A,Heron!$A$4,Xero!$E:$E,Heron!$A59)+SUMIFS(Xero!$F:$F,Xero!$B:$B,Heron!O$9,Xero!$A:$A,Heron!$A$5,Xero!$E:$E,Heron!$A59)</f>
        <v/>
      </c>
      <c r="P59" s="101">
        <f>SUMIFS(Xero!$F:$F,Xero!$B:$B,Heron!P$9,Xero!$A:$A,Heron!$A$4,Xero!$E:$E,Heron!$A59)+SUMIFS(Xero!$F:$F,Xero!$B:$B,Heron!P$9,Xero!$A:$A,Heron!$A$5,Xero!$E:$E,Heron!$A59)</f>
        <v/>
      </c>
      <c r="Q59" s="101">
        <f>SUMIFS(Xero!$F:$F,Xero!$B:$B,Heron!Q$9,Xero!$A:$A,Heron!$A$4,Xero!$E:$E,Heron!$A59)+SUMIFS(Xero!$F:$F,Xero!$B:$B,Heron!Q$9,Xero!$A:$A,Heron!$A$5,Xero!$E:$E,Heron!$A59)</f>
        <v/>
      </c>
      <c r="R59" s="101">
        <f>SUMIFS(Xero!$F:$F,Xero!$B:$B,Heron!R$9,Xero!$A:$A,Heron!$A$4,Xero!$E:$E,Heron!$A59)+SUMIFS(Xero!$F:$F,Xero!$B:$B,Heron!R$9,Xero!$A:$A,Heron!$A$5,Xero!$E:$E,Heron!$A59)</f>
        <v/>
      </c>
      <c r="S59" s="101">
        <f>SUMIFS(Xero!$F:$F,Xero!$B:$B,Heron!S$9,Xero!$A:$A,Heron!$A$4,Xero!$E:$E,Heron!$A59)+SUMIFS(Xero!$F:$F,Xero!$B:$B,Heron!S$9,Xero!$A:$A,Heron!$A$5,Xero!$E:$E,Heron!$A59)</f>
        <v/>
      </c>
      <c r="T59" s="101">
        <f>SUMIFS(Xero!$F:$F,Xero!$B:$B,Heron!T$9,Xero!$A:$A,Heron!$A$4,Xero!$E:$E,Heron!$A59)+SUMIFS(Xero!$F:$F,Xero!$B:$B,Heron!T$9,Xero!$A:$A,Heron!$A$5,Xero!$E:$E,Heron!$A59)</f>
        <v/>
      </c>
      <c r="U59" s="101">
        <f>SUMIFS(Xero!$F:$F,Xero!$B:$B,Heron!U$9,Xero!$A:$A,Heron!$A$4,Xero!$E:$E,Heron!$A59)+SUMIFS(Xero!$F:$F,Xero!$B:$B,Heron!U$9,Xero!$A:$A,Heron!$A$5,Xero!$E:$E,Heron!$A59)</f>
        <v/>
      </c>
      <c r="V59" s="101">
        <f>SUMIFS(Xero!$F:$F,Xero!$B:$B,Heron!V$9,Xero!$A:$A,Heron!$A$4,Xero!$E:$E,Heron!$A59)+SUMIFS(Xero!$F:$F,Xero!$B:$B,Heron!V$9,Xero!$A:$A,Heron!$A$5,Xero!$E:$E,Heron!$A59)</f>
        <v/>
      </c>
      <c r="W59" s="101">
        <f>SUMIFS(Xero!$F:$F,Xero!$B:$B,Heron!W$9,Xero!$A:$A,Heron!$A$4,Xero!$E:$E,Heron!$A59)+SUMIFS(Xero!$F:$F,Xero!$B:$B,Heron!W$9,Xero!$A:$A,Heron!$A$5,Xero!$E:$E,Heron!$A59)</f>
        <v/>
      </c>
      <c r="X59" s="101">
        <f>SUMIFS(Xero!$F:$F,Xero!$B:$B,Heron!X$9,Xero!$A:$A,Heron!$A$4,Xero!$E:$E,Heron!$A59)+SUMIFS(Xero!$F:$F,Xero!$B:$B,Heron!X$9,Xero!$A:$A,Heron!$A$5,Xero!$E:$E,Heron!$A59)</f>
        <v/>
      </c>
      <c r="Y59" s="101">
        <f>SUMIFS(Xero!$F:$F,Xero!$B:$B,Heron!Y$9,Xero!$A:$A,Heron!$A$4,Xero!$E:$E,Heron!$A59)+SUMIFS(Xero!$F:$F,Xero!$B:$B,Heron!Y$9,Xero!$A:$A,Heron!$A$5,Xero!$E:$E,Heron!$A59)</f>
        <v/>
      </c>
      <c r="Z59" s="101">
        <f>SUMIFS(Xero!$F:$F,Xero!$B:$B,Heron!Z$9,Xero!$A:$A,Heron!$A$4,Xero!$E:$E,Heron!$A59)+SUMIFS(Xero!$F:$F,Xero!$B:$B,Heron!Z$9,Xero!$A:$A,Heron!$A$5,Xero!$E:$E,Heron!$A59)</f>
        <v/>
      </c>
      <c r="AA59" s="101">
        <f>SUMIFS(Xero!$F:$F,Xero!$B:$B,Heron!AA$9,Xero!$A:$A,Heron!$A$4,Xero!$E:$E,Heron!$A59)+SUMIFS(Xero!$F:$F,Xero!$B:$B,Heron!AA$9,Xero!$A:$A,Heron!$A$5,Xero!$E:$E,Heron!$A59)</f>
        <v/>
      </c>
      <c r="AB59" s="101">
        <f>SUMIFS(Xero!$F:$F,Xero!$B:$B,Heron!AB$9,Xero!$A:$A,Heron!$A$4,Xero!$E:$E,Heron!$A59)+SUMIFS(Xero!$F:$F,Xero!$B:$B,Heron!AB$9,Xero!$A:$A,Heron!$A$5,Xero!$E:$E,Heron!$A59)</f>
        <v/>
      </c>
      <c r="AC59" s="101">
        <f>SUMIFS(Xero!$F:$F,Xero!$B:$B,Heron!AC$9,Xero!$A:$A,Heron!$A$4,Xero!$E:$E,Heron!$A59)+SUMIFS(Xero!$F:$F,Xero!$B:$B,Heron!AC$9,Xero!$A:$A,Heron!$A$5,Xero!$E:$E,Heron!$A59)</f>
        <v/>
      </c>
      <c r="AD59" s="101">
        <f>SUMIFS(Xero!$F:$F,Xero!$B:$B,Heron!AD$9,Xero!$A:$A,Heron!$A$4,Xero!$E:$E,Heron!$A59)+SUMIFS(Xero!$F:$F,Xero!$B:$B,Heron!AD$9,Xero!$A:$A,Heron!$A$5,Xero!$E:$E,Heron!$A59)</f>
        <v/>
      </c>
      <c r="AE59" s="101">
        <f>SUMIFS(Xero!$F:$F,Xero!$B:$B,Heron!AE$9,Xero!$A:$A,Heron!$A$4,Xero!$E:$E,Heron!$A59)+SUMIFS(Xero!$F:$F,Xero!$B:$B,Heron!AE$9,Xero!$A:$A,Heron!$A$5,Xero!$E:$E,Heron!$A59)</f>
        <v/>
      </c>
      <c r="AF59" s="101">
        <f>SUMIFS(Xero!$F:$F,Xero!$B:$B,Heron!AF$9,Xero!$A:$A,Heron!$A$4,Xero!$E:$E,Heron!$A59)+SUMIFS(Xero!$F:$F,Xero!$B:$B,Heron!AF$9,Xero!$A:$A,Heron!$A$5,Xero!$E:$E,Heron!$A59)</f>
        <v/>
      </c>
      <c r="AG59" s="101">
        <f>SUMIFS(Xero!$F:$F,Xero!$B:$B,Heron!AG$9,Xero!$A:$A,Heron!$A$4,Xero!$E:$E,Heron!$A59)+SUMIFS(Xero!$F:$F,Xero!$B:$B,Heron!AG$9,Xero!$A:$A,Heron!$A$5,Xero!$E:$E,Heron!$A59)</f>
        <v/>
      </c>
      <c r="AH59" s="101">
        <f>SUMIFS(Xero!$F:$F,Xero!$B:$B,Heron!AH$9,Xero!$A:$A,Heron!$A$4,Xero!$E:$E,Heron!$A59)+SUMIFS(Xero!$F:$F,Xero!$B:$B,Heron!AH$9,Xero!$A:$A,Heron!$A$5,Xero!$E:$E,Heron!$A59)</f>
        <v/>
      </c>
      <c r="AI59" s="101">
        <f>SUMIFS(Xero!$F:$F,Xero!$B:$B,Heron!AI$9,Xero!$A:$A,Heron!$A$4,Xero!$E:$E,Heron!$A59)+SUMIFS(Xero!$F:$F,Xero!$B:$B,Heron!AI$9,Xero!$A:$A,Heron!$A$5,Xero!$E:$E,Heron!$A59)</f>
        <v/>
      </c>
      <c r="AJ59" s="101">
        <f>SUMIFS(Xero!$F:$F,Xero!$B:$B,Heron!AJ$9,Xero!$A:$A,Heron!$A$4,Xero!$E:$E,Heron!$A59)+SUMIFS(Xero!$F:$F,Xero!$B:$B,Heron!AJ$9,Xero!$A:$A,Heron!$A$5,Xero!$E:$E,Heron!$A59)</f>
        <v/>
      </c>
      <c r="AK59" s="101">
        <f>SUMIFS(Xero!$F:$F,Xero!$B:$B,Heron!AK$9,Xero!$A:$A,Heron!$A$4,Xero!$E:$E,Heron!$A59)+SUMIFS(Xero!$F:$F,Xero!$B:$B,Heron!AK$9,Xero!$A:$A,Heron!$A$5,Xero!$E:$E,Heron!$A59)</f>
        <v/>
      </c>
      <c r="AL59" s="101">
        <f>SUMIFS(Xero!$F:$F,Xero!$B:$B,Heron!AL$9,Xero!$A:$A,Heron!$A$4,Xero!$E:$E,Heron!$A59)+SUMIFS(Xero!$F:$F,Xero!$B:$B,Heron!AL$9,Xero!$A:$A,Heron!$A$5,Xero!$E:$E,Heron!$A59)</f>
        <v/>
      </c>
      <c r="AM59" s="101">
        <f>SUMIFS(Xero!$F:$F,Xero!$B:$B,Heron!AM$9,Xero!$A:$A,Heron!$A$4,Xero!$E:$E,Heron!$A59)+SUMIFS(Xero!$F:$F,Xero!$B:$B,Heron!AM$9,Xero!$A:$A,Heron!$A$5,Xero!$E:$E,Heron!$A59)</f>
        <v/>
      </c>
      <c r="AN59" s="101">
        <f>SUMIFS(Xero!$F:$F,Xero!$B:$B,Heron!AN$9,Xero!$A:$A,Heron!$A$4,Xero!$E:$E,Heron!$A59)+SUMIFS(Xero!$F:$F,Xero!$B:$B,Heron!AN$9,Xero!$A:$A,Heron!$A$5,Xero!$E:$E,Heron!$A59)</f>
        <v/>
      </c>
      <c r="AO59" s="101">
        <f>SUMIFS(Xero!$F:$F,Xero!$B:$B,Heron!AO$9,Xero!$A:$A,Heron!$A$4,Xero!$E:$E,Heron!$A59)+SUMIFS(Xero!$F:$F,Xero!$B:$B,Heron!AO$9,Xero!$A:$A,Heron!$A$5,Xero!$E:$E,Heron!$A59)</f>
        <v/>
      </c>
      <c r="AP59" s="101">
        <f>SUMIFS(Xero!$F:$F,Xero!$B:$B,Heron!AP$9,Xero!$A:$A,Heron!$A$4,Xero!$E:$E,Heron!$A59)+SUMIFS(Xero!$F:$F,Xero!$B:$B,Heron!AP$9,Xero!$A:$A,Heron!$A$5,Xero!$E:$E,Heron!$A59)</f>
        <v/>
      </c>
      <c r="AQ59" s="101">
        <f>SUMIFS(Xero!$F:$F,Xero!$B:$B,Heron!AQ$9,Xero!$A:$A,Heron!$A$4,Xero!$E:$E,Heron!$A59)+SUMIFS(Xero!$F:$F,Xero!$B:$B,Heron!AQ$9,Xero!$A:$A,Heron!$A$5,Xero!$E:$E,Heron!$A59)</f>
        <v/>
      </c>
      <c r="AR59" s="101">
        <f>SUMIFS(Xero!$F:$F,Xero!$B:$B,Heron!AR$9,Xero!$A:$A,Heron!$A$4,Xero!$E:$E,Heron!$A59)+SUMIFS(Xero!$F:$F,Xero!$B:$B,Heron!AR$9,Xero!$A:$A,Heron!$A$5,Xero!$E:$E,Heron!$A59)</f>
        <v/>
      </c>
      <c r="AS59" s="101">
        <f>SUMIFS(Xero!$F:$F,Xero!$B:$B,Heron!AS$9,Xero!$A:$A,Heron!$A$4,Xero!$E:$E,Heron!$A59)+SUMIFS(Xero!$F:$F,Xero!$B:$B,Heron!AS$9,Xero!$A:$A,Heron!$A$5,Xero!$E:$E,Heron!$A59)</f>
        <v/>
      </c>
      <c r="AT59" s="101">
        <f>SUMIFS(Xero!$F:$F,Xero!$B:$B,Heron!AT$9,Xero!$A:$A,Heron!$A$4,Xero!$E:$E,Heron!$A59)+SUMIFS(Xero!$F:$F,Xero!$B:$B,Heron!AT$9,Xero!$A:$A,Heron!$A$5,Xero!$E:$E,Heron!$A59)</f>
        <v/>
      </c>
      <c r="AU59" s="101">
        <f>SUMIFS(Xero!$F:$F,Xero!$B:$B,Heron!AU$9,Xero!$A:$A,Heron!$A$4,Xero!$E:$E,Heron!$A59)+SUMIFS(Xero!$F:$F,Xero!$B:$B,Heron!AU$9,Xero!$A:$A,Heron!$A$5,Xero!$E:$E,Heron!$A59)</f>
        <v/>
      </c>
      <c r="AV59" s="101">
        <f>SUMIFS(Xero!$F:$F,Xero!$B:$B,Heron!AV$9,Xero!$A:$A,Heron!$A$4,Xero!$E:$E,Heron!$A59)+SUMIFS(Xero!$F:$F,Xero!$B:$B,Heron!AV$9,Xero!$A:$A,Heron!$A$5,Xero!$E:$E,Heron!$A59)</f>
        <v/>
      </c>
      <c r="AW59" s="101">
        <f>SUMIFS(Xero!$F:$F,Xero!$B:$B,Heron!AW$9,Xero!$A:$A,Heron!$A$4,Xero!$E:$E,Heron!$A59)+SUMIFS(Xero!$F:$F,Xero!$B:$B,Heron!AW$9,Xero!$A:$A,Heron!$A$5,Xero!$E:$E,Heron!$A59)</f>
        <v/>
      </c>
      <c r="AX59" s="101">
        <f>SUMIFS(Xero!$F:$F,Xero!$B:$B,Heron!AX$9,Xero!$A:$A,Heron!$A$4,Xero!$E:$E,Heron!$A59)+SUMIFS(Xero!$F:$F,Xero!$B:$B,Heron!AX$9,Xero!$A:$A,Heron!$A$5,Xero!$E:$E,Heron!$A59)</f>
        <v/>
      </c>
      <c r="AY59" s="101">
        <f>SUMIFS(Xero!$F:$F,Xero!$B:$B,Heron!AY$9,Xero!$A:$A,Heron!$A$4,Xero!$E:$E,Heron!$A59)+SUMIFS(Xero!$F:$F,Xero!$B:$B,Heron!AY$9,Xero!$A:$A,Heron!$A$5,Xero!$E:$E,Heron!$A59)</f>
        <v/>
      </c>
      <c r="AZ59" s="101">
        <f>SUMIFS(Xero!$F:$F,Xero!$B:$B,Heron!AZ$9,Xero!$A:$A,Heron!$A$4,Xero!$E:$E,Heron!$A59)+SUMIFS(Xero!$F:$F,Xero!$B:$B,Heron!AZ$9,Xero!$A:$A,Heron!$A$5,Xero!$E:$E,Heron!$A59)</f>
        <v/>
      </c>
      <c r="BA59" s="101">
        <f>SUMIFS(Xero!$F:$F,Xero!$B:$B,Heron!BA$9,Xero!$A:$A,Heron!$A$4,Xero!$E:$E,Heron!$A59)+SUMIFS(Xero!$F:$F,Xero!$B:$B,Heron!BA$9,Xero!$A:$A,Heron!$A$5,Xero!$E:$E,Heron!$A59)</f>
        <v/>
      </c>
      <c r="BB59" s="101">
        <f>SUMIFS(Xero!$F:$F,Xero!$B:$B,Heron!BB$9,Xero!$A:$A,Heron!$A$4,Xero!$E:$E,Heron!$A59)+SUMIFS(Xero!$F:$F,Xero!$B:$B,Heron!BB$9,Xero!$A:$A,Heron!$A$5,Xero!$E:$E,Heron!$A59)</f>
        <v/>
      </c>
      <c r="BC59" s="101">
        <f>SUMIFS(Xero!$F:$F,Xero!$B:$B,Heron!BC$9,Xero!$A:$A,Heron!$A$4,Xero!$E:$E,Heron!$A59)+SUMIFS(Xero!$F:$F,Xero!$B:$B,Heron!BC$9,Xero!$A:$A,Heron!$A$5,Xero!$E:$E,Heron!$A59)</f>
        <v/>
      </c>
      <c r="BD59" s="101">
        <f>SUMIFS(Xero!$F:$F,Xero!$B:$B,Heron!BD$9,Xero!$A:$A,Heron!$A$4,Xero!$E:$E,Heron!$A59)+SUMIFS(Xero!$F:$F,Xero!$B:$B,Heron!BD$9,Xero!$A:$A,Heron!$A$5,Xero!$E:$E,Heron!$A59)</f>
        <v/>
      </c>
      <c r="BE59" s="101">
        <f>SUMIFS(Xero!$F:$F,Xero!$B:$B,Heron!BE$9,Xero!$A:$A,Heron!$A$4,Xero!$E:$E,Heron!$A59)+SUMIFS(Xero!$F:$F,Xero!$B:$B,Heron!BE$9,Xero!$A:$A,Heron!$A$5,Xero!$E:$E,Heron!$A59)</f>
        <v/>
      </c>
      <c r="BF59" s="101">
        <f>SUMIFS(Xero!$F:$F,Xero!$B:$B,Heron!BF$9,Xero!$A:$A,Heron!$A$4,Xero!$E:$E,Heron!$A59)+SUMIFS(Xero!$F:$F,Xero!$B:$B,Heron!BF$9,Xero!$A:$A,Heron!$A$5,Xero!$E:$E,Heron!$A59)</f>
        <v/>
      </c>
      <c r="BG59" s="101">
        <f>SUMIFS(Xero!$F:$F,Xero!$B:$B,Heron!BG$9,Xero!$A:$A,Heron!$A$4,Xero!$E:$E,Heron!$A59)+SUMIFS(Xero!$F:$F,Xero!$B:$B,Heron!BG$9,Xero!$A:$A,Heron!$A$5,Xero!$E:$E,Heron!$A59)</f>
        <v/>
      </c>
      <c r="BH59" s="101">
        <f>SUMIFS(Xero!$F:$F,Xero!$B:$B,Heron!BH$9,Xero!$A:$A,Heron!$A$4,Xero!$E:$E,Heron!$A59)+SUMIFS(Xero!$F:$F,Xero!$B:$B,Heron!BH$9,Xero!$A:$A,Heron!$A$5,Xero!$E:$E,Heron!$A59)</f>
        <v/>
      </c>
      <c r="BI59" s="101">
        <f>SUMIFS(Xero!$F:$F,Xero!$B:$B,Heron!BI$9,Xero!$A:$A,Heron!$A$4,Xero!$E:$E,Heron!$A59)+SUMIFS(Xero!$F:$F,Xero!$B:$B,Heron!BI$9,Xero!$A:$A,Heron!$A$5,Xero!$E:$E,Heron!$A59)</f>
        <v/>
      </c>
      <c r="BJ59" s="101">
        <f>SUMIFS(Xero!$F:$F,Xero!$B:$B,Heron!BJ$9,Xero!$A:$A,Heron!$A$4,Xero!$E:$E,Heron!$A59)+SUMIFS(Xero!$F:$F,Xero!$B:$B,Heron!BJ$9,Xero!$A:$A,Heron!$A$5,Xero!$E:$E,Heron!$A59)</f>
        <v/>
      </c>
      <c r="BK59" s="101">
        <f>sum(D59:BJ59)</f>
        <v/>
      </c>
    </row>
    <row r="60">
      <c r="A60" s="100" t="inlineStr">
        <is>
          <t>COS - Showhouse - HV</t>
        </is>
      </c>
      <c r="D60" s="101">
        <f>SUMIFS(Xero!$F:$F,Xero!$B:$B,Heron!D$9,Xero!$A:$A,Heron!$A$4,Xero!$E:$E,Heron!$A60)+SUMIFS(Xero!$F:$F,Xero!$B:$B,Heron!D$9,Xero!$A:$A,Heron!$A$5,Xero!$E:$E,Heron!$A60)</f>
        <v/>
      </c>
      <c r="E60" s="101">
        <f>SUMIFS(Xero!$F:$F,Xero!$B:$B,Heron!E$9,Xero!$A:$A,Heron!$A$4,Xero!$E:$E,Heron!$A60)+SUMIFS(Xero!$F:$F,Xero!$B:$B,Heron!E$9,Xero!$A:$A,Heron!$A$5,Xero!$E:$E,Heron!$A60)</f>
        <v/>
      </c>
      <c r="F60" s="101">
        <f>SUMIFS(Xero!$F:$F,Xero!$B:$B,Heron!F$9,Xero!$A:$A,Heron!$A$4,Xero!$E:$E,Heron!$A60)+SUMIFS(Xero!$F:$F,Xero!$B:$B,Heron!F$9,Xero!$A:$A,Heron!$A$5,Xero!$E:$E,Heron!$A60)</f>
        <v/>
      </c>
      <c r="G60" s="101">
        <f>SUMIFS(Xero!$F:$F,Xero!$B:$B,Heron!G$9,Xero!$A:$A,Heron!$A$4,Xero!$E:$E,Heron!$A60)+SUMIFS(Xero!$F:$F,Xero!$B:$B,Heron!G$9,Xero!$A:$A,Heron!$A$5,Xero!$E:$E,Heron!$A60)</f>
        <v/>
      </c>
      <c r="H60" s="101">
        <f>SUMIFS(Xero!$F:$F,Xero!$B:$B,Heron!H$9,Xero!$A:$A,Heron!$A$4,Xero!$E:$E,Heron!$A60)+SUMIFS(Xero!$F:$F,Xero!$B:$B,Heron!H$9,Xero!$A:$A,Heron!$A$5,Xero!$E:$E,Heron!$A60)</f>
        <v/>
      </c>
      <c r="I60" s="101">
        <f>SUMIFS(Xero!$F:$F,Xero!$B:$B,Heron!I$9,Xero!$A:$A,Heron!$A$4,Xero!$E:$E,Heron!$A60)+SUMIFS(Xero!$F:$F,Xero!$B:$B,Heron!I$9,Xero!$A:$A,Heron!$A$5,Xero!$E:$E,Heron!$A60)</f>
        <v/>
      </c>
      <c r="J60" s="101">
        <f>SUMIFS(Xero!$F:$F,Xero!$B:$B,Heron!J$9,Xero!$A:$A,Heron!$A$4,Xero!$E:$E,Heron!$A60)+SUMIFS(Xero!$F:$F,Xero!$B:$B,Heron!J$9,Xero!$A:$A,Heron!$A$5,Xero!$E:$E,Heron!$A60)</f>
        <v/>
      </c>
      <c r="K60" s="101">
        <f>SUMIFS(Xero!$F:$F,Xero!$B:$B,Heron!K$9,Xero!$A:$A,Heron!$A$4,Xero!$E:$E,Heron!$A60)+SUMIFS(Xero!$F:$F,Xero!$B:$B,Heron!K$9,Xero!$A:$A,Heron!$A$5,Xero!$E:$E,Heron!$A60)</f>
        <v/>
      </c>
      <c r="L60" s="101">
        <f>SUMIFS(Xero!$F:$F,Xero!$B:$B,Heron!L$9,Xero!$A:$A,Heron!$A$4,Xero!$E:$E,Heron!$A60)+SUMIFS(Xero!$F:$F,Xero!$B:$B,Heron!L$9,Xero!$A:$A,Heron!$A$5,Xero!$E:$E,Heron!$A60)</f>
        <v/>
      </c>
      <c r="M60" s="101">
        <f>SUMIFS(Xero!$F:$F,Xero!$B:$B,Heron!M$9,Xero!$A:$A,Heron!$A$4,Xero!$E:$E,Heron!$A60)+SUMIFS(Xero!$F:$F,Xero!$B:$B,Heron!M$9,Xero!$A:$A,Heron!$A$5,Xero!$E:$E,Heron!$A60)</f>
        <v/>
      </c>
      <c r="N60" s="101">
        <f>SUMIFS(Xero!$F:$F,Xero!$B:$B,Heron!N$9,Xero!$A:$A,Heron!$A$4,Xero!$E:$E,Heron!$A60)+SUMIFS(Xero!$F:$F,Xero!$B:$B,Heron!N$9,Xero!$A:$A,Heron!$A$5,Xero!$E:$E,Heron!$A60)</f>
        <v/>
      </c>
      <c r="O60" s="101">
        <f>SUMIFS(Xero!$F:$F,Xero!$B:$B,Heron!O$9,Xero!$A:$A,Heron!$A$4,Xero!$E:$E,Heron!$A60)+SUMIFS(Xero!$F:$F,Xero!$B:$B,Heron!O$9,Xero!$A:$A,Heron!$A$5,Xero!$E:$E,Heron!$A60)</f>
        <v/>
      </c>
      <c r="P60" s="101">
        <f>SUMIFS(Xero!$F:$F,Xero!$B:$B,Heron!P$9,Xero!$A:$A,Heron!$A$4,Xero!$E:$E,Heron!$A60)+SUMIFS(Xero!$F:$F,Xero!$B:$B,Heron!P$9,Xero!$A:$A,Heron!$A$5,Xero!$E:$E,Heron!$A60)</f>
        <v/>
      </c>
      <c r="Q60" s="101">
        <f>SUMIFS(Xero!$F:$F,Xero!$B:$B,Heron!Q$9,Xero!$A:$A,Heron!$A$4,Xero!$E:$E,Heron!$A60)+SUMIFS(Xero!$F:$F,Xero!$B:$B,Heron!Q$9,Xero!$A:$A,Heron!$A$5,Xero!$E:$E,Heron!$A60)</f>
        <v/>
      </c>
      <c r="R60" s="101">
        <f>SUMIFS(Xero!$F:$F,Xero!$B:$B,Heron!R$9,Xero!$A:$A,Heron!$A$4,Xero!$E:$E,Heron!$A60)+SUMIFS(Xero!$F:$F,Xero!$B:$B,Heron!R$9,Xero!$A:$A,Heron!$A$5,Xero!$E:$E,Heron!$A60)</f>
        <v/>
      </c>
      <c r="S60" s="101">
        <f>SUMIFS(Xero!$F:$F,Xero!$B:$B,Heron!S$9,Xero!$A:$A,Heron!$A$4,Xero!$E:$E,Heron!$A60)+SUMIFS(Xero!$F:$F,Xero!$B:$B,Heron!S$9,Xero!$A:$A,Heron!$A$5,Xero!$E:$E,Heron!$A60)</f>
        <v/>
      </c>
      <c r="T60" s="101">
        <f>SUMIFS(Xero!$F:$F,Xero!$B:$B,Heron!T$9,Xero!$A:$A,Heron!$A$4,Xero!$E:$E,Heron!$A60)+SUMIFS(Xero!$F:$F,Xero!$B:$B,Heron!T$9,Xero!$A:$A,Heron!$A$5,Xero!$E:$E,Heron!$A60)</f>
        <v/>
      </c>
      <c r="U60" s="101">
        <f>SUMIFS(Xero!$F:$F,Xero!$B:$B,Heron!U$9,Xero!$A:$A,Heron!$A$4,Xero!$E:$E,Heron!$A60)+SUMIFS(Xero!$F:$F,Xero!$B:$B,Heron!U$9,Xero!$A:$A,Heron!$A$5,Xero!$E:$E,Heron!$A60)</f>
        <v/>
      </c>
      <c r="V60" s="101">
        <f>SUMIFS(Xero!$F:$F,Xero!$B:$B,Heron!V$9,Xero!$A:$A,Heron!$A$4,Xero!$E:$E,Heron!$A60)+SUMIFS(Xero!$F:$F,Xero!$B:$B,Heron!V$9,Xero!$A:$A,Heron!$A$5,Xero!$E:$E,Heron!$A60)</f>
        <v/>
      </c>
      <c r="W60" s="101">
        <f>SUMIFS(Xero!$F:$F,Xero!$B:$B,Heron!W$9,Xero!$A:$A,Heron!$A$4,Xero!$E:$E,Heron!$A60)+SUMIFS(Xero!$F:$F,Xero!$B:$B,Heron!W$9,Xero!$A:$A,Heron!$A$5,Xero!$E:$E,Heron!$A60)</f>
        <v/>
      </c>
      <c r="X60" s="101">
        <f>SUMIFS(Xero!$F:$F,Xero!$B:$B,Heron!X$9,Xero!$A:$A,Heron!$A$4,Xero!$E:$E,Heron!$A60)+SUMIFS(Xero!$F:$F,Xero!$B:$B,Heron!X$9,Xero!$A:$A,Heron!$A$5,Xero!$E:$E,Heron!$A60)</f>
        <v/>
      </c>
      <c r="Y60" s="101">
        <f>SUMIFS(Xero!$F:$F,Xero!$B:$B,Heron!Y$9,Xero!$A:$A,Heron!$A$4,Xero!$E:$E,Heron!$A60)+SUMIFS(Xero!$F:$F,Xero!$B:$B,Heron!Y$9,Xero!$A:$A,Heron!$A$5,Xero!$E:$E,Heron!$A60)</f>
        <v/>
      </c>
      <c r="Z60" s="101">
        <f>SUMIFS(Xero!$F:$F,Xero!$B:$B,Heron!Z$9,Xero!$A:$A,Heron!$A$4,Xero!$E:$E,Heron!$A60)+SUMIFS(Xero!$F:$F,Xero!$B:$B,Heron!Z$9,Xero!$A:$A,Heron!$A$5,Xero!$E:$E,Heron!$A60)</f>
        <v/>
      </c>
      <c r="AA60" s="101">
        <f>SUMIFS(Xero!$F:$F,Xero!$B:$B,Heron!AA$9,Xero!$A:$A,Heron!$A$4,Xero!$E:$E,Heron!$A60)+SUMIFS(Xero!$F:$F,Xero!$B:$B,Heron!AA$9,Xero!$A:$A,Heron!$A$5,Xero!$E:$E,Heron!$A60)</f>
        <v/>
      </c>
      <c r="AB60" s="101">
        <f>SUMIFS(Xero!$F:$F,Xero!$B:$B,Heron!AB$9,Xero!$A:$A,Heron!$A$4,Xero!$E:$E,Heron!$A60)+SUMIFS(Xero!$F:$F,Xero!$B:$B,Heron!AB$9,Xero!$A:$A,Heron!$A$5,Xero!$E:$E,Heron!$A60)</f>
        <v/>
      </c>
      <c r="AC60" s="101">
        <f>SUMIFS(Xero!$F:$F,Xero!$B:$B,Heron!AC$9,Xero!$A:$A,Heron!$A$4,Xero!$E:$E,Heron!$A60)+SUMIFS(Xero!$F:$F,Xero!$B:$B,Heron!AC$9,Xero!$A:$A,Heron!$A$5,Xero!$E:$E,Heron!$A60)</f>
        <v/>
      </c>
      <c r="AD60" s="101">
        <f>SUMIFS(Xero!$F:$F,Xero!$B:$B,Heron!AD$9,Xero!$A:$A,Heron!$A$4,Xero!$E:$E,Heron!$A60)+SUMIFS(Xero!$F:$F,Xero!$B:$B,Heron!AD$9,Xero!$A:$A,Heron!$A$5,Xero!$E:$E,Heron!$A60)</f>
        <v/>
      </c>
      <c r="AE60" s="101">
        <f>SUMIFS(Xero!$F:$F,Xero!$B:$B,Heron!AE$9,Xero!$A:$A,Heron!$A$4,Xero!$E:$E,Heron!$A60)+SUMIFS(Xero!$F:$F,Xero!$B:$B,Heron!AE$9,Xero!$A:$A,Heron!$A$5,Xero!$E:$E,Heron!$A60)</f>
        <v/>
      </c>
      <c r="AF60" s="101">
        <f>SUMIFS(Xero!$F:$F,Xero!$B:$B,Heron!AF$9,Xero!$A:$A,Heron!$A$4,Xero!$E:$E,Heron!$A60)+SUMIFS(Xero!$F:$F,Xero!$B:$B,Heron!AF$9,Xero!$A:$A,Heron!$A$5,Xero!$E:$E,Heron!$A60)</f>
        <v/>
      </c>
      <c r="AG60" s="101">
        <f>SUMIFS(Xero!$F:$F,Xero!$B:$B,Heron!AG$9,Xero!$A:$A,Heron!$A$4,Xero!$E:$E,Heron!$A60)+SUMIFS(Xero!$F:$F,Xero!$B:$B,Heron!AG$9,Xero!$A:$A,Heron!$A$5,Xero!$E:$E,Heron!$A60)</f>
        <v/>
      </c>
      <c r="AH60" s="101">
        <f>SUMIFS(Xero!$F:$F,Xero!$B:$B,Heron!AH$9,Xero!$A:$A,Heron!$A$4,Xero!$E:$E,Heron!$A60)+SUMIFS(Xero!$F:$F,Xero!$B:$B,Heron!AH$9,Xero!$A:$A,Heron!$A$5,Xero!$E:$E,Heron!$A60)</f>
        <v/>
      </c>
      <c r="AI60" s="101">
        <f>SUMIFS(Xero!$F:$F,Xero!$B:$B,Heron!AI$9,Xero!$A:$A,Heron!$A$4,Xero!$E:$E,Heron!$A60)+SUMIFS(Xero!$F:$F,Xero!$B:$B,Heron!AI$9,Xero!$A:$A,Heron!$A$5,Xero!$E:$E,Heron!$A60)</f>
        <v/>
      </c>
      <c r="AJ60" s="101">
        <f>SUMIFS(Xero!$F:$F,Xero!$B:$B,Heron!AJ$9,Xero!$A:$A,Heron!$A$4,Xero!$E:$E,Heron!$A60)+SUMIFS(Xero!$F:$F,Xero!$B:$B,Heron!AJ$9,Xero!$A:$A,Heron!$A$5,Xero!$E:$E,Heron!$A60)</f>
        <v/>
      </c>
      <c r="AK60" s="101">
        <f>SUMIFS(Xero!$F:$F,Xero!$B:$B,Heron!AK$9,Xero!$A:$A,Heron!$A$4,Xero!$E:$E,Heron!$A60)+SUMIFS(Xero!$F:$F,Xero!$B:$B,Heron!AK$9,Xero!$A:$A,Heron!$A$5,Xero!$E:$E,Heron!$A60)</f>
        <v/>
      </c>
      <c r="AL60" s="101">
        <f>SUMIFS(Xero!$F:$F,Xero!$B:$B,Heron!AL$9,Xero!$A:$A,Heron!$A$4,Xero!$E:$E,Heron!$A60)+SUMIFS(Xero!$F:$F,Xero!$B:$B,Heron!AL$9,Xero!$A:$A,Heron!$A$5,Xero!$E:$E,Heron!$A60)</f>
        <v/>
      </c>
      <c r="AM60" s="101">
        <f>SUMIFS(Xero!$F:$F,Xero!$B:$B,Heron!AM$9,Xero!$A:$A,Heron!$A$4,Xero!$E:$E,Heron!$A60)+SUMIFS(Xero!$F:$F,Xero!$B:$B,Heron!AM$9,Xero!$A:$A,Heron!$A$5,Xero!$E:$E,Heron!$A60)</f>
        <v/>
      </c>
      <c r="AN60" s="101">
        <f>SUMIFS(Xero!$F:$F,Xero!$B:$B,Heron!AN$9,Xero!$A:$A,Heron!$A$4,Xero!$E:$E,Heron!$A60)+SUMIFS(Xero!$F:$F,Xero!$B:$B,Heron!AN$9,Xero!$A:$A,Heron!$A$5,Xero!$E:$E,Heron!$A60)</f>
        <v/>
      </c>
      <c r="AO60" s="101">
        <f>SUMIFS(Xero!$F:$F,Xero!$B:$B,Heron!AO$9,Xero!$A:$A,Heron!$A$4,Xero!$E:$E,Heron!$A60)+SUMIFS(Xero!$F:$F,Xero!$B:$B,Heron!AO$9,Xero!$A:$A,Heron!$A$5,Xero!$E:$E,Heron!$A60)</f>
        <v/>
      </c>
      <c r="AP60" s="101">
        <f>SUMIFS(Xero!$F:$F,Xero!$B:$B,Heron!AP$9,Xero!$A:$A,Heron!$A$4,Xero!$E:$E,Heron!$A60)+SUMIFS(Xero!$F:$F,Xero!$B:$B,Heron!AP$9,Xero!$A:$A,Heron!$A$5,Xero!$E:$E,Heron!$A60)</f>
        <v/>
      </c>
      <c r="AQ60" s="101">
        <f>SUMIFS(Xero!$F:$F,Xero!$B:$B,Heron!AQ$9,Xero!$A:$A,Heron!$A$4,Xero!$E:$E,Heron!$A60)+SUMIFS(Xero!$F:$F,Xero!$B:$B,Heron!AQ$9,Xero!$A:$A,Heron!$A$5,Xero!$E:$E,Heron!$A60)</f>
        <v/>
      </c>
      <c r="AR60" s="101">
        <f>SUMIFS(Xero!$F:$F,Xero!$B:$B,Heron!AR$9,Xero!$A:$A,Heron!$A$4,Xero!$E:$E,Heron!$A60)+SUMIFS(Xero!$F:$F,Xero!$B:$B,Heron!AR$9,Xero!$A:$A,Heron!$A$5,Xero!$E:$E,Heron!$A60)</f>
        <v/>
      </c>
      <c r="AS60" s="101">
        <f>SUMIFS(Xero!$F:$F,Xero!$B:$B,Heron!AS$9,Xero!$A:$A,Heron!$A$4,Xero!$E:$E,Heron!$A60)+SUMIFS(Xero!$F:$F,Xero!$B:$B,Heron!AS$9,Xero!$A:$A,Heron!$A$5,Xero!$E:$E,Heron!$A60)</f>
        <v/>
      </c>
      <c r="AT60" s="101">
        <f>SUMIFS(Xero!$F:$F,Xero!$B:$B,Heron!AT$9,Xero!$A:$A,Heron!$A$4,Xero!$E:$E,Heron!$A60)+SUMIFS(Xero!$F:$F,Xero!$B:$B,Heron!AT$9,Xero!$A:$A,Heron!$A$5,Xero!$E:$E,Heron!$A60)</f>
        <v/>
      </c>
      <c r="AU60" s="101">
        <f>SUMIFS(Xero!$F:$F,Xero!$B:$B,Heron!AU$9,Xero!$A:$A,Heron!$A$4,Xero!$E:$E,Heron!$A60)+SUMIFS(Xero!$F:$F,Xero!$B:$B,Heron!AU$9,Xero!$A:$A,Heron!$A$5,Xero!$E:$E,Heron!$A60)</f>
        <v/>
      </c>
      <c r="AV60" s="101">
        <f>SUMIFS(Xero!$F:$F,Xero!$B:$B,Heron!AV$9,Xero!$A:$A,Heron!$A$4,Xero!$E:$E,Heron!$A60)+SUMIFS(Xero!$F:$F,Xero!$B:$B,Heron!AV$9,Xero!$A:$A,Heron!$A$5,Xero!$E:$E,Heron!$A60)</f>
        <v/>
      </c>
      <c r="AW60" s="101">
        <f>SUMIFS(Xero!$F:$F,Xero!$B:$B,Heron!AW$9,Xero!$A:$A,Heron!$A$4,Xero!$E:$E,Heron!$A60)+SUMIFS(Xero!$F:$F,Xero!$B:$B,Heron!AW$9,Xero!$A:$A,Heron!$A$5,Xero!$E:$E,Heron!$A60)</f>
        <v/>
      </c>
      <c r="AX60" s="101">
        <f>SUMIFS(Xero!$F:$F,Xero!$B:$B,Heron!AX$9,Xero!$A:$A,Heron!$A$4,Xero!$E:$E,Heron!$A60)+SUMIFS(Xero!$F:$F,Xero!$B:$B,Heron!AX$9,Xero!$A:$A,Heron!$A$5,Xero!$E:$E,Heron!$A60)</f>
        <v/>
      </c>
      <c r="AY60" s="101">
        <f>SUMIFS(Xero!$F:$F,Xero!$B:$B,Heron!AY$9,Xero!$A:$A,Heron!$A$4,Xero!$E:$E,Heron!$A60)+SUMIFS(Xero!$F:$F,Xero!$B:$B,Heron!AY$9,Xero!$A:$A,Heron!$A$5,Xero!$E:$E,Heron!$A60)</f>
        <v/>
      </c>
      <c r="AZ60" s="101">
        <f>SUMIFS(Xero!$F:$F,Xero!$B:$B,Heron!AZ$9,Xero!$A:$A,Heron!$A$4,Xero!$E:$E,Heron!$A60)+SUMIFS(Xero!$F:$F,Xero!$B:$B,Heron!AZ$9,Xero!$A:$A,Heron!$A$5,Xero!$E:$E,Heron!$A60)</f>
        <v/>
      </c>
      <c r="BA60" s="101">
        <f>SUMIFS(Xero!$F:$F,Xero!$B:$B,Heron!BA$9,Xero!$A:$A,Heron!$A$4,Xero!$E:$E,Heron!$A60)+SUMIFS(Xero!$F:$F,Xero!$B:$B,Heron!BA$9,Xero!$A:$A,Heron!$A$5,Xero!$E:$E,Heron!$A60)</f>
        <v/>
      </c>
      <c r="BB60" s="101">
        <f>SUMIFS(Xero!$F:$F,Xero!$B:$B,Heron!BB$9,Xero!$A:$A,Heron!$A$4,Xero!$E:$E,Heron!$A60)+SUMIFS(Xero!$F:$F,Xero!$B:$B,Heron!BB$9,Xero!$A:$A,Heron!$A$5,Xero!$E:$E,Heron!$A60)</f>
        <v/>
      </c>
      <c r="BC60" s="101">
        <f>SUMIFS(Xero!$F:$F,Xero!$B:$B,Heron!BC$9,Xero!$A:$A,Heron!$A$4,Xero!$E:$E,Heron!$A60)+SUMIFS(Xero!$F:$F,Xero!$B:$B,Heron!BC$9,Xero!$A:$A,Heron!$A$5,Xero!$E:$E,Heron!$A60)</f>
        <v/>
      </c>
      <c r="BD60" s="101">
        <f>SUMIFS(Xero!$F:$F,Xero!$B:$B,Heron!BD$9,Xero!$A:$A,Heron!$A$4,Xero!$E:$E,Heron!$A60)+SUMIFS(Xero!$F:$F,Xero!$B:$B,Heron!BD$9,Xero!$A:$A,Heron!$A$5,Xero!$E:$E,Heron!$A60)</f>
        <v/>
      </c>
      <c r="BE60" s="101">
        <f>SUMIFS(Xero!$F:$F,Xero!$B:$B,Heron!BE$9,Xero!$A:$A,Heron!$A$4,Xero!$E:$E,Heron!$A60)+SUMIFS(Xero!$F:$F,Xero!$B:$B,Heron!BE$9,Xero!$A:$A,Heron!$A$5,Xero!$E:$E,Heron!$A60)</f>
        <v/>
      </c>
      <c r="BF60" s="101">
        <f>SUMIFS(Xero!$F:$F,Xero!$B:$B,Heron!BF$9,Xero!$A:$A,Heron!$A$4,Xero!$E:$E,Heron!$A60)+SUMIFS(Xero!$F:$F,Xero!$B:$B,Heron!BF$9,Xero!$A:$A,Heron!$A$5,Xero!$E:$E,Heron!$A60)</f>
        <v/>
      </c>
      <c r="BG60" s="101">
        <f>SUMIFS(Xero!$F:$F,Xero!$B:$B,Heron!BG$9,Xero!$A:$A,Heron!$A$4,Xero!$E:$E,Heron!$A60)+SUMIFS(Xero!$F:$F,Xero!$B:$B,Heron!BG$9,Xero!$A:$A,Heron!$A$5,Xero!$E:$E,Heron!$A60)</f>
        <v/>
      </c>
      <c r="BH60" s="101">
        <f>SUMIFS(Xero!$F:$F,Xero!$B:$B,Heron!BH$9,Xero!$A:$A,Heron!$A$4,Xero!$E:$E,Heron!$A60)+SUMIFS(Xero!$F:$F,Xero!$B:$B,Heron!BH$9,Xero!$A:$A,Heron!$A$5,Xero!$E:$E,Heron!$A60)</f>
        <v/>
      </c>
      <c r="BI60" s="101">
        <f>SUMIFS(Xero!$F:$F,Xero!$B:$B,Heron!BI$9,Xero!$A:$A,Heron!$A$4,Xero!$E:$E,Heron!$A60)+SUMIFS(Xero!$F:$F,Xero!$B:$B,Heron!BI$9,Xero!$A:$A,Heron!$A$5,Xero!$E:$E,Heron!$A60)</f>
        <v/>
      </c>
      <c r="BJ60" s="101">
        <f>SUMIFS(Xero!$F:$F,Xero!$B:$B,Heron!BJ$9,Xero!$A:$A,Heron!$A$4,Xero!$E:$E,Heron!$A60)+SUMIFS(Xero!$F:$F,Xero!$B:$B,Heron!BJ$9,Xero!$A:$A,Heron!$A$5,Xero!$E:$E,Heron!$A60)</f>
        <v/>
      </c>
      <c r="BK60" s="101">
        <f>sum(D60:BJ60)</f>
        <v/>
      </c>
    </row>
    <row r="61">
      <c r="A61" s="100" t="inlineStr">
        <is>
          <t>CoCT - Electricity</t>
        </is>
      </c>
      <c r="D61" s="101">
        <f>SUMIFS(Xero!$F:$F,Xero!$B:$B,Heron!D$9,Xero!$A:$A,Heron!$A$4,Xero!$E:$E,Heron!$A61)+SUMIFS(Xero!$F:$F,Xero!$B:$B,Heron!D$9,Xero!$A:$A,Heron!$A$5,Xero!$E:$E,Heron!$A61)</f>
        <v/>
      </c>
      <c r="E61" s="101">
        <f>SUMIFS(Xero!$F:$F,Xero!$B:$B,Heron!E$9,Xero!$A:$A,Heron!$A$4,Xero!$E:$E,Heron!$A61)+SUMIFS(Xero!$F:$F,Xero!$B:$B,Heron!E$9,Xero!$A:$A,Heron!$A$5,Xero!$E:$E,Heron!$A61)</f>
        <v/>
      </c>
      <c r="F61" s="101">
        <f>SUMIFS(Xero!$F:$F,Xero!$B:$B,Heron!F$9,Xero!$A:$A,Heron!$A$4,Xero!$E:$E,Heron!$A61)+SUMIFS(Xero!$F:$F,Xero!$B:$B,Heron!F$9,Xero!$A:$A,Heron!$A$5,Xero!$E:$E,Heron!$A61)</f>
        <v/>
      </c>
      <c r="G61" s="101">
        <f>SUMIFS(Xero!$F:$F,Xero!$B:$B,Heron!G$9,Xero!$A:$A,Heron!$A$4,Xero!$E:$E,Heron!$A61)+SUMIFS(Xero!$F:$F,Xero!$B:$B,Heron!G$9,Xero!$A:$A,Heron!$A$5,Xero!$E:$E,Heron!$A61)</f>
        <v/>
      </c>
      <c r="H61" s="101">
        <f>SUMIFS(Xero!$F:$F,Xero!$B:$B,Heron!H$9,Xero!$A:$A,Heron!$A$4,Xero!$E:$E,Heron!$A61)+SUMIFS(Xero!$F:$F,Xero!$B:$B,Heron!H$9,Xero!$A:$A,Heron!$A$5,Xero!$E:$E,Heron!$A61)</f>
        <v/>
      </c>
      <c r="I61" s="101">
        <f>SUMIFS(Xero!$F:$F,Xero!$B:$B,Heron!I$9,Xero!$A:$A,Heron!$A$4,Xero!$E:$E,Heron!$A61)+SUMIFS(Xero!$F:$F,Xero!$B:$B,Heron!I$9,Xero!$A:$A,Heron!$A$5,Xero!$E:$E,Heron!$A61)</f>
        <v/>
      </c>
      <c r="J61" s="101">
        <f>SUMIFS(Xero!$F:$F,Xero!$B:$B,Heron!J$9,Xero!$A:$A,Heron!$A$4,Xero!$E:$E,Heron!$A61)+SUMIFS(Xero!$F:$F,Xero!$B:$B,Heron!J$9,Xero!$A:$A,Heron!$A$5,Xero!$E:$E,Heron!$A61)</f>
        <v/>
      </c>
      <c r="K61" s="101">
        <f>SUMIFS(Xero!$F:$F,Xero!$B:$B,Heron!K$9,Xero!$A:$A,Heron!$A$4,Xero!$E:$E,Heron!$A61)+SUMIFS(Xero!$F:$F,Xero!$B:$B,Heron!K$9,Xero!$A:$A,Heron!$A$5,Xero!$E:$E,Heron!$A61)</f>
        <v/>
      </c>
      <c r="L61" s="101">
        <f>SUMIFS(Xero!$F:$F,Xero!$B:$B,Heron!L$9,Xero!$A:$A,Heron!$A$4,Xero!$E:$E,Heron!$A61)+SUMIFS(Xero!$F:$F,Xero!$B:$B,Heron!L$9,Xero!$A:$A,Heron!$A$5,Xero!$E:$E,Heron!$A61)</f>
        <v/>
      </c>
      <c r="M61" s="101">
        <f>SUMIFS(Xero!$F:$F,Xero!$B:$B,Heron!M$9,Xero!$A:$A,Heron!$A$4,Xero!$E:$E,Heron!$A61)+SUMIFS(Xero!$F:$F,Xero!$B:$B,Heron!M$9,Xero!$A:$A,Heron!$A$5,Xero!$E:$E,Heron!$A61)</f>
        <v/>
      </c>
      <c r="N61" s="101">
        <f>SUMIFS(Xero!$F:$F,Xero!$B:$B,Heron!N$9,Xero!$A:$A,Heron!$A$4,Xero!$E:$E,Heron!$A61)+SUMIFS(Xero!$F:$F,Xero!$B:$B,Heron!N$9,Xero!$A:$A,Heron!$A$5,Xero!$E:$E,Heron!$A61)</f>
        <v/>
      </c>
      <c r="O61" s="101">
        <f>SUMIFS(Xero!$F:$F,Xero!$B:$B,Heron!O$9,Xero!$A:$A,Heron!$A$4,Xero!$E:$E,Heron!$A61)+SUMIFS(Xero!$F:$F,Xero!$B:$B,Heron!O$9,Xero!$A:$A,Heron!$A$5,Xero!$E:$E,Heron!$A61)</f>
        <v/>
      </c>
      <c r="P61" s="101">
        <f>SUMIFS(Xero!$F:$F,Xero!$B:$B,Heron!P$9,Xero!$A:$A,Heron!$A$4,Xero!$E:$E,Heron!$A61)+SUMIFS(Xero!$F:$F,Xero!$B:$B,Heron!P$9,Xero!$A:$A,Heron!$A$5,Xero!$E:$E,Heron!$A61)</f>
        <v/>
      </c>
      <c r="Q61" s="101">
        <f>SUMIFS(Xero!$F:$F,Xero!$B:$B,Heron!Q$9,Xero!$A:$A,Heron!$A$4,Xero!$E:$E,Heron!$A61)+SUMIFS(Xero!$F:$F,Xero!$B:$B,Heron!Q$9,Xero!$A:$A,Heron!$A$5,Xero!$E:$E,Heron!$A61)</f>
        <v/>
      </c>
      <c r="R61" s="101">
        <f>SUMIFS(Xero!$F:$F,Xero!$B:$B,Heron!R$9,Xero!$A:$A,Heron!$A$4,Xero!$E:$E,Heron!$A61)+SUMIFS(Xero!$F:$F,Xero!$B:$B,Heron!R$9,Xero!$A:$A,Heron!$A$5,Xero!$E:$E,Heron!$A61)</f>
        <v/>
      </c>
      <c r="S61" s="101">
        <f>SUMIFS(Xero!$F:$F,Xero!$B:$B,Heron!S$9,Xero!$A:$A,Heron!$A$4,Xero!$E:$E,Heron!$A61)+SUMIFS(Xero!$F:$F,Xero!$B:$B,Heron!S$9,Xero!$A:$A,Heron!$A$5,Xero!$E:$E,Heron!$A61)</f>
        <v/>
      </c>
      <c r="T61" s="101">
        <f>SUMIFS(Xero!$F:$F,Xero!$B:$B,Heron!T$9,Xero!$A:$A,Heron!$A$4,Xero!$E:$E,Heron!$A61)+SUMIFS(Xero!$F:$F,Xero!$B:$B,Heron!T$9,Xero!$A:$A,Heron!$A$5,Xero!$E:$E,Heron!$A61)</f>
        <v/>
      </c>
      <c r="U61" s="101">
        <f>SUMIFS(Xero!$F:$F,Xero!$B:$B,Heron!U$9,Xero!$A:$A,Heron!$A$4,Xero!$E:$E,Heron!$A61)+SUMIFS(Xero!$F:$F,Xero!$B:$B,Heron!U$9,Xero!$A:$A,Heron!$A$5,Xero!$E:$E,Heron!$A61)</f>
        <v/>
      </c>
      <c r="V61" s="101">
        <f>SUMIFS(Xero!$F:$F,Xero!$B:$B,Heron!V$9,Xero!$A:$A,Heron!$A$4,Xero!$E:$E,Heron!$A61)+SUMIFS(Xero!$F:$F,Xero!$B:$B,Heron!V$9,Xero!$A:$A,Heron!$A$5,Xero!$E:$E,Heron!$A61)</f>
        <v/>
      </c>
      <c r="W61" s="101">
        <f>SUMIFS(Xero!$F:$F,Xero!$B:$B,Heron!W$9,Xero!$A:$A,Heron!$A$4,Xero!$E:$E,Heron!$A61)+SUMIFS(Xero!$F:$F,Xero!$B:$B,Heron!W$9,Xero!$A:$A,Heron!$A$5,Xero!$E:$E,Heron!$A61)</f>
        <v/>
      </c>
      <c r="X61" s="101">
        <f>SUMIFS(Xero!$F:$F,Xero!$B:$B,Heron!X$9,Xero!$A:$A,Heron!$A$4,Xero!$E:$E,Heron!$A61)+SUMIFS(Xero!$F:$F,Xero!$B:$B,Heron!X$9,Xero!$A:$A,Heron!$A$5,Xero!$E:$E,Heron!$A61)</f>
        <v/>
      </c>
      <c r="Y61" s="101">
        <f>SUMIFS(Xero!$F:$F,Xero!$B:$B,Heron!Y$9,Xero!$A:$A,Heron!$A$4,Xero!$E:$E,Heron!$A61)+SUMIFS(Xero!$F:$F,Xero!$B:$B,Heron!Y$9,Xero!$A:$A,Heron!$A$5,Xero!$E:$E,Heron!$A61)</f>
        <v/>
      </c>
      <c r="Z61" s="101">
        <f>SUMIFS(Xero!$F:$F,Xero!$B:$B,Heron!Z$9,Xero!$A:$A,Heron!$A$4,Xero!$E:$E,Heron!$A61)+SUMIFS(Xero!$F:$F,Xero!$B:$B,Heron!Z$9,Xero!$A:$A,Heron!$A$5,Xero!$E:$E,Heron!$A61)</f>
        <v/>
      </c>
      <c r="AA61" s="101">
        <f>SUMIFS(Xero!$F:$F,Xero!$B:$B,Heron!AA$9,Xero!$A:$A,Heron!$A$4,Xero!$E:$E,Heron!$A61)+SUMIFS(Xero!$F:$F,Xero!$B:$B,Heron!AA$9,Xero!$A:$A,Heron!$A$5,Xero!$E:$E,Heron!$A61)</f>
        <v/>
      </c>
      <c r="AB61" s="101">
        <f>SUMIFS(Xero!$F:$F,Xero!$B:$B,Heron!AB$9,Xero!$A:$A,Heron!$A$4,Xero!$E:$E,Heron!$A61)+SUMIFS(Xero!$F:$F,Xero!$B:$B,Heron!AB$9,Xero!$A:$A,Heron!$A$5,Xero!$E:$E,Heron!$A61)</f>
        <v/>
      </c>
      <c r="AC61" s="101">
        <f>SUMIFS(Xero!$F:$F,Xero!$B:$B,Heron!AC$9,Xero!$A:$A,Heron!$A$4,Xero!$E:$E,Heron!$A61)+SUMIFS(Xero!$F:$F,Xero!$B:$B,Heron!AC$9,Xero!$A:$A,Heron!$A$5,Xero!$E:$E,Heron!$A61)</f>
        <v/>
      </c>
      <c r="AD61" s="101">
        <f>SUMIFS(Xero!$F:$F,Xero!$B:$B,Heron!AD$9,Xero!$A:$A,Heron!$A$4,Xero!$E:$E,Heron!$A61)+SUMIFS(Xero!$F:$F,Xero!$B:$B,Heron!AD$9,Xero!$A:$A,Heron!$A$5,Xero!$E:$E,Heron!$A61)</f>
        <v/>
      </c>
      <c r="AE61" s="101">
        <f>SUMIFS(Xero!$F:$F,Xero!$B:$B,Heron!AE$9,Xero!$A:$A,Heron!$A$4,Xero!$E:$E,Heron!$A61)+SUMIFS(Xero!$F:$F,Xero!$B:$B,Heron!AE$9,Xero!$A:$A,Heron!$A$5,Xero!$E:$E,Heron!$A61)</f>
        <v/>
      </c>
      <c r="AF61" s="101">
        <f>SUMIFS(Xero!$F:$F,Xero!$B:$B,Heron!AF$9,Xero!$A:$A,Heron!$A$4,Xero!$E:$E,Heron!$A61)+SUMIFS(Xero!$F:$F,Xero!$B:$B,Heron!AF$9,Xero!$A:$A,Heron!$A$5,Xero!$E:$E,Heron!$A61)</f>
        <v/>
      </c>
      <c r="AG61" s="101">
        <f>SUMIFS(Xero!$F:$F,Xero!$B:$B,Heron!AG$9,Xero!$A:$A,Heron!$A$4,Xero!$E:$E,Heron!$A61)+SUMIFS(Xero!$F:$F,Xero!$B:$B,Heron!AG$9,Xero!$A:$A,Heron!$A$5,Xero!$E:$E,Heron!$A61)</f>
        <v/>
      </c>
      <c r="AH61" s="101">
        <f>SUMIFS(Xero!$F:$F,Xero!$B:$B,Heron!AH$9,Xero!$A:$A,Heron!$A$4,Xero!$E:$E,Heron!$A61)+SUMIFS(Xero!$F:$F,Xero!$B:$B,Heron!AH$9,Xero!$A:$A,Heron!$A$5,Xero!$E:$E,Heron!$A61)</f>
        <v/>
      </c>
      <c r="AI61" s="101">
        <f>SUMIFS(Xero!$F:$F,Xero!$B:$B,Heron!AI$9,Xero!$A:$A,Heron!$A$4,Xero!$E:$E,Heron!$A61)+SUMIFS(Xero!$F:$F,Xero!$B:$B,Heron!AI$9,Xero!$A:$A,Heron!$A$5,Xero!$E:$E,Heron!$A61)</f>
        <v/>
      </c>
      <c r="AJ61" s="101">
        <f>SUMIFS(Xero!$F:$F,Xero!$B:$B,Heron!AJ$9,Xero!$A:$A,Heron!$A$4,Xero!$E:$E,Heron!$A61)+SUMIFS(Xero!$F:$F,Xero!$B:$B,Heron!AJ$9,Xero!$A:$A,Heron!$A$5,Xero!$E:$E,Heron!$A61)</f>
        <v/>
      </c>
      <c r="AK61" s="101">
        <f>SUMIFS(Xero!$F:$F,Xero!$B:$B,Heron!AK$9,Xero!$A:$A,Heron!$A$4,Xero!$E:$E,Heron!$A61)+SUMIFS(Xero!$F:$F,Xero!$B:$B,Heron!AK$9,Xero!$A:$A,Heron!$A$5,Xero!$E:$E,Heron!$A61)</f>
        <v/>
      </c>
      <c r="AL61" s="101">
        <f>SUMIFS(Xero!$F:$F,Xero!$B:$B,Heron!AL$9,Xero!$A:$A,Heron!$A$4,Xero!$E:$E,Heron!$A61)+SUMIFS(Xero!$F:$F,Xero!$B:$B,Heron!AL$9,Xero!$A:$A,Heron!$A$5,Xero!$E:$E,Heron!$A61)</f>
        <v/>
      </c>
      <c r="AM61" s="101">
        <f>SUMIFS(Xero!$F:$F,Xero!$B:$B,Heron!AM$9,Xero!$A:$A,Heron!$A$4,Xero!$E:$E,Heron!$A61)+SUMIFS(Xero!$F:$F,Xero!$B:$B,Heron!AM$9,Xero!$A:$A,Heron!$A$5,Xero!$E:$E,Heron!$A61)</f>
        <v/>
      </c>
      <c r="AN61" s="101">
        <f>SUMIFS(Xero!$F:$F,Xero!$B:$B,Heron!AN$9,Xero!$A:$A,Heron!$A$4,Xero!$E:$E,Heron!$A61)+SUMIFS(Xero!$F:$F,Xero!$B:$B,Heron!AN$9,Xero!$A:$A,Heron!$A$5,Xero!$E:$E,Heron!$A61)</f>
        <v/>
      </c>
      <c r="AO61" s="101">
        <f>SUMIFS(Xero!$F:$F,Xero!$B:$B,Heron!AO$9,Xero!$A:$A,Heron!$A$4,Xero!$E:$E,Heron!$A61)+SUMIFS(Xero!$F:$F,Xero!$B:$B,Heron!AO$9,Xero!$A:$A,Heron!$A$5,Xero!$E:$E,Heron!$A61)</f>
        <v/>
      </c>
      <c r="AP61" s="101">
        <f>SUMIFS(Xero!$F:$F,Xero!$B:$B,Heron!AP$9,Xero!$A:$A,Heron!$A$4,Xero!$E:$E,Heron!$A61)+SUMIFS(Xero!$F:$F,Xero!$B:$B,Heron!AP$9,Xero!$A:$A,Heron!$A$5,Xero!$E:$E,Heron!$A61)</f>
        <v/>
      </c>
      <c r="AQ61" s="101">
        <f>SUMIFS(Xero!$F:$F,Xero!$B:$B,Heron!AQ$9,Xero!$A:$A,Heron!$A$4,Xero!$E:$E,Heron!$A61)+SUMIFS(Xero!$F:$F,Xero!$B:$B,Heron!AQ$9,Xero!$A:$A,Heron!$A$5,Xero!$E:$E,Heron!$A61)</f>
        <v/>
      </c>
      <c r="AR61" s="101">
        <f>SUMIFS(Xero!$F:$F,Xero!$B:$B,Heron!AR$9,Xero!$A:$A,Heron!$A$4,Xero!$E:$E,Heron!$A61)+SUMIFS(Xero!$F:$F,Xero!$B:$B,Heron!AR$9,Xero!$A:$A,Heron!$A$5,Xero!$E:$E,Heron!$A61)</f>
        <v/>
      </c>
      <c r="AS61" s="101">
        <f>SUMIFS(Xero!$F:$F,Xero!$B:$B,Heron!AS$9,Xero!$A:$A,Heron!$A$4,Xero!$E:$E,Heron!$A61)+SUMIFS(Xero!$F:$F,Xero!$B:$B,Heron!AS$9,Xero!$A:$A,Heron!$A$5,Xero!$E:$E,Heron!$A61)</f>
        <v/>
      </c>
      <c r="AT61" s="101">
        <f>SUMIFS(Xero!$F:$F,Xero!$B:$B,Heron!AT$9,Xero!$A:$A,Heron!$A$4,Xero!$E:$E,Heron!$A61)+SUMIFS(Xero!$F:$F,Xero!$B:$B,Heron!AT$9,Xero!$A:$A,Heron!$A$5,Xero!$E:$E,Heron!$A61)</f>
        <v/>
      </c>
      <c r="AU61" s="101">
        <f>SUMIFS(Xero!$F:$F,Xero!$B:$B,Heron!AU$9,Xero!$A:$A,Heron!$A$4,Xero!$E:$E,Heron!$A61)+SUMIFS(Xero!$F:$F,Xero!$B:$B,Heron!AU$9,Xero!$A:$A,Heron!$A$5,Xero!$E:$E,Heron!$A61)</f>
        <v/>
      </c>
      <c r="AV61" s="101">
        <f>SUMIFS(Xero!$F:$F,Xero!$B:$B,Heron!AV$9,Xero!$A:$A,Heron!$A$4,Xero!$E:$E,Heron!$A61)+SUMIFS(Xero!$F:$F,Xero!$B:$B,Heron!AV$9,Xero!$A:$A,Heron!$A$5,Xero!$E:$E,Heron!$A61)</f>
        <v/>
      </c>
      <c r="AW61" s="101">
        <f>SUMIFS(Xero!$F:$F,Xero!$B:$B,Heron!AW$9,Xero!$A:$A,Heron!$A$4,Xero!$E:$E,Heron!$A61)+SUMIFS(Xero!$F:$F,Xero!$B:$B,Heron!AW$9,Xero!$A:$A,Heron!$A$5,Xero!$E:$E,Heron!$A61)</f>
        <v/>
      </c>
      <c r="AX61" s="101">
        <f>SUMIFS(Xero!$F:$F,Xero!$B:$B,Heron!AX$9,Xero!$A:$A,Heron!$A$4,Xero!$E:$E,Heron!$A61)+SUMIFS(Xero!$F:$F,Xero!$B:$B,Heron!AX$9,Xero!$A:$A,Heron!$A$5,Xero!$E:$E,Heron!$A61)</f>
        <v/>
      </c>
      <c r="AY61" s="101">
        <f>SUMIFS(Xero!$F:$F,Xero!$B:$B,Heron!AY$9,Xero!$A:$A,Heron!$A$4,Xero!$E:$E,Heron!$A61)+SUMIFS(Xero!$F:$F,Xero!$B:$B,Heron!AY$9,Xero!$A:$A,Heron!$A$5,Xero!$E:$E,Heron!$A61)</f>
        <v/>
      </c>
      <c r="AZ61" s="101">
        <f>SUMIFS(Xero!$F:$F,Xero!$B:$B,Heron!AZ$9,Xero!$A:$A,Heron!$A$4,Xero!$E:$E,Heron!$A61)+SUMIFS(Xero!$F:$F,Xero!$B:$B,Heron!AZ$9,Xero!$A:$A,Heron!$A$5,Xero!$E:$E,Heron!$A61)</f>
        <v/>
      </c>
      <c r="BA61" s="101">
        <f>SUMIFS(Xero!$F:$F,Xero!$B:$B,Heron!BA$9,Xero!$A:$A,Heron!$A$4,Xero!$E:$E,Heron!$A61)+SUMIFS(Xero!$F:$F,Xero!$B:$B,Heron!BA$9,Xero!$A:$A,Heron!$A$5,Xero!$E:$E,Heron!$A61)</f>
        <v/>
      </c>
      <c r="BB61" s="101">
        <f>SUMIFS(Xero!$F:$F,Xero!$B:$B,Heron!BB$9,Xero!$A:$A,Heron!$A$4,Xero!$E:$E,Heron!$A61)+SUMIFS(Xero!$F:$F,Xero!$B:$B,Heron!BB$9,Xero!$A:$A,Heron!$A$5,Xero!$E:$E,Heron!$A61)</f>
        <v/>
      </c>
      <c r="BC61" s="101">
        <f>SUMIFS(Xero!$F:$F,Xero!$B:$B,Heron!BC$9,Xero!$A:$A,Heron!$A$4,Xero!$E:$E,Heron!$A61)+SUMIFS(Xero!$F:$F,Xero!$B:$B,Heron!BC$9,Xero!$A:$A,Heron!$A$5,Xero!$E:$E,Heron!$A61)</f>
        <v/>
      </c>
      <c r="BD61" s="101">
        <f>SUMIFS(Xero!$F:$F,Xero!$B:$B,Heron!BD$9,Xero!$A:$A,Heron!$A$4,Xero!$E:$E,Heron!$A61)+SUMIFS(Xero!$F:$F,Xero!$B:$B,Heron!BD$9,Xero!$A:$A,Heron!$A$5,Xero!$E:$E,Heron!$A61)</f>
        <v/>
      </c>
      <c r="BE61" s="101">
        <f>SUMIFS(Xero!$F:$F,Xero!$B:$B,Heron!BE$9,Xero!$A:$A,Heron!$A$4,Xero!$E:$E,Heron!$A61)+SUMIFS(Xero!$F:$F,Xero!$B:$B,Heron!BE$9,Xero!$A:$A,Heron!$A$5,Xero!$E:$E,Heron!$A61)</f>
        <v/>
      </c>
      <c r="BF61" s="101">
        <f>SUMIFS(Xero!$F:$F,Xero!$B:$B,Heron!BF$9,Xero!$A:$A,Heron!$A$4,Xero!$E:$E,Heron!$A61)+SUMIFS(Xero!$F:$F,Xero!$B:$B,Heron!BF$9,Xero!$A:$A,Heron!$A$5,Xero!$E:$E,Heron!$A61)</f>
        <v/>
      </c>
      <c r="BG61" s="101">
        <f>SUMIFS(Xero!$F:$F,Xero!$B:$B,Heron!BG$9,Xero!$A:$A,Heron!$A$4,Xero!$E:$E,Heron!$A61)+SUMIFS(Xero!$F:$F,Xero!$B:$B,Heron!BG$9,Xero!$A:$A,Heron!$A$5,Xero!$E:$E,Heron!$A61)</f>
        <v/>
      </c>
      <c r="BH61" s="101">
        <f>SUMIFS(Xero!$F:$F,Xero!$B:$B,Heron!BH$9,Xero!$A:$A,Heron!$A$4,Xero!$E:$E,Heron!$A61)+SUMIFS(Xero!$F:$F,Xero!$B:$B,Heron!BH$9,Xero!$A:$A,Heron!$A$5,Xero!$E:$E,Heron!$A61)</f>
        <v/>
      </c>
      <c r="BI61" s="101">
        <f>SUMIFS(Xero!$F:$F,Xero!$B:$B,Heron!BI$9,Xero!$A:$A,Heron!$A$4,Xero!$E:$E,Heron!$A61)+SUMIFS(Xero!$F:$F,Xero!$B:$B,Heron!BI$9,Xero!$A:$A,Heron!$A$5,Xero!$E:$E,Heron!$A61)</f>
        <v/>
      </c>
      <c r="BJ61" s="101">
        <f>SUMIFS(Xero!$F:$F,Xero!$B:$B,Heron!BJ$9,Xero!$A:$A,Heron!$A$4,Xero!$E:$E,Heron!$A61)+SUMIFS(Xero!$F:$F,Xero!$B:$B,Heron!BJ$9,Xero!$A:$A,Heron!$A$5,Xero!$E:$E,Heron!$A61)</f>
        <v/>
      </c>
      <c r="BK61" s="101">
        <f>sum(D61:BJ61)</f>
        <v/>
      </c>
    </row>
    <row r="62">
      <c r="A62" s="100" t="inlineStr">
        <is>
          <t>CoCT - Refuse</t>
        </is>
      </c>
      <c r="D62" s="101">
        <f>SUMIFS(Xero!$F:$F,Xero!$B:$B,Heron!D$9,Xero!$A:$A,Heron!$A$4,Xero!$E:$E,Heron!$A62)+SUMIFS(Xero!$F:$F,Xero!$B:$B,Heron!D$9,Xero!$A:$A,Heron!$A$5,Xero!$E:$E,Heron!$A62)</f>
        <v/>
      </c>
      <c r="E62" s="101">
        <f>SUMIFS(Xero!$F:$F,Xero!$B:$B,Heron!E$9,Xero!$A:$A,Heron!$A$4,Xero!$E:$E,Heron!$A62)+SUMIFS(Xero!$F:$F,Xero!$B:$B,Heron!E$9,Xero!$A:$A,Heron!$A$5,Xero!$E:$E,Heron!$A62)</f>
        <v/>
      </c>
      <c r="F62" s="101">
        <f>SUMIFS(Xero!$F:$F,Xero!$B:$B,Heron!F$9,Xero!$A:$A,Heron!$A$4,Xero!$E:$E,Heron!$A62)+SUMIFS(Xero!$F:$F,Xero!$B:$B,Heron!F$9,Xero!$A:$A,Heron!$A$5,Xero!$E:$E,Heron!$A62)</f>
        <v/>
      </c>
      <c r="G62" s="101">
        <f>SUMIFS(Xero!$F:$F,Xero!$B:$B,Heron!G$9,Xero!$A:$A,Heron!$A$4,Xero!$E:$E,Heron!$A62)+SUMIFS(Xero!$F:$F,Xero!$B:$B,Heron!G$9,Xero!$A:$A,Heron!$A$5,Xero!$E:$E,Heron!$A62)</f>
        <v/>
      </c>
      <c r="H62" s="101">
        <f>SUMIFS(Xero!$F:$F,Xero!$B:$B,Heron!H$9,Xero!$A:$A,Heron!$A$4,Xero!$E:$E,Heron!$A62)+SUMIFS(Xero!$F:$F,Xero!$B:$B,Heron!H$9,Xero!$A:$A,Heron!$A$5,Xero!$E:$E,Heron!$A62)</f>
        <v/>
      </c>
      <c r="I62" s="101">
        <f>SUMIFS(Xero!$F:$F,Xero!$B:$B,Heron!I$9,Xero!$A:$A,Heron!$A$4,Xero!$E:$E,Heron!$A62)+SUMIFS(Xero!$F:$F,Xero!$B:$B,Heron!I$9,Xero!$A:$A,Heron!$A$5,Xero!$E:$E,Heron!$A62)</f>
        <v/>
      </c>
      <c r="J62" s="101">
        <f>SUMIFS(Xero!$F:$F,Xero!$B:$B,Heron!J$9,Xero!$A:$A,Heron!$A$4,Xero!$E:$E,Heron!$A62)+SUMIFS(Xero!$F:$F,Xero!$B:$B,Heron!J$9,Xero!$A:$A,Heron!$A$5,Xero!$E:$E,Heron!$A62)</f>
        <v/>
      </c>
      <c r="K62" s="101">
        <f>SUMIFS(Xero!$F:$F,Xero!$B:$B,Heron!K$9,Xero!$A:$A,Heron!$A$4,Xero!$E:$E,Heron!$A62)+SUMIFS(Xero!$F:$F,Xero!$B:$B,Heron!K$9,Xero!$A:$A,Heron!$A$5,Xero!$E:$E,Heron!$A62)</f>
        <v/>
      </c>
      <c r="L62" s="101">
        <f>SUMIFS(Xero!$F:$F,Xero!$B:$B,Heron!L$9,Xero!$A:$A,Heron!$A$4,Xero!$E:$E,Heron!$A62)+SUMIFS(Xero!$F:$F,Xero!$B:$B,Heron!L$9,Xero!$A:$A,Heron!$A$5,Xero!$E:$E,Heron!$A62)</f>
        <v/>
      </c>
      <c r="M62" s="101">
        <f>SUMIFS(Xero!$F:$F,Xero!$B:$B,Heron!M$9,Xero!$A:$A,Heron!$A$4,Xero!$E:$E,Heron!$A62)+SUMIFS(Xero!$F:$F,Xero!$B:$B,Heron!M$9,Xero!$A:$A,Heron!$A$5,Xero!$E:$E,Heron!$A62)</f>
        <v/>
      </c>
      <c r="N62" s="101">
        <f>SUMIFS(Xero!$F:$F,Xero!$B:$B,Heron!N$9,Xero!$A:$A,Heron!$A$4,Xero!$E:$E,Heron!$A62)+SUMIFS(Xero!$F:$F,Xero!$B:$B,Heron!N$9,Xero!$A:$A,Heron!$A$5,Xero!$E:$E,Heron!$A62)</f>
        <v/>
      </c>
      <c r="O62" s="101">
        <f>SUMIFS(Xero!$F:$F,Xero!$B:$B,Heron!O$9,Xero!$A:$A,Heron!$A$4,Xero!$E:$E,Heron!$A62)+SUMIFS(Xero!$F:$F,Xero!$B:$B,Heron!O$9,Xero!$A:$A,Heron!$A$5,Xero!$E:$E,Heron!$A62)</f>
        <v/>
      </c>
      <c r="P62" s="101">
        <f>SUMIFS(Xero!$F:$F,Xero!$B:$B,Heron!P$9,Xero!$A:$A,Heron!$A$4,Xero!$E:$E,Heron!$A62)+SUMIFS(Xero!$F:$F,Xero!$B:$B,Heron!P$9,Xero!$A:$A,Heron!$A$5,Xero!$E:$E,Heron!$A62)</f>
        <v/>
      </c>
      <c r="Q62" s="101">
        <f>SUMIFS(Xero!$F:$F,Xero!$B:$B,Heron!Q$9,Xero!$A:$A,Heron!$A$4,Xero!$E:$E,Heron!$A62)+SUMIFS(Xero!$F:$F,Xero!$B:$B,Heron!Q$9,Xero!$A:$A,Heron!$A$5,Xero!$E:$E,Heron!$A62)</f>
        <v/>
      </c>
      <c r="R62" s="101">
        <f>SUMIFS(Xero!$F:$F,Xero!$B:$B,Heron!R$9,Xero!$A:$A,Heron!$A$4,Xero!$E:$E,Heron!$A62)+SUMIFS(Xero!$F:$F,Xero!$B:$B,Heron!R$9,Xero!$A:$A,Heron!$A$5,Xero!$E:$E,Heron!$A62)</f>
        <v/>
      </c>
      <c r="S62" s="101">
        <f>SUMIFS(Xero!$F:$F,Xero!$B:$B,Heron!S$9,Xero!$A:$A,Heron!$A$4,Xero!$E:$E,Heron!$A62)+SUMIFS(Xero!$F:$F,Xero!$B:$B,Heron!S$9,Xero!$A:$A,Heron!$A$5,Xero!$E:$E,Heron!$A62)</f>
        <v/>
      </c>
      <c r="T62" s="101">
        <f>SUMIFS(Xero!$F:$F,Xero!$B:$B,Heron!T$9,Xero!$A:$A,Heron!$A$4,Xero!$E:$E,Heron!$A62)+SUMIFS(Xero!$F:$F,Xero!$B:$B,Heron!T$9,Xero!$A:$A,Heron!$A$5,Xero!$E:$E,Heron!$A62)</f>
        <v/>
      </c>
      <c r="U62" s="101">
        <f>SUMIFS(Xero!$F:$F,Xero!$B:$B,Heron!U$9,Xero!$A:$A,Heron!$A$4,Xero!$E:$E,Heron!$A62)+SUMIFS(Xero!$F:$F,Xero!$B:$B,Heron!U$9,Xero!$A:$A,Heron!$A$5,Xero!$E:$E,Heron!$A62)</f>
        <v/>
      </c>
      <c r="V62" s="101">
        <f>SUMIFS(Xero!$F:$F,Xero!$B:$B,Heron!V$9,Xero!$A:$A,Heron!$A$4,Xero!$E:$E,Heron!$A62)+SUMIFS(Xero!$F:$F,Xero!$B:$B,Heron!V$9,Xero!$A:$A,Heron!$A$5,Xero!$E:$E,Heron!$A62)</f>
        <v/>
      </c>
      <c r="W62" s="101">
        <f>SUMIFS(Xero!$F:$F,Xero!$B:$B,Heron!W$9,Xero!$A:$A,Heron!$A$4,Xero!$E:$E,Heron!$A62)+SUMIFS(Xero!$F:$F,Xero!$B:$B,Heron!W$9,Xero!$A:$A,Heron!$A$5,Xero!$E:$E,Heron!$A62)</f>
        <v/>
      </c>
      <c r="X62" s="101">
        <f>SUMIFS(Xero!$F:$F,Xero!$B:$B,Heron!X$9,Xero!$A:$A,Heron!$A$4,Xero!$E:$E,Heron!$A62)+SUMIFS(Xero!$F:$F,Xero!$B:$B,Heron!X$9,Xero!$A:$A,Heron!$A$5,Xero!$E:$E,Heron!$A62)</f>
        <v/>
      </c>
      <c r="Y62" s="101">
        <f>SUMIFS(Xero!$F:$F,Xero!$B:$B,Heron!Y$9,Xero!$A:$A,Heron!$A$4,Xero!$E:$E,Heron!$A62)+SUMIFS(Xero!$F:$F,Xero!$B:$B,Heron!Y$9,Xero!$A:$A,Heron!$A$5,Xero!$E:$E,Heron!$A62)</f>
        <v/>
      </c>
      <c r="Z62" s="101">
        <f>SUMIFS(Xero!$F:$F,Xero!$B:$B,Heron!Z$9,Xero!$A:$A,Heron!$A$4,Xero!$E:$E,Heron!$A62)+SUMIFS(Xero!$F:$F,Xero!$B:$B,Heron!Z$9,Xero!$A:$A,Heron!$A$5,Xero!$E:$E,Heron!$A62)</f>
        <v/>
      </c>
      <c r="AA62" s="101">
        <f>SUMIFS(Xero!$F:$F,Xero!$B:$B,Heron!AA$9,Xero!$A:$A,Heron!$A$4,Xero!$E:$E,Heron!$A62)+SUMIFS(Xero!$F:$F,Xero!$B:$B,Heron!AA$9,Xero!$A:$A,Heron!$A$5,Xero!$E:$E,Heron!$A62)</f>
        <v/>
      </c>
      <c r="AB62" s="101">
        <f>SUMIFS(Xero!$F:$F,Xero!$B:$B,Heron!AB$9,Xero!$A:$A,Heron!$A$4,Xero!$E:$E,Heron!$A62)+SUMIFS(Xero!$F:$F,Xero!$B:$B,Heron!AB$9,Xero!$A:$A,Heron!$A$5,Xero!$E:$E,Heron!$A62)</f>
        <v/>
      </c>
      <c r="AC62" s="101">
        <f>SUMIFS(Xero!$F:$F,Xero!$B:$B,Heron!AC$9,Xero!$A:$A,Heron!$A$4,Xero!$E:$E,Heron!$A62)+SUMIFS(Xero!$F:$F,Xero!$B:$B,Heron!AC$9,Xero!$A:$A,Heron!$A$5,Xero!$E:$E,Heron!$A62)</f>
        <v/>
      </c>
      <c r="AD62" s="101">
        <f>SUMIFS(Xero!$F:$F,Xero!$B:$B,Heron!AD$9,Xero!$A:$A,Heron!$A$4,Xero!$E:$E,Heron!$A62)+SUMIFS(Xero!$F:$F,Xero!$B:$B,Heron!AD$9,Xero!$A:$A,Heron!$A$5,Xero!$E:$E,Heron!$A62)</f>
        <v/>
      </c>
      <c r="AE62" s="101">
        <f>SUMIFS(Xero!$F:$F,Xero!$B:$B,Heron!AE$9,Xero!$A:$A,Heron!$A$4,Xero!$E:$E,Heron!$A62)+SUMIFS(Xero!$F:$F,Xero!$B:$B,Heron!AE$9,Xero!$A:$A,Heron!$A$5,Xero!$E:$E,Heron!$A62)</f>
        <v/>
      </c>
      <c r="AF62" s="101">
        <f>SUMIFS(Xero!$F:$F,Xero!$B:$B,Heron!AF$9,Xero!$A:$A,Heron!$A$4,Xero!$E:$E,Heron!$A62)+SUMIFS(Xero!$F:$F,Xero!$B:$B,Heron!AF$9,Xero!$A:$A,Heron!$A$5,Xero!$E:$E,Heron!$A62)</f>
        <v/>
      </c>
      <c r="AG62" s="101">
        <f>SUMIFS(Xero!$F:$F,Xero!$B:$B,Heron!AG$9,Xero!$A:$A,Heron!$A$4,Xero!$E:$E,Heron!$A62)+SUMIFS(Xero!$F:$F,Xero!$B:$B,Heron!AG$9,Xero!$A:$A,Heron!$A$5,Xero!$E:$E,Heron!$A62)</f>
        <v/>
      </c>
      <c r="AH62" s="101">
        <f>SUMIFS(Xero!$F:$F,Xero!$B:$B,Heron!AH$9,Xero!$A:$A,Heron!$A$4,Xero!$E:$E,Heron!$A62)+SUMIFS(Xero!$F:$F,Xero!$B:$B,Heron!AH$9,Xero!$A:$A,Heron!$A$5,Xero!$E:$E,Heron!$A62)</f>
        <v/>
      </c>
      <c r="AI62" s="101">
        <f>SUMIFS(Xero!$F:$F,Xero!$B:$B,Heron!AI$9,Xero!$A:$A,Heron!$A$4,Xero!$E:$E,Heron!$A62)+SUMIFS(Xero!$F:$F,Xero!$B:$B,Heron!AI$9,Xero!$A:$A,Heron!$A$5,Xero!$E:$E,Heron!$A62)</f>
        <v/>
      </c>
      <c r="AJ62" s="101">
        <f>SUMIFS(Xero!$F:$F,Xero!$B:$B,Heron!AJ$9,Xero!$A:$A,Heron!$A$4,Xero!$E:$E,Heron!$A62)+SUMIFS(Xero!$F:$F,Xero!$B:$B,Heron!AJ$9,Xero!$A:$A,Heron!$A$5,Xero!$E:$E,Heron!$A62)</f>
        <v/>
      </c>
      <c r="AK62" s="101">
        <f>SUMIFS(Xero!$F:$F,Xero!$B:$B,Heron!AK$9,Xero!$A:$A,Heron!$A$4,Xero!$E:$E,Heron!$A62)+SUMIFS(Xero!$F:$F,Xero!$B:$B,Heron!AK$9,Xero!$A:$A,Heron!$A$5,Xero!$E:$E,Heron!$A62)</f>
        <v/>
      </c>
      <c r="AL62" s="101">
        <f>SUMIFS(Xero!$F:$F,Xero!$B:$B,Heron!AL$9,Xero!$A:$A,Heron!$A$4,Xero!$E:$E,Heron!$A62)+SUMIFS(Xero!$F:$F,Xero!$B:$B,Heron!AL$9,Xero!$A:$A,Heron!$A$5,Xero!$E:$E,Heron!$A62)</f>
        <v/>
      </c>
      <c r="AM62" s="101">
        <f>SUMIFS(Xero!$F:$F,Xero!$B:$B,Heron!AM$9,Xero!$A:$A,Heron!$A$4,Xero!$E:$E,Heron!$A62)+SUMIFS(Xero!$F:$F,Xero!$B:$B,Heron!AM$9,Xero!$A:$A,Heron!$A$5,Xero!$E:$E,Heron!$A62)</f>
        <v/>
      </c>
      <c r="AN62" s="101">
        <f>SUMIFS(Xero!$F:$F,Xero!$B:$B,Heron!AN$9,Xero!$A:$A,Heron!$A$4,Xero!$E:$E,Heron!$A62)+SUMIFS(Xero!$F:$F,Xero!$B:$B,Heron!AN$9,Xero!$A:$A,Heron!$A$5,Xero!$E:$E,Heron!$A62)</f>
        <v/>
      </c>
      <c r="AO62" s="101">
        <f>SUMIFS(Xero!$F:$F,Xero!$B:$B,Heron!AO$9,Xero!$A:$A,Heron!$A$4,Xero!$E:$E,Heron!$A62)+SUMIFS(Xero!$F:$F,Xero!$B:$B,Heron!AO$9,Xero!$A:$A,Heron!$A$5,Xero!$E:$E,Heron!$A62)</f>
        <v/>
      </c>
      <c r="AP62" s="101">
        <f>SUMIFS(Xero!$F:$F,Xero!$B:$B,Heron!AP$9,Xero!$A:$A,Heron!$A$4,Xero!$E:$E,Heron!$A62)+SUMIFS(Xero!$F:$F,Xero!$B:$B,Heron!AP$9,Xero!$A:$A,Heron!$A$5,Xero!$E:$E,Heron!$A62)</f>
        <v/>
      </c>
      <c r="AQ62" s="101">
        <f>SUMIFS(Xero!$F:$F,Xero!$B:$B,Heron!AQ$9,Xero!$A:$A,Heron!$A$4,Xero!$E:$E,Heron!$A62)+SUMIFS(Xero!$F:$F,Xero!$B:$B,Heron!AQ$9,Xero!$A:$A,Heron!$A$5,Xero!$E:$E,Heron!$A62)</f>
        <v/>
      </c>
      <c r="AR62" s="101">
        <f>SUMIFS(Xero!$F:$F,Xero!$B:$B,Heron!AR$9,Xero!$A:$A,Heron!$A$4,Xero!$E:$E,Heron!$A62)+SUMIFS(Xero!$F:$F,Xero!$B:$B,Heron!AR$9,Xero!$A:$A,Heron!$A$5,Xero!$E:$E,Heron!$A62)</f>
        <v/>
      </c>
      <c r="AS62" s="101">
        <f>SUMIFS(Xero!$F:$F,Xero!$B:$B,Heron!AS$9,Xero!$A:$A,Heron!$A$4,Xero!$E:$E,Heron!$A62)+SUMIFS(Xero!$F:$F,Xero!$B:$B,Heron!AS$9,Xero!$A:$A,Heron!$A$5,Xero!$E:$E,Heron!$A62)</f>
        <v/>
      </c>
      <c r="AT62" s="101">
        <f>SUMIFS(Xero!$F:$F,Xero!$B:$B,Heron!AT$9,Xero!$A:$A,Heron!$A$4,Xero!$E:$E,Heron!$A62)+SUMIFS(Xero!$F:$F,Xero!$B:$B,Heron!AT$9,Xero!$A:$A,Heron!$A$5,Xero!$E:$E,Heron!$A62)</f>
        <v/>
      </c>
      <c r="AU62" s="101">
        <f>SUMIFS(Xero!$F:$F,Xero!$B:$B,Heron!AU$9,Xero!$A:$A,Heron!$A$4,Xero!$E:$E,Heron!$A62)+SUMIFS(Xero!$F:$F,Xero!$B:$B,Heron!AU$9,Xero!$A:$A,Heron!$A$5,Xero!$E:$E,Heron!$A62)</f>
        <v/>
      </c>
      <c r="AV62" s="101">
        <f>SUMIFS(Xero!$F:$F,Xero!$B:$B,Heron!AV$9,Xero!$A:$A,Heron!$A$4,Xero!$E:$E,Heron!$A62)+SUMIFS(Xero!$F:$F,Xero!$B:$B,Heron!AV$9,Xero!$A:$A,Heron!$A$5,Xero!$E:$E,Heron!$A62)</f>
        <v/>
      </c>
      <c r="AW62" s="101">
        <f>SUMIFS(Xero!$F:$F,Xero!$B:$B,Heron!AW$9,Xero!$A:$A,Heron!$A$4,Xero!$E:$E,Heron!$A62)+SUMIFS(Xero!$F:$F,Xero!$B:$B,Heron!AW$9,Xero!$A:$A,Heron!$A$5,Xero!$E:$E,Heron!$A62)</f>
        <v/>
      </c>
      <c r="AX62" s="101">
        <f>SUMIFS(Xero!$F:$F,Xero!$B:$B,Heron!AX$9,Xero!$A:$A,Heron!$A$4,Xero!$E:$E,Heron!$A62)+SUMIFS(Xero!$F:$F,Xero!$B:$B,Heron!AX$9,Xero!$A:$A,Heron!$A$5,Xero!$E:$E,Heron!$A62)</f>
        <v/>
      </c>
      <c r="AY62" s="101">
        <f>SUMIFS(Xero!$F:$F,Xero!$B:$B,Heron!AY$9,Xero!$A:$A,Heron!$A$4,Xero!$E:$E,Heron!$A62)+SUMIFS(Xero!$F:$F,Xero!$B:$B,Heron!AY$9,Xero!$A:$A,Heron!$A$5,Xero!$E:$E,Heron!$A62)</f>
        <v/>
      </c>
      <c r="AZ62" s="101">
        <f>SUMIFS(Xero!$F:$F,Xero!$B:$B,Heron!AZ$9,Xero!$A:$A,Heron!$A$4,Xero!$E:$E,Heron!$A62)+SUMIFS(Xero!$F:$F,Xero!$B:$B,Heron!AZ$9,Xero!$A:$A,Heron!$A$5,Xero!$E:$E,Heron!$A62)</f>
        <v/>
      </c>
      <c r="BA62" s="101">
        <f>SUMIFS(Xero!$F:$F,Xero!$B:$B,Heron!BA$9,Xero!$A:$A,Heron!$A$4,Xero!$E:$E,Heron!$A62)+SUMIFS(Xero!$F:$F,Xero!$B:$B,Heron!BA$9,Xero!$A:$A,Heron!$A$5,Xero!$E:$E,Heron!$A62)</f>
        <v/>
      </c>
      <c r="BB62" s="101">
        <f>SUMIFS(Xero!$F:$F,Xero!$B:$B,Heron!BB$9,Xero!$A:$A,Heron!$A$4,Xero!$E:$E,Heron!$A62)+SUMIFS(Xero!$F:$F,Xero!$B:$B,Heron!BB$9,Xero!$A:$A,Heron!$A$5,Xero!$E:$E,Heron!$A62)</f>
        <v/>
      </c>
      <c r="BC62" s="101">
        <f>SUMIFS(Xero!$F:$F,Xero!$B:$B,Heron!BC$9,Xero!$A:$A,Heron!$A$4,Xero!$E:$E,Heron!$A62)+SUMIFS(Xero!$F:$F,Xero!$B:$B,Heron!BC$9,Xero!$A:$A,Heron!$A$5,Xero!$E:$E,Heron!$A62)</f>
        <v/>
      </c>
      <c r="BD62" s="101">
        <f>SUMIFS(Xero!$F:$F,Xero!$B:$B,Heron!BD$9,Xero!$A:$A,Heron!$A$4,Xero!$E:$E,Heron!$A62)+SUMIFS(Xero!$F:$F,Xero!$B:$B,Heron!BD$9,Xero!$A:$A,Heron!$A$5,Xero!$E:$E,Heron!$A62)</f>
        <v/>
      </c>
      <c r="BE62" s="101">
        <f>SUMIFS(Xero!$F:$F,Xero!$B:$B,Heron!BE$9,Xero!$A:$A,Heron!$A$4,Xero!$E:$E,Heron!$A62)+SUMIFS(Xero!$F:$F,Xero!$B:$B,Heron!BE$9,Xero!$A:$A,Heron!$A$5,Xero!$E:$E,Heron!$A62)</f>
        <v/>
      </c>
      <c r="BF62" s="101">
        <f>SUMIFS(Xero!$F:$F,Xero!$B:$B,Heron!BF$9,Xero!$A:$A,Heron!$A$4,Xero!$E:$E,Heron!$A62)+SUMIFS(Xero!$F:$F,Xero!$B:$B,Heron!BF$9,Xero!$A:$A,Heron!$A$5,Xero!$E:$E,Heron!$A62)</f>
        <v/>
      </c>
      <c r="BG62" s="101">
        <f>SUMIFS(Xero!$F:$F,Xero!$B:$B,Heron!BG$9,Xero!$A:$A,Heron!$A$4,Xero!$E:$E,Heron!$A62)+SUMIFS(Xero!$F:$F,Xero!$B:$B,Heron!BG$9,Xero!$A:$A,Heron!$A$5,Xero!$E:$E,Heron!$A62)</f>
        <v/>
      </c>
      <c r="BH62" s="101">
        <f>SUMIFS(Xero!$F:$F,Xero!$B:$B,Heron!BH$9,Xero!$A:$A,Heron!$A$4,Xero!$E:$E,Heron!$A62)+SUMIFS(Xero!$F:$F,Xero!$B:$B,Heron!BH$9,Xero!$A:$A,Heron!$A$5,Xero!$E:$E,Heron!$A62)</f>
        <v/>
      </c>
      <c r="BI62" s="101">
        <f>SUMIFS(Xero!$F:$F,Xero!$B:$B,Heron!BI$9,Xero!$A:$A,Heron!$A$4,Xero!$E:$E,Heron!$A62)+SUMIFS(Xero!$F:$F,Xero!$B:$B,Heron!BI$9,Xero!$A:$A,Heron!$A$5,Xero!$E:$E,Heron!$A62)</f>
        <v/>
      </c>
      <c r="BJ62" s="101">
        <f>SUMIFS(Xero!$F:$F,Xero!$B:$B,Heron!BJ$9,Xero!$A:$A,Heron!$A$4,Xero!$E:$E,Heron!$A62)+SUMIFS(Xero!$F:$F,Xero!$B:$B,Heron!BJ$9,Xero!$A:$A,Heron!$A$5,Xero!$E:$E,Heron!$A62)</f>
        <v/>
      </c>
      <c r="BK62" s="101">
        <f>sum(D62:BJ62)</f>
        <v/>
      </c>
    </row>
    <row r="63">
      <c r="A63" s="100" t="inlineStr">
        <is>
          <t>CoCT - Water</t>
        </is>
      </c>
      <c r="D63" s="101">
        <f>SUMIFS(Xero!$F:$F,Xero!$B:$B,Heron!D$9,Xero!$A:$A,Heron!$A$4,Xero!$E:$E,Heron!$A63)+SUMIFS(Xero!$F:$F,Xero!$B:$B,Heron!D$9,Xero!$A:$A,Heron!$A$5,Xero!$E:$E,Heron!$A63)</f>
        <v/>
      </c>
      <c r="E63" s="101">
        <f>SUMIFS(Xero!$F:$F,Xero!$B:$B,Heron!E$9,Xero!$A:$A,Heron!$A$4,Xero!$E:$E,Heron!$A63)+SUMIFS(Xero!$F:$F,Xero!$B:$B,Heron!E$9,Xero!$A:$A,Heron!$A$5,Xero!$E:$E,Heron!$A63)</f>
        <v/>
      </c>
      <c r="F63" s="101">
        <f>SUMIFS(Xero!$F:$F,Xero!$B:$B,Heron!F$9,Xero!$A:$A,Heron!$A$4,Xero!$E:$E,Heron!$A63)+SUMIFS(Xero!$F:$F,Xero!$B:$B,Heron!F$9,Xero!$A:$A,Heron!$A$5,Xero!$E:$E,Heron!$A63)</f>
        <v/>
      </c>
      <c r="G63" s="101">
        <f>SUMIFS(Xero!$F:$F,Xero!$B:$B,Heron!G$9,Xero!$A:$A,Heron!$A$4,Xero!$E:$E,Heron!$A63)+SUMIFS(Xero!$F:$F,Xero!$B:$B,Heron!G$9,Xero!$A:$A,Heron!$A$5,Xero!$E:$E,Heron!$A63)</f>
        <v/>
      </c>
      <c r="H63" s="101">
        <f>SUMIFS(Xero!$F:$F,Xero!$B:$B,Heron!H$9,Xero!$A:$A,Heron!$A$4,Xero!$E:$E,Heron!$A63)+SUMIFS(Xero!$F:$F,Xero!$B:$B,Heron!H$9,Xero!$A:$A,Heron!$A$5,Xero!$E:$E,Heron!$A63)</f>
        <v/>
      </c>
      <c r="I63" s="101">
        <f>SUMIFS(Xero!$F:$F,Xero!$B:$B,Heron!I$9,Xero!$A:$A,Heron!$A$4,Xero!$E:$E,Heron!$A63)+SUMIFS(Xero!$F:$F,Xero!$B:$B,Heron!I$9,Xero!$A:$A,Heron!$A$5,Xero!$E:$E,Heron!$A63)</f>
        <v/>
      </c>
      <c r="J63" s="101">
        <f>SUMIFS(Xero!$F:$F,Xero!$B:$B,Heron!J$9,Xero!$A:$A,Heron!$A$4,Xero!$E:$E,Heron!$A63)+SUMIFS(Xero!$F:$F,Xero!$B:$B,Heron!J$9,Xero!$A:$A,Heron!$A$5,Xero!$E:$E,Heron!$A63)</f>
        <v/>
      </c>
      <c r="K63" s="101">
        <f>SUMIFS(Xero!$F:$F,Xero!$B:$B,Heron!K$9,Xero!$A:$A,Heron!$A$4,Xero!$E:$E,Heron!$A63)+SUMIFS(Xero!$F:$F,Xero!$B:$B,Heron!K$9,Xero!$A:$A,Heron!$A$5,Xero!$E:$E,Heron!$A63)</f>
        <v/>
      </c>
      <c r="L63" s="101">
        <f>SUMIFS(Xero!$F:$F,Xero!$B:$B,Heron!L$9,Xero!$A:$A,Heron!$A$4,Xero!$E:$E,Heron!$A63)+SUMIFS(Xero!$F:$F,Xero!$B:$B,Heron!L$9,Xero!$A:$A,Heron!$A$5,Xero!$E:$E,Heron!$A63)</f>
        <v/>
      </c>
      <c r="M63" s="101">
        <f>SUMIFS(Xero!$F:$F,Xero!$B:$B,Heron!M$9,Xero!$A:$A,Heron!$A$4,Xero!$E:$E,Heron!$A63)+SUMIFS(Xero!$F:$F,Xero!$B:$B,Heron!M$9,Xero!$A:$A,Heron!$A$5,Xero!$E:$E,Heron!$A63)</f>
        <v/>
      </c>
      <c r="N63" s="101">
        <f>SUMIFS(Xero!$F:$F,Xero!$B:$B,Heron!N$9,Xero!$A:$A,Heron!$A$4,Xero!$E:$E,Heron!$A63)+SUMIFS(Xero!$F:$F,Xero!$B:$B,Heron!N$9,Xero!$A:$A,Heron!$A$5,Xero!$E:$E,Heron!$A63)</f>
        <v/>
      </c>
      <c r="O63" s="101">
        <f>SUMIFS(Xero!$F:$F,Xero!$B:$B,Heron!O$9,Xero!$A:$A,Heron!$A$4,Xero!$E:$E,Heron!$A63)+SUMIFS(Xero!$F:$F,Xero!$B:$B,Heron!O$9,Xero!$A:$A,Heron!$A$5,Xero!$E:$E,Heron!$A63)</f>
        <v/>
      </c>
      <c r="P63" s="101">
        <f>SUMIFS(Xero!$F:$F,Xero!$B:$B,Heron!P$9,Xero!$A:$A,Heron!$A$4,Xero!$E:$E,Heron!$A63)+SUMIFS(Xero!$F:$F,Xero!$B:$B,Heron!P$9,Xero!$A:$A,Heron!$A$5,Xero!$E:$E,Heron!$A63)</f>
        <v/>
      </c>
      <c r="Q63" s="101">
        <f>SUMIFS(Xero!$F:$F,Xero!$B:$B,Heron!Q$9,Xero!$A:$A,Heron!$A$4,Xero!$E:$E,Heron!$A63)+SUMIFS(Xero!$F:$F,Xero!$B:$B,Heron!Q$9,Xero!$A:$A,Heron!$A$5,Xero!$E:$E,Heron!$A63)</f>
        <v/>
      </c>
      <c r="R63" s="101">
        <f>SUMIFS(Xero!$F:$F,Xero!$B:$B,Heron!R$9,Xero!$A:$A,Heron!$A$4,Xero!$E:$E,Heron!$A63)+SUMIFS(Xero!$F:$F,Xero!$B:$B,Heron!R$9,Xero!$A:$A,Heron!$A$5,Xero!$E:$E,Heron!$A63)</f>
        <v/>
      </c>
      <c r="S63" s="101">
        <f>SUMIFS(Xero!$F:$F,Xero!$B:$B,Heron!S$9,Xero!$A:$A,Heron!$A$4,Xero!$E:$E,Heron!$A63)+SUMIFS(Xero!$F:$F,Xero!$B:$B,Heron!S$9,Xero!$A:$A,Heron!$A$5,Xero!$E:$E,Heron!$A63)</f>
        <v/>
      </c>
      <c r="T63" s="101">
        <f>SUMIFS(Xero!$F:$F,Xero!$B:$B,Heron!T$9,Xero!$A:$A,Heron!$A$4,Xero!$E:$E,Heron!$A63)+SUMIFS(Xero!$F:$F,Xero!$B:$B,Heron!T$9,Xero!$A:$A,Heron!$A$5,Xero!$E:$E,Heron!$A63)</f>
        <v/>
      </c>
      <c r="U63" s="101">
        <f>SUMIFS(Xero!$F:$F,Xero!$B:$B,Heron!U$9,Xero!$A:$A,Heron!$A$4,Xero!$E:$E,Heron!$A63)+SUMIFS(Xero!$F:$F,Xero!$B:$B,Heron!U$9,Xero!$A:$A,Heron!$A$5,Xero!$E:$E,Heron!$A63)</f>
        <v/>
      </c>
      <c r="V63" s="101">
        <f>SUMIFS(Xero!$F:$F,Xero!$B:$B,Heron!V$9,Xero!$A:$A,Heron!$A$4,Xero!$E:$E,Heron!$A63)+SUMIFS(Xero!$F:$F,Xero!$B:$B,Heron!V$9,Xero!$A:$A,Heron!$A$5,Xero!$E:$E,Heron!$A63)</f>
        <v/>
      </c>
      <c r="W63" s="101">
        <f>SUMIFS(Xero!$F:$F,Xero!$B:$B,Heron!W$9,Xero!$A:$A,Heron!$A$4,Xero!$E:$E,Heron!$A63)+SUMIFS(Xero!$F:$F,Xero!$B:$B,Heron!W$9,Xero!$A:$A,Heron!$A$5,Xero!$E:$E,Heron!$A63)</f>
        <v/>
      </c>
      <c r="X63" s="101">
        <f>SUMIFS(Xero!$F:$F,Xero!$B:$B,Heron!X$9,Xero!$A:$A,Heron!$A$4,Xero!$E:$E,Heron!$A63)+SUMIFS(Xero!$F:$F,Xero!$B:$B,Heron!X$9,Xero!$A:$A,Heron!$A$5,Xero!$E:$E,Heron!$A63)</f>
        <v/>
      </c>
      <c r="Y63" s="101">
        <f>SUMIFS(Xero!$F:$F,Xero!$B:$B,Heron!Y$9,Xero!$A:$A,Heron!$A$4,Xero!$E:$E,Heron!$A63)+SUMIFS(Xero!$F:$F,Xero!$B:$B,Heron!Y$9,Xero!$A:$A,Heron!$A$5,Xero!$E:$E,Heron!$A63)</f>
        <v/>
      </c>
      <c r="Z63" s="101">
        <f>SUMIFS(Xero!$F:$F,Xero!$B:$B,Heron!Z$9,Xero!$A:$A,Heron!$A$4,Xero!$E:$E,Heron!$A63)+SUMIFS(Xero!$F:$F,Xero!$B:$B,Heron!Z$9,Xero!$A:$A,Heron!$A$5,Xero!$E:$E,Heron!$A63)</f>
        <v/>
      </c>
      <c r="AA63" s="101">
        <f>SUMIFS(Xero!$F:$F,Xero!$B:$B,Heron!AA$9,Xero!$A:$A,Heron!$A$4,Xero!$E:$E,Heron!$A63)+SUMIFS(Xero!$F:$F,Xero!$B:$B,Heron!AA$9,Xero!$A:$A,Heron!$A$5,Xero!$E:$E,Heron!$A63)</f>
        <v/>
      </c>
      <c r="AB63" s="101">
        <f>SUMIFS(Xero!$F:$F,Xero!$B:$B,Heron!AB$9,Xero!$A:$A,Heron!$A$4,Xero!$E:$E,Heron!$A63)+SUMIFS(Xero!$F:$F,Xero!$B:$B,Heron!AB$9,Xero!$A:$A,Heron!$A$5,Xero!$E:$E,Heron!$A63)</f>
        <v/>
      </c>
      <c r="AC63" s="101">
        <f>SUMIFS(Xero!$F:$F,Xero!$B:$B,Heron!AC$9,Xero!$A:$A,Heron!$A$4,Xero!$E:$E,Heron!$A63)+SUMIFS(Xero!$F:$F,Xero!$B:$B,Heron!AC$9,Xero!$A:$A,Heron!$A$5,Xero!$E:$E,Heron!$A63)</f>
        <v/>
      </c>
      <c r="AD63" s="101">
        <f>SUMIFS(Xero!$F:$F,Xero!$B:$B,Heron!AD$9,Xero!$A:$A,Heron!$A$4,Xero!$E:$E,Heron!$A63)+SUMIFS(Xero!$F:$F,Xero!$B:$B,Heron!AD$9,Xero!$A:$A,Heron!$A$5,Xero!$E:$E,Heron!$A63)</f>
        <v/>
      </c>
      <c r="AE63" s="101">
        <f>SUMIFS(Xero!$F:$F,Xero!$B:$B,Heron!AE$9,Xero!$A:$A,Heron!$A$4,Xero!$E:$E,Heron!$A63)+SUMIFS(Xero!$F:$F,Xero!$B:$B,Heron!AE$9,Xero!$A:$A,Heron!$A$5,Xero!$E:$E,Heron!$A63)</f>
        <v/>
      </c>
      <c r="AF63" s="101">
        <f>SUMIFS(Xero!$F:$F,Xero!$B:$B,Heron!AF$9,Xero!$A:$A,Heron!$A$4,Xero!$E:$E,Heron!$A63)+SUMIFS(Xero!$F:$F,Xero!$B:$B,Heron!AF$9,Xero!$A:$A,Heron!$A$5,Xero!$E:$E,Heron!$A63)</f>
        <v/>
      </c>
      <c r="AG63" s="101">
        <f>SUMIFS(Xero!$F:$F,Xero!$B:$B,Heron!AG$9,Xero!$A:$A,Heron!$A$4,Xero!$E:$E,Heron!$A63)+SUMIFS(Xero!$F:$F,Xero!$B:$B,Heron!AG$9,Xero!$A:$A,Heron!$A$5,Xero!$E:$E,Heron!$A63)</f>
        <v/>
      </c>
      <c r="AH63" s="101">
        <f>SUMIFS(Xero!$F:$F,Xero!$B:$B,Heron!AH$9,Xero!$A:$A,Heron!$A$4,Xero!$E:$E,Heron!$A63)+SUMIFS(Xero!$F:$F,Xero!$B:$B,Heron!AH$9,Xero!$A:$A,Heron!$A$5,Xero!$E:$E,Heron!$A63)</f>
        <v/>
      </c>
      <c r="AI63" s="101">
        <f>SUMIFS(Xero!$F:$F,Xero!$B:$B,Heron!AI$9,Xero!$A:$A,Heron!$A$4,Xero!$E:$E,Heron!$A63)+SUMIFS(Xero!$F:$F,Xero!$B:$B,Heron!AI$9,Xero!$A:$A,Heron!$A$5,Xero!$E:$E,Heron!$A63)</f>
        <v/>
      </c>
      <c r="AJ63" s="101">
        <f>SUMIFS(Xero!$F:$F,Xero!$B:$B,Heron!AJ$9,Xero!$A:$A,Heron!$A$4,Xero!$E:$E,Heron!$A63)+SUMIFS(Xero!$F:$F,Xero!$B:$B,Heron!AJ$9,Xero!$A:$A,Heron!$A$5,Xero!$E:$E,Heron!$A63)</f>
        <v/>
      </c>
      <c r="AK63" s="101">
        <f>SUMIFS(Xero!$F:$F,Xero!$B:$B,Heron!AK$9,Xero!$A:$A,Heron!$A$4,Xero!$E:$E,Heron!$A63)+SUMIFS(Xero!$F:$F,Xero!$B:$B,Heron!AK$9,Xero!$A:$A,Heron!$A$5,Xero!$E:$E,Heron!$A63)</f>
        <v/>
      </c>
      <c r="AL63" s="101">
        <f>SUMIFS(Xero!$F:$F,Xero!$B:$B,Heron!AL$9,Xero!$A:$A,Heron!$A$4,Xero!$E:$E,Heron!$A63)+SUMIFS(Xero!$F:$F,Xero!$B:$B,Heron!AL$9,Xero!$A:$A,Heron!$A$5,Xero!$E:$E,Heron!$A63)</f>
        <v/>
      </c>
      <c r="AM63" s="101">
        <f>SUMIFS(Xero!$F:$F,Xero!$B:$B,Heron!AM$9,Xero!$A:$A,Heron!$A$4,Xero!$E:$E,Heron!$A63)+SUMIFS(Xero!$F:$F,Xero!$B:$B,Heron!AM$9,Xero!$A:$A,Heron!$A$5,Xero!$E:$E,Heron!$A63)</f>
        <v/>
      </c>
      <c r="AN63" s="101">
        <f>SUMIFS(Xero!$F:$F,Xero!$B:$B,Heron!AN$9,Xero!$A:$A,Heron!$A$4,Xero!$E:$E,Heron!$A63)+SUMIFS(Xero!$F:$F,Xero!$B:$B,Heron!AN$9,Xero!$A:$A,Heron!$A$5,Xero!$E:$E,Heron!$A63)</f>
        <v/>
      </c>
      <c r="AO63" s="101">
        <f>SUMIFS(Xero!$F:$F,Xero!$B:$B,Heron!AO$9,Xero!$A:$A,Heron!$A$4,Xero!$E:$E,Heron!$A63)+SUMIFS(Xero!$F:$F,Xero!$B:$B,Heron!AO$9,Xero!$A:$A,Heron!$A$5,Xero!$E:$E,Heron!$A63)</f>
        <v/>
      </c>
      <c r="AP63" s="101">
        <f>SUMIFS(Xero!$F:$F,Xero!$B:$B,Heron!AP$9,Xero!$A:$A,Heron!$A$4,Xero!$E:$E,Heron!$A63)+SUMIFS(Xero!$F:$F,Xero!$B:$B,Heron!AP$9,Xero!$A:$A,Heron!$A$5,Xero!$E:$E,Heron!$A63)</f>
        <v/>
      </c>
      <c r="AQ63" s="101">
        <f>SUMIFS(Xero!$F:$F,Xero!$B:$B,Heron!AQ$9,Xero!$A:$A,Heron!$A$4,Xero!$E:$E,Heron!$A63)+SUMIFS(Xero!$F:$F,Xero!$B:$B,Heron!AQ$9,Xero!$A:$A,Heron!$A$5,Xero!$E:$E,Heron!$A63)</f>
        <v/>
      </c>
      <c r="AR63" s="101">
        <f>SUMIFS(Xero!$F:$F,Xero!$B:$B,Heron!AR$9,Xero!$A:$A,Heron!$A$4,Xero!$E:$E,Heron!$A63)+SUMIFS(Xero!$F:$F,Xero!$B:$B,Heron!AR$9,Xero!$A:$A,Heron!$A$5,Xero!$E:$E,Heron!$A63)</f>
        <v/>
      </c>
      <c r="AS63" s="101">
        <f>SUMIFS(Xero!$F:$F,Xero!$B:$B,Heron!AS$9,Xero!$A:$A,Heron!$A$4,Xero!$E:$E,Heron!$A63)+SUMIFS(Xero!$F:$F,Xero!$B:$B,Heron!AS$9,Xero!$A:$A,Heron!$A$5,Xero!$E:$E,Heron!$A63)</f>
        <v/>
      </c>
      <c r="AT63" s="101">
        <f>SUMIFS(Xero!$F:$F,Xero!$B:$B,Heron!AT$9,Xero!$A:$A,Heron!$A$4,Xero!$E:$E,Heron!$A63)+SUMIFS(Xero!$F:$F,Xero!$B:$B,Heron!AT$9,Xero!$A:$A,Heron!$A$5,Xero!$E:$E,Heron!$A63)</f>
        <v/>
      </c>
      <c r="AU63" s="101">
        <f>SUMIFS(Xero!$F:$F,Xero!$B:$B,Heron!AU$9,Xero!$A:$A,Heron!$A$4,Xero!$E:$E,Heron!$A63)+SUMIFS(Xero!$F:$F,Xero!$B:$B,Heron!AU$9,Xero!$A:$A,Heron!$A$5,Xero!$E:$E,Heron!$A63)</f>
        <v/>
      </c>
      <c r="AV63" s="101">
        <f>SUMIFS(Xero!$F:$F,Xero!$B:$B,Heron!AV$9,Xero!$A:$A,Heron!$A$4,Xero!$E:$E,Heron!$A63)+SUMIFS(Xero!$F:$F,Xero!$B:$B,Heron!AV$9,Xero!$A:$A,Heron!$A$5,Xero!$E:$E,Heron!$A63)</f>
        <v/>
      </c>
      <c r="AW63" s="101">
        <f>SUMIFS(Xero!$F:$F,Xero!$B:$B,Heron!AW$9,Xero!$A:$A,Heron!$A$4,Xero!$E:$E,Heron!$A63)+SUMIFS(Xero!$F:$F,Xero!$B:$B,Heron!AW$9,Xero!$A:$A,Heron!$A$5,Xero!$E:$E,Heron!$A63)</f>
        <v/>
      </c>
      <c r="AX63" s="101">
        <f>SUMIFS(Xero!$F:$F,Xero!$B:$B,Heron!AX$9,Xero!$A:$A,Heron!$A$4,Xero!$E:$E,Heron!$A63)+SUMIFS(Xero!$F:$F,Xero!$B:$B,Heron!AX$9,Xero!$A:$A,Heron!$A$5,Xero!$E:$E,Heron!$A63)</f>
        <v/>
      </c>
      <c r="AY63" s="101">
        <f>SUMIFS(Xero!$F:$F,Xero!$B:$B,Heron!AY$9,Xero!$A:$A,Heron!$A$4,Xero!$E:$E,Heron!$A63)+SUMIFS(Xero!$F:$F,Xero!$B:$B,Heron!AY$9,Xero!$A:$A,Heron!$A$5,Xero!$E:$E,Heron!$A63)</f>
        <v/>
      </c>
      <c r="AZ63" s="101">
        <f>SUMIFS(Xero!$F:$F,Xero!$B:$B,Heron!AZ$9,Xero!$A:$A,Heron!$A$4,Xero!$E:$E,Heron!$A63)+SUMIFS(Xero!$F:$F,Xero!$B:$B,Heron!AZ$9,Xero!$A:$A,Heron!$A$5,Xero!$E:$E,Heron!$A63)</f>
        <v/>
      </c>
      <c r="BA63" s="101">
        <f>SUMIFS(Xero!$F:$F,Xero!$B:$B,Heron!BA$9,Xero!$A:$A,Heron!$A$4,Xero!$E:$E,Heron!$A63)+SUMIFS(Xero!$F:$F,Xero!$B:$B,Heron!BA$9,Xero!$A:$A,Heron!$A$5,Xero!$E:$E,Heron!$A63)</f>
        <v/>
      </c>
      <c r="BB63" s="101">
        <f>SUMIFS(Xero!$F:$F,Xero!$B:$B,Heron!BB$9,Xero!$A:$A,Heron!$A$4,Xero!$E:$E,Heron!$A63)+SUMIFS(Xero!$F:$F,Xero!$B:$B,Heron!BB$9,Xero!$A:$A,Heron!$A$5,Xero!$E:$E,Heron!$A63)</f>
        <v/>
      </c>
      <c r="BC63" s="101">
        <f>SUMIFS(Xero!$F:$F,Xero!$B:$B,Heron!BC$9,Xero!$A:$A,Heron!$A$4,Xero!$E:$E,Heron!$A63)+SUMIFS(Xero!$F:$F,Xero!$B:$B,Heron!BC$9,Xero!$A:$A,Heron!$A$5,Xero!$E:$E,Heron!$A63)</f>
        <v/>
      </c>
      <c r="BD63" s="101">
        <f>SUMIFS(Xero!$F:$F,Xero!$B:$B,Heron!BD$9,Xero!$A:$A,Heron!$A$4,Xero!$E:$E,Heron!$A63)+SUMIFS(Xero!$F:$F,Xero!$B:$B,Heron!BD$9,Xero!$A:$A,Heron!$A$5,Xero!$E:$E,Heron!$A63)</f>
        <v/>
      </c>
      <c r="BE63" s="101">
        <f>SUMIFS(Xero!$F:$F,Xero!$B:$B,Heron!BE$9,Xero!$A:$A,Heron!$A$4,Xero!$E:$E,Heron!$A63)+SUMIFS(Xero!$F:$F,Xero!$B:$B,Heron!BE$9,Xero!$A:$A,Heron!$A$5,Xero!$E:$E,Heron!$A63)</f>
        <v/>
      </c>
      <c r="BF63" s="101">
        <f>SUMIFS(Xero!$F:$F,Xero!$B:$B,Heron!BF$9,Xero!$A:$A,Heron!$A$4,Xero!$E:$E,Heron!$A63)+SUMIFS(Xero!$F:$F,Xero!$B:$B,Heron!BF$9,Xero!$A:$A,Heron!$A$5,Xero!$E:$E,Heron!$A63)</f>
        <v/>
      </c>
      <c r="BG63" s="101">
        <f>SUMIFS(Xero!$F:$F,Xero!$B:$B,Heron!BG$9,Xero!$A:$A,Heron!$A$4,Xero!$E:$E,Heron!$A63)+SUMIFS(Xero!$F:$F,Xero!$B:$B,Heron!BG$9,Xero!$A:$A,Heron!$A$5,Xero!$E:$E,Heron!$A63)</f>
        <v/>
      </c>
      <c r="BH63" s="101">
        <f>SUMIFS(Xero!$F:$F,Xero!$B:$B,Heron!BH$9,Xero!$A:$A,Heron!$A$4,Xero!$E:$E,Heron!$A63)+SUMIFS(Xero!$F:$F,Xero!$B:$B,Heron!BH$9,Xero!$A:$A,Heron!$A$5,Xero!$E:$E,Heron!$A63)</f>
        <v/>
      </c>
      <c r="BI63" s="101">
        <f>SUMIFS(Xero!$F:$F,Xero!$B:$B,Heron!BI$9,Xero!$A:$A,Heron!$A$4,Xero!$E:$E,Heron!$A63)+SUMIFS(Xero!$F:$F,Xero!$B:$B,Heron!BI$9,Xero!$A:$A,Heron!$A$5,Xero!$E:$E,Heron!$A63)</f>
        <v/>
      </c>
      <c r="BJ63" s="101">
        <f>SUMIFS(Xero!$F:$F,Xero!$B:$B,Heron!BJ$9,Xero!$A:$A,Heron!$A$4,Xero!$E:$E,Heron!$A63)+SUMIFS(Xero!$F:$F,Xero!$B:$B,Heron!BJ$9,Xero!$A:$A,Heron!$A$5,Xero!$E:$E,Heron!$A63)</f>
        <v/>
      </c>
      <c r="BK63" s="101">
        <f>sum(D63:BJ63)</f>
        <v/>
      </c>
    </row>
    <row r="64">
      <c r="A64" s="100" t="inlineStr">
        <is>
          <t>Computer Expenses - Xero</t>
        </is>
      </c>
      <c r="D64" s="101">
        <f>SUMIFS(Xero!$F:$F,Xero!$B:$B,Heron!D$9,Xero!$A:$A,Heron!$A$4,Xero!$E:$E,Heron!$A64)+SUMIFS(Xero!$F:$F,Xero!$B:$B,Heron!D$9,Xero!$A:$A,Heron!$A$5,Xero!$E:$E,Heron!$A64)</f>
        <v/>
      </c>
      <c r="E64" s="101">
        <f>SUMIFS(Xero!$F:$F,Xero!$B:$B,Heron!E$9,Xero!$A:$A,Heron!$A$4,Xero!$E:$E,Heron!$A64)+SUMIFS(Xero!$F:$F,Xero!$B:$B,Heron!E$9,Xero!$A:$A,Heron!$A$5,Xero!$E:$E,Heron!$A64)</f>
        <v/>
      </c>
      <c r="F64" s="101">
        <f>SUMIFS(Xero!$F:$F,Xero!$B:$B,Heron!F$9,Xero!$A:$A,Heron!$A$4,Xero!$E:$E,Heron!$A64)+SUMIFS(Xero!$F:$F,Xero!$B:$B,Heron!F$9,Xero!$A:$A,Heron!$A$5,Xero!$E:$E,Heron!$A64)</f>
        <v/>
      </c>
      <c r="G64" s="101">
        <f>SUMIFS(Xero!$F:$F,Xero!$B:$B,Heron!G$9,Xero!$A:$A,Heron!$A$4,Xero!$E:$E,Heron!$A64)+SUMIFS(Xero!$F:$F,Xero!$B:$B,Heron!G$9,Xero!$A:$A,Heron!$A$5,Xero!$E:$E,Heron!$A64)</f>
        <v/>
      </c>
      <c r="H64" s="101">
        <f>SUMIFS(Xero!$F:$F,Xero!$B:$B,Heron!H$9,Xero!$A:$A,Heron!$A$4,Xero!$E:$E,Heron!$A64)+SUMIFS(Xero!$F:$F,Xero!$B:$B,Heron!H$9,Xero!$A:$A,Heron!$A$5,Xero!$E:$E,Heron!$A64)</f>
        <v/>
      </c>
      <c r="I64" s="101">
        <f>SUMIFS(Xero!$F:$F,Xero!$B:$B,Heron!I$9,Xero!$A:$A,Heron!$A$4,Xero!$E:$E,Heron!$A64)+SUMIFS(Xero!$F:$F,Xero!$B:$B,Heron!I$9,Xero!$A:$A,Heron!$A$5,Xero!$E:$E,Heron!$A64)</f>
        <v/>
      </c>
      <c r="J64" s="101">
        <f>SUMIFS(Xero!$F:$F,Xero!$B:$B,Heron!J$9,Xero!$A:$A,Heron!$A$4,Xero!$E:$E,Heron!$A64)+SUMIFS(Xero!$F:$F,Xero!$B:$B,Heron!J$9,Xero!$A:$A,Heron!$A$5,Xero!$E:$E,Heron!$A64)</f>
        <v/>
      </c>
      <c r="K64" s="101">
        <f>SUMIFS(Xero!$F:$F,Xero!$B:$B,Heron!K$9,Xero!$A:$A,Heron!$A$4,Xero!$E:$E,Heron!$A64)+SUMIFS(Xero!$F:$F,Xero!$B:$B,Heron!K$9,Xero!$A:$A,Heron!$A$5,Xero!$E:$E,Heron!$A64)</f>
        <v/>
      </c>
      <c r="L64" s="101">
        <f>SUMIFS(Xero!$F:$F,Xero!$B:$B,Heron!L$9,Xero!$A:$A,Heron!$A$4,Xero!$E:$E,Heron!$A64)+SUMIFS(Xero!$F:$F,Xero!$B:$B,Heron!L$9,Xero!$A:$A,Heron!$A$5,Xero!$E:$E,Heron!$A64)</f>
        <v/>
      </c>
      <c r="M64" s="101">
        <f>SUMIFS(Xero!$F:$F,Xero!$B:$B,Heron!M$9,Xero!$A:$A,Heron!$A$4,Xero!$E:$E,Heron!$A64)+SUMIFS(Xero!$F:$F,Xero!$B:$B,Heron!M$9,Xero!$A:$A,Heron!$A$5,Xero!$E:$E,Heron!$A64)</f>
        <v/>
      </c>
      <c r="N64" s="101">
        <f>SUMIFS(Xero!$F:$F,Xero!$B:$B,Heron!N$9,Xero!$A:$A,Heron!$A$4,Xero!$E:$E,Heron!$A64)+SUMIFS(Xero!$F:$F,Xero!$B:$B,Heron!N$9,Xero!$A:$A,Heron!$A$5,Xero!$E:$E,Heron!$A64)</f>
        <v/>
      </c>
      <c r="O64" s="101">
        <f>SUMIFS(Xero!$F:$F,Xero!$B:$B,Heron!O$9,Xero!$A:$A,Heron!$A$4,Xero!$E:$E,Heron!$A64)+SUMIFS(Xero!$F:$F,Xero!$B:$B,Heron!O$9,Xero!$A:$A,Heron!$A$5,Xero!$E:$E,Heron!$A64)</f>
        <v/>
      </c>
      <c r="P64" s="101">
        <f>SUMIFS(Xero!$F:$F,Xero!$B:$B,Heron!P$9,Xero!$A:$A,Heron!$A$4,Xero!$E:$E,Heron!$A64)+SUMIFS(Xero!$F:$F,Xero!$B:$B,Heron!P$9,Xero!$A:$A,Heron!$A$5,Xero!$E:$E,Heron!$A64)</f>
        <v/>
      </c>
      <c r="Q64" s="101">
        <f>SUMIFS(Xero!$F:$F,Xero!$B:$B,Heron!Q$9,Xero!$A:$A,Heron!$A$4,Xero!$E:$E,Heron!$A64)+SUMIFS(Xero!$F:$F,Xero!$B:$B,Heron!Q$9,Xero!$A:$A,Heron!$A$5,Xero!$E:$E,Heron!$A64)</f>
        <v/>
      </c>
      <c r="R64" s="101">
        <f>SUMIFS(Xero!$F:$F,Xero!$B:$B,Heron!R$9,Xero!$A:$A,Heron!$A$4,Xero!$E:$E,Heron!$A64)+SUMIFS(Xero!$F:$F,Xero!$B:$B,Heron!R$9,Xero!$A:$A,Heron!$A$5,Xero!$E:$E,Heron!$A64)</f>
        <v/>
      </c>
      <c r="S64" s="101">
        <f>SUMIFS(Xero!$F:$F,Xero!$B:$B,Heron!S$9,Xero!$A:$A,Heron!$A$4,Xero!$E:$E,Heron!$A64)+SUMIFS(Xero!$F:$F,Xero!$B:$B,Heron!S$9,Xero!$A:$A,Heron!$A$5,Xero!$E:$E,Heron!$A64)</f>
        <v/>
      </c>
      <c r="T64" s="101">
        <f>SUMIFS(Xero!$F:$F,Xero!$B:$B,Heron!T$9,Xero!$A:$A,Heron!$A$4,Xero!$E:$E,Heron!$A64)+SUMIFS(Xero!$F:$F,Xero!$B:$B,Heron!T$9,Xero!$A:$A,Heron!$A$5,Xero!$E:$E,Heron!$A64)</f>
        <v/>
      </c>
      <c r="U64" s="101">
        <f>SUMIFS(Xero!$F:$F,Xero!$B:$B,Heron!U$9,Xero!$A:$A,Heron!$A$4,Xero!$E:$E,Heron!$A64)+SUMIFS(Xero!$F:$F,Xero!$B:$B,Heron!U$9,Xero!$A:$A,Heron!$A$5,Xero!$E:$E,Heron!$A64)</f>
        <v/>
      </c>
      <c r="V64" s="101">
        <f>SUMIFS(Xero!$F:$F,Xero!$B:$B,Heron!V$9,Xero!$A:$A,Heron!$A$4,Xero!$E:$E,Heron!$A64)+SUMIFS(Xero!$F:$F,Xero!$B:$B,Heron!V$9,Xero!$A:$A,Heron!$A$5,Xero!$E:$E,Heron!$A64)</f>
        <v/>
      </c>
      <c r="W64" s="101">
        <f>SUMIFS(Xero!$F:$F,Xero!$B:$B,Heron!W$9,Xero!$A:$A,Heron!$A$4,Xero!$E:$E,Heron!$A64)+SUMIFS(Xero!$F:$F,Xero!$B:$B,Heron!W$9,Xero!$A:$A,Heron!$A$5,Xero!$E:$E,Heron!$A64)</f>
        <v/>
      </c>
      <c r="X64" s="101">
        <f>SUMIFS(Xero!$F:$F,Xero!$B:$B,Heron!X$9,Xero!$A:$A,Heron!$A$4,Xero!$E:$E,Heron!$A64)+SUMIFS(Xero!$F:$F,Xero!$B:$B,Heron!X$9,Xero!$A:$A,Heron!$A$5,Xero!$E:$E,Heron!$A64)</f>
        <v/>
      </c>
      <c r="Y64" s="101">
        <f>SUMIFS(Xero!$F:$F,Xero!$B:$B,Heron!Y$9,Xero!$A:$A,Heron!$A$4,Xero!$E:$E,Heron!$A64)+SUMIFS(Xero!$F:$F,Xero!$B:$B,Heron!Y$9,Xero!$A:$A,Heron!$A$5,Xero!$E:$E,Heron!$A64)</f>
        <v/>
      </c>
      <c r="Z64" s="101">
        <f>SUMIFS(Xero!$F:$F,Xero!$B:$B,Heron!Z$9,Xero!$A:$A,Heron!$A$4,Xero!$E:$E,Heron!$A64)+SUMIFS(Xero!$F:$F,Xero!$B:$B,Heron!Z$9,Xero!$A:$A,Heron!$A$5,Xero!$E:$E,Heron!$A64)</f>
        <v/>
      </c>
      <c r="AA64" s="101">
        <f>SUMIFS(Xero!$F:$F,Xero!$B:$B,Heron!AA$9,Xero!$A:$A,Heron!$A$4,Xero!$E:$E,Heron!$A64)+SUMIFS(Xero!$F:$F,Xero!$B:$B,Heron!AA$9,Xero!$A:$A,Heron!$A$5,Xero!$E:$E,Heron!$A64)</f>
        <v/>
      </c>
      <c r="AB64" s="101">
        <f>SUMIFS(Xero!$F:$F,Xero!$B:$B,Heron!AB$9,Xero!$A:$A,Heron!$A$4,Xero!$E:$E,Heron!$A64)+SUMIFS(Xero!$F:$F,Xero!$B:$B,Heron!AB$9,Xero!$A:$A,Heron!$A$5,Xero!$E:$E,Heron!$A64)</f>
        <v/>
      </c>
      <c r="AC64" s="101">
        <f>SUMIFS(Xero!$F:$F,Xero!$B:$B,Heron!AC$9,Xero!$A:$A,Heron!$A$4,Xero!$E:$E,Heron!$A64)+SUMIFS(Xero!$F:$F,Xero!$B:$B,Heron!AC$9,Xero!$A:$A,Heron!$A$5,Xero!$E:$E,Heron!$A64)</f>
        <v/>
      </c>
      <c r="AD64" s="101">
        <f>SUMIFS(Xero!$F:$F,Xero!$B:$B,Heron!AD$9,Xero!$A:$A,Heron!$A$4,Xero!$E:$E,Heron!$A64)+SUMIFS(Xero!$F:$F,Xero!$B:$B,Heron!AD$9,Xero!$A:$A,Heron!$A$5,Xero!$E:$E,Heron!$A64)</f>
        <v/>
      </c>
      <c r="AE64" s="101">
        <f>SUMIFS(Xero!$F:$F,Xero!$B:$B,Heron!AE$9,Xero!$A:$A,Heron!$A$4,Xero!$E:$E,Heron!$A64)+SUMIFS(Xero!$F:$F,Xero!$B:$B,Heron!AE$9,Xero!$A:$A,Heron!$A$5,Xero!$E:$E,Heron!$A64)</f>
        <v/>
      </c>
      <c r="AF64" s="101">
        <f>SUMIFS(Xero!$F:$F,Xero!$B:$B,Heron!AF$9,Xero!$A:$A,Heron!$A$4,Xero!$E:$E,Heron!$A64)+SUMIFS(Xero!$F:$F,Xero!$B:$B,Heron!AF$9,Xero!$A:$A,Heron!$A$5,Xero!$E:$E,Heron!$A64)</f>
        <v/>
      </c>
      <c r="AG64" s="101">
        <f>SUMIFS(Xero!$F:$F,Xero!$B:$B,Heron!AG$9,Xero!$A:$A,Heron!$A$4,Xero!$E:$E,Heron!$A64)+SUMIFS(Xero!$F:$F,Xero!$B:$B,Heron!AG$9,Xero!$A:$A,Heron!$A$5,Xero!$E:$E,Heron!$A64)</f>
        <v/>
      </c>
      <c r="AH64" s="101">
        <f>SUMIFS(Xero!$F:$F,Xero!$B:$B,Heron!AH$9,Xero!$A:$A,Heron!$A$4,Xero!$E:$E,Heron!$A64)+SUMIFS(Xero!$F:$F,Xero!$B:$B,Heron!AH$9,Xero!$A:$A,Heron!$A$5,Xero!$E:$E,Heron!$A64)</f>
        <v/>
      </c>
      <c r="AI64" s="101">
        <f>SUMIFS(Xero!$F:$F,Xero!$B:$B,Heron!AI$9,Xero!$A:$A,Heron!$A$4,Xero!$E:$E,Heron!$A64)+SUMIFS(Xero!$F:$F,Xero!$B:$B,Heron!AI$9,Xero!$A:$A,Heron!$A$5,Xero!$E:$E,Heron!$A64)</f>
        <v/>
      </c>
      <c r="AJ64" s="101">
        <f>SUMIFS(Xero!$F:$F,Xero!$B:$B,Heron!AJ$9,Xero!$A:$A,Heron!$A$4,Xero!$E:$E,Heron!$A64)+SUMIFS(Xero!$F:$F,Xero!$B:$B,Heron!AJ$9,Xero!$A:$A,Heron!$A$5,Xero!$E:$E,Heron!$A64)</f>
        <v/>
      </c>
      <c r="AK64" s="101">
        <f>SUMIFS(Xero!$F:$F,Xero!$B:$B,Heron!AK$9,Xero!$A:$A,Heron!$A$4,Xero!$E:$E,Heron!$A64)+SUMIFS(Xero!$F:$F,Xero!$B:$B,Heron!AK$9,Xero!$A:$A,Heron!$A$5,Xero!$E:$E,Heron!$A64)</f>
        <v/>
      </c>
      <c r="AL64" s="101">
        <f>SUMIFS(Xero!$F:$F,Xero!$B:$B,Heron!AL$9,Xero!$A:$A,Heron!$A$4,Xero!$E:$E,Heron!$A64)+SUMIFS(Xero!$F:$F,Xero!$B:$B,Heron!AL$9,Xero!$A:$A,Heron!$A$5,Xero!$E:$E,Heron!$A64)</f>
        <v/>
      </c>
      <c r="AM64" s="101">
        <f>SUMIFS(Xero!$F:$F,Xero!$B:$B,Heron!AM$9,Xero!$A:$A,Heron!$A$4,Xero!$E:$E,Heron!$A64)+SUMIFS(Xero!$F:$F,Xero!$B:$B,Heron!AM$9,Xero!$A:$A,Heron!$A$5,Xero!$E:$E,Heron!$A64)</f>
        <v/>
      </c>
      <c r="AN64" s="101">
        <f>SUMIFS(Xero!$F:$F,Xero!$B:$B,Heron!AN$9,Xero!$A:$A,Heron!$A$4,Xero!$E:$E,Heron!$A64)+SUMIFS(Xero!$F:$F,Xero!$B:$B,Heron!AN$9,Xero!$A:$A,Heron!$A$5,Xero!$E:$E,Heron!$A64)</f>
        <v/>
      </c>
      <c r="AO64" s="101">
        <f>SUMIFS(Xero!$F:$F,Xero!$B:$B,Heron!AO$9,Xero!$A:$A,Heron!$A$4,Xero!$E:$E,Heron!$A64)+SUMIFS(Xero!$F:$F,Xero!$B:$B,Heron!AO$9,Xero!$A:$A,Heron!$A$5,Xero!$E:$E,Heron!$A64)</f>
        <v/>
      </c>
      <c r="AP64" s="101">
        <f>SUMIFS(Xero!$F:$F,Xero!$B:$B,Heron!AP$9,Xero!$A:$A,Heron!$A$4,Xero!$E:$E,Heron!$A64)+SUMIFS(Xero!$F:$F,Xero!$B:$B,Heron!AP$9,Xero!$A:$A,Heron!$A$5,Xero!$E:$E,Heron!$A64)</f>
        <v/>
      </c>
      <c r="AQ64" s="101">
        <f>SUMIFS(Xero!$F:$F,Xero!$B:$B,Heron!AQ$9,Xero!$A:$A,Heron!$A$4,Xero!$E:$E,Heron!$A64)+SUMIFS(Xero!$F:$F,Xero!$B:$B,Heron!AQ$9,Xero!$A:$A,Heron!$A$5,Xero!$E:$E,Heron!$A64)</f>
        <v/>
      </c>
      <c r="AR64" s="101">
        <f>SUMIFS(Xero!$F:$F,Xero!$B:$B,Heron!AR$9,Xero!$A:$A,Heron!$A$4,Xero!$E:$E,Heron!$A64)+SUMIFS(Xero!$F:$F,Xero!$B:$B,Heron!AR$9,Xero!$A:$A,Heron!$A$5,Xero!$E:$E,Heron!$A64)</f>
        <v/>
      </c>
      <c r="AS64" s="101">
        <f>SUMIFS(Xero!$F:$F,Xero!$B:$B,Heron!AS$9,Xero!$A:$A,Heron!$A$4,Xero!$E:$E,Heron!$A64)+SUMIFS(Xero!$F:$F,Xero!$B:$B,Heron!AS$9,Xero!$A:$A,Heron!$A$5,Xero!$E:$E,Heron!$A64)</f>
        <v/>
      </c>
      <c r="AT64" s="101">
        <f>SUMIFS(Xero!$F:$F,Xero!$B:$B,Heron!AT$9,Xero!$A:$A,Heron!$A$4,Xero!$E:$E,Heron!$A64)+SUMIFS(Xero!$F:$F,Xero!$B:$B,Heron!AT$9,Xero!$A:$A,Heron!$A$5,Xero!$E:$E,Heron!$A64)</f>
        <v/>
      </c>
      <c r="AU64" s="101">
        <f>SUMIFS(Xero!$F:$F,Xero!$B:$B,Heron!AU$9,Xero!$A:$A,Heron!$A$4,Xero!$E:$E,Heron!$A64)+SUMIFS(Xero!$F:$F,Xero!$B:$B,Heron!AU$9,Xero!$A:$A,Heron!$A$5,Xero!$E:$E,Heron!$A64)</f>
        <v/>
      </c>
      <c r="AV64" s="101">
        <f>SUMIFS(Xero!$F:$F,Xero!$B:$B,Heron!AV$9,Xero!$A:$A,Heron!$A$4,Xero!$E:$E,Heron!$A64)+SUMIFS(Xero!$F:$F,Xero!$B:$B,Heron!AV$9,Xero!$A:$A,Heron!$A$5,Xero!$E:$E,Heron!$A64)</f>
        <v/>
      </c>
      <c r="AW64" s="101">
        <f>SUMIFS(Xero!$F:$F,Xero!$B:$B,Heron!AW$9,Xero!$A:$A,Heron!$A$4,Xero!$E:$E,Heron!$A64)+SUMIFS(Xero!$F:$F,Xero!$B:$B,Heron!AW$9,Xero!$A:$A,Heron!$A$5,Xero!$E:$E,Heron!$A64)</f>
        <v/>
      </c>
      <c r="AX64" s="101">
        <f>SUMIFS(Xero!$F:$F,Xero!$B:$B,Heron!AX$9,Xero!$A:$A,Heron!$A$4,Xero!$E:$E,Heron!$A64)+SUMIFS(Xero!$F:$F,Xero!$B:$B,Heron!AX$9,Xero!$A:$A,Heron!$A$5,Xero!$E:$E,Heron!$A64)</f>
        <v/>
      </c>
      <c r="AY64" s="101">
        <f>SUMIFS(Xero!$F:$F,Xero!$B:$B,Heron!AY$9,Xero!$A:$A,Heron!$A$4,Xero!$E:$E,Heron!$A64)+SUMIFS(Xero!$F:$F,Xero!$B:$B,Heron!AY$9,Xero!$A:$A,Heron!$A$5,Xero!$E:$E,Heron!$A64)</f>
        <v/>
      </c>
      <c r="AZ64" s="101">
        <f>SUMIFS(Xero!$F:$F,Xero!$B:$B,Heron!AZ$9,Xero!$A:$A,Heron!$A$4,Xero!$E:$E,Heron!$A64)+SUMIFS(Xero!$F:$F,Xero!$B:$B,Heron!AZ$9,Xero!$A:$A,Heron!$A$5,Xero!$E:$E,Heron!$A64)</f>
        <v/>
      </c>
      <c r="BA64" s="101">
        <f>SUMIFS(Xero!$F:$F,Xero!$B:$B,Heron!BA$9,Xero!$A:$A,Heron!$A$4,Xero!$E:$E,Heron!$A64)+SUMIFS(Xero!$F:$F,Xero!$B:$B,Heron!BA$9,Xero!$A:$A,Heron!$A$5,Xero!$E:$E,Heron!$A64)</f>
        <v/>
      </c>
      <c r="BB64" s="101">
        <f>SUMIFS(Xero!$F:$F,Xero!$B:$B,Heron!BB$9,Xero!$A:$A,Heron!$A$4,Xero!$E:$E,Heron!$A64)+SUMIFS(Xero!$F:$F,Xero!$B:$B,Heron!BB$9,Xero!$A:$A,Heron!$A$5,Xero!$E:$E,Heron!$A64)</f>
        <v/>
      </c>
      <c r="BC64" s="101">
        <f>SUMIFS(Xero!$F:$F,Xero!$B:$B,Heron!BC$9,Xero!$A:$A,Heron!$A$4,Xero!$E:$E,Heron!$A64)+SUMIFS(Xero!$F:$F,Xero!$B:$B,Heron!BC$9,Xero!$A:$A,Heron!$A$5,Xero!$E:$E,Heron!$A64)</f>
        <v/>
      </c>
      <c r="BD64" s="101">
        <f>SUMIFS(Xero!$F:$F,Xero!$B:$B,Heron!BD$9,Xero!$A:$A,Heron!$A$4,Xero!$E:$E,Heron!$A64)+SUMIFS(Xero!$F:$F,Xero!$B:$B,Heron!BD$9,Xero!$A:$A,Heron!$A$5,Xero!$E:$E,Heron!$A64)</f>
        <v/>
      </c>
      <c r="BE64" s="101">
        <f>SUMIFS(Xero!$F:$F,Xero!$B:$B,Heron!BE$9,Xero!$A:$A,Heron!$A$4,Xero!$E:$E,Heron!$A64)+SUMIFS(Xero!$F:$F,Xero!$B:$B,Heron!BE$9,Xero!$A:$A,Heron!$A$5,Xero!$E:$E,Heron!$A64)</f>
        <v/>
      </c>
      <c r="BF64" s="101">
        <f>SUMIFS(Xero!$F:$F,Xero!$B:$B,Heron!BF$9,Xero!$A:$A,Heron!$A$4,Xero!$E:$E,Heron!$A64)+SUMIFS(Xero!$F:$F,Xero!$B:$B,Heron!BF$9,Xero!$A:$A,Heron!$A$5,Xero!$E:$E,Heron!$A64)</f>
        <v/>
      </c>
      <c r="BG64" s="101">
        <f>SUMIFS(Xero!$F:$F,Xero!$B:$B,Heron!BG$9,Xero!$A:$A,Heron!$A$4,Xero!$E:$E,Heron!$A64)+SUMIFS(Xero!$F:$F,Xero!$B:$B,Heron!BG$9,Xero!$A:$A,Heron!$A$5,Xero!$E:$E,Heron!$A64)</f>
        <v/>
      </c>
      <c r="BH64" s="101">
        <f>SUMIFS(Xero!$F:$F,Xero!$B:$B,Heron!BH$9,Xero!$A:$A,Heron!$A$4,Xero!$E:$E,Heron!$A64)+SUMIFS(Xero!$F:$F,Xero!$B:$B,Heron!BH$9,Xero!$A:$A,Heron!$A$5,Xero!$E:$E,Heron!$A64)</f>
        <v/>
      </c>
      <c r="BI64" s="101">
        <f>SUMIFS(Xero!$F:$F,Xero!$B:$B,Heron!BI$9,Xero!$A:$A,Heron!$A$4,Xero!$E:$E,Heron!$A64)+SUMIFS(Xero!$F:$F,Xero!$B:$B,Heron!BI$9,Xero!$A:$A,Heron!$A$5,Xero!$E:$E,Heron!$A64)</f>
        <v/>
      </c>
      <c r="BJ64" s="101">
        <f>SUMIFS(Xero!$F:$F,Xero!$B:$B,Heron!BJ$9,Xero!$A:$A,Heron!$A$4,Xero!$E:$E,Heron!$A64)+SUMIFS(Xero!$F:$F,Xero!$B:$B,Heron!BJ$9,Xero!$A:$A,Heron!$A$5,Xero!$E:$E,Heron!$A64)</f>
        <v/>
      </c>
      <c r="BK64" s="101">
        <f>sum(D64:BJ64)</f>
        <v/>
      </c>
    </row>
    <row r="65">
      <c r="A65" s="100" t="inlineStr">
        <is>
          <t>Consulting Fees - Admin and Finance</t>
        </is>
      </c>
      <c r="D65" s="101">
        <f>SUMIFS(Xero!$F:$F,Xero!$B:$B,Heron!D$9,Xero!$A:$A,Heron!$A$4,Xero!$E:$E,Heron!$A65)+SUMIFS(Xero!$F:$F,Xero!$B:$B,Heron!D$9,Xero!$A:$A,Heron!$A$5,Xero!$E:$E,Heron!$A65)</f>
        <v/>
      </c>
      <c r="E65" s="101">
        <f>SUMIFS(Xero!$F:$F,Xero!$B:$B,Heron!E$9,Xero!$A:$A,Heron!$A$4,Xero!$E:$E,Heron!$A65)+SUMIFS(Xero!$F:$F,Xero!$B:$B,Heron!E$9,Xero!$A:$A,Heron!$A$5,Xero!$E:$E,Heron!$A65)</f>
        <v/>
      </c>
      <c r="F65" s="101">
        <f>SUMIFS(Xero!$F:$F,Xero!$B:$B,Heron!F$9,Xero!$A:$A,Heron!$A$4,Xero!$E:$E,Heron!$A65)+SUMIFS(Xero!$F:$F,Xero!$B:$B,Heron!F$9,Xero!$A:$A,Heron!$A$5,Xero!$E:$E,Heron!$A65)</f>
        <v/>
      </c>
      <c r="G65" s="101">
        <f>SUMIFS(Xero!$F:$F,Xero!$B:$B,Heron!G$9,Xero!$A:$A,Heron!$A$4,Xero!$E:$E,Heron!$A65)+SUMIFS(Xero!$F:$F,Xero!$B:$B,Heron!G$9,Xero!$A:$A,Heron!$A$5,Xero!$E:$E,Heron!$A65)</f>
        <v/>
      </c>
      <c r="H65" s="101">
        <f>SUMIFS(Xero!$F:$F,Xero!$B:$B,Heron!H$9,Xero!$A:$A,Heron!$A$4,Xero!$E:$E,Heron!$A65)+SUMIFS(Xero!$F:$F,Xero!$B:$B,Heron!H$9,Xero!$A:$A,Heron!$A$5,Xero!$E:$E,Heron!$A65)</f>
        <v/>
      </c>
      <c r="I65" s="101">
        <f>SUMIFS(Xero!$F:$F,Xero!$B:$B,Heron!I$9,Xero!$A:$A,Heron!$A$4,Xero!$E:$E,Heron!$A65)+SUMIFS(Xero!$F:$F,Xero!$B:$B,Heron!I$9,Xero!$A:$A,Heron!$A$5,Xero!$E:$E,Heron!$A65)</f>
        <v/>
      </c>
      <c r="J65" s="101">
        <f>SUMIFS(Xero!$F:$F,Xero!$B:$B,Heron!J$9,Xero!$A:$A,Heron!$A$4,Xero!$E:$E,Heron!$A65)+SUMIFS(Xero!$F:$F,Xero!$B:$B,Heron!J$9,Xero!$A:$A,Heron!$A$5,Xero!$E:$E,Heron!$A65)</f>
        <v/>
      </c>
      <c r="K65" s="101">
        <f>SUMIFS(Xero!$F:$F,Xero!$B:$B,Heron!K$9,Xero!$A:$A,Heron!$A$4,Xero!$E:$E,Heron!$A65)+SUMIFS(Xero!$F:$F,Xero!$B:$B,Heron!K$9,Xero!$A:$A,Heron!$A$5,Xero!$E:$E,Heron!$A65)</f>
        <v/>
      </c>
      <c r="L65" s="101">
        <f>SUMIFS(Xero!$F:$F,Xero!$B:$B,Heron!L$9,Xero!$A:$A,Heron!$A$4,Xero!$E:$E,Heron!$A65)+SUMIFS(Xero!$F:$F,Xero!$B:$B,Heron!L$9,Xero!$A:$A,Heron!$A$5,Xero!$E:$E,Heron!$A65)</f>
        <v/>
      </c>
      <c r="M65" s="101">
        <f>SUMIFS(Xero!$F:$F,Xero!$B:$B,Heron!M$9,Xero!$A:$A,Heron!$A$4,Xero!$E:$E,Heron!$A65)+SUMIFS(Xero!$F:$F,Xero!$B:$B,Heron!M$9,Xero!$A:$A,Heron!$A$5,Xero!$E:$E,Heron!$A65)</f>
        <v/>
      </c>
      <c r="N65" s="101">
        <f>SUMIFS(Xero!$F:$F,Xero!$B:$B,Heron!N$9,Xero!$A:$A,Heron!$A$4,Xero!$E:$E,Heron!$A65)+SUMIFS(Xero!$F:$F,Xero!$B:$B,Heron!N$9,Xero!$A:$A,Heron!$A$5,Xero!$E:$E,Heron!$A65)</f>
        <v/>
      </c>
      <c r="O65" s="101">
        <f>SUMIFS(Xero!$F:$F,Xero!$B:$B,Heron!O$9,Xero!$A:$A,Heron!$A$4,Xero!$E:$E,Heron!$A65)+SUMIFS(Xero!$F:$F,Xero!$B:$B,Heron!O$9,Xero!$A:$A,Heron!$A$5,Xero!$E:$E,Heron!$A65)</f>
        <v/>
      </c>
      <c r="P65" s="101">
        <f>SUMIFS(Xero!$F:$F,Xero!$B:$B,Heron!P$9,Xero!$A:$A,Heron!$A$4,Xero!$E:$E,Heron!$A65)+SUMIFS(Xero!$F:$F,Xero!$B:$B,Heron!P$9,Xero!$A:$A,Heron!$A$5,Xero!$E:$E,Heron!$A65)</f>
        <v/>
      </c>
      <c r="Q65" s="101">
        <f>SUMIFS(Xero!$F:$F,Xero!$B:$B,Heron!Q$9,Xero!$A:$A,Heron!$A$4,Xero!$E:$E,Heron!$A65)+SUMIFS(Xero!$F:$F,Xero!$B:$B,Heron!Q$9,Xero!$A:$A,Heron!$A$5,Xero!$E:$E,Heron!$A65)</f>
        <v/>
      </c>
      <c r="R65" s="101">
        <f>SUMIFS(Xero!$F:$F,Xero!$B:$B,Heron!R$9,Xero!$A:$A,Heron!$A$4,Xero!$E:$E,Heron!$A65)+SUMIFS(Xero!$F:$F,Xero!$B:$B,Heron!R$9,Xero!$A:$A,Heron!$A$5,Xero!$E:$E,Heron!$A65)</f>
        <v/>
      </c>
      <c r="S65" s="101">
        <f>SUMIFS(Xero!$F:$F,Xero!$B:$B,Heron!S$9,Xero!$A:$A,Heron!$A$4,Xero!$E:$E,Heron!$A65)+SUMIFS(Xero!$F:$F,Xero!$B:$B,Heron!S$9,Xero!$A:$A,Heron!$A$5,Xero!$E:$E,Heron!$A65)</f>
        <v/>
      </c>
      <c r="T65" s="101">
        <f>SUMIFS(Xero!$F:$F,Xero!$B:$B,Heron!T$9,Xero!$A:$A,Heron!$A$4,Xero!$E:$E,Heron!$A65)+SUMIFS(Xero!$F:$F,Xero!$B:$B,Heron!T$9,Xero!$A:$A,Heron!$A$5,Xero!$E:$E,Heron!$A65)</f>
        <v/>
      </c>
      <c r="U65" s="101">
        <f>SUMIFS(Xero!$F:$F,Xero!$B:$B,Heron!U$9,Xero!$A:$A,Heron!$A$4,Xero!$E:$E,Heron!$A65)+SUMIFS(Xero!$F:$F,Xero!$B:$B,Heron!U$9,Xero!$A:$A,Heron!$A$5,Xero!$E:$E,Heron!$A65)</f>
        <v/>
      </c>
      <c r="V65" s="101">
        <f>SUMIFS(Xero!$F:$F,Xero!$B:$B,Heron!V$9,Xero!$A:$A,Heron!$A$4,Xero!$E:$E,Heron!$A65)+SUMIFS(Xero!$F:$F,Xero!$B:$B,Heron!V$9,Xero!$A:$A,Heron!$A$5,Xero!$E:$E,Heron!$A65)</f>
        <v/>
      </c>
      <c r="W65" s="101">
        <f>SUMIFS(Xero!$F:$F,Xero!$B:$B,Heron!W$9,Xero!$A:$A,Heron!$A$4,Xero!$E:$E,Heron!$A65)+SUMIFS(Xero!$F:$F,Xero!$B:$B,Heron!W$9,Xero!$A:$A,Heron!$A$5,Xero!$E:$E,Heron!$A65)</f>
        <v/>
      </c>
      <c r="X65" s="101">
        <f>SUMIFS(Xero!$F:$F,Xero!$B:$B,Heron!X$9,Xero!$A:$A,Heron!$A$4,Xero!$E:$E,Heron!$A65)+SUMIFS(Xero!$F:$F,Xero!$B:$B,Heron!X$9,Xero!$A:$A,Heron!$A$5,Xero!$E:$E,Heron!$A65)</f>
        <v/>
      </c>
      <c r="Y65" s="101">
        <f>SUMIFS(Xero!$F:$F,Xero!$B:$B,Heron!Y$9,Xero!$A:$A,Heron!$A$4,Xero!$E:$E,Heron!$A65)+SUMIFS(Xero!$F:$F,Xero!$B:$B,Heron!Y$9,Xero!$A:$A,Heron!$A$5,Xero!$E:$E,Heron!$A65)</f>
        <v/>
      </c>
      <c r="Z65" s="101">
        <f>SUMIFS(Xero!$F:$F,Xero!$B:$B,Heron!Z$9,Xero!$A:$A,Heron!$A$4,Xero!$E:$E,Heron!$A65)+SUMIFS(Xero!$F:$F,Xero!$B:$B,Heron!Z$9,Xero!$A:$A,Heron!$A$5,Xero!$E:$E,Heron!$A65)</f>
        <v/>
      </c>
      <c r="AA65" s="101">
        <f>SUMIFS(Xero!$F:$F,Xero!$B:$B,Heron!AA$9,Xero!$A:$A,Heron!$A$4,Xero!$E:$E,Heron!$A65)+SUMIFS(Xero!$F:$F,Xero!$B:$B,Heron!AA$9,Xero!$A:$A,Heron!$A$5,Xero!$E:$E,Heron!$A65)</f>
        <v/>
      </c>
      <c r="AB65" s="101">
        <f>SUMIFS(Xero!$F:$F,Xero!$B:$B,Heron!AB$9,Xero!$A:$A,Heron!$A$4,Xero!$E:$E,Heron!$A65)+SUMIFS(Xero!$F:$F,Xero!$B:$B,Heron!AB$9,Xero!$A:$A,Heron!$A$5,Xero!$E:$E,Heron!$A65)</f>
        <v/>
      </c>
      <c r="AC65" s="101">
        <f>SUMIFS(Xero!$F:$F,Xero!$B:$B,Heron!AC$9,Xero!$A:$A,Heron!$A$4,Xero!$E:$E,Heron!$A65)+SUMIFS(Xero!$F:$F,Xero!$B:$B,Heron!AC$9,Xero!$A:$A,Heron!$A$5,Xero!$E:$E,Heron!$A65)</f>
        <v/>
      </c>
      <c r="AD65" s="101">
        <f>SUMIFS(Xero!$F:$F,Xero!$B:$B,Heron!AD$9,Xero!$A:$A,Heron!$A$4,Xero!$E:$E,Heron!$A65)+SUMIFS(Xero!$F:$F,Xero!$B:$B,Heron!AD$9,Xero!$A:$A,Heron!$A$5,Xero!$E:$E,Heron!$A65)</f>
        <v/>
      </c>
      <c r="AE65" s="101">
        <f>SUMIFS(Xero!$F:$F,Xero!$B:$B,Heron!AE$9,Xero!$A:$A,Heron!$A$4,Xero!$E:$E,Heron!$A65)+SUMIFS(Xero!$F:$F,Xero!$B:$B,Heron!AE$9,Xero!$A:$A,Heron!$A$5,Xero!$E:$E,Heron!$A65)</f>
        <v/>
      </c>
      <c r="AF65" s="101">
        <f>SUMIFS(Xero!$F:$F,Xero!$B:$B,Heron!AF$9,Xero!$A:$A,Heron!$A$4,Xero!$E:$E,Heron!$A65)+SUMIFS(Xero!$F:$F,Xero!$B:$B,Heron!AF$9,Xero!$A:$A,Heron!$A$5,Xero!$E:$E,Heron!$A65)</f>
        <v/>
      </c>
      <c r="AG65" s="101">
        <f>SUMIFS(Xero!$F:$F,Xero!$B:$B,Heron!AG$9,Xero!$A:$A,Heron!$A$4,Xero!$E:$E,Heron!$A65)+SUMIFS(Xero!$F:$F,Xero!$B:$B,Heron!AG$9,Xero!$A:$A,Heron!$A$5,Xero!$E:$E,Heron!$A65)</f>
        <v/>
      </c>
      <c r="AH65" s="101">
        <f>SUMIFS(Xero!$F:$F,Xero!$B:$B,Heron!AH$9,Xero!$A:$A,Heron!$A$4,Xero!$E:$E,Heron!$A65)+SUMIFS(Xero!$F:$F,Xero!$B:$B,Heron!AH$9,Xero!$A:$A,Heron!$A$5,Xero!$E:$E,Heron!$A65)</f>
        <v/>
      </c>
      <c r="AI65" s="101">
        <f>SUMIFS(Xero!$F:$F,Xero!$B:$B,Heron!AI$9,Xero!$A:$A,Heron!$A$4,Xero!$E:$E,Heron!$A65)+SUMIFS(Xero!$F:$F,Xero!$B:$B,Heron!AI$9,Xero!$A:$A,Heron!$A$5,Xero!$E:$E,Heron!$A65)</f>
        <v/>
      </c>
      <c r="AJ65" s="101">
        <f>SUMIFS(Xero!$F:$F,Xero!$B:$B,Heron!AJ$9,Xero!$A:$A,Heron!$A$4,Xero!$E:$E,Heron!$A65)+SUMIFS(Xero!$F:$F,Xero!$B:$B,Heron!AJ$9,Xero!$A:$A,Heron!$A$5,Xero!$E:$E,Heron!$A65)</f>
        <v/>
      </c>
      <c r="AK65" s="101">
        <f>SUMIFS(Xero!$F:$F,Xero!$B:$B,Heron!AK$9,Xero!$A:$A,Heron!$A$4,Xero!$E:$E,Heron!$A65)+SUMIFS(Xero!$F:$F,Xero!$B:$B,Heron!AK$9,Xero!$A:$A,Heron!$A$5,Xero!$E:$E,Heron!$A65)</f>
        <v/>
      </c>
      <c r="AL65" s="101">
        <f>SUMIFS(Xero!$F:$F,Xero!$B:$B,Heron!AL$9,Xero!$A:$A,Heron!$A$4,Xero!$E:$E,Heron!$A65)+SUMIFS(Xero!$F:$F,Xero!$B:$B,Heron!AL$9,Xero!$A:$A,Heron!$A$5,Xero!$E:$E,Heron!$A65)</f>
        <v/>
      </c>
      <c r="AM65" s="101">
        <f>SUMIFS(Xero!$F:$F,Xero!$B:$B,Heron!AM$9,Xero!$A:$A,Heron!$A$4,Xero!$E:$E,Heron!$A65)+SUMIFS(Xero!$F:$F,Xero!$B:$B,Heron!AM$9,Xero!$A:$A,Heron!$A$5,Xero!$E:$E,Heron!$A65)</f>
        <v/>
      </c>
      <c r="AN65" s="101">
        <f>SUMIFS(Xero!$F:$F,Xero!$B:$B,Heron!AN$9,Xero!$A:$A,Heron!$A$4,Xero!$E:$E,Heron!$A65)+SUMIFS(Xero!$F:$F,Xero!$B:$B,Heron!AN$9,Xero!$A:$A,Heron!$A$5,Xero!$E:$E,Heron!$A65)</f>
        <v/>
      </c>
      <c r="AO65" s="101">
        <f>SUMIFS(Xero!$F:$F,Xero!$B:$B,Heron!AO$9,Xero!$A:$A,Heron!$A$4,Xero!$E:$E,Heron!$A65)+SUMIFS(Xero!$F:$F,Xero!$B:$B,Heron!AO$9,Xero!$A:$A,Heron!$A$5,Xero!$E:$E,Heron!$A65)</f>
        <v/>
      </c>
      <c r="AP65" s="101">
        <f>SUMIFS(Xero!$F:$F,Xero!$B:$B,Heron!AP$9,Xero!$A:$A,Heron!$A$4,Xero!$E:$E,Heron!$A65)+SUMIFS(Xero!$F:$F,Xero!$B:$B,Heron!AP$9,Xero!$A:$A,Heron!$A$5,Xero!$E:$E,Heron!$A65)</f>
        <v/>
      </c>
      <c r="AQ65" s="101">
        <f>SUMIFS(Xero!$F:$F,Xero!$B:$B,Heron!AQ$9,Xero!$A:$A,Heron!$A$4,Xero!$E:$E,Heron!$A65)+SUMIFS(Xero!$F:$F,Xero!$B:$B,Heron!AQ$9,Xero!$A:$A,Heron!$A$5,Xero!$E:$E,Heron!$A65)</f>
        <v/>
      </c>
      <c r="AR65" s="101">
        <f>SUMIFS(Xero!$F:$F,Xero!$B:$B,Heron!AR$9,Xero!$A:$A,Heron!$A$4,Xero!$E:$E,Heron!$A65)+SUMIFS(Xero!$F:$F,Xero!$B:$B,Heron!AR$9,Xero!$A:$A,Heron!$A$5,Xero!$E:$E,Heron!$A65)</f>
        <v/>
      </c>
      <c r="AS65" s="101">
        <f>SUMIFS(Xero!$F:$F,Xero!$B:$B,Heron!AS$9,Xero!$A:$A,Heron!$A$4,Xero!$E:$E,Heron!$A65)+SUMIFS(Xero!$F:$F,Xero!$B:$B,Heron!AS$9,Xero!$A:$A,Heron!$A$5,Xero!$E:$E,Heron!$A65)</f>
        <v/>
      </c>
      <c r="AT65" s="101">
        <f>SUMIFS(Xero!$F:$F,Xero!$B:$B,Heron!AT$9,Xero!$A:$A,Heron!$A$4,Xero!$E:$E,Heron!$A65)+SUMIFS(Xero!$F:$F,Xero!$B:$B,Heron!AT$9,Xero!$A:$A,Heron!$A$5,Xero!$E:$E,Heron!$A65)</f>
        <v/>
      </c>
      <c r="AU65" s="101">
        <f>SUMIFS(Xero!$F:$F,Xero!$B:$B,Heron!AU$9,Xero!$A:$A,Heron!$A$4,Xero!$E:$E,Heron!$A65)+SUMIFS(Xero!$F:$F,Xero!$B:$B,Heron!AU$9,Xero!$A:$A,Heron!$A$5,Xero!$E:$E,Heron!$A65)</f>
        <v/>
      </c>
      <c r="AV65" s="101">
        <f>SUMIFS(Xero!$F:$F,Xero!$B:$B,Heron!AV$9,Xero!$A:$A,Heron!$A$4,Xero!$E:$E,Heron!$A65)+SUMIFS(Xero!$F:$F,Xero!$B:$B,Heron!AV$9,Xero!$A:$A,Heron!$A$5,Xero!$E:$E,Heron!$A65)</f>
        <v/>
      </c>
      <c r="AW65" s="101">
        <f>SUMIFS(Xero!$F:$F,Xero!$B:$B,Heron!AW$9,Xero!$A:$A,Heron!$A$4,Xero!$E:$E,Heron!$A65)+SUMIFS(Xero!$F:$F,Xero!$B:$B,Heron!AW$9,Xero!$A:$A,Heron!$A$5,Xero!$E:$E,Heron!$A65)</f>
        <v/>
      </c>
      <c r="AX65" s="101">
        <f>SUMIFS(Xero!$F:$F,Xero!$B:$B,Heron!AX$9,Xero!$A:$A,Heron!$A$4,Xero!$E:$E,Heron!$A65)+SUMIFS(Xero!$F:$F,Xero!$B:$B,Heron!AX$9,Xero!$A:$A,Heron!$A$5,Xero!$E:$E,Heron!$A65)</f>
        <v/>
      </c>
      <c r="AY65" s="101">
        <f>SUMIFS(Xero!$F:$F,Xero!$B:$B,Heron!AY$9,Xero!$A:$A,Heron!$A$4,Xero!$E:$E,Heron!$A65)+SUMIFS(Xero!$F:$F,Xero!$B:$B,Heron!AY$9,Xero!$A:$A,Heron!$A$5,Xero!$E:$E,Heron!$A65)</f>
        <v/>
      </c>
      <c r="AZ65" s="101">
        <f>SUMIFS(Xero!$F:$F,Xero!$B:$B,Heron!AZ$9,Xero!$A:$A,Heron!$A$4,Xero!$E:$E,Heron!$A65)+SUMIFS(Xero!$F:$F,Xero!$B:$B,Heron!AZ$9,Xero!$A:$A,Heron!$A$5,Xero!$E:$E,Heron!$A65)</f>
        <v/>
      </c>
      <c r="BA65" s="101">
        <f>SUMIFS(Xero!$F:$F,Xero!$B:$B,Heron!BA$9,Xero!$A:$A,Heron!$A$4,Xero!$E:$E,Heron!$A65)+SUMIFS(Xero!$F:$F,Xero!$B:$B,Heron!BA$9,Xero!$A:$A,Heron!$A$5,Xero!$E:$E,Heron!$A65)</f>
        <v/>
      </c>
      <c r="BB65" s="101">
        <f>SUMIFS(Xero!$F:$F,Xero!$B:$B,Heron!BB$9,Xero!$A:$A,Heron!$A$4,Xero!$E:$E,Heron!$A65)+SUMIFS(Xero!$F:$F,Xero!$B:$B,Heron!BB$9,Xero!$A:$A,Heron!$A$5,Xero!$E:$E,Heron!$A65)</f>
        <v/>
      </c>
      <c r="BC65" s="101">
        <f>SUMIFS(Xero!$F:$F,Xero!$B:$B,Heron!BC$9,Xero!$A:$A,Heron!$A$4,Xero!$E:$E,Heron!$A65)+SUMIFS(Xero!$F:$F,Xero!$B:$B,Heron!BC$9,Xero!$A:$A,Heron!$A$5,Xero!$E:$E,Heron!$A65)</f>
        <v/>
      </c>
      <c r="BD65" s="101">
        <f>SUMIFS(Xero!$F:$F,Xero!$B:$B,Heron!BD$9,Xero!$A:$A,Heron!$A$4,Xero!$E:$E,Heron!$A65)+SUMIFS(Xero!$F:$F,Xero!$B:$B,Heron!BD$9,Xero!$A:$A,Heron!$A$5,Xero!$E:$E,Heron!$A65)</f>
        <v/>
      </c>
      <c r="BE65" s="101">
        <f>SUMIFS(Xero!$F:$F,Xero!$B:$B,Heron!BE$9,Xero!$A:$A,Heron!$A$4,Xero!$E:$E,Heron!$A65)+SUMIFS(Xero!$F:$F,Xero!$B:$B,Heron!BE$9,Xero!$A:$A,Heron!$A$5,Xero!$E:$E,Heron!$A65)</f>
        <v/>
      </c>
      <c r="BF65" s="101">
        <f>SUMIFS(Xero!$F:$F,Xero!$B:$B,Heron!BF$9,Xero!$A:$A,Heron!$A$4,Xero!$E:$E,Heron!$A65)+SUMIFS(Xero!$F:$F,Xero!$B:$B,Heron!BF$9,Xero!$A:$A,Heron!$A$5,Xero!$E:$E,Heron!$A65)</f>
        <v/>
      </c>
      <c r="BG65" s="101">
        <f>SUMIFS(Xero!$F:$F,Xero!$B:$B,Heron!BG$9,Xero!$A:$A,Heron!$A$4,Xero!$E:$E,Heron!$A65)+SUMIFS(Xero!$F:$F,Xero!$B:$B,Heron!BG$9,Xero!$A:$A,Heron!$A$5,Xero!$E:$E,Heron!$A65)</f>
        <v/>
      </c>
      <c r="BH65" s="101">
        <f>SUMIFS(Xero!$F:$F,Xero!$B:$B,Heron!BH$9,Xero!$A:$A,Heron!$A$4,Xero!$E:$E,Heron!$A65)+SUMIFS(Xero!$F:$F,Xero!$B:$B,Heron!BH$9,Xero!$A:$A,Heron!$A$5,Xero!$E:$E,Heron!$A65)</f>
        <v/>
      </c>
      <c r="BI65" s="101">
        <f>SUMIFS(Xero!$F:$F,Xero!$B:$B,Heron!BI$9,Xero!$A:$A,Heron!$A$4,Xero!$E:$E,Heron!$A65)+SUMIFS(Xero!$F:$F,Xero!$B:$B,Heron!BI$9,Xero!$A:$A,Heron!$A$5,Xero!$E:$E,Heron!$A65)</f>
        <v/>
      </c>
      <c r="BJ65" s="101">
        <f>SUMIFS(Xero!$F:$F,Xero!$B:$B,Heron!BJ$9,Xero!$A:$A,Heron!$A$4,Xero!$E:$E,Heron!$A65)+SUMIFS(Xero!$F:$F,Xero!$B:$B,Heron!BJ$9,Xero!$A:$A,Heron!$A$5,Xero!$E:$E,Heron!$A65)</f>
        <v/>
      </c>
      <c r="BK65" s="101">
        <f>sum(D65:BJ65)</f>
        <v/>
      </c>
    </row>
    <row r="66">
      <c r="A66" s="100" t="inlineStr">
        <is>
          <t>Consulting fees - Trustee</t>
        </is>
      </c>
      <c r="D66" s="101">
        <f>SUMIFS(Xero!$F:$F,Xero!$B:$B,Heron!D$9,Xero!$A:$A,Heron!$A$4,Xero!$E:$E,Heron!$A66)+SUMIFS(Xero!$F:$F,Xero!$B:$B,Heron!D$9,Xero!$A:$A,Heron!$A$5,Xero!$E:$E,Heron!$A66)</f>
        <v/>
      </c>
      <c r="E66" s="101">
        <f>SUMIFS(Xero!$F:$F,Xero!$B:$B,Heron!E$9,Xero!$A:$A,Heron!$A$4,Xero!$E:$E,Heron!$A66)+SUMIFS(Xero!$F:$F,Xero!$B:$B,Heron!E$9,Xero!$A:$A,Heron!$A$5,Xero!$E:$E,Heron!$A66)</f>
        <v/>
      </c>
      <c r="F66" s="101">
        <f>SUMIFS(Xero!$F:$F,Xero!$B:$B,Heron!F$9,Xero!$A:$A,Heron!$A$4,Xero!$E:$E,Heron!$A66)+SUMIFS(Xero!$F:$F,Xero!$B:$B,Heron!F$9,Xero!$A:$A,Heron!$A$5,Xero!$E:$E,Heron!$A66)</f>
        <v/>
      </c>
      <c r="G66" s="101">
        <f>SUMIFS(Xero!$F:$F,Xero!$B:$B,Heron!G$9,Xero!$A:$A,Heron!$A$4,Xero!$E:$E,Heron!$A66)+SUMIFS(Xero!$F:$F,Xero!$B:$B,Heron!G$9,Xero!$A:$A,Heron!$A$5,Xero!$E:$E,Heron!$A66)</f>
        <v/>
      </c>
      <c r="H66" s="101">
        <f>SUMIFS(Xero!$F:$F,Xero!$B:$B,Heron!H$9,Xero!$A:$A,Heron!$A$4,Xero!$E:$E,Heron!$A66)+SUMIFS(Xero!$F:$F,Xero!$B:$B,Heron!H$9,Xero!$A:$A,Heron!$A$5,Xero!$E:$E,Heron!$A66)</f>
        <v/>
      </c>
      <c r="I66" s="101">
        <f>SUMIFS(Xero!$F:$F,Xero!$B:$B,Heron!I$9,Xero!$A:$A,Heron!$A$4,Xero!$E:$E,Heron!$A66)+SUMIFS(Xero!$F:$F,Xero!$B:$B,Heron!I$9,Xero!$A:$A,Heron!$A$5,Xero!$E:$E,Heron!$A66)</f>
        <v/>
      </c>
      <c r="J66" s="101">
        <f>SUMIFS(Xero!$F:$F,Xero!$B:$B,Heron!J$9,Xero!$A:$A,Heron!$A$4,Xero!$E:$E,Heron!$A66)+SUMIFS(Xero!$F:$F,Xero!$B:$B,Heron!J$9,Xero!$A:$A,Heron!$A$5,Xero!$E:$E,Heron!$A66)</f>
        <v/>
      </c>
      <c r="K66" s="101">
        <f>SUMIFS(Xero!$F:$F,Xero!$B:$B,Heron!K$9,Xero!$A:$A,Heron!$A$4,Xero!$E:$E,Heron!$A66)+SUMIFS(Xero!$F:$F,Xero!$B:$B,Heron!K$9,Xero!$A:$A,Heron!$A$5,Xero!$E:$E,Heron!$A66)</f>
        <v/>
      </c>
      <c r="L66" s="101">
        <f>SUMIFS(Xero!$F:$F,Xero!$B:$B,Heron!L$9,Xero!$A:$A,Heron!$A$4,Xero!$E:$E,Heron!$A66)+SUMIFS(Xero!$F:$F,Xero!$B:$B,Heron!L$9,Xero!$A:$A,Heron!$A$5,Xero!$E:$E,Heron!$A66)</f>
        <v/>
      </c>
      <c r="M66" s="101">
        <f>SUMIFS(Xero!$F:$F,Xero!$B:$B,Heron!M$9,Xero!$A:$A,Heron!$A$4,Xero!$E:$E,Heron!$A66)+SUMIFS(Xero!$F:$F,Xero!$B:$B,Heron!M$9,Xero!$A:$A,Heron!$A$5,Xero!$E:$E,Heron!$A66)</f>
        <v/>
      </c>
      <c r="N66" s="101">
        <f>SUMIFS(Xero!$F:$F,Xero!$B:$B,Heron!N$9,Xero!$A:$A,Heron!$A$4,Xero!$E:$E,Heron!$A66)+SUMIFS(Xero!$F:$F,Xero!$B:$B,Heron!N$9,Xero!$A:$A,Heron!$A$5,Xero!$E:$E,Heron!$A66)</f>
        <v/>
      </c>
      <c r="O66" s="101">
        <f>SUMIFS(Xero!$F:$F,Xero!$B:$B,Heron!O$9,Xero!$A:$A,Heron!$A$4,Xero!$E:$E,Heron!$A66)+SUMIFS(Xero!$F:$F,Xero!$B:$B,Heron!O$9,Xero!$A:$A,Heron!$A$5,Xero!$E:$E,Heron!$A66)</f>
        <v/>
      </c>
      <c r="P66" s="101">
        <f>SUMIFS(Xero!$F:$F,Xero!$B:$B,Heron!P$9,Xero!$A:$A,Heron!$A$4,Xero!$E:$E,Heron!$A66)+SUMIFS(Xero!$F:$F,Xero!$B:$B,Heron!P$9,Xero!$A:$A,Heron!$A$5,Xero!$E:$E,Heron!$A66)</f>
        <v/>
      </c>
      <c r="Q66" s="101">
        <f>SUMIFS(Xero!$F:$F,Xero!$B:$B,Heron!Q$9,Xero!$A:$A,Heron!$A$4,Xero!$E:$E,Heron!$A66)+SUMIFS(Xero!$F:$F,Xero!$B:$B,Heron!Q$9,Xero!$A:$A,Heron!$A$5,Xero!$E:$E,Heron!$A66)</f>
        <v/>
      </c>
      <c r="R66" s="101">
        <f>SUMIFS(Xero!$F:$F,Xero!$B:$B,Heron!R$9,Xero!$A:$A,Heron!$A$4,Xero!$E:$E,Heron!$A66)+SUMIFS(Xero!$F:$F,Xero!$B:$B,Heron!R$9,Xero!$A:$A,Heron!$A$5,Xero!$E:$E,Heron!$A66)</f>
        <v/>
      </c>
      <c r="S66" s="101">
        <f>SUMIFS(Xero!$F:$F,Xero!$B:$B,Heron!S$9,Xero!$A:$A,Heron!$A$4,Xero!$E:$E,Heron!$A66)+SUMIFS(Xero!$F:$F,Xero!$B:$B,Heron!S$9,Xero!$A:$A,Heron!$A$5,Xero!$E:$E,Heron!$A66)</f>
        <v/>
      </c>
      <c r="T66" s="101">
        <f>SUMIFS(Xero!$F:$F,Xero!$B:$B,Heron!T$9,Xero!$A:$A,Heron!$A$4,Xero!$E:$E,Heron!$A66)+SUMIFS(Xero!$F:$F,Xero!$B:$B,Heron!T$9,Xero!$A:$A,Heron!$A$5,Xero!$E:$E,Heron!$A66)</f>
        <v/>
      </c>
      <c r="U66" s="101">
        <f>SUMIFS(Xero!$F:$F,Xero!$B:$B,Heron!U$9,Xero!$A:$A,Heron!$A$4,Xero!$E:$E,Heron!$A66)+SUMIFS(Xero!$F:$F,Xero!$B:$B,Heron!U$9,Xero!$A:$A,Heron!$A$5,Xero!$E:$E,Heron!$A66)</f>
        <v/>
      </c>
      <c r="V66" s="101">
        <f>SUMIFS(Xero!$F:$F,Xero!$B:$B,Heron!V$9,Xero!$A:$A,Heron!$A$4,Xero!$E:$E,Heron!$A66)+SUMIFS(Xero!$F:$F,Xero!$B:$B,Heron!V$9,Xero!$A:$A,Heron!$A$5,Xero!$E:$E,Heron!$A66)</f>
        <v/>
      </c>
      <c r="W66" s="101">
        <f>SUMIFS(Xero!$F:$F,Xero!$B:$B,Heron!W$9,Xero!$A:$A,Heron!$A$4,Xero!$E:$E,Heron!$A66)+SUMIFS(Xero!$F:$F,Xero!$B:$B,Heron!W$9,Xero!$A:$A,Heron!$A$5,Xero!$E:$E,Heron!$A66)</f>
        <v/>
      </c>
      <c r="X66" s="101">
        <f>SUMIFS(Xero!$F:$F,Xero!$B:$B,Heron!X$9,Xero!$A:$A,Heron!$A$4,Xero!$E:$E,Heron!$A66)+SUMIFS(Xero!$F:$F,Xero!$B:$B,Heron!X$9,Xero!$A:$A,Heron!$A$5,Xero!$E:$E,Heron!$A66)</f>
        <v/>
      </c>
      <c r="Y66" s="101">
        <f>SUMIFS(Xero!$F:$F,Xero!$B:$B,Heron!Y$9,Xero!$A:$A,Heron!$A$4,Xero!$E:$E,Heron!$A66)+SUMIFS(Xero!$F:$F,Xero!$B:$B,Heron!Y$9,Xero!$A:$A,Heron!$A$5,Xero!$E:$E,Heron!$A66)</f>
        <v/>
      </c>
      <c r="Z66" s="101">
        <f>SUMIFS(Xero!$F:$F,Xero!$B:$B,Heron!Z$9,Xero!$A:$A,Heron!$A$4,Xero!$E:$E,Heron!$A66)+SUMIFS(Xero!$F:$F,Xero!$B:$B,Heron!Z$9,Xero!$A:$A,Heron!$A$5,Xero!$E:$E,Heron!$A66)</f>
        <v/>
      </c>
      <c r="AA66" s="101">
        <f>SUMIFS(Xero!$F:$F,Xero!$B:$B,Heron!AA$9,Xero!$A:$A,Heron!$A$4,Xero!$E:$E,Heron!$A66)+SUMIFS(Xero!$F:$F,Xero!$B:$B,Heron!AA$9,Xero!$A:$A,Heron!$A$5,Xero!$E:$E,Heron!$A66)</f>
        <v/>
      </c>
      <c r="AB66" s="101">
        <f>SUMIFS(Xero!$F:$F,Xero!$B:$B,Heron!AB$9,Xero!$A:$A,Heron!$A$4,Xero!$E:$E,Heron!$A66)+SUMIFS(Xero!$F:$F,Xero!$B:$B,Heron!AB$9,Xero!$A:$A,Heron!$A$5,Xero!$E:$E,Heron!$A66)</f>
        <v/>
      </c>
      <c r="AC66" s="101">
        <f>SUMIFS(Xero!$F:$F,Xero!$B:$B,Heron!AC$9,Xero!$A:$A,Heron!$A$4,Xero!$E:$E,Heron!$A66)+SUMIFS(Xero!$F:$F,Xero!$B:$B,Heron!AC$9,Xero!$A:$A,Heron!$A$5,Xero!$E:$E,Heron!$A66)</f>
        <v/>
      </c>
      <c r="AD66" s="101">
        <f>SUMIFS(Xero!$F:$F,Xero!$B:$B,Heron!AD$9,Xero!$A:$A,Heron!$A$4,Xero!$E:$E,Heron!$A66)+SUMIFS(Xero!$F:$F,Xero!$B:$B,Heron!AD$9,Xero!$A:$A,Heron!$A$5,Xero!$E:$E,Heron!$A66)</f>
        <v/>
      </c>
      <c r="AE66" s="101">
        <f>SUMIFS(Xero!$F:$F,Xero!$B:$B,Heron!AE$9,Xero!$A:$A,Heron!$A$4,Xero!$E:$E,Heron!$A66)+SUMIFS(Xero!$F:$F,Xero!$B:$B,Heron!AE$9,Xero!$A:$A,Heron!$A$5,Xero!$E:$E,Heron!$A66)</f>
        <v/>
      </c>
      <c r="AF66" s="101">
        <f>SUMIFS(Xero!$F:$F,Xero!$B:$B,Heron!AF$9,Xero!$A:$A,Heron!$A$4,Xero!$E:$E,Heron!$A66)+SUMIFS(Xero!$F:$F,Xero!$B:$B,Heron!AF$9,Xero!$A:$A,Heron!$A$5,Xero!$E:$E,Heron!$A66)</f>
        <v/>
      </c>
      <c r="AG66" s="101">
        <f>SUMIFS(Xero!$F:$F,Xero!$B:$B,Heron!AG$9,Xero!$A:$A,Heron!$A$4,Xero!$E:$E,Heron!$A66)+SUMIFS(Xero!$F:$F,Xero!$B:$B,Heron!AG$9,Xero!$A:$A,Heron!$A$5,Xero!$E:$E,Heron!$A66)</f>
        <v/>
      </c>
      <c r="AH66" s="101">
        <f>SUMIFS(Xero!$F:$F,Xero!$B:$B,Heron!AH$9,Xero!$A:$A,Heron!$A$4,Xero!$E:$E,Heron!$A66)+SUMIFS(Xero!$F:$F,Xero!$B:$B,Heron!AH$9,Xero!$A:$A,Heron!$A$5,Xero!$E:$E,Heron!$A66)</f>
        <v/>
      </c>
      <c r="AI66" s="101">
        <f>SUMIFS(Xero!$F:$F,Xero!$B:$B,Heron!AI$9,Xero!$A:$A,Heron!$A$4,Xero!$E:$E,Heron!$A66)+SUMIFS(Xero!$F:$F,Xero!$B:$B,Heron!AI$9,Xero!$A:$A,Heron!$A$5,Xero!$E:$E,Heron!$A66)</f>
        <v/>
      </c>
      <c r="AJ66" s="101">
        <f>SUMIFS(Xero!$F:$F,Xero!$B:$B,Heron!AJ$9,Xero!$A:$A,Heron!$A$4,Xero!$E:$E,Heron!$A66)+SUMIFS(Xero!$F:$F,Xero!$B:$B,Heron!AJ$9,Xero!$A:$A,Heron!$A$5,Xero!$E:$E,Heron!$A66)</f>
        <v/>
      </c>
      <c r="AK66" s="101">
        <f>SUMIFS(Xero!$F:$F,Xero!$B:$B,Heron!AK$9,Xero!$A:$A,Heron!$A$4,Xero!$E:$E,Heron!$A66)+SUMIFS(Xero!$F:$F,Xero!$B:$B,Heron!AK$9,Xero!$A:$A,Heron!$A$5,Xero!$E:$E,Heron!$A66)</f>
        <v/>
      </c>
      <c r="AL66" s="101">
        <f>SUMIFS(Xero!$F:$F,Xero!$B:$B,Heron!AL$9,Xero!$A:$A,Heron!$A$4,Xero!$E:$E,Heron!$A66)+SUMIFS(Xero!$F:$F,Xero!$B:$B,Heron!AL$9,Xero!$A:$A,Heron!$A$5,Xero!$E:$E,Heron!$A66)</f>
        <v/>
      </c>
      <c r="AM66" s="101">
        <f>SUMIFS(Xero!$F:$F,Xero!$B:$B,Heron!AM$9,Xero!$A:$A,Heron!$A$4,Xero!$E:$E,Heron!$A66)+SUMIFS(Xero!$F:$F,Xero!$B:$B,Heron!AM$9,Xero!$A:$A,Heron!$A$5,Xero!$E:$E,Heron!$A66)</f>
        <v/>
      </c>
      <c r="AN66" s="101">
        <f>SUMIFS(Xero!$F:$F,Xero!$B:$B,Heron!AN$9,Xero!$A:$A,Heron!$A$4,Xero!$E:$E,Heron!$A66)+SUMIFS(Xero!$F:$F,Xero!$B:$B,Heron!AN$9,Xero!$A:$A,Heron!$A$5,Xero!$E:$E,Heron!$A66)</f>
        <v/>
      </c>
      <c r="AO66" s="101">
        <f>SUMIFS(Xero!$F:$F,Xero!$B:$B,Heron!AO$9,Xero!$A:$A,Heron!$A$4,Xero!$E:$E,Heron!$A66)+SUMIFS(Xero!$F:$F,Xero!$B:$B,Heron!AO$9,Xero!$A:$A,Heron!$A$5,Xero!$E:$E,Heron!$A66)</f>
        <v/>
      </c>
      <c r="AP66" s="101">
        <f>SUMIFS(Xero!$F:$F,Xero!$B:$B,Heron!AP$9,Xero!$A:$A,Heron!$A$4,Xero!$E:$E,Heron!$A66)+SUMIFS(Xero!$F:$F,Xero!$B:$B,Heron!AP$9,Xero!$A:$A,Heron!$A$5,Xero!$E:$E,Heron!$A66)</f>
        <v/>
      </c>
      <c r="AQ66" s="101">
        <f>SUMIFS(Xero!$F:$F,Xero!$B:$B,Heron!AQ$9,Xero!$A:$A,Heron!$A$4,Xero!$E:$E,Heron!$A66)+SUMIFS(Xero!$F:$F,Xero!$B:$B,Heron!AQ$9,Xero!$A:$A,Heron!$A$5,Xero!$E:$E,Heron!$A66)</f>
        <v/>
      </c>
      <c r="AR66" s="101">
        <f>SUMIFS(Xero!$F:$F,Xero!$B:$B,Heron!AR$9,Xero!$A:$A,Heron!$A$4,Xero!$E:$E,Heron!$A66)+SUMIFS(Xero!$F:$F,Xero!$B:$B,Heron!AR$9,Xero!$A:$A,Heron!$A$5,Xero!$E:$E,Heron!$A66)</f>
        <v/>
      </c>
      <c r="AS66" s="101">
        <f>SUMIFS(Xero!$F:$F,Xero!$B:$B,Heron!AS$9,Xero!$A:$A,Heron!$A$4,Xero!$E:$E,Heron!$A66)+SUMIFS(Xero!$F:$F,Xero!$B:$B,Heron!AS$9,Xero!$A:$A,Heron!$A$5,Xero!$E:$E,Heron!$A66)</f>
        <v/>
      </c>
      <c r="AT66" s="101">
        <f>SUMIFS(Xero!$F:$F,Xero!$B:$B,Heron!AT$9,Xero!$A:$A,Heron!$A$4,Xero!$E:$E,Heron!$A66)+SUMIFS(Xero!$F:$F,Xero!$B:$B,Heron!AT$9,Xero!$A:$A,Heron!$A$5,Xero!$E:$E,Heron!$A66)</f>
        <v/>
      </c>
      <c r="AU66" s="101">
        <f>SUMIFS(Xero!$F:$F,Xero!$B:$B,Heron!AU$9,Xero!$A:$A,Heron!$A$4,Xero!$E:$E,Heron!$A66)+SUMIFS(Xero!$F:$F,Xero!$B:$B,Heron!AU$9,Xero!$A:$A,Heron!$A$5,Xero!$E:$E,Heron!$A66)</f>
        <v/>
      </c>
      <c r="AV66" s="101">
        <f>SUMIFS(Xero!$F:$F,Xero!$B:$B,Heron!AV$9,Xero!$A:$A,Heron!$A$4,Xero!$E:$E,Heron!$A66)+SUMIFS(Xero!$F:$F,Xero!$B:$B,Heron!AV$9,Xero!$A:$A,Heron!$A$5,Xero!$E:$E,Heron!$A66)</f>
        <v/>
      </c>
      <c r="AW66" s="101">
        <f>SUMIFS(Xero!$F:$F,Xero!$B:$B,Heron!AW$9,Xero!$A:$A,Heron!$A$4,Xero!$E:$E,Heron!$A66)+SUMIFS(Xero!$F:$F,Xero!$B:$B,Heron!AW$9,Xero!$A:$A,Heron!$A$5,Xero!$E:$E,Heron!$A66)</f>
        <v/>
      </c>
      <c r="AX66" s="101">
        <f>SUMIFS(Xero!$F:$F,Xero!$B:$B,Heron!AX$9,Xero!$A:$A,Heron!$A$4,Xero!$E:$E,Heron!$A66)+SUMIFS(Xero!$F:$F,Xero!$B:$B,Heron!AX$9,Xero!$A:$A,Heron!$A$5,Xero!$E:$E,Heron!$A66)</f>
        <v/>
      </c>
      <c r="AY66" s="101">
        <f>SUMIFS(Xero!$F:$F,Xero!$B:$B,Heron!AY$9,Xero!$A:$A,Heron!$A$4,Xero!$E:$E,Heron!$A66)+SUMIFS(Xero!$F:$F,Xero!$B:$B,Heron!AY$9,Xero!$A:$A,Heron!$A$5,Xero!$E:$E,Heron!$A66)</f>
        <v/>
      </c>
      <c r="AZ66" s="101">
        <f>SUMIFS(Xero!$F:$F,Xero!$B:$B,Heron!AZ$9,Xero!$A:$A,Heron!$A$4,Xero!$E:$E,Heron!$A66)+SUMIFS(Xero!$F:$F,Xero!$B:$B,Heron!AZ$9,Xero!$A:$A,Heron!$A$5,Xero!$E:$E,Heron!$A66)</f>
        <v/>
      </c>
      <c r="BA66" s="101">
        <f>SUMIFS(Xero!$F:$F,Xero!$B:$B,Heron!BA$9,Xero!$A:$A,Heron!$A$4,Xero!$E:$E,Heron!$A66)+SUMIFS(Xero!$F:$F,Xero!$B:$B,Heron!BA$9,Xero!$A:$A,Heron!$A$5,Xero!$E:$E,Heron!$A66)</f>
        <v/>
      </c>
      <c r="BB66" s="101">
        <f>SUMIFS(Xero!$F:$F,Xero!$B:$B,Heron!BB$9,Xero!$A:$A,Heron!$A$4,Xero!$E:$E,Heron!$A66)+SUMIFS(Xero!$F:$F,Xero!$B:$B,Heron!BB$9,Xero!$A:$A,Heron!$A$5,Xero!$E:$E,Heron!$A66)</f>
        <v/>
      </c>
      <c r="BC66" s="101">
        <f>SUMIFS(Xero!$F:$F,Xero!$B:$B,Heron!BC$9,Xero!$A:$A,Heron!$A$4,Xero!$E:$E,Heron!$A66)+SUMIFS(Xero!$F:$F,Xero!$B:$B,Heron!BC$9,Xero!$A:$A,Heron!$A$5,Xero!$E:$E,Heron!$A66)</f>
        <v/>
      </c>
      <c r="BD66" s="101">
        <f>SUMIFS(Xero!$F:$F,Xero!$B:$B,Heron!BD$9,Xero!$A:$A,Heron!$A$4,Xero!$E:$E,Heron!$A66)+SUMIFS(Xero!$F:$F,Xero!$B:$B,Heron!BD$9,Xero!$A:$A,Heron!$A$5,Xero!$E:$E,Heron!$A66)</f>
        <v/>
      </c>
      <c r="BE66" s="101">
        <f>SUMIFS(Xero!$F:$F,Xero!$B:$B,Heron!BE$9,Xero!$A:$A,Heron!$A$4,Xero!$E:$E,Heron!$A66)+SUMIFS(Xero!$F:$F,Xero!$B:$B,Heron!BE$9,Xero!$A:$A,Heron!$A$5,Xero!$E:$E,Heron!$A66)</f>
        <v/>
      </c>
      <c r="BF66" s="101">
        <f>SUMIFS(Xero!$F:$F,Xero!$B:$B,Heron!BF$9,Xero!$A:$A,Heron!$A$4,Xero!$E:$E,Heron!$A66)+SUMIFS(Xero!$F:$F,Xero!$B:$B,Heron!BF$9,Xero!$A:$A,Heron!$A$5,Xero!$E:$E,Heron!$A66)</f>
        <v/>
      </c>
      <c r="BG66" s="101">
        <f>SUMIFS(Xero!$F:$F,Xero!$B:$B,Heron!BG$9,Xero!$A:$A,Heron!$A$4,Xero!$E:$E,Heron!$A66)+SUMIFS(Xero!$F:$F,Xero!$B:$B,Heron!BG$9,Xero!$A:$A,Heron!$A$5,Xero!$E:$E,Heron!$A66)</f>
        <v/>
      </c>
      <c r="BH66" s="101">
        <f>SUMIFS(Xero!$F:$F,Xero!$B:$B,Heron!BH$9,Xero!$A:$A,Heron!$A$4,Xero!$E:$E,Heron!$A66)+SUMIFS(Xero!$F:$F,Xero!$B:$B,Heron!BH$9,Xero!$A:$A,Heron!$A$5,Xero!$E:$E,Heron!$A66)</f>
        <v/>
      </c>
      <c r="BI66" s="101">
        <f>SUMIFS(Xero!$F:$F,Xero!$B:$B,Heron!BI$9,Xero!$A:$A,Heron!$A$4,Xero!$E:$E,Heron!$A66)+SUMIFS(Xero!$F:$F,Xero!$B:$B,Heron!BI$9,Xero!$A:$A,Heron!$A$5,Xero!$E:$E,Heron!$A66)</f>
        <v/>
      </c>
      <c r="BJ66" s="101">
        <f>SUMIFS(Xero!$F:$F,Xero!$B:$B,Heron!BJ$9,Xero!$A:$A,Heron!$A$4,Xero!$E:$E,Heron!$A66)+SUMIFS(Xero!$F:$F,Xero!$B:$B,Heron!BJ$9,Xero!$A:$A,Heron!$A$5,Xero!$E:$E,Heron!$A66)</f>
        <v/>
      </c>
      <c r="BK66" s="101">
        <f>sum(D66:BJ66)</f>
        <v/>
      </c>
    </row>
    <row r="67">
      <c r="A67" s="100" t="inlineStr">
        <is>
          <t>Developers Levies</t>
        </is>
      </c>
      <c r="D67" s="101">
        <f>SUMIFS(Xero!$F:$F,Xero!$B:$B,Heron!D$9,Xero!$A:$A,Heron!$A$4,Xero!$E:$E,Heron!$A67)+SUMIFS(Xero!$F:$F,Xero!$B:$B,Heron!D$9,Xero!$A:$A,Heron!$A$5,Xero!$E:$E,Heron!$A67)</f>
        <v/>
      </c>
      <c r="E67" s="101">
        <f>SUMIFS(Xero!$F:$F,Xero!$B:$B,Heron!E$9,Xero!$A:$A,Heron!$A$4,Xero!$E:$E,Heron!$A67)+SUMIFS(Xero!$F:$F,Xero!$B:$B,Heron!E$9,Xero!$A:$A,Heron!$A$5,Xero!$E:$E,Heron!$A67)</f>
        <v/>
      </c>
      <c r="F67" s="101">
        <f>SUMIFS(Xero!$F:$F,Xero!$B:$B,Heron!F$9,Xero!$A:$A,Heron!$A$4,Xero!$E:$E,Heron!$A67)+SUMIFS(Xero!$F:$F,Xero!$B:$B,Heron!F$9,Xero!$A:$A,Heron!$A$5,Xero!$E:$E,Heron!$A67)</f>
        <v/>
      </c>
      <c r="G67" s="101">
        <f>SUMIFS(Xero!$F:$F,Xero!$B:$B,Heron!G$9,Xero!$A:$A,Heron!$A$4,Xero!$E:$E,Heron!$A67)+SUMIFS(Xero!$F:$F,Xero!$B:$B,Heron!G$9,Xero!$A:$A,Heron!$A$5,Xero!$E:$E,Heron!$A67)</f>
        <v/>
      </c>
      <c r="H67" s="101">
        <f>SUMIFS(Xero!$F:$F,Xero!$B:$B,Heron!H$9,Xero!$A:$A,Heron!$A$4,Xero!$E:$E,Heron!$A67)+SUMIFS(Xero!$F:$F,Xero!$B:$B,Heron!H$9,Xero!$A:$A,Heron!$A$5,Xero!$E:$E,Heron!$A67)</f>
        <v/>
      </c>
      <c r="I67" s="101">
        <f>SUMIFS(Xero!$F:$F,Xero!$B:$B,Heron!I$9,Xero!$A:$A,Heron!$A$4,Xero!$E:$E,Heron!$A67)+SUMIFS(Xero!$F:$F,Xero!$B:$B,Heron!I$9,Xero!$A:$A,Heron!$A$5,Xero!$E:$E,Heron!$A67)</f>
        <v/>
      </c>
      <c r="J67" s="101">
        <f>SUMIFS(Xero!$F:$F,Xero!$B:$B,Heron!J$9,Xero!$A:$A,Heron!$A$4,Xero!$E:$E,Heron!$A67)+SUMIFS(Xero!$F:$F,Xero!$B:$B,Heron!J$9,Xero!$A:$A,Heron!$A$5,Xero!$E:$E,Heron!$A67)</f>
        <v/>
      </c>
      <c r="K67" s="101">
        <f>SUMIFS(Xero!$F:$F,Xero!$B:$B,Heron!K$9,Xero!$A:$A,Heron!$A$4,Xero!$E:$E,Heron!$A67)+SUMIFS(Xero!$F:$F,Xero!$B:$B,Heron!K$9,Xero!$A:$A,Heron!$A$5,Xero!$E:$E,Heron!$A67)</f>
        <v/>
      </c>
      <c r="L67" s="101">
        <f>SUMIFS(Xero!$F:$F,Xero!$B:$B,Heron!L$9,Xero!$A:$A,Heron!$A$4,Xero!$E:$E,Heron!$A67)+SUMIFS(Xero!$F:$F,Xero!$B:$B,Heron!L$9,Xero!$A:$A,Heron!$A$5,Xero!$E:$E,Heron!$A67)</f>
        <v/>
      </c>
      <c r="M67" s="101">
        <f>SUMIFS(Xero!$F:$F,Xero!$B:$B,Heron!M$9,Xero!$A:$A,Heron!$A$4,Xero!$E:$E,Heron!$A67)+SUMIFS(Xero!$F:$F,Xero!$B:$B,Heron!M$9,Xero!$A:$A,Heron!$A$5,Xero!$E:$E,Heron!$A67)</f>
        <v/>
      </c>
      <c r="N67" s="101">
        <f>SUMIFS(Xero!$F:$F,Xero!$B:$B,Heron!N$9,Xero!$A:$A,Heron!$A$4,Xero!$E:$E,Heron!$A67)+SUMIFS(Xero!$F:$F,Xero!$B:$B,Heron!N$9,Xero!$A:$A,Heron!$A$5,Xero!$E:$E,Heron!$A67)</f>
        <v/>
      </c>
      <c r="O67" s="101">
        <f>SUMIFS(Xero!$F:$F,Xero!$B:$B,Heron!O$9,Xero!$A:$A,Heron!$A$4,Xero!$E:$E,Heron!$A67)+SUMIFS(Xero!$F:$F,Xero!$B:$B,Heron!O$9,Xero!$A:$A,Heron!$A$5,Xero!$E:$E,Heron!$A67)</f>
        <v/>
      </c>
      <c r="P67" s="101">
        <f>SUMIFS(Xero!$F:$F,Xero!$B:$B,Heron!P$9,Xero!$A:$A,Heron!$A$4,Xero!$E:$E,Heron!$A67)+SUMIFS(Xero!$F:$F,Xero!$B:$B,Heron!P$9,Xero!$A:$A,Heron!$A$5,Xero!$E:$E,Heron!$A67)</f>
        <v/>
      </c>
      <c r="Q67" s="101">
        <f>SUMIFS(Xero!$F:$F,Xero!$B:$B,Heron!Q$9,Xero!$A:$A,Heron!$A$4,Xero!$E:$E,Heron!$A67)+SUMIFS(Xero!$F:$F,Xero!$B:$B,Heron!Q$9,Xero!$A:$A,Heron!$A$5,Xero!$E:$E,Heron!$A67)</f>
        <v/>
      </c>
      <c r="R67" s="101">
        <f>SUMIFS(Xero!$F:$F,Xero!$B:$B,Heron!R$9,Xero!$A:$A,Heron!$A$4,Xero!$E:$E,Heron!$A67)+SUMIFS(Xero!$F:$F,Xero!$B:$B,Heron!R$9,Xero!$A:$A,Heron!$A$5,Xero!$E:$E,Heron!$A67)</f>
        <v/>
      </c>
      <c r="S67" s="101">
        <f>SUMIFS(Xero!$F:$F,Xero!$B:$B,Heron!S$9,Xero!$A:$A,Heron!$A$4,Xero!$E:$E,Heron!$A67)+SUMIFS(Xero!$F:$F,Xero!$B:$B,Heron!S$9,Xero!$A:$A,Heron!$A$5,Xero!$E:$E,Heron!$A67)</f>
        <v/>
      </c>
      <c r="T67" s="101">
        <f>SUMIFS(Xero!$F:$F,Xero!$B:$B,Heron!T$9,Xero!$A:$A,Heron!$A$4,Xero!$E:$E,Heron!$A67)+SUMIFS(Xero!$F:$F,Xero!$B:$B,Heron!T$9,Xero!$A:$A,Heron!$A$5,Xero!$E:$E,Heron!$A67)</f>
        <v/>
      </c>
      <c r="U67" s="101">
        <f>SUMIFS(Xero!$F:$F,Xero!$B:$B,Heron!U$9,Xero!$A:$A,Heron!$A$4,Xero!$E:$E,Heron!$A67)+SUMIFS(Xero!$F:$F,Xero!$B:$B,Heron!U$9,Xero!$A:$A,Heron!$A$5,Xero!$E:$E,Heron!$A67)</f>
        <v/>
      </c>
      <c r="V67" s="101">
        <f>SUMIFS(Xero!$F:$F,Xero!$B:$B,Heron!V$9,Xero!$A:$A,Heron!$A$4,Xero!$E:$E,Heron!$A67)+SUMIFS(Xero!$F:$F,Xero!$B:$B,Heron!V$9,Xero!$A:$A,Heron!$A$5,Xero!$E:$E,Heron!$A67)</f>
        <v/>
      </c>
      <c r="W67" s="101">
        <f>SUMIFS(Xero!$F:$F,Xero!$B:$B,Heron!W$9,Xero!$A:$A,Heron!$A$4,Xero!$E:$E,Heron!$A67)+SUMIFS(Xero!$F:$F,Xero!$B:$B,Heron!W$9,Xero!$A:$A,Heron!$A$5,Xero!$E:$E,Heron!$A67)</f>
        <v/>
      </c>
      <c r="X67" s="101">
        <f>SUMIFS(Xero!$F:$F,Xero!$B:$B,Heron!X$9,Xero!$A:$A,Heron!$A$4,Xero!$E:$E,Heron!$A67)+SUMIFS(Xero!$F:$F,Xero!$B:$B,Heron!X$9,Xero!$A:$A,Heron!$A$5,Xero!$E:$E,Heron!$A67)</f>
        <v/>
      </c>
      <c r="Y67" s="101">
        <f>SUMIFS(Xero!$F:$F,Xero!$B:$B,Heron!Y$9,Xero!$A:$A,Heron!$A$4,Xero!$E:$E,Heron!$A67)+SUMIFS(Xero!$F:$F,Xero!$B:$B,Heron!Y$9,Xero!$A:$A,Heron!$A$5,Xero!$E:$E,Heron!$A67)</f>
        <v/>
      </c>
      <c r="Z67" s="101">
        <f>SUMIFS(Xero!$F:$F,Xero!$B:$B,Heron!Z$9,Xero!$A:$A,Heron!$A$4,Xero!$E:$E,Heron!$A67)+SUMIFS(Xero!$F:$F,Xero!$B:$B,Heron!Z$9,Xero!$A:$A,Heron!$A$5,Xero!$E:$E,Heron!$A67)</f>
        <v/>
      </c>
      <c r="AA67" s="101">
        <f>SUMIFS(Xero!$F:$F,Xero!$B:$B,Heron!AA$9,Xero!$A:$A,Heron!$A$4,Xero!$E:$E,Heron!$A67)+SUMIFS(Xero!$F:$F,Xero!$B:$B,Heron!AA$9,Xero!$A:$A,Heron!$A$5,Xero!$E:$E,Heron!$A67)</f>
        <v/>
      </c>
      <c r="AB67" s="101">
        <f>SUMIFS(Xero!$F:$F,Xero!$B:$B,Heron!AB$9,Xero!$A:$A,Heron!$A$4,Xero!$E:$E,Heron!$A67)+SUMIFS(Xero!$F:$F,Xero!$B:$B,Heron!AB$9,Xero!$A:$A,Heron!$A$5,Xero!$E:$E,Heron!$A67)</f>
        <v/>
      </c>
      <c r="AC67" s="101">
        <f>SUMIFS(Xero!$F:$F,Xero!$B:$B,Heron!AC$9,Xero!$A:$A,Heron!$A$4,Xero!$E:$E,Heron!$A67)+SUMIFS(Xero!$F:$F,Xero!$B:$B,Heron!AC$9,Xero!$A:$A,Heron!$A$5,Xero!$E:$E,Heron!$A67)</f>
        <v/>
      </c>
      <c r="AD67" s="101">
        <f>SUMIFS(Xero!$F:$F,Xero!$B:$B,Heron!AD$9,Xero!$A:$A,Heron!$A$4,Xero!$E:$E,Heron!$A67)+SUMIFS(Xero!$F:$F,Xero!$B:$B,Heron!AD$9,Xero!$A:$A,Heron!$A$5,Xero!$E:$E,Heron!$A67)</f>
        <v/>
      </c>
      <c r="AE67" s="101">
        <f>SUMIFS(Xero!$F:$F,Xero!$B:$B,Heron!AE$9,Xero!$A:$A,Heron!$A$4,Xero!$E:$E,Heron!$A67)+SUMIFS(Xero!$F:$F,Xero!$B:$B,Heron!AE$9,Xero!$A:$A,Heron!$A$5,Xero!$E:$E,Heron!$A67)</f>
        <v/>
      </c>
      <c r="AF67" s="101">
        <f>SUMIFS(Xero!$F:$F,Xero!$B:$B,Heron!AF$9,Xero!$A:$A,Heron!$A$4,Xero!$E:$E,Heron!$A67)+SUMIFS(Xero!$F:$F,Xero!$B:$B,Heron!AF$9,Xero!$A:$A,Heron!$A$5,Xero!$E:$E,Heron!$A67)</f>
        <v/>
      </c>
      <c r="AG67" s="101">
        <f>SUMIFS(Xero!$F:$F,Xero!$B:$B,Heron!AG$9,Xero!$A:$A,Heron!$A$4,Xero!$E:$E,Heron!$A67)+SUMIFS(Xero!$F:$F,Xero!$B:$B,Heron!AG$9,Xero!$A:$A,Heron!$A$5,Xero!$E:$E,Heron!$A67)</f>
        <v/>
      </c>
      <c r="AH67" s="101">
        <f>SUMIFS(Xero!$F:$F,Xero!$B:$B,Heron!AH$9,Xero!$A:$A,Heron!$A$4,Xero!$E:$E,Heron!$A67)+SUMIFS(Xero!$F:$F,Xero!$B:$B,Heron!AH$9,Xero!$A:$A,Heron!$A$5,Xero!$E:$E,Heron!$A67)</f>
        <v/>
      </c>
      <c r="AI67" s="101">
        <f>SUMIFS(Xero!$F:$F,Xero!$B:$B,Heron!AI$9,Xero!$A:$A,Heron!$A$4,Xero!$E:$E,Heron!$A67)+SUMIFS(Xero!$F:$F,Xero!$B:$B,Heron!AI$9,Xero!$A:$A,Heron!$A$5,Xero!$E:$E,Heron!$A67)</f>
        <v/>
      </c>
      <c r="AJ67" s="101">
        <f>SUMIFS(Xero!$F:$F,Xero!$B:$B,Heron!AJ$9,Xero!$A:$A,Heron!$A$4,Xero!$E:$E,Heron!$A67)+SUMIFS(Xero!$F:$F,Xero!$B:$B,Heron!AJ$9,Xero!$A:$A,Heron!$A$5,Xero!$E:$E,Heron!$A67)</f>
        <v/>
      </c>
      <c r="AK67" s="101">
        <f>SUMIFS(Xero!$F:$F,Xero!$B:$B,Heron!AK$9,Xero!$A:$A,Heron!$A$4,Xero!$E:$E,Heron!$A67)+SUMIFS(Xero!$F:$F,Xero!$B:$B,Heron!AK$9,Xero!$A:$A,Heron!$A$5,Xero!$E:$E,Heron!$A67)</f>
        <v/>
      </c>
      <c r="AL67" s="101">
        <f>SUMIFS(Xero!$F:$F,Xero!$B:$B,Heron!AL$9,Xero!$A:$A,Heron!$A$4,Xero!$E:$E,Heron!$A67)+SUMIFS(Xero!$F:$F,Xero!$B:$B,Heron!AL$9,Xero!$A:$A,Heron!$A$5,Xero!$E:$E,Heron!$A67)</f>
        <v/>
      </c>
      <c r="AM67" s="101">
        <f>SUMIFS(Xero!$F:$F,Xero!$B:$B,Heron!AM$9,Xero!$A:$A,Heron!$A$4,Xero!$E:$E,Heron!$A67)+SUMIFS(Xero!$F:$F,Xero!$B:$B,Heron!AM$9,Xero!$A:$A,Heron!$A$5,Xero!$E:$E,Heron!$A67)</f>
        <v/>
      </c>
      <c r="AN67" s="101">
        <f>SUMIFS(Xero!$F:$F,Xero!$B:$B,Heron!AN$9,Xero!$A:$A,Heron!$A$4,Xero!$E:$E,Heron!$A67)+SUMIFS(Xero!$F:$F,Xero!$B:$B,Heron!AN$9,Xero!$A:$A,Heron!$A$5,Xero!$E:$E,Heron!$A67)</f>
        <v/>
      </c>
      <c r="AO67" s="101">
        <f>SUMIFS(Xero!$F:$F,Xero!$B:$B,Heron!AO$9,Xero!$A:$A,Heron!$A$4,Xero!$E:$E,Heron!$A67)+SUMIFS(Xero!$F:$F,Xero!$B:$B,Heron!AO$9,Xero!$A:$A,Heron!$A$5,Xero!$E:$E,Heron!$A67)</f>
        <v/>
      </c>
      <c r="AP67" s="101">
        <f>SUMIFS(Xero!$F:$F,Xero!$B:$B,Heron!AP$9,Xero!$A:$A,Heron!$A$4,Xero!$E:$E,Heron!$A67)+SUMIFS(Xero!$F:$F,Xero!$B:$B,Heron!AP$9,Xero!$A:$A,Heron!$A$5,Xero!$E:$E,Heron!$A67)</f>
        <v/>
      </c>
      <c r="AQ67" s="101">
        <f>SUMIFS(Xero!$F:$F,Xero!$B:$B,Heron!AQ$9,Xero!$A:$A,Heron!$A$4,Xero!$E:$E,Heron!$A67)+SUMIFS(Xero!$F:$F,Xero!$B:$B,Heron!AQ$9,Xero!$A:$A,Heron!$A$5,Xero!$E:$E,Heron!$A67)</f>
        <v/>
      </c>
      <c r="AR67" s="101">
        <f>SUMIFS(Xero!$F:$F,Xero!$B:$B,Heron!AR$9,Xero!$A:$A,Heron!$A$4,Xero!$E:$E,Heron!$A67)+SUMIFS(Xero!$F:$F,Xero!$B:$B,Heron!AR$9,Xero!$A:$A,Heron!$A$5,Xero!$E:$E,Heron!$A67)</f>
        <v/>
      </c>
      <c r="AS67" s="101">
        <f>SUMIFS(Xero!$F:$F,Xero!$B:$B,Heron!AS$9,Xero!$A:$A,Heron!$A$4,Xero!$E:$E,Heron!$A67)+SUMIFS(Xero!$F:$F,Xero!$B:$B,Heron!AS$9,Xero!$A:$A,Heron!$A$5,Xero!$E:$E,Heron!$A67)</f>
        <v/>
      </c>
      <c r="AT67" s="101">
        <f>SUMIFS(Xero!$F:$F,Xero!$B:$B,Heron!AT$9,Xero!$A:$A,Heron!$A$4,Xero!$E:$E,Heron!$A67)+SUMIFS(Xero!$F:$F,Xero!$B:$B,Heron!AT$9,Xero!$A:$A,Heron!$A$5,Xero!$E:$E,Heron!$A67)</f>
        <v/>
      </c>
      <c r="AU67" s="101">
        <f>SUMIFS(Xero!$F:$F,Xero!$B:$B,Heron!AU$9,Xero!$A:$A,Heron!$A$4,Xero!$E:$E,Heron!$A67)+SUMIFS(Xero!$F:$F,Xero!$B:$B,Heron!AU$9,Xero!$A:$A,Heron!$A$5,Xero!$E:$E,Heron!$A67)</f>
        <v/>
      </c>
      <c r="AV67" s="101">
        <f>SUMIFS(Xero!$F:$F,Xero!$B:$B,Heron!AV$9,Xero!$A:$A,Heron!$A$4,Xero!$E:$E,Heron!$A67)+SUMIFS(Xero!$F:$F,Xero!$B:$B,Heron!AV$9,Xero!$A:$A,Heron!$A$5,Xero!$E:$E,Heron!$A67)</f>
        <v/>
      </c>
      <c r="AW67" s="101">
        <f>SUMIFS(Xero!$F:$F,Xero!$B:$B,Heron!AW$9,Xero!$A:$A,Heron!$A$4,Xero!$E:$E,Heron!$A67)+SUMIFS(Xero!$F:$F,Xero!$B:$B,Heron!AW$9,Xero!$A:$A,Heron!$A$5,Xero!$E:$E,Heron!$A67)</f>
        <v/>
      </c>
      <c r="AX67" s="101">
        <f>SUMIFS(Xero!$F:$F,Xero!$B:$B,Heron!AX$9,Xero!$A:$A,Heron!$A$4,Xero!$E:$E,Heron!$A67)+SUMIFS(Xero!$F:$F,Xero!$B:$B,Heron!AX$9,Xero!$A:$A,Heron!$A$5,Xero!$E:$E,Heron!$A67)</f>
        <v/>
      </c>
      <c r="AY67" s="101">
        <f>SUMIFS(Xero!$F:$F,Xero!$B:$B,Heron!AY$9,Xero!$A:$A,Heron!$A$4,Xero!$E:$E,Heron!$A67)+SUMIFS(Xero!$F:$F,Xero!$B:$B,Heron!AY$9,Xero!$A:$A,Heron!$A$5,Xero!$E:$E,Heron!$A67)</f>
        <v/>
      </c>
      <c r="AZ67" s="101">
        <f>SUMIFS(Xero!$F:$F,Xero!$B:$B,Heron!AZ$9,Xero!$A:$A,Heron!$A$4,Xero!$E:$E,Heron!$A67)+SUMIFS(Xero!$F:$F,Xero!$B:$B,Heron!AZ$9,Xero!$A:$A,Heron!$A$5,Xero!$E:$E,Heron!$A67)</f>
        <v/>
      </c>
      <c r="BA67" s="101">
        <f>SUMIFS(Xero!$F:$F,Xero!$B:$B,Heron!BA$9,Xero!$A:$A,Heron!$A$4,Xero!$E:$E,Heron!$A67)+SUMIFS(Xero!$F:$F,Xero!$B:$B,Heron!BA$9,Xero!$A:$A,Heron!$A$5,Xero!$E:$E,Heron!$A67)</f>
        <v/>
      </c>
      <c r="BB67" s="101">
        <f>SUMIFS(Xero!$F:$F,Xero!$B:$B,Heron!BB$9,Xero!$A:$A,Heron!$A$4,Xero!$E:$E,Heron!$A67)+SUMIFS(Xero!$F:$F,Xero!$B:$B,Heron!BB$9,Xero!$A:$A,Heron!$A$5,Xero!$E:$E,Heron!$A67)</f>
        <v/>
      </c>
      <c r="BC67" s="101">
        <f>SUMIFS(Xero!$F:$F,Xero!$B:$B,Heron!BC$9,Xero!$A:$A,Heron!$A$4,Xero!$E:$E,Heron!$A67)+SUMIFS(Xero!$F:$F,Xero!$B:$B,Heron!BC$9,Xero!$A:$A,Heron!$A$5,Xero!$E:$E,Heron!$A67)</f>
        <v/>
      </c>
      <c r="BD67" s="101">
        <f>SUMIFS(Xero!$F:$F,Xero!$B:$B,Heron!BD$9,Xero!$A:$A,Heron!$A$4,Xero!$E:$E,Heron!$A67)+SUMIFS(Xero!$F:$F,Xero!$B:$B,Heron!BD$9,Xero!$A:$A,Heron!$A$5,Xero!$E:$E,Heron!$A67)</f>
        <v/>
      </c>
      <c r="BE67" s="101">
        <f>SUMIFS(Xero!$F:$F,Xero!$B:$B,Heron!BE$9,Xero!$A:$A,Heron!$A$4,Xero!$E:$E,Heron!$A67)+SUMIFS(Xero!$F:$F,Xero!$B:$B,Heron!BE$9,Xero!$A:$A,Heron!$A$5,Xero!$E:$E,Heron!$A67)</f>
        <v/>
      </c>
      <c r="BF67" s="101">
        <f>SUMIFS(Xero!$F:$F,Xero!$B:$B,Heron!BF$9,Xero!$A:$A,Heron!$A$4,Xero!$E:$E,Heron!$A67)+SUMIFS(Xero!$F:$F,Xero!$B:$B,Heron!BF$9,Xero!$A:$A,Heron!$A$5,Xero!$E:$E,Heron!$A67)</f>
        <v/>
      </c>
      <c r="BG67" s="101">
        <f>SUMIFS(Xero!$F:$F,Xero!$B:$B,Heron!BG$9,Xero!$A:$A,Heron!$A$4,Xero!$E:$E,Heron!$A67)+SUMIFS(Xero!$F:$F,Xero!$B:$B,Heron!BG$9,Xero!$A:$A,Heron!$A$5,Xero!$E:$E,Heron!$A67)</f>
        <v/>
      </c>
      <c r="BH67" s="101">
        <f>SUMIFS(Xero!$F:$F,Xero!$B:$B,Heron!BH$9,Xero!$A:$A,Heron!$A$4,Xero!$E:$E,Heron!$A67)+SUMIFS(Xero!$F:$F,Xero!$B:$B,Heron!BH$9,Xero!$A:$A,Heron!$A$5,Xero!$E:$E,Heron!$A67)</f>
        <v/>
      </c>
      <c r="BI67" s="101">
        <f>SUMIFS(Xero!$F:$F,Xero!$B:$B,Heron!BI$9,Xero!$A:$A,Heron!$A$4,Xero!$E:$E,Heron!$A67)+SUMIFS(Xero!$F:$F,Xero!$B:$B,Heron!BI$9,Xero!$A:$A,Heron!$A$5,Xero!$E:$E,Heron!$A67)</f>
        <v/>
      </c>
      <c r="BJ67" s="101">
        <f>SUMIFS(Xero!$F:$F,Xero!$B:$B,Heron!BJ$9,Xero!$A:$A,Heron!$A$4,Xero!$E:$E,Heron!$A67)+SUMIFS(Xero!$F:$F,Xero!$B:$B,Heron!BJ$9,Xero!$A:$A,Heron!$A$5,Xero!$E:$E,Heron!$A67)</f>
        <v/>
      </c>
      <c r="BK67" s="101">
        <f>sum(D67:BJ67)</f>
        <v/>
      </c>
    </row>
    <row r="68">
      <c r="A68" s="100" t="inlineStr">
        <is>
          <t>Electricity</t>
        </is>
      </c>
      <c r="D68" s="101">
        <f>SUMIFS(Xero!$F:$F,Xero!$B:$B,Heron!D$9,Xero!$A:$A,Heron!$A$4,Xero!$E:$E,Heron!$A68)+SUMIFS(Xero!$F:$F,Xero!$B:$B,Heron!D$9,Xero!$A:$A,Heron!$A$5,Xero!$E:$E,Heron!$A68)</f>
        <v/>
      </c>
      <c r="E68" s="101">
        <f>SUMIFS(Xero!$F:$F,Xero!$B:$B,Heron!E$9,Xero!$A:$A,Heron!$A$4,Xero!$E:$E,Heron!$A68)+SUMIFS(Xero!$F:$F,Xero!$B:$B,Heron!E$9,Xero!$A:$A,Heron!$A$5,Xero!$E:$E,Heron!$A68)</f>
        <v/>
      </c>
      <c r="F68" s="101">
        <f>SUMIFS(Xero!$F:$F,Xero!$B:$B,Heron!F$9,Xero!$A:$A,Heron!$A$4,Xero!$E:$E,Heron!$A68)+SUMIFS(Xero!$F:$F,Xero!$B:$B,Heron!F$9,Xero!$A:$A,Heron!$A$5,Xero!$E:$E,Heron!$A68)</f>
        <v/>
      </c>
      <c r="G68" s="101">
        <f>SUMIFS(Xero!$F:$F,Xero!$B:$B,Heron!G$9,Xero!$A:$A,Heron!$A$4,Xero!$E:$E,Heron!$A68)+SUMIFS(Xero!$F:$F,Xero!$B:$B,Heron!G$9,Xero!$A:$A,Heron!$A$5,Xero!$E:$E,Heron!$A68)</f>
        <v/>
      </c>
      <c r="H68" s="101">
        <f>SUMIFS(Xero!$F:$F,Xero!$B:$B,Heron!H$9,Xero!$A:$A,Heron!$A$4,Xero!$E:$E,Heron!$A68)+SUMIFS(Xero!$F:$F,Xero!$B:$B,Heron!H$9,Xero!$A:$A,Heron!$A$5,Xero!$E:$E,Heron!$A68)</f>
        <v/>
      </c>
      <c r="I68" s="101">
        <f>SUMIFS(Xero!$F:$F,Xero!$B:$B,Heron!I$9,Xero!$A:$A,Heron!$A$4,Xero!$E:$E,Heron!$A68)+SUMIFS(Xero!$F:$F,Xero!$B:$B,Heron!I$9,Xero!$A:$A,Heron!$A$5,Xero!$E:$E,Heron!$A68)</f>
        <v/>
      </c>
      <c r="J68" s="101">
        <f>SUMIFS(Xero!$F:$F,Xero!$B:$B,Heron!J$9,Xero!$A:$A,Heron!$A$4,Xero!$E:$E,Heron!$A68)+SUMIFS(Xero!$F:$F,Xero!$B:$B,Heron!J$9,Xero!$A:$A,Heron!$A$5,Xero!$E:$E,Heron!$A68)</f>
        <v/>
      </c>
      <c r="K68" s="101">
        <f>SUMIFS(Xero!$F:$F,Xero!$B:$B,Heron!K$9,Xero!$A:$A,Heron!$A$4,Xero!$E:$E,Heron!$A68)+SUMIFS(Xero!$F:$F,Xero!$B:$B,Heron!K$9,Xero!$A:$A,Heron!$A$5,Xero!$E:$E,Heron!$A68)</f>
        <v/>
      </c>
      <c r="L68" s="101">
        <f>SUMIFS(Xero!$F:$F,Xero!$B:$B,Heron!L$9,Xero!$A:$A,Heron!$A$4,Xero!$E:$E,Heron!$A68)+SUMIFS(Xero!$F:$F,Xero!$B:$B,Heron!L$9,Xero!$A:$A,Heron!$A$5,Xero!$E:$E,Heron!$A68)</f>
        <v/>
      </c>
      <c r="M68" s="101">
        <f>SUMIFS(Xero!$F:$F,Xero!$B:$B,Heron!M$9,Xero!$A:$A,Heron!$A$4,Xero!$E:$E,Heron!$A68)+SUMIFS(Xero!$F:$F,Xero!$B:$B,Heron!M$9,Xero!$A:$A,Heron!$A$5,Xero!$E:$E,Heron!$A68)</f>
        <v/>
      </c>
      <c r="N68" s="101">
        <f>SUMIFS(Xero!$F:$F,Xero!$B:$B,Heron!N$9,Xero!$A:$A,Heron!$A$4,Xero!$E:$E,Heron!$A68)+SUMIFS(Xero!$F:$F,Xero!$B:$B,Heron!N$9,Xero!$A:$A,Heron!$A$5,Xero!$E:$E,Heron!$A68)</f>
        <v/>
      </c>
      <c r="O68" s="101">
        <f>SUMIFS(Xero!$F:$F,Xero!$B:$B,Heron!O$9,Xero!$A:$A,Heron!$A$4,Xero!$E:$E,Heron!$A68)+SUMIFS(Xero!$F:$F,Xero!$B:$B,Heron!O$9,Xero!$A:$A,Heron!$A$5,Xero!$E:$E,Heron!$A68)</f>
        <v/>
      </c>
      <c r="P68" s="101">
        <f>SUMIFS(Xero!$F:$F,Xero!$B:$B,Heron!P$9,Xero!$A:$A,Heron!$A$4,Xero!$E:$E,Heron!$A68)+SUMIFS(Xero!$F:$F,Xero!$B:$B,Heron!P$9,Xero!$A:$A,Heron!$A$5,Xero!$E:$E,Heron!$A68)</f>
        <v/>
      </c>
      <c r="Q68" s="101">
        <f>SUMIFS(Xero!$F:$F,Xero!$B:$B,Heron!Q$9,Xero!$A:$A,Heron!$A$4,Xero!$E:$E,Heron!$A68)+SUMIFS(Xero!$F:$F,Xero!$B:$B,Heron!Q$9,Xero!$A:$A,Heron!$A$5,Xero!$E:$E,Heron!$A68)</f>
        <v/>
      </c>
      <c r="R68" s="101">
        <f>SUMIFS(Xero!$F:$F,Xero!$B:$B,Heron!R$9,Xero!$A:$A,Heron!$A$4,Xero!$E:$E,Heron!$A68)+SUMIFS(Xero!$F:$F,Xero!$B:$B,Heron!R$9,Xero!$A:$A,Heron!$A$5,Xero!$E:$E,Heron!$A68)</f>
        <v/>
      </c>
      <c r="S68" s="101">
        <f>SUMIFS(Xero!$F:$F,Xero!$B:$B,Heron!S$9,Xero!$A:$A,Heron!$A$4,Xero!$E:$E,Heron!$A68)+SUMIFS(Xero!$F:$F,Xero!$B:$B,Heron!S$9,Xero!$A:$A,Heron!$A$5,Xero!$E:$E,Heron!$A68)</f>
        <v/>
      </c>
      <c r="T68" s="101">
        <f>SUMIFS(Xero!$F:$F,Xero!$B:$B,Heron!T$9,Xero!$A:$A,Heron!$A$4,Xero!$E:$E,Heron!$A68)+SUMIFS(Xero!$F:$F,Xero!$B:$B,Heron!T$9,Xero!$A:$A,Heron!$A$5,Xero!$E:$E,Heron!$A68)</f>
        <v/>
      </c>
      <c r="U68" s="101">
        <f>SUMIFS(Xero!$F:$F,Xero!$B:$B,Heron!U$9,Xero!$A:$A,Heron!$A$4,Xero!$E:$E,Heron!$A68)+SUMIFS(Xero!$F:$F,Xero!$B:$B,Heron!U$9,Xero!$A:$A,Heron!$A$5,Xero!$E:$E,Heron!$A68)</f>
        <v/>
      </c>
      <c r="V68" s="101">
        <f>SUMIFS(Xero!$F:$F,Xero!$B:$B,Heron!V$9,Xero!$A:$A,Heron!$A$4,Xero!$E:$E,Heron!$A68)+SUMIFS(Xero!$F:$F,Xero!$B:$B,Heron!V$9,Xero!$A:$A,Heron!$A$5,Xero!$E:$E,Heron!$A68)</f>
        <v/>
      </c>
      <c r="W68" s="101">
        <f>SUMIFS(Xero!$F:$F,Xero!$B:$B,Heron!W$9,Xero!$A:$A,Heron!$A$4,Xero!$E:$E,Heron!$A68)+SUMIFS(Xero!$F:$F,Xero!$B:$B,Heron!W$9,Xero!$A:$A,Heron!$A$5,Xero!$E:$E,Heron!$A68)</f>
        <v/>
      </c>
      <c r="X68" s="101">
        <f>SUMIFS(Xero!$F:$F,Xero!$B:$B,Heron!X$9,Xero!$A:$A,Heron!$A$4,Xero!$E:$E,Heron!$A68)+SUMIFS(Xero!$F:$F,Xero!$B:$B,Heron!X$9,Xero!$A:$A,Heron!$A$5,Xero!$E:$E,Heron!$A68)</f>
        <v/>
      </c>
      <c r="Y68" s="101">
        <f>SUMIFS(Xero!$F:$F,Xero!$B:$B,Heron!Y$9,Xero!$A:$A,Heron!$A$4,Xero!$E:$E,Heron!$A68)+SUMIFS(Xero!$F:$F,Xero!$B:$B,Heron!Y$9,Xero!$A:$A,Heron!$A$5,Xero!$E:$E,Heron!$A68)</f>
        <v/>
      </c>
      <c r="Z68" s="101">
        <f>SUMIFS(Xero!$F:$F,Xero!$B:$B,Heron!Z$9,Xero!$A:$A,Heron!$A$4,Xero!$E:$E,Heron!$A68)+SUMIFS(Xero!$F:$F,Xero!$B:$B,Heron!Z$9,Xero!$A:$A,Heron!$A$5,Xero!$E:$E,Heron!$A68)</f>
        <v/>
      </c>
      <c r="AA68" s="101">
        <f>SUMIFS(Xero!$F:$F,Xero!$B:$B,Heron!AA$9,Xero!$A:$A,Heron!$A$4,Xero!$E:$E,Heron!$A68)+SUMIFS(Xero!$F:$F,Xero!$B:$B,Heron!AA$9,Xero!$A:$A,Heron!$A$5,Xero!$E:$E,Heron!$A68)</f>
        <v/>
      </c>
      <c r="AB68" s="101">
        <f>SUMIFS(Xero!$F:$F,Xero!$B:$B,Heron!AB$9,Xero!$A:$A,Heron!$A$4,Xero!$E:$E,Heron!$A68)+SUMIFS(Xero!$F:$F,Xero!$B:$B,Heron!AB$9,Xero!$A:$A,Heron!$A$5,Xero!$E:$E,Heron!$A68)</f>
        <v/>
      </c>
      <c r="AC68" s="101">
        <f>SUMIFS(Xero!$F:$F,Xero!$B:$B,Heron!AC$9,Xero!$A:$A,Heron!$A$4,Xero!$E:$E,Heron!$A68)+SUMIFS(Xero!$F:$F,Xero!$B:$B,Heron!AC$9,Xero!$A:$A,Heron!$A$5,Xero!$E:$E,Heron!$A68)</f>
        <v/>
      </c>
      <c r="AD68" s="101">
        <f>SUMIFS(Xero!$F:$F,Xero!$B:$B,Heron!AD$9,Xero!$A:$A,Heron!$A$4,Xero!$E:$E,Heron!$A68)+SUMIFS(Xero!$F:$F,Xero!$B:$B,Heron!AD$9,Xero!$A:$A,Heron!$A$5,Xero!$E:$E,Heron!$A68)</f>
        <v/>
      </c>
      <c r="AE68" s="101">
        <f>SUMIFS(Xero!$F:$F,Xero!$B:$B,Heron!AE$9,Xero!$A:$A,Heron!$A$4,Xero!$E:$E,Heron!$A68)+SUMIFS(Xero!$F:$F,Xero!$B:$B,Heron!AE$9,Xero!$A:$A,Heron!$A$5,Xero!$E:$E,Heron!$A68)</f>
        <v/>
      </c>
      <c r="AF68" s="101">
        <f>SUMIFS(Xero!$F:$F,Xero!$B:$B,Heron!AF$9,Xero!$A:$A,Heron!$A$4,Xero!$E:$E,Heron!$A68)+SUMIFS(Xero!$F:$F,Xero!$B:$B,Heron!AF$9,Xero!$A:$A,Heron!$A$5,Xero!$E:$E,Heron!$A68)</f>
        <v/>
      </c>
      <c r="AG68" s="101">
        <f>SUMIFS(Xero!$F:$F,Xero!$B:$B,Heron!AG$9,Xero!$A:$A,Heron!$A$4,Xero!$E:$E,Heron!$A68)+SUMIFS(Xero!$F:$F,Xero!$B:$B,Heron!AG$9,Xero!$A:$A,Heron!$A$5,Xero!$E:$E,Heron!$A68)</f>
        <v/>
      </c>
      <c r="AH68" s="101">
        <f>SUMIFS(Xero!$F:$F,Xero!$B:$B,Heron!AH$9,Xero!$A:$A,Heron!$A$4,Xero!$E:$E,Heron!$A68)+SUMIFS(Xero!$F:$F,Xero!$B:$B,Heron!AH$9,Xero!$A:$A,Heron!$A$5,Xero!$E:$E,Heron!$A68)</f>
        <v/>
      </c>
      <c r="AI68" s="101">
        <f>SUMIFS(Xero!$F:$F,Xero!$B:$B,Heron!AI$9,Xero!$A:$A,Heron!$A$4,Xero!$E:$E,Heron!$A68)+SUMIFS(Xero!$F:$F,Xero!$B:$B,Heron!AI$9,Xero!$A:$A,Heron!$A$5,Xero!$E:$E,Heron!$A68)</f>
        <v/>
      </c>
      <c r="AJ68" s="101">
        <f>SUMIFS(Xero!$F:$F,Xero!$B:$B,Heron!AJ$9,Xero!$A:$A,Heron!$A$4,Xero!$E:$E,Heron!$A68)+SUMIFS(Xero!$F:$F,Xero!$B:$B,Heron!AJ$9,Xero!$A:$A,Heron!$A$5,Xero!$E:$E,Heron!$A68)</f>
        <v/>
      </c>
      <c r="AK68" s="101">
        <f>SUMIFS(Xero!$F:$F,Xero!$B:$B,Heron!AK$9,Xero!$A:$A,Heron!$A$4,Xero!$E:$E,Heron!$A68)+SUMIFS(Xero!$F:$F,Xero!$B:$B,Heron!AK$9,Xero!$A:$A,Heron!$A$5,Xero!$E:$E,Heron!$A68)</f>
        <v/>
      </c>
      <c r="AL68" s="101">
        <f>SUMIFS(Xero!$F:$F,Xero!$B:$B,Heron!AL$9,Xero!$A:$A,Heron!$A$4,Xero!$E:$E,Heron!$A68)+SUMIFS(Xero!$F:$F,Xero!$B:$B,Heron!AL$9,Xero!$A:$A,Heron!$A$5,Xero!$E:$E,Heron!$A68)</f>
        <v/>
      </c>
      <c r="AM68" s="101">
        <f>SUMIFS(Xero!$F:$F,Xero!$B:$B,Heron!AM$9,Xero!$A:$A,Heron!$A$4,Xero!$E:$E,Heron!$A68)+SUMIFS(Xero!$F:$F,Xero!$B:$B,Heron!AM$9,Xero!$A:$A,Heron!$A$5,Xero!$E:$E,Heron!$A68)</f>
        <v/>
      </c>
      <c r="AN68" s="101">
        <f>SUMIFS(Xero!$F:$F,Xero!$B:$B,Heron!AN$9,Xero!$A:$A,Heron!$A$4,Xero!$E:$E,Heron!$A68)+SUMIFS(Xero!$F:$F,Xero!$B:$B,Heron!AN$9,Xero!$A:$A,Heron!$A$5,Xero!$E:$E,Heron!$A68)</f>
        <v/>
      </c>
      <c r="AO68" s="101">
        <f>SUMIFS(Xero!$F:$F,Xero!$B:$B,Heron!AO$9,Xero!$A:$A,Heron!$A$4,Xero!$E:$E,Heron!$A68)+SUMIFS(Xero!$F:$F,Xero!$B:$B,Heron!AO$9,Xero!$A:$A,Heron!$A$5,Xero!$E:$E,Heron!$A68)</f>
        <v/>
      </c>
      <c r="AP68" s="101">
        <f>SUMIFS(Xero!$F:$F,Xero!$B:$B,Heron!AP$9,Xero!$A:$A,Heron!$A$4,Xero!$E:$E,Heron!$A68)+SUMIFS(Xero!$F:$F,Xero!$B:$B,Heron!AP$9,Xero!$A:$A,Heron!$A$5,Xero!$E:$E,Heron!$A68)</f>
        <v/>
      </c>
      <c r="AQ68" s="101">
        <f>SUMIFS(Xero!$F:$F,Xero!$B:$B,Heron!AQ$9,Xero!$A:$A,Heron!$A$4,Xero!$E:$E,Heron!$A68)+SUMIFS(Xero!$F:$F,Xero!$B:$B,Heron!AQ$9,Xero!$A:$A,Heron!$A$5,Xero!$E:$E,Heron!$A68)</f>
        <v/>
      </c>
      <c r="AR68" s="101">
        <f>SUMIFS(Xero!$F:$F,Xero!$B:$B,Heron!AR$9,Xero!$A:$A,Heron!$A$4,Xero!$E:$E,Heron!$A68)+SUMIFS(Xero!$F:$F,Xero!$B:$B,Heron!AR$9,Xero!$A:$A,Heron!$A$5,Xero!$E:$E,Heron!$A68)</f>
        <v/>
      </c>
      <c r="AS68" s="101">
        <f>SUMIFS(Xero!$F:$F,Xero!$B:$B,Heron!AS$9,Xero!$A:$A,Heron!$A$4,Xero!$E:$E,Heron!$A68)+SUMIFS(Xero!$F:$F,Xero!$B:$B,Heron!AS$9,Xero!$A:$A,Heron!$A$5,Xero!$E:$E,Heron!$A68)</f>
        <v/>
      </c>
      <c r="AT68" s="101">
        <f>SUMIFS(Xero!$F:$F,Xero!$B:$B,Heron!AT$9,Xero!$A:$A,Heron!$A$4,Xero!$E:$E,Heron!$A68)+SUMIFS(Xero!$F:$F,Xero!$B:$B,Heron!AT$9,Xero!$A:$A,Heron!$A$5,Xero!$E:$E,Heron!$A68)</f>
        <v/>
      </c>
      <c r="AU68" s="101">
        <f>SUMIFS(Xero!$F:$F,Xero!$B:$B,Heron!AU$9,Xero!$A:$A,Heron!$A$4,Xero!$E:$E,Heron!$A68)+SUMIFS(Xero!$F:$F,Xero!$B:$B,Heron!AU$9,Xero!$A:$A,Heron!$A$5,Xero!$E:$E,Heron!$A68)</f>
        <v/>
      </c>
      <c r="AV68" s="101">
        <f>SUMIFS(Xero!$F:$F,Xero!$B:$B,Heron!AV$9,Xero!$A:$A,Heron!$A$4,Xero!$E:$E,Heron!$A68)+SUMIFS(Xero!$F:$F,Xero!$B:$B,Heron!AV$9,Xero!$A:$A,Heron!$A$5,Xero!$E:$E,Heron!$A68)</f>
        <v/>
      </c>
      <c r="AW68" s="101">
        <f>SUMIFS(Xero!$F:$F,Xero!$B:$B,Heron!AW$9,Xero!$A:$A,Heron!$A$4,Xero!$E:$E,Heron!$A68)+SUMIFS(Xero!$F:$F,Xero!$B:$B,Heron!AW$9,Xero!$A:$A,Heron!$A$5,Xero!$E:$E,Heron!$A68)</f>
        <v/>
      </c>
      <c r="AX68" s="101">
        <f>SUMIFS(Xero!$F:$F,Xero!$B:$B,Heron!AX$9,Xero!$A:$A,Heron!$A$4,Xero!$E:$E,Heron!$A68)+SUMIFS(Xero!$F:$F,Xero!$B:$B,Heron!AX$9,Xero!$A:$A,Heron!$A$5,Xero!$E:$E,Heron!$A68)</f>
        <v/>
      </c>
      <c r="AY68" s="101">
        <f>SUMIFS(Xero!$F:$F,Xero!$B:$B,Heron!AY$9,Xero!$A:$A,Heron!$A$4,Xero!$E:$E,Heron!$A68)+SUMIFS(Xero!$F:$F,Xero!$B:$B,Heron!AY$9,Xero!$A:$A,Heron!$A$5,Xero!$E:$E,Heron!$A68)</f>
        <v/>
      </c>
      <c r="AZ68" s="101">
        <f>SUMIFS(Xero!$F:$F,Xero!$B:$B,Heron!AZ$9,Xero!$A:$A,Heron!$A$4,Xero!$E:$E,Heron!$A68)+SUMIFS(Xero!$F:$F,Xero!$B:$B,Heron!AZ$9,Xero!$A:$A,Heron!$A$5,Xero!$E:$E,Heron!$A68)</f>
        <v/>
      </c>
      <c r="BA68" s="101">
        <f>SUMIFS(Xero!$F:$F,Xero!$B:$B,Heron!BA$9,Xero!$A:$A,Heron!$A$4,Xero!$E:$E,Heron!$A68)+SUMIFS(Xero!$F:$F,Xero!$B:$B,Heron!BA$9,Xero!$A:$A,Heron!$A$5,Xero!$E:$E,Heron!$A68)</f>
        <v/>
      </c>
      <c r="BB68" s="101">
        <f>SUMIFS(Xero!$F:$F,Xero!$B:$B,Heron!BB$9,Xero!$A:$A,Heron!$A$4,Xero!$E:$E,Heron!$A68)+SUMIFS(Xero!$F:$F,Xero!$B:$B,Heron!BB$9,Xero!$A:$A,Heron!$A$5,Xero!$E:$E,Heron!$A68)</f>
        <v/>
      </c>
      <c r="BC68" s="101">
        <f>SUMIFS(Xero!$F:$F,Xero!$B:$B,Heron!BC$9,Xero!$A:$A,Heron!$A$4,Xero!$E:$E,Heron!$A68)+SUMIFS(Xero!$F:$F,Xero!$B:$B,Heron!BC$9,Xero!$A:$A,Heron!$A$5,Xero!$E:$E,Heron!$A68)</f>
        <v/>
      </c>
      <c r="BD68" s="101">
        <f>SUMIFS(Xero!$F:$F,Xero!$B:$B,Heron!BD$9,Xero!$A:$A,Heron!$A$4,Xero!$E:$E,Heron!$A68)+SUMIFS(Xero!$F:$F,Xero!$B:$B,Heron!BD$9,Xero!$A:$A,Heron!$A$5,Xero!$E:$E,Heron!$A68)</f>
        <v/>
      </c>
      <c r="BE68" s="101">
        <f>SUMIFS(Xero!$F:$F,Xero!$B:$B,Heron!BE$9,Xero!$A:$A,Heron!$A$4,Xero!$E:$E,Heron!$A68)+SUMIFS(Xero!$F:$F,Xero!$B:$B,Heron!BE$9,Xero!$A:$A,Heron!$A$5,Xero!$E:$E,Heron!$A68)</f>
        <v/>
      </c>
      <c r="BF68" s="101">
        <f>SUMIFS(Xero!$F:$F,Xero!$B:$B,Heron!BF$9,Xero!$A:$A,Heron!$A$4,Xero!$E:$E,Heron!$A68)+SUMIFS(Xero!$F:$F,Xero!$B:$B,Heron!BF$9,Xero!$A:$A,Heron!$A$5,Xero!$E:$E,Heron!$A68)</f>
        <v/>
      </c>
      <c r="BG68" s="101">
        <f>SUMIFS(Xero!$F:$F,Xero!$B:$B,Heron!BG$9,Xero!$A:$A,Heron!$A$4,Xero!$E:$E,Heron!$A68)+SUMIFS(Xero!$F:$F,Xero!$B:$B,Heron!BG$9,Xero!$A:$A,Heron!$A$5,Xero!$E:$E,Heron!$A68)</f>
        <v/>
      </c>
      <c r="BH68" s="101">
        <f>SUMIFS(Xero!$F:$F,Xero!$B:$B,Heron!BH$9,Xero!$A:$A,Heron!$A$4,Xero!$E:$E,Heron!$A68)+SUMIFS(Xero!$F:$F,Xero!$B:$B,Heron!BH$9,Xero!$A:$A,Heron!$A$5,Xero!$E:$E,Heron!$A68)</f>
        <v/>
      </c>
      <c r="BI68" s="101">
        <f>SUMIFS(Xero!$F:$F,Xero!$B:$B,Heron!BI$9,Xero!$A:$A,Heron!$A$4,Xero!$E:$E,Heron!$A68)+SUMIFS(Xero!$F:$F,Xero!$B:$B,Heron!BI$9,Xero!$A:$A,Heron!$A$5,Xero!$E:$E,Heron!$A68)</f>
        <v/>
      </c>
      <c r="BJ68" s="101">
        <f>SUMIFS(Xero!$F:$F,Xero!$B:$B,Heron!BJ$9,Xero!$A:$A,Heron!$A$4,Xero!$E:$E,Heron!$A68)+SUMIFS(Xero!$F:$F,Xero!$B:$B,Heron!BJ$9,Xero!$A:$A,Heron!$A$5,Xero!$E:$E,Heron!$A68)</f>
        <v/>
      </c>
      <c r="BK68" s="101">
        <f>sum(D68:BJ68)</f>
        <v/>
      </c>
    </row>
    <row r="69">
      <c r="A69" s="100" t="inlineStr">
        <is>
          <t>Entertainment Expenses</t>
        </is>
      </c>
      <c r="D69" s="101">
        <f>SUMIFS(Xero!$F:$F,Xero!$B:$B,Heron!D$9,Xero!$A:$A,Heron!$A$4,Xero!$E:$E,Heron!$A69)+SUMIFS(Xero!$F:$F,Xero!$B:$B,Heron!D$9,Xero!$A:$A,Heron!$A$5,Xero!$E:$E,Heron!$A69)</f>
        <v/>
      </c>
      <c r="E69" s="101">
        <f>SUMIFS(Xero!$F:$F,Xero!$B:$B,Heron!E$9,Xero!$A:$A,Heron!$A$4,Xero!$E:$E,Heron!$A69)+SUMIFS(Xero!$F:$F,Xero!$B:$B,Heron!E$9,Xero!$A:$A,Heron!$A$5,Xero!$E:$E,Heron!$A69)</f>
        <v/>
      </c>
      <c r="F69" s="101">
        <f>SUMIFS(Xero!$F:$F,Xero!$B:$B,Heron!F$9,Xero!$A:$A,Heron!$A$4,Xero!$E:$E,Heron!$A69)+SUMIFS(Xero!$F:$F,Xero!$B:$B,Heron!F$9,Xero!$A:$A,Heron!$A$5,Xero!$E:$E,Heron!$A69)</f>
        <v/>
      </c>
      <c r="G69" s="101">
        <f>SUMIFS(Xero!$F:$F,Xero!$B:$B,Heron!G$9,Xero!$A:$A,Heron!$A$4,Xero!$E:$E,Heron!$A69)+SUMIFS(Xero!$F:$F,Xero!$B:$B,Heron!G$9,Xero!$A:$A,Heron!$A$5,Xero!$E:$E,Heron!$A69)</f>
        <v/>
      </c>
      <c r="H69" s="101">
        <f>SUMIFS(Xero!$F:$F,Xero!$B:$B,Heron!H$9,Xero!$A:$A,Heron!$A$4,Xero!$E:$E,Heron!$A69)+SUMIFS(Xero!$F:$F,Xero!$B:$B,Heron!H$9,Xero!$A:$A,Heron!$A$5,Xero!$E:$E,Heron!$A69)</f>
        <v/>
      </c>
      <c r="I69" s="101">
        <f>SUMIFS(Xero!$F:$F,Xero!$B:$B,Heron!I$9,Xero!$A:$A,Heron!$A$4,Xero!$E:$E,Heron!$A69)+SUMIFS(Xero!$F:$F,Xero!$B:$B,Heron!I$9,Xero!$A:$A,Heron!$A$5,Xero!$E:$E,Heron!$A69)</f>
        <v/>
      </c>
      <c r="J69" s="101">
        <f>SUMIFS(Xero!$F:$F,Xero!$B:$B,Heron!J$9,Xero!$A:$A,Heron!$A$4,Xero!$E:$E,Heron!$A69)+SUMIFS(Xero!$F:$F,Xero!$B:$B,Heron!J$9,Xero!$A:$A,Heron!$A$5,Xero!$E:$E,Heron!$A69)</f>
        <v/>
      </c>
      <c r="K69" s="101">
        <f>SUMIFS(Xero!$F:$F,Xero!$B:$B,Heron!K$9,Xero!$A:$A,Heron!$A$4,Xero!$E:$E,Heron!$A69)+SUMIFS(Xero!$F:$F,Xero!$B:$B,Heron!K$9,Xero!$A:$A,Heron!$A$5,Xero!$E:$E,Heron!$A69)</f>
        <v/>
      </c>
      <c r="L69" s="101">
        <f>SUMIFS(Xero!$F:$F,Xero!$B:$B,Heron!L$9,Xero!$A:$A,Heron!$A$4,Xero!$E:$E,Heron!$A69)+SUMIFS(Xero!$F:$F,Xero!$B:$B,Heron!L$9,Xero!$A:$A,Heron!$A$5,Xero!$E:$E,Heron!$A69)</f>
        <v/>
      </c>
      <c r="M69" s="101">
        <f>SUMIFS(Xero!$F:$F,Xero!$B:$B,Heron!M$9,Xero!$A:$A,Heron!$A$4,Xero!$E:$E,Heron!$A69)+SUMIFS(Xero!$F:$F,Xero!$B:$B,Heron!M$9,Xero!$A:$A,Heron!$A$5,Xero!$E:$E,Heron!$A69)</f>
        <v/>
      </c>
      <c r="N69" s="101">
        <f>SUMIFS(Xero!$F:$F,Xero!$B:$B,Heron!N$9,Xero!$A:$A,Heron!$A$4,Xero!$E:$E,Heron!$A69)+SUMIFS(Xero!$F:$F,Xero!$B:$B,Heron!N$9,Xero!$A:$A,Heron!$A$5,Xero!$E:$E,Heron!$A69)</f>
        <v/>
      </c>
      <c r="O69" s="101">
        <f>SUMIFS(Xero!$F:$F,Xero!$B:$B,Heron!O$9,Xero!$A:$A,Heron!$A$4,Xero!$E:$E,Heron!$A69)+SUMIFS(Xero!$F:$F,Xero!$B:$B,Heron!O$9,Xero!$A:$A,Heron!$A$5,Xero!$E:$E,Heron!$A69)</f>
        <v/>
      </c>
      <c r="P69" s="101">
        <f>SUMIFS(Xero!$F:$F,Xero!$B:$B,Heron!P$9,Xero!$A:$A,Heron!$A$4,Xero!$E:$E,Heron!$A69)+SUMIFS(Xero!$F:$F,Xero!$B:$B,Heron!P$9,Xero!$A:$A,Heron!$A$5,Xero!$E:$E,Heron!$A69)</f>
        <v/>
      </c>
      <c r="Q69" s="101">
        <f>SUMIFS(Xero!$F:$F,Xero!$B:$B,Heron!Q$9,Xero!$A:$A,Heron!$A$4,Xero!$E:$E,Heron!$A69)+SUMIFS(Xero!$F:$F,Xero!$B:$B,Heron!Q$9,Xero!$A:$A,Heron!$A$5,Xero!$E:$E,Heron!$A69)</f>
        <v/>
      </c>
      <c r="R69" s="101">
        <f>SUMIFS(Xero!$F:$F,Xero!$B:$B,Heron!R$9,Xero!$A:$A,Heron!$A$4,Xero!$E:$E,Heron!$A69)+SUMIFS(Xero!$F:$F,Xero!$B:$B,Heron!R$9,Xero!$A:$A,Heron!$A$5,Xero!$E:$E,Heron!$A69)</f>
        <v/>
      </c>
      <c r="S69" s="101">
        <f>SUMIFS(Xero!$F:$F,Xero!$B:$B,Heron!S$9,Xero!$A:$A,Heron!$A$4,Xero!$E:$E,Heron!$A69)+SUMIFS(Xero!$F:$F,Xero!$B:$B,Heron!S$9,Xero!$A:$A,Heron!$A$5,Xero!$E:$E,Heron!$A69)</f>
        <v/>
      </c>
      <c r="T69" s="101">
        <f>SUMIFS(Xero!$F:$F,Xero!$B:$B,Heron!T$9,Xero!$A:$A,Heron!$A$4,Xero!$E:$E,Heron!$A69)+SUMIFS(Xero!$F:$F,Xero!$B:$B,Heron!T$9,Xero!$A:$A,Heron!$A$5,Xero!$E:$E,Heron!$A69)</f>
        <v/>
      </c>
      <c r="U69" s="101">
        <f>SUMIFS(Xero!$F:$F,Xero!$B:$B,Heron!U$9,Xero!$A:$A,Heron!$A$4,Xero!$E:$E,Heron!$A69)+SUMIFS(Xero!$F:$F,Xero!$B:$B,Heron!U$9,Xero!$A:$A,Heron!$A$5,Xero!$E:$E,Heron!$A69)</f>
        <v/>
      </c>
      <c r="V69" s="101">
        <f>SUMIFS(Xero!$F:$F,Xero!$B:$B,Heron!V$9,Xero!$A:$A,Heron!$A$4,Xero!$E:$E,Heron!$A69)+SUMIFS(Xero!$F:$F,Xero!$B:$B,Heron!V$9,Xero!$A:$A,Heron!$A$5,Xero!$E:$E,Heron!$A69)</f>
        <v/>
      </c>
      <c r="W69" s="101">
        <f>SUMIFS(Xero!$F:$F,Xero!$B:$B,Heron!W$9,Xero!$A:$A,Heron!$A$4,Xero!$E:$E,Heron!$A69)+SUMIFS(Xero!$F:$F,Xero!$B:$B,Heron!W$9,Xero!$A:$A,Heron!$A$5,Xero!$E:$E,Heron!$A69)</f>
        <v/>
      </c>
      <c r="X69" s="101">
        <f>SUMIFS(Xero!$F:$F,Xero!$B:$B,Heron!X$9,Xero!$A:$A,Heron!$A$4,Xero!$E:$E,Heron!$A69)+SUMIFS(Xero!$F:$F,Xero!$B:$B,Heron!X$9,Xero!$A:$A,Heron!$A$5,Xero!$E:$E,Heron!$A69)</f>
        <v/>
      </c>
      <c r="Y69" s="101">
        <f>SUMIFS(Xero!$F:$F,Xero!$B:$B,Heron!Y$9,Xero!$A:$A,Heron!$A$4,Xero!$E:$E,Heron!$A69)+SUMIFS(Xero!$F:$F,Xero!$B:$B,Heron!Y$9,Xero!$A:$A,Heron!$A$5,Xero!$E:$E,Heron!$A69)</f>
        <v/>
      </c>
      <c r="Z69" s="101">
        <f>SUMIFS(Xero!$F:$F,Xero!$B:$B,Heron!Z$9,Xero!$A:$A,Heron!$A$4,Xero!$E:$E,Heron!$A69)+SUMIFS(Xero!$F:$F,Xero!$B:$B,Heron!Z$9,Xero!$A:$A,Heron!$A$5,Xero!$E:$E,Heron!$A69)</f>
        <v/>
      </c>
      <c r="AA69" s="101">
        <f>SUMIFS(Xero!$F:$F,Xero!$B:$B,Heron!AA$9,Xero!$A:$A,Heron!$A$4,Xero!$E:$E,Heron!$A69)+SUMIFS(Xero!$F:$F,Xero!$B:$B,Heron!AA$9,Xero!$A:$A,Heron!$A$5,Xero!$E:$E,Heron!$A69)</f>
        <v/>
      </c>
      <c r="AB69" s="101">
        <f>SUMIFS(Xero!$F:$F,Xero!$B:$B,Heron!AB$9,Xero!$A:$A,Heron!$A$4,Xero!$E:$E,Heron!$A69)+SUMIFS(Xero!$F:$F,Xero!$B:$B,Heron!AB$9,Xero!$A:$A,Heron!$A$5,Xero!$E:$E,Heron!$A69)</f>
        <v/>
      </c>
      <c r="AC69" s="101">
        <f>SUMIFS(Xero!$F:$F,Xero!$B:$B,Heron!AC$9,Xero!$A:$A,Heron!$A$4,Xero!$E:$E,Heron!$A69)+SUMIFS(Xero!$F:$F,Xero!$B:$B,Heron!AC$9,Xero!$A:$A,Heron!$A$5,Xero!$E:$E,Heron!$A69)</f>
        <v/>
      </c>
      <c r="AD69" s="101">
        <f>SUMIFS(Xero!$F:$F,Xero!$B:$B,Heron!AD$9,Xero!$A:$A,Heron!$A$4,Xero!$E:$E,Heron!$A69)+SUMIFS(Xero!$F:$F,Xero!$B:$B,Heron!AD$9,Xero!$A:$A,Heron!$A$5,Xero!$E:$E,Heron!$A69)</f>
        <v/>
      </c>
      <c r="AE69" s="101">
        <f>SUMIFS(Xero!$F:$F,Xero!$B:$B,Heron!AE$9,Xero!$A:$A,Heron!$A$4,Xero!$E:$E,Heron!$A69)+SUMIFS(Xero!$F:$F,Xero!$B:$B,Heron!AE$9,Xero!$A:$A,Heron!$A$5,Xero!$E:$E,Heron!$A69)</f>
        <v/>
      </c>
      <c r="AF69" s="101">
        <f>SUMIFS(Xero!$F:$F,Xero!$B:$B,Heron!AF$9,Xero!$A:$A,Heron!$A$4,Xero!$E:$E,Heron!$A69)+SUMIFS(Xero!$F:$F,Xero!$B:$B,Heron!AF$9,Xero!$A:$A,Heron!$A$5,Xero!$E:$E,Heron!$A69)</f>
        <v/>
      </c>
      <c r="AG69" s="101">
        <f>SUMIFS(Xero!$F:$F,Xero!$B:$B,Heron!AG$9,Xero!$A:$A,Heron!$A$4,Xero!$E:$E,Heron!$A69)+SUMIFS(Xero!$F:$F,Xero!$B:$B,Heron!AG$9,Xero!$A:$A,Heron!$A$5,Xero!$E:$E,Heron!$A69)</f>
        <v/>
      </c>
      <c r="AH69" s="101">
        <f>SUMIFS(Xero!$F:$F,Xero!$B:$B,Heron!AH$9,Xero!$A:$A,Heron!$A$4,Xero!$E:$E,Heron!$A69)+SUMIFS(Xero!$F:$F,Xero!$B:$B,Heron!AH$9,Xero!$A:$A,Heron!$A$5,Xero!$E:$E,Heron!$A69)</f>
        <v/>
      </c>
      <c r="AI69" s="101">
        <f>SUMIFS(Xero!$F:$F,Xero!$B:$B,Heron!AI$9,Xero!$A:$A,Heron!$A$4,Xero!$E:$E,Heron!$A69)+SUMIFS(Xero!$F:$F,Xero!$B:$B,Heron!AI$9,Xero!$A:$A,Heron!$A$5,Xero!$E:$E,Heron!$A69)</f>
        <v/>
      </c>
      <c r="AJ69" s="101">
        <f>SUMIFS(Xero!$F:$F,Xero!$B:$B,Heron!AJ$9,Xero!$A:$A,Heron!$A$4,Xero!$E:$E,Heron!$A69)+SUMIFS(Xero!$F:$F,Xero!$B:$B,Heron!AJ$9,Xero!$A:$A,Heron!$A$5,Xero!$E:$E,Heron!$A69)</f>
        <v/>
      </c>
      <c r="AK69" s="101">
        <f>SUMIFS(Xero!$F:$F,Xero!$B:$B,Heron!AK$9,Xero!$A:$A,Heron!$A$4,Xero!$E:$E,Heron!$A69)+SUMIFS(Xero!$F:$F,Xero!$B:$B,Heron!AK$9,Xero!$A:$A,Heron!$A$5,Xero!$E:$E,Heron!$A69)</f>
        <v/>
      </c>
      <c r="AL69" s="101">
        <f>SUMIFS(Xero!$F:$F,Xero!$B:$B,Heron!AL$9,Xero!$A:$A,Heron!$A$4,Xero!$E:$E,Heron!$A69)+SUMIFS(Xero!$F:$F,Xero!$B:$B,Heron!AL$9,Xero!$A:$A,Heron!$A$5,Xero!$E:$E,Heron!$A69)</f>
        <v/>
      </c>
      <c r="AM69" s="101">
        <f>SUMIFS(Xero!$F:$F,Xero!$B:$B,Heron!AM$9,Xero!$A:$A,Heron!$A$4,Xero!$E:$E,Heron!$A69)+SUMIFS(Xero!$F:$F,Xero!$B:$B,Heron!AM$9,Xero!$A:$A,Heron!$A$5,Xero!$E:$E,Heron!$A69)</f>
        <v/>
      </c>
      <c r="AN69" s="101">
        <f>SUMIFS(Xero!$F:$F,Xero!$B:$B,Heron!AN$9,Xero!$A:$A,Heron!$A$4,Xero!$E:$E,Heron!$A69)+SUMIFS(Xero!$F:$F,Xero!$B:$B,Heron!AN$9,Xero!$A:$A,Heron!$A$5,Xero!$E:$E,Heron!$A69)</f>
        <v/>
      </c>
      <c r="AO69" s="101">
        <f>SUMIFS(Xero!$F:$F,Xero!$B:$B,Heron!AO$9,Xero!$A:$A,Heron!$A$4,Xero!$E:$E,Heron!$A69)+SUMIFS(Xero!$F:$F,Xero!$B:$B,Heron!AO$9,Xero!$A:$A,Heron!$A$5,Xero!$E:$E,Heron!$A69)</f>
        <v/>
      </c>
      <c r="AP69" s="101">
        <f>SUMIFS(Xero!$F:$F,Xero!$B:$B,Heron!AP$9,Xero!$A:$A,Heron!$A$4,Xero!$E:$E,Heron!$A69)+SUMIFS(Xero!$F:$F,Xero!$B:$B,Heron!AP$9,Xero!$A:$A,Heron!$A$5,Xero!$E:$E,Heron!$A69)</f>
        <v/>
      </c>
      <c r="AQ69" s="101">
        <f>SUMIFS(Xero!$F:$F,Xero!$B:$B,Heron!AQ$9,Xero!$A:$A,Heron!$A$4,Xero!$E:$E,Heron!$A69)+SUMIFS(Xero!$F:$F,Xero!$B:$B,Heron!AQ$9,Xero!$A:$A,Heron!$A$5,Xero!$E:$E,Heron!$A69)</f>
        <v/>
      </c>
      <c r="AR69" s="101">
        <f>SUMIFS(Xero!$F:$F,Xero!$B:$B,Heron!AR$9,Xero!$A:$A,Heron!$A$4,Xero!$E:$E,Heron!$A69)+SUMIFS(Xero!$F:$F,Xero!$B:$B,Heron!AR$9,Xero!$A:$A,Heron!$A$5,Xero!$E:$E,Heron!$A69)</f>
        <v/>
      </c>
      <c r="AS69" s="101">
        <f>SUMIFS(Xero!$F:$F,Xero!$B:$B,Heron!AS$9,Xero!$A:$A,Heron!$A$4,Xero!$E:$E,Heron!$A69)+SUMIFS(Xero!$F:$F,Xero!$B:$B,Heron!AS$9,Xero!$A:$A,Heron!$A$5,Xero!$E:$E,Heron!$A69)</f>
        <v/>
      </c>
      <c r="AT69" s="101">
        <f>SUMIFS(Xero!$F:$F,Xero!$B:$B,Heron!AT$9,Xero!$A:$A,Heron!$A$4,Xero!$E:$E,Heron!$A69)+SUMIFS(Xero!$F:$F,Xero!$B:$B,Heron!AT$9,Xero!$A:$A,Heron!$A$5,Xero!$E:$E,Heron!$A69)</f>
        <v/>
      </c>
      <c r="AU69" s="101">
        <f>SUMIFS(Xero!$F:$F,Xero!$B:$B,Heron!AU$9,Xero!$A:$A,Heron!$A$4,Xero!$E:$E,Heron!$A69)+SUMIFS(Xero!$F:$F,Xero!$B:$B,Heron!AU$9,Xero!$A:$A,Heron!$A$5,Xero!$E:$E,Heron!$A69)</f>
        <v/>
      </c>
      <c r="AV69" s="101">
        <f>SUMIFS(Xero!$F:$F,Xero!$B:$B,Heron!AV$9,Xero!$A:$A,Heron!$A$4,Xero!$E:$E,Heron!$A69)+SUMIFS(Xero!$F:$F,Xero!$B:$B,Heron!AV$9,Xero!$A:$A,Heron!$A$5,Xero!$E:$E,Heron!$A69)</f>
        <v/>
      </c>
      <c r="AW69" s="101">
        <f>SUMIFS(Xero!$F:$F,Xero!$B:$B,Heron!AW$9,Xero!$A:$A,Heron!$A$4,Xero!$E:$E,Heron!$A69)+SUMIFS(Xero!$F:$F,Xero!$B:$B,Heron!AW$9,Xero!$A:$A,Heron!$A$5,Xero!$E:$E,Heron!$A69)</f>
        <v/>
      </c>
      <c r="AX69" s="101">
        <f>SUMIFS(Xero!$F:$F,Xero!$B:$B,Heron!AX$9,Xero!$A:$A,Heron!$A$4,Xero!$E:$E,Heron!$A69)+SUMIFS(Xero!$F:$F,Xero!$B:$B,Heron!AX$9,Xero!$A:$A,Heron!$A$5,Xero!$E:$E,Heron!$A69)</f>
        <v/>
      </c>
      <c r="AY69" s="101">
        <f>SUMIFS(Xero!$F:$F,Xero!$B:$B,Heron!AY$9,Xero!$A:$A,Heron!$A$4,Xero!$E:$E,Heron!$A69)+SUMIFS(Xero!$F:$F,Xero!$B:$B,Heron!AY$9,Xero!$A:$A,Heron!$A$5,Xero!$E:$E,Heron!$A69)</f>
        <v/>
      </c>
      <c r="AZ69" s="101">
        <f>SUMIFS(Xero!$F:$F,Xero!$B:$B,Heron!AZ$9,Xero!$A:$A,Heron!$A$4,Xero!$E:$E,Heron!$A69)+SUMIFS(Xero!$F:$F,Xero!$B:$B,Heron!AZ$9,Xero!$A:$A,Heron!$A$5,Xero!$E:$E,Heron!$A69)</f>
        <v/>
      </c>
      <c r="BA69" s="101">
        <f>SUMIFS(Xero!$F:$F,Xero!$B:$B,Heron!BA$9,Xero!$A:$A,Heron!$A$4,Xero!$E:$E,Heron!$A69)+SUMIFS(Xero!$F:$F,Xero!$B:$B,Heron!BA$9,Xero!$A:$A,Heron!$A$5,Xero!$E:$E,Heron!$A69)</f>
        <v/>
      </c>
      <c r="BB69" s="101">
        <f>SUMIFS(Xero!$F:$F,Xero!$B:$B,Heron!BB$9,Xero!$A:$A,Heron!$A$4,Xero!$E:$E,Heron!$A69)+SUMIFS(Xero!$F:$F,Xero!$B:$B,Heron!BB$9,Xero!$A:$A,Heron!$A$5,Xero!$E:$E,Heron!$A69)</f>
        <v/>
      </c>
      <c r="BC69" s="101">
        <f>SUMIFS(Xero!$F:$F,Xero!$B:$B,Heron!BC$9,Xero!$A:$A,Heron!$A$4,Xero!$E:$E,Heron!$A69)+SUMIFS(Xero!$F:$F,Xero!$B:$B,Heron!BC$9,Xero!$A:$A,Heron!$A$5,Xero!$E:$E,Heron!$A69)</f>
        <v/>
      </c>
      <c r="BD69" s="101">
        <f>SUMIFS(Xero!$F:$F,Xero!$B:$B,Heron!BD$9,Xero!$A:$A,Heron!$A$4,Xero!$E:$E,Heron!$A69)+SUMIFS(Xero!$F:$F,Xero!$B:$B,Heron!BD$9,Xero!$A:$A,Heron!$A$5,Xero!$E:$E,Heron!$A69)</f>
        <v/>
      </c>
      <c r="BE69" s="101">
        <f>SUMIFS(Xero!$F:$F,Xero!$B:$B,Heron!BE$9,Xero!$A:$A,Heron!$A$4,Xero!$E:$E,Heron!$A69)+SUMIFS(Xero!$F:$F,Xero!$B:$B,Heron!BE$9,Xero!$A:$A,Heron!$A$5,Xero!$E:$E,Heron!$A69)</f>
        <v/>
      </c>
      <c r="BF69" s="101">
        <f>SUMIFS(Xero!$F:$F,Xero!$B:$B,Heron!BF$9,Xero!$A:$A,Heron!$A$4,Xero!$E:$E,Heron!$A69)+SUMIFS(Xero!$F:$F,Xero!$B:$B,Heron!BF$9,Xero!$A:$A,Heron!$A$5,Xero!$E:$E,Heron!$A69)</f>
        <v/>
      </c>
      <c r="BG69" s="101">
        <f>SUMIFS(Xero!$F:$F,Xero!$B:$B,Heron!BG$9,Xero!$A:$A,Heron!$A$4,Xero!$E:$E,Heron!$A69)+SUMIFS(Xero!$F:$F,Xero!$B:$B,Heron!BG$9,Xero!$A:$A,Heron!$A$5,Xero!$E:$E,Heron!$A69)</f>
        <v/>
      </c>
      <c r="BH69" s="101">
        <f>SUMIFS(Xero!$F:$F,Xero!$B:$B,Heron!BH$9,Xero!$A:$A,Heron!$A$4,Xero!$E:$E,Heron!$A69)+SUMIFS(Xero!$F:$F,Xero!$B:$B,Heron!BH$9,Xero!$A:$A,Heron!$A$5,Xero!$E:$E,Heron!$A69)</f>
        <v/>
      </c>
      <c r="BI69" s="101">
        <f>SUMIFS(Xero!$F:$F,Xero!$B:$B,Heron!BI$9,Xero!$A:$A,Heron!$A$4,Xero!$E:$E,Heron!$A69)+SUMIFS(Xero!$F:$F,Xero!$B:$B,Heron!BI$9,Xero!$A:$A,Heron!$A$5,Xero!$E:$E,Heron!$A69)</f>
        <v/>
      </c>
      <c r="BJ69" s="101">
        <f>SUMIFS(Xero!$F:$F,Xero!$B:$B,Heron!BJ$9,Xero!$A:$A,Heron!$A$4,Xero!$E:$E,Heron!$A69)+SUMIFS(Xero!$F:$F,Xero!$B:$B,Heron!BJ$9,Xero!$A:$A,Heron!$A$5,Xero!$E:$E,Heron!$A69)</f>
        <v/>
      </c>
      <c r="BK69" s="101">
        <f>sum(D69:BJ69)</f>
        <v/>
      </c>
    </row>
    <row r="70">
      <c r="A70" s="100" t="inlineStr">
        <is>
          <t>General Expenses</t>
        </is>
      </c>
      <c r="D70" s="101">
        <f>SUMIFS(Xero!$F:$F,Xero!$B:$B,Heron!D$9,Xero!$A:$A,Heron!$A$4,Xero!$E:$E,Heron!$A70)+SUMIFS(Xero!$F:$F,Xero!$B:$B,Heron!D$9,Xero!$A:$A,Heron!$A$5,Xero!$E:$E,Heron!$A70)</f>
        <v/>
      </c>
      <c r="E70" s="101">
        <f>SUMIFS(Xero!$F:$F,Xero!$B:$B,Heron!E$9,Xero!$A:$A,Heron!$A$4,Xero!$E:$E,Heron!$A70)+SUMIFS(Xero!$F:$F,Xero!$B:$B,Heron!E$9,Xero!$A:$A,Heron!$A$5,Xero!$E:$E,Heron!$A70)</f>
        <v/>
      </c>
      <c r="F70" s="101">
        <f>SUMIFS(Xero!$F:$F,Xero!$B:$B,Heron!F$9,Xero!$A:$A,Heron!$A$4,Xero!$E:$E,Heron!$A70)+SUMIFS(Xero!$F:$F,Xero!$B:$B,Heron!F$9,Xero!$A:$A,Heron!$A$5,Xero!$E:$E,Heron!$A70)</f>
        <v/>
      </c>
      <c r="G70" s="101">
        <f>SUMIFS(Xero!$F:$F,Xero!$B:$B,Heron!G$9,Xero!$A:$A,Heron!$A$4,Xero!$E:$E,Heron!$A70)+SUMIFS(Xero!$F:$F,Xero!$B:$B,Heron!G$9,Xero!$A:$A,Heron!$A$5,Xero!$E:$E,Heron!$A70)</f>
        <v/>
      </c>
      <c r="H70" s="101">
        <f>SUMIFS(Xero!$F:$F,Xero!$B:$B,Heron!H$9,Xero!$A:$A,Heron!$A$4,Xero!$E:$E,Heron!$A70)+SUMIFS(Xero!$F:$F,Xero!$B:$B,Heron!H$9,Xero!$A:$A,Heron!$A$5,Xero!$E:$E,Heron!$A70)</f>
        <v/>
      </c>
      <c r="I70" s="101">
        <f>SUMIFS(Xero!$F:$F,Xero!$B:$B,Heron!I$9,Xero!$A:$A,Heron!$A$4,Xero!$E:$E,Heron!$A70)+SUMIFS(Xero!$F:$F,Xero!$B:$B,Heron!I$9,Xero!$A:$A,Heron!$A$5,Xero!$E:$E,Heron!$A70)</f>
        <v/>
      </c>
      <c r="J70" s="101">
        <f>SUMIFS(Xero!$F:$F,Xero!$B:$B,Heron!J$9,Xero!$A:$A,Heron!$A$4,Xero!$E:$E,Heron!$A70)+SUMIFS(Xero!$F:$F,Xero!$B:$B,Heron!J$9,Xero!$A:$A,Heron!$A$5,Xero!$E:$E,Heron!$A70)</f>
        <v/>
      </c>
      <c r="K70" s="101">
        <f>SUMIFS(Xero!$F:$F,Xero!$B:$B,Heron!K$9,Xero!$A:$A,Heron!$A$4,Xero!$E:$E,Heron!$A70)+SUMIFS(Xero!$F:$F,Xero!$B:$B,Heron!K$9,Xero!$A:$A,Heron!$A$5,Xero!$E:$E,Heron!$A70)</f>
        <v/>
      </c>
      <c r="L70" s="101">
        <f>SUMIFS(Xero!$F:$F,Xero!$B:$B,Heron!L$9,Xero!$A:$A,Heron!$A$4,Xero!$E:$E,Heron!$A70)+SUMIFS(Xero!$F:$F,Xero!$B:$B,Heron!L$9,Xero!$A:$A,Heron!$A$5,Xero!$E:$E,Heron!$A70)</f>
        <v/>
      </c>
      <c r="M70" s="101">
        <f>SUMIFS(Xero!$F:$F,Xero!$B:$B,Heron!M$9,Xero!$A:$A,Heron!$A$4,Xero!$E:$E,Heron!$A70)+SUMIFS(Xero!$F:$F,Xero!$B:$B,Heron!M$9,Xero!$A:$A,Heron!$A$5,Xero!$E:$E,Heron!$A70)</f>
        <v/>
      </c>
      <c r="N70" s="101">
        <f>SUMIFS(Xero!$F:$F,Xero!$B:$B,Heron!N$9,Xero!$A:$A,Heron!$A$4,Xero!$E:$E,Heron!$A70)+SUMIFS(Xero!$F:$F,Xero!$B:$B,Heron!N$9,Xero!$A:$A,Heron!$A$5,Xero!$E:$E,Heron!$A70)</f>
        <v/>
      </c>
      <c r="O70" s="101">
        <f>SUMIFS(Xero!$F:$F,Xero!$B:$B,Heron!O$9,Xero!$A:$A,Heron!$A$4,Xero!$E:$E,Heron!$A70)+SUMIFS(Xero!$F:$F,Xero!$B:$B,Heron!O$9,Xero!$A:$A,Heron!$A$5,Xero!$E:$E,Heron!$A70)</f>
        <v/>
      </c>
      <c r="P70" s="101">
        <f>SUMIFS(Xero!$F:$F,Xero!$B:$B,Heron!P$9,Xero!$A:$A,Heron!$A$4,Xero!$E:$E,Heron!$A70)+SUMIFS(Xero!$F:$F,Xero!$B:$B,Heron!P$9,Xero!$A:$A,Heron!$A$5,Xero!$E:$E,Heron!$A70)</f>
        <v/>
      </c>
      <c r="Q70" s="101">
        <f>SUMIFS(Xero!$F:$F,Xero!$B:$B,Heron!Q$9,Xero!$A:$A,Heron!$A$4,Xero!$E:$E,Heron!$A70)+SUMIFS(Xero!$F:$F,Xero!$B:$B,Heron!Q$9,Xero!$A:$A,Heron!$A$5,Xero!$E:$E,Heron!$A70)</f>
        <v/>
      </c>
      <c r="R70" s="101">
        <f>SUMIFS(Xero!$F:$F,Xero!$B:$B,Heron!R$9,Xero!$A:$A,Heron!$A$4,Xero!$E:$E,Heron!$A70)+SUMIFS(Xero!$F:$F,Xero!$B:$B,Heron!R$9,Xero!$A:$A,Heron!$A$5,Xero!$E:$E,Heron!$A70)</f>
        <v/>
      </c>
      <c r="S70" s="101">
        <f>SUMIFS(Xero!$F:$F,Xero!$B:$B,Heron!S$9,Xero!$A:$A,Heron!$A$4,Xero!$E:$E,Heron!$A70)+SUMIFS(Xero!$F:$F,Xero!$B:$B,Heron!S$9,Xero!$A:$A,Heron!$A$5,Xero!$E:$E,Heron!$A70)</f>
        <v/>
      </c>
      <c r="T70" s="101">
        <f>SUMIFS(Xero!$F:$F,Xero!$B:$B,Heron!T$9,Xero!$A:$A,Heron!$A$4,Xero!$E:$E,Heron!$A70)+SUMIFS(Xero!$F:$F,Xero!$B:$B,Heron!T$9,Xero!$A:$A,Heron!$A$5,Xero!$E:$E,Heron!$A70)</f>
        <v/>
      </c>
      <c r="U70" s="101">
        <f>SUMIFS(Xero!$F:$F,Xero!$B:$B,Heron!U$9,Xero!$A:$A,Heron!$A$4,Xero!$E:$E,Heron!$A70)+SUMIFS(Xero!$F:$F,Xero!$B:$B,Heron!U$9,Xero!$A:$A,Heron!$A$5,Xero!$E:$E,Heron!$A70)</f>
        <v/>
      </c>
      <c r="V70" s="101">
        <f>SUMIFS(Xero!$F:$F,Xero!$B:$B,Heron!V$9,Xero!$A:$A,Heron!$A$4,Xero!$E:$E,Heron!$A70)+SUMIFS(Xero!$F:$F,Xero!$B:$B,Heron!V$9,Xero!$A:$A,Heron!$A$5,Xero!$E:$E,Heron!$A70)</f>
        <v/>
      </c>
      <c r="W70" s="101">
        <f>SUMIFS(Xero!$F:$F,Xero!$B:$B,Heron!W$9,Xero!$A:$A,Heron!$A$4,Xero!$E:$E,Heron!$A70)+SUMIFS(Xero!$F:$F,Xero!$B:$B,Heron!W$9,Xero!$A:$A,Heron!$A$5,Xero!$E:$E,Heron!$A70)</f>
        <v/>
      </c>
      <c r="X70" s="101">
        <f>SUMIFS(Xero!$F:$F,Xero!$B:$B,Heron!X$9,Xero!$A:$A,Heron!$A$4,Xero!$E:$E,Heron!$A70)+SUMIFS(Xero!$F:$F,Xero!$B:$B,Heron!X$9,Xero!$A:$A,Heron!$A$5,Xero!$E:$E,Heron!$A70)</f>
        <v/>
      </c>
      <c r="Y70" s="101">
        <f>SUMIFS(Xero!$F:$F,Xero!$B:$B,Heron!Y$9,Xero!$A:$A,Heron!$A$4,Xero!$E:$E,Heron!$A70)+SUMIFS(Xero!$F:$F,Xero!$B:$B,Heron!Y$9,Xero!$A:$A,Heron!$A$5,Xero!$E:$E,Heron!$A70)</f>
        <v/>
      </c>
      <c r="Z70" s="101">
        <f>SUMIFS(Xero!$F:$F,Xero!$B:$B,Heron!Z$9,Xero!$A:$A,Heron!$A$4,Xero!$E:$E,Heron!$A70)+SUMIFS(Xero!$F:$F,Xero!$B:$B,Heron!Z$9,Xero!$A:$A,Heron!$A$5,Xero!$E:$E,Heron!$A70)</f>
        <v/>
      </c>
      <c r="AA70" s="101">
        <f>SUMIFS(Xero!$F:$F,Xero!$B:$B,Heron!AA$9,Xero!$A:$A,Heron!$A$4,Xero!$E:$E,Heron!$A70)+SUMIFS(Xero!$F:$F,Xero!$B:$B,Heron!AA$9,Xero!$A:$A,Heron!$A$5,Xero!$E:$E,Heron!$A70)</f>
        <v/>
      </c>
      <c r="AB70" s="101">
        <f>SUMIFS(Xero!$F:$F,Xero!$B:$B,Heron!AB$9,Xero!$A:$A,Heron!$A$4,Xero!$E:$E,Heron!$A70)+SUMIFS(Xero!$F:$F,Xero!$B:$B,Heron!AB$9,Xero!$A:$A,Heron!$A$5,Xero!$E:$E,Heron!$A70)</f>
        <v/>
      </c>
      <c r="AC70" s="101">
        <f>SUMIFS(Xero!$F:$F,Xero!$B:$B,Heron!AC$9,Xero!$A:$A,Heron!$A$4,Xero!$E:$E,Heron!$A70)+SUMIFS(Xero!$F:$F,Xero!$B:$B,Heron!AC$9,Xero!$A:$A,Heron!$A$5,Xero!$E:$E,Heron!$A70)</f>
        <v/>
      </c>
      <c r="AD70" s="101">
        <f>SUMIFS(Xero!$F:$F,Xero!$B:$B,Heron!AD$9,Xero!$A:$A,Heron!$A$4,Xero!$E:$E,Heron!$A70)+SUMIFS(Xero!$F:$F,Xero!$B:$B,Heron!AD$9,Xero!$A:$A,Heron!$A$5,Xero!$E:$E,Heron!$A70)</f>
        <v/>
      </c>
      <c r="AE70" s="101">
        <f>SUMIFS(Xero!$F:$F,Xero!$B:$B,Heron!AE$9,Xero!$A:$A,Heron!$A$4,Xero!$E:$E,Heron!$A70)+SUMIFS(Xero!$F:$F,Xero!$B:$B,Heron!AE$9,Xero!$A:$A,Heron!$A$5,Xero!$E:$E,Heron!$A70)</f>
        <v/>
      </c>
      <c r="AF70" s="101">
        <f>SUMIFS(Xero!$F:$F,Xero!$B:$B,Heron!AF$9,Xero!$A:$A,Heron!$A$4,Xero!$E:$E,Heron!$A70)+SUMIFS(Xero!$F:$F,Xero!$B:$B,Heron!AF$9,Xero!$A:$A,Heron!$A$5,Xero!$E:$E,Heron!$A70)</f>
        <v/>
      </c>
      <c r="AG70" s="101">
        <f>SUMIFS(Xero!$F:$F,Xero!$B:$B,Heron!AG$9,Xero!$A:$A,Heron!$A$4,Xero!$E:$E,Heron!$A70)+SUMIFS(Xero!$F:$F,Xero!$B:$B,Heron!AG$9,Xero!$A:$A,Heron!$A$5,Xero!$E:$E,Heron!$A70)</f>
        <v/>
      </c>
      <c r="AH70" s="101">
        <f>SUMIFS(Xero!$F:$F,Xero!$B:$B,Heron!AH$9,Xero!$A:$A,Heron!$A$4,Xero!$E:$E,Heron!$A70)+SUMIFS(Xero!$F:$F,Xero!$B:$B,Heron!AH$9,Xero!$A:$A,Heron!$A$5,Xero!$E:$E,Heron!$A70)</f>
        <v/>
      </c>
      <c r="AI70" s="101">
        <f>SUMIFS(Xero!$F:$F,Xero!$B:$B,Heron!AI$9,Xero!$A:$A,Heron!$A$4,Xero!$E:$E,Heron!$A70)+SUMIFS(Xero!$F:$F,Xero!$B:$B,Heron!AI$9,Xero!$A:$A,Heron!$A$5,Xero!$E:$E,Heron!$A70)</f>
        <v/>
      </c>
      <c r="AJ70" s="101">
        <f>SUMIFS(Xero!$F:$F,Xero!$B:$B,Heron!AJ$9,Xero!$A:$A,Heron!$A$4,Xero!$E:$E,Heron!$A70)+SUMIFS(Xero!$F:$F,Xero!$B:$B,Heron!AJ$9,Xero!$A:$A,Heron!$A$5,Xero!$E:$E,Heron!$A70)</f>
        <v/>
      </c>
      <c r="AK70" s="101">
        <f>SUMIFS(Xero!$F:$F,Xero!$B:$B,Heron!AK$9,Xero!$A:$A,Heron!$A$4,Xero!$E:$E,Heron!$A70)+SUMIFS(Xero!$F:$F,Xero!$B:$B,Heron!AK$9,Xero!$A:$A,Heron!$A$5,Xero!$E:$E,Heron!$A70)</f>
        <v/>
      </c>
      <c r="AL70" s="101">
        <f>SUMIFS(Xero!$F:$F,Xero!$B:$B,Heron!AL$9,Xero!$A:$A,Heron!$A$4,Xero!$E:$E,Heron!$A70)+SUMIFS(Xero!$F:$F,Xero!$B:$B,Heron!AL$9,Xero!$A:$A,Heron!$A$5,Xero!$E:$E,Heron!$A70)</f>
        <v/>
      </c>
      <c r="AM70" s="101">
        <f>SUMIFS(Xero!$F:$F,Xero!$B:$B,Heron!AM$9,Xero!$A:$A,Heron!$A$4,Xero!$E:$E,Heron!$A70)+SUMIFS(Xero!$F:$F,Xero!$B:$B,Heron!AM$9,Xero!$A:$A,Heron!$A$5,Xero!$E:$E,Heron!$A70)</f>
        <v/>
      </c>
      <c r="AN70" s="101">
        <f>SUMIFS(Xero!$F:$F,Xero!$B:$B,Heron!AN$9,Xero!$A:$A,Heron!$A$4,Xero!$E:$E,Heron!$A70)+SUMIFS(Xero!$F:$F,Xero!$B:$B,Heron!AN$9,Xero!$A:$A,Heron!$A$5,Xero!$E:$E,Heron!$A70)</f>
        <v/>
      </c>
      <c r="AO70" s="101">
        <f>SUMIFS(Xero!$F:$F,Xero!$B:$B,Heron!AO$9,Xero!$A:$A,Heron!$A$4,Xero!$E:$E,Heron!$A70)+SUMIFS(Xero!$F:$F,Xero!$B:$B,Heron!AO$9,Xero!$A:$A,Heron!$A$5,Xero!$E:$E,Heron!$A70)</f>
        <v/>
      </c>
      <c r="AP70" s="101">
        <f>SUMIFS(Xero!$F:$F,Xero!$B:$B,Heron!AP$9,Xero!$A:$A,Heron!$A$4,Xero!$E:$E,Heron!$A70)+SUMIFS(Xero!$F:$F,Xero!$B:$B,Heron!AP$9,Xero!$A:$A,Heron!$A$5,Xero!$E:$E,Heron!$A70)</f>
        <v/>
      </c>
      <c r="AQ70" s="101">
        <f>SUMIFS(Xero!$F:$F,Xero!$B:$B,Heron!AQ$9,Xero!$A:$A,Heron!$A$4,Xero!$E:$E,Heron!$A70)+SUMIFS(Xero!$F:$F,Xero!$B:$B,Heron!AQ$9,Xero!$A:$A,Heron!$A$5,Xero!$E:$E,Heron!$A70)</f>
        <v/>
      </c>
      <c r="AR70" s="101">
        <f>SUMIFS(Xero!$F:$F,Xero!$B:$B,Heron!AR$9,Xero!$A:$A,Heron!$A$4,Xero!$E:$E,Heron!$A70)+SUMIFS(Xero!$F:$F,Xero!$B:$B,Heron!AR$9,Xero!$A:$A,Heron!$A$5,Xero!$E:$E,Heron!$A70)</f>
        <v/>
      </c>
      <c r="AS70" s="101">
        <f>SUMIFS(Xero!$F:$F,Xero!$B:$B,Heron!AS$9,Xero!$A:$A,Heron!$A$4,Xero!$E:$E,Heron!$A70)+SUMIFS(Xero!$F:$F,Xero!$B:$B,Heron!AS$9,Xero!$A:$A,Heron!$A$5,Xero!$E:$E,Heron!$A70)</f>
        <v/>
      </c>
      <c r="AT70" s="101">
        <f>SUMIFS(Xero!$F:$F,Xero!$B:$B,Heron!AT$9,Xero!$A:$A,Heron!$A$4,Xero!$E:$E,Heron!$A70)+SUMIFS(Xero!$F:$F,Xero!$B:$B,Heron!AT$9,Xero!$A:$A,Heron!$A$5,Xero!$E:$E,Heron!$A70)</f>
        <v/>
      </c>
      <c r="AU70" s="101">
        <f>SUMIFS(Xero!$F:$F,Xero!$B:$B,Heron!AU$9,Xero!$A:$A,Heron!$A$4,Xero!$E:$E,Heron!$A70)+SUMIFS(Xero!$F:$F,Xero!$B:$B,Heron!AU$9,Xero!$A:$A,Heron!$A$5,Xero!$E:$E,Heron!$A70)</f>
        <v/>
      </c>
      <c r="AV70" s="101">
        <f>SUMIFS(Xero!$F:$F,Xero!$B:$B,Heron!AV$9,Xero!$A:$A,Heron!$A$4,Xero!$E:$E,Heron!$A70)+SUMIFS(Xero!$F:$F,Xero!$B:$B,Heron!AV$9,Xero!$A:$A,Heron!$A$5,Xero!$E:$E,Heron!$A70)</f>
        <v/>
      </c>
      <c r="AW70" s="101">
        <f>SUMIFS(Xero!$F:$F,Xero!$B:$B,Heron!AW$9,Xero!$A:$A,Heron!$A$4,Xero!$E:$E,Heron!$A70)+SUMIFS(Xero!$F:$F,Xero!$B:$B,Heron!AW$9,Xero!$A:$A,Heron!$A$5,Xero!$E:$E,Heron!$A70)</f>
        <v/>
      </c>
      <c r="AX70" s="101">
        <f>SUMIFS(Xero!$F:$F,Xero!$B:$B,Heron!AX$9,Xero!$A:$A,Heron!$A$4,Xero!$E:$E,Heron!$A70)+SUMIFS(Xero!$F:$F,Xero!$B:$B,Heron!AX$9,Xero!$A:$A,Heron!$A$5,Xero!$E:$E,Heron!$A70)</f>
        <v/>
      </c>
      <c r="AY70" s="101">
        <f>SUMIFS(Xero!$F:$F,Xero!$B:$B,Heron!AY$9,Xero!$A:$A,Heron!$A$4,Xero!$E:$E,Heron!$A70)+SUMIFS(Xero!$F:$F,Xero!$B:$B,Heron!AY$9,Xero!$A:$A,Heron!$A$5,Xero!$E:$E,Heron!$A70)</f>
        <v/>
      </c>
      <c r="AZ70" s="101">
        <f>SUMIFS(Xero!$F:$F,Xero!$B:$B,Heron!AZ$9,Xero!$A:$A,Heron!$A$4,Xero!$E:$E,Heron!$A70)+SUMIFS(Xero!$F:$F,Xero!$B:$B,Heron!AZ$9,Xero!$A:$A,Heron!$A$5,Xero!$E:$E,Heron!$A70)</f>
        <v/>
      </c>
      <c r="BA70" s="101">
        <f>SUMIFS(Xero!$F:$F,Xero!$B:$B,Heron!BA$9,Xero!$A:$A,Heron!$A$4,Xero!$E:$E,Heron!$A70)+SUMIFS(Xero!$F:$F,Xero!$B:$B,Heron!BA$9,Xero!$A:$A,Heron!$A$5,Xero!$E:$E,Heron!$A70)</f>
        <v/>
      </c>
      <c r="BB70" s="101">
        <f>SUMIFS(Xero!$F:$F,Xero!$B:$B,Heron!BB$9,Xero!$A:$A,Heron!$A$4,Xero!$E:$E,Heron!$A70)+SUMIFS(Xero!$F:$F,Xero!$B:$B,Heron!BB$9,Xero!$A:$A,Heron!$A$5,Xero!$E:$E,Heron!$A70)</f>
        <v/>
      </c>
      <c r="BC70" s="101">
        <f>SUMIFS(Xero!$F:$F,Xero!$B:$B,Heron!BC$9,Xero!$A:$A,Heron!$A$4,Xero!$E:$E,Heron!$A70)+SUMIFS(Xero!$F:$F,Xero!$B:$B,Heron!BC$9,Xero!$A:$A,Heron!$A$5,Xero!$E:$E,Heron!$A70)</f>
        <v/>
      </c>
      <c r="BD70" s="101">
        <f>SUMIFS(Xero!$F:$F,Xero!$B:$B,Heron!BD$9,Xero!$A:$A,Heron!$A$4,Xero!$E:$E,Heron!$A70)+SUMIFS(Xero!$F:$F,Xero!$B:$B,Heron!BD$9,Xero!$A:$A,Heron!$A$5,Xero!$E:$E,Heron!$A70)</f>
        <v/>
      </c>
      <c r="BE70" s="101">
        <f>SUMIFS(Xero!$F:$F,Xero!$B:$B,Heron!BE$9,Xero!$A:$A,Heron!$A$4,Xero!$E:$E,Heron!$A70)+SUMIFS(Xero!$F:$F,Xero!$B:$B,Heron!BE$9,Xero!$A:$A,Heron!$A$5,Xero!$E:$E,Heron!$A70)</f>
        <v/>
      </c>
      <c r="BF70" s="101">
        <f>SUMIFS(Xero!$F:$F,Xero!$B:$B,Heron!BF$9,Xero!$A:$A,Heron!$A$4,Xero!$E:$E,Heron!$A70)+SUMIFS(Xero!$F:$F,Xero!$B:$B,Heron!BF$9,Xero!$A:$A,Heron!$A$5,Xero!$E:$E,Heron!$A70)</f>
        <v/>
      </c>
      <c r="BG70" s="101">
        <f>SUMIFS(Xero!$F:$F,Xero!$B:$B,Heron!BG$9,Xero!$A:$A,Heron!$A$4,Xero!$E:$E,Heron!$A70)+SUMIFS(Xero!$F:$F,Xero!$B:$B,Heron!BG$9,Xero!$A:$A,Heron!$A$5,Xero!$E:$E,Heron!$A70)</f>
        <v/>
      </c>
      <c r="BH70" s="101">
        <f>SUMIFS(Xero!$F:$F,Xero!$B:$B,Heron!BH$9,Xero!$A:$A,Heron!$A$4,Xero!$E:$E,Heron!$A70)+SUMIFS(Xero!$F:$F,Xero!$B:$B,Heron!BH$9,Xero!$A:$A,Heron!$A$5,Xero!$E:$E,Heron!$A70)</f>
        <v/>
      </c>
      <c r="BI70" s="101">
        <f>SUMIFS(Xero!$F:$F,Xero!$B:$B,Heron!BI$9,Xero!$A:$A,Heron!$A$4,Xero!$E:$E,Heron!$A70)+SUMIFS(Xero!$F:$F,Xero!$B:$B,Heron!BI$9,Xero!$A:$A,Heron!$A$5,Xero!$E:$E,Heron!$A70)</f>
        <v/>
      </c>
      <c r="BJ70" s="101">
        <f>SUMIFS(Xero!$F:$F,Xero!$B:$B,Heron!BJ$9,Xero!$A:$A,Heron!$A$4,Xero!$E:$E,Heron!$A70)+SUMIFS(Xero!$F:$F,Xero!$B:$B,Heron!BJ$9,Xero!$A:$A,Heron!$A$5,Xero!$E:$E,Heron!$A70)</f>
        <v/>
      </c>
      <c r="BK70" s="101">
        <f>sum(D70:BJ70)</f>
        <v/>
      </c>
    </row>
    <row r="71">
      <c r="A71" s="100" t="inlineStr">
        <is>
          <t>Insurance</t>
        </is>
      </c>
      <c r="D71" s="101">
        <f>SUMIFS(Xero!$F:$F,Xero!$B:$B,Heron!D$9,Xero!$A:$A,Heron!$A$4,Xero!$E:$E,Heron!$A71)+SUMIFS(Xero!$F:$F,Xero!$B:$B,Heron!D$9,Xero!$A:$A,Heron!$A$5,Xero!$E:$E,Heron!$A71)</f>
        <v/>
      </c>
      <c r="E71" s="101">
        <f>SUMIFS(Xero!$F:$F,Xero!$B:$B,Heron!E$9,Xero!$A:$A,Heron!$A$4,Xero!$E:$E,Heron!$A71)+SUMIFS(Xero!$F:$F,Xero!$B:$B,Heron!E$9,Xero!$A:$A,Heron!$A$5,Xero!$E:$E,Heron!$A71)</f>
        <v/>
      </c>
      <c r="F71" s="101">
        <f>SUMIFS(Xero!$F:$F,Xero!$B:$B,Heron!F$9,Xero!$A:$A,Heron!$A$4,Xero!$E:$E,Heron!$A71)+SUMIFS(Xero!$F:$F,Xero!$B:$B,Heron!F$9,Xero!$A:$A,Heron!$A$5,Xero!$E:$E,Heron!$A71)</f>
        <v/>
      </c>
      <c r="G71" s="101">
        <f>SUMIFS(Xero!$F:$F,Xero!$B:$B,Heron!G$9,Xero!$A:$A,Heron!$A$4,Xero!$E:$E,Heron!$A71)+SUMIFS(Xero!$F:$F,Xero!$B:$B,Heron!G$9,Xero!$A:$A,Heron!$A$5,Xero!$E:$E,Heron!$A71)</f>
        <v/>
      </c>
      <c r="H71" s="101">
        <f>SUMIFS(Xero!$F:$F,Xero!$B:$B,Heron!H$9,Xero!$A:$A,Heron!$A$4,Xero!$E:$E,Heron!$A71)+SUMIFS(Xero!$F:$F,Xero!$B:$B,Heron!H$9,Xero!$A:$A,Heron!$A$5,Xero!$E:$E,Heron!$A71)</f>
        <v/>
      </c>
      <c r="I71" s="101">
        <f>SUMIFS(Xero!$F:$F,Xero!$B:$B,Heron!I$9,Xero!$A:$A,Heron!$A$4,Xero!$E:$E,Heron!$A71)+SUMIFS(Xero!$F:$F,Xero!$B:$B,Heron!I$9,Xero!$A:$A,Heron!$A$5,Xero!$E:$E,Heron!$A71)</f>
        <v/>
      </c>
      <c r="J71" s="101">
        <f>SUMIFS(Xero!$F:$F,Xero!$B:$B,Heron!J$9,Xero!$A:$A,Heron!$A$4,Xero!$E:$E,Heron!$A71)+SUMIFS(Xero!$F:$F,Xero!$B:$B,Heron!J$9,Xero!$A:$A,Heron!$A$5,Xero!$E:$E,Heron!$A71)</f>
        <v/>
      </c>
      <c r="K71" s="101">
        <f>SUMIFS(Xero!$F:$F,Xero!$B:$B,Heron!K$9,Xero!$A:$A,Heron!$A$4,Xero!$E:$E,Heron!$A71)+SUMIFS(Xero!$F:$F,Xero!$B:$B,Heron!K$9,Xero!$A:$A,Heron!$A$5,Xero!$E:$E,Heron!$A71)</f>
        <v/>
      </c>
      <c r="L71" s="101">
        <f>SUMIFS(Xero!$F:$F,Xero!$B:$B,Heron!L$9,Xero!$A:$A,Heron!$A$4,Xero!$E:$E,Heron!$A71)+SUMIFS(Xero!$F:$F,Xero!$B:$B,Heron!L$9,Xero!$A:$A,Heron!$A$5,Xero!$E:$E,Heron!$A71)</f>
        <v/>
      </c>
      <c r="M71" s="101">
        <f>SUMIFS(Xero!$F:$F,Xero!$B:$B,Heron!M$9,Xero!$A:$A,Heron!$A$4,Xero!$E:$E,Heron!$A71)+SUMIFS(Xero!$F:$F,Xero!$B:$B,Heron!M$9,Xero!$A:$A,Heron!$A$5,Xero!$E:$E,Heron!$A71)</f>
        <v/>
      </c>
      <c r="N71" s="101">
        <f>SUMIFS(Xero!$F:$F,Xero!$B:$B,Heron!N$9,Xero!$A:$A,Heron!$A$4,Xero!$E:$E,Heron!$A71)+SUMIFS(Xero!$F:$F,Xero!$B:$B,Heron!N$9,Xero!$A:$A,Heron!$A$5,Xero!$E:$E,Heron!$A71)</f>
        <v/>
      </c>
      <c r="O71" s="101">
        <f>SUMIFS(Xero!$F:$F,Xero!$B:$B,Heron!O$9,Xero!$A:$A,Heron!$A$4,Xero!$E:$E,Heron!$A71)+SUMIFS(Xero!$F:$F,Xero!$B:$B,Heron!O$9,Xero!$A:$A,Heron!$A$5,Xero!$E:$E,Heron!$A71)</f>
        <v/>
      </c>
      <c r="P71" s="101">
        <f>SUMIFS(Xero!$F:$F,Xero!$B:$B,Heron!P$9,Xero!$A:$A,Heron!$A$4,Xero!$E:$E,Heron!$A71)+SUMIFS(Xero!$F:$F,Xero!$B:$B,Heron!P$9,Xero!$A:$A,Heron!$A$5,Xero!$E:$E,Heron!$A71)</f>
        <v/>
      </c>
      <c r="Q71" s="101">
        <f>SUMIFS(Xero!$F:$F,Xero!$B:$B,Heron!Q$9,Xero!$A:$A,Heron!$A$4,Xero!$E:$E,Heron!$A71)+SUMIFS(Xero!$F:$F,Xero!$B:$B,Heron!Q$9,Xero!$A:$A,Heron!$A$5,Xero!$E:$E,Heron!$A71)</f>
        <v/>
      </c>
      <c r="R71" s="101">
        <f>SUMIFS(Xero!$F:$F,Xero!$B:$B,Heron!R$9,Xero!$A:$A,Heron!$A$4,Xero!$E:$E,Heron!$A71)+SUMIFS(Xero!$F:$F,Xero!$B:$B,Heron!R$9,Xero!$A:$A,Heron!$A$5,Xero!$E:$E,Heron!$A71)</f>
        <v/>
      </c>
      <c r="S71" s="101">
        <f>SUMIFS(Xero!$F:$F,Xero!$B:$B,Heron!S$9,Xero!$A:$A,Heron!$A$4,Xero!$E:$E,Heron!$A71)+SUMIFS(Xero!$F:$F,Xero!$B:$B,Heron!S$9,Xero!$A:$A,Heron!$A$5,Xero!$E:$E,Heron!$A71)</f>
        <v/>
      </c>
      <c r="T71" s="101">
        <f>SUMIFS(Xero!$F:$F,Xero!$B:$B,Heron!T$9,Xero!$A:$A,Heron!$A$4,Xero!$E:$E,Heron!$A71)+SUMIFS(Xero!$F:$F,Xero!$B:$B,Heron!T$9,Xero!$A:$A,Heron!$A$5,Xero!$E:$E,Heron!$A71)</f>
        <v/>
      </c>
      <c r="U71" s="101">
        <f>SUMIFS(Xero!$F:$F,Xero!$B:$B,Heron!U$9,Xero!$A:$A,Heron!$A$4,Xero!$E:$E,Heron!$A71)+SUMIFS(Xero!$F:$F,Xero!$B:$B,Heron!U$9,Xero!$A:$A,Heron!$A$5,Xero!$E:$E,Heron!$A71)</f>
        <v/>
      </c>
      <c r="V71" s="101">
        <f>SUMIFS(Xero!$F:$F,Xero!$B:$B,Heron!V$9,Xero!$A:$A,Heron!$A$4,Xero!$E:$E,Heron!$A71)+SUMIFS(Xero!$F:$F,Xero!$B:$B,Heron!V$9,Xero!$A:$A,Heron!$A$5,Xero!$E:$E,Heron!$A71)</f>
        <v/>
      </c>
      <c r="W71" s="101">
        <f>SUMIFS(Xero!$F:$F,Xero!$B:$B,Heron!W$9,Xero!$A:$A,Heron!$A$4,Xero!$E:$E,Heron!$A71)+SUMIFS(Xero!$F:$F,Xero!$B:$B,Heron!W$9,Xero!$A:$A,Heron!$A$5,Xero!$E:$E,Heron!$A71)</f>
        <v/>
      </c>
      <c r="X71" s="101">
        <f>SUMIFS(Xero!$F:$F,Xero!$B:$B,Heron!X$9,Xero!$A:$A,Heron!$A$4,Xero!$E:$E,Heron!$A71)+SUMIFS(Xero!$F:$F,Xero!$B:$B,Heron!X$9,Xero!$A:$A,Heron!$A$5,Xero!$E:$E,Heron!$A71)</f>
        <v/>
      </c>
      <c r="Y71" s="101">
        <f>SUMIFS(Xero!$F:$F,Xero!$B:$B,Heron!Y$9,Xero!$A:$A,Heron!$A$4,Xero!$E:$E,Heron!$A71)+SUMIFS(Xero!$F:$F,Xero!$B:$B,Heron!Y$9,Xero!$A:$A,Heron!$A$5,Xero!$E:$E,Heron!$A71)</f>
        <v/>
      </c>
      <c r="Z71" s="101">
        <f>SUMIFS(Xero!$F:$F,Xero!$B:$B,Heron!Z$9,Xero!$A:$A,Heron!$A$4,Xero!$E:$E,Heron!$A71)+SUMIFS(Xero!$F:$F,Xero!$B:$B,Heron!Z$9,Xero!$A:$A,Heron!$A$5,Xero!$E:$E,Heron!$A71)</f>
        <v/>
      </c>
      <c r="AA71" s="101">
        <f>SUMIFS(Xero!$F:$F,Xero!$B:$B,Heron!AA$9,Xero!$A:$A,Heron!$A$4,Xero!$E:$E,Heron!$A71)+SUMIFS(Xero!$F:$F,Xero!$B:$B,Heron!AA$9,Xero!$A:$A,Heron!$A$5,Xero!$E:$E,Heron!$A71)</f>
        <v/>
      </c>
      <c r="AB71" s="101">
        <f>SUMIFS(Xero!$F:$F,Xero!$B:$B,Heron!AB$9,Xero!$A:$A,Heron!$A$4,Xero!$E:$E,Heron!$A71)+SUMIFS(Xero!$F:$F,Xero!$B:$B,Heron!AB$9,Xero!$A:$A,Heron!$A$5,Xero!$E:$E,Heron!$A71)</f>
        <v/>
      </c>
      <c r="AC71" s="101">
        <f>SUMIFS(Xero!$F:$F,Xero!$B:$B,Heron!AC$9,Xero!$A:$A,Heron!$A$4,Xero!$E:$E,Heron!$A71)+SUMIFS(Xero!$F:$F,Xero!$B:$B,Heron!AC$9,Xero!$A:$A,Heron!$A$5,Xero!$E:$E,Heron!$A71)</f>
        <v/>
      </c>
      <c r="AD71" s="101">
        <f>SUMIFS(Xero!$F:$F,Xero!$B:$B,Heron!AD$9,Xero!$A:$A,Heron!$A$4,Xero!$E:$E,Heron!$A71)+SUMIFS(Xero!$F:$F,Xero!$B:$B,Heron!AD$9,Xero!$A:$A,Heron!$A$5,Xero!$E:$E,Heron!$A71)</f>
        <v/>
      </c>
      <c r="AE71" s="101">
        <f>SUMIFS(Xero!$F:$F,Xero!$B:$B,Heron!AE$9,Xero!$A:$A,Heron!$A$4,Xero!$E:$E,Heron!$A71)+SUMIFS(Xero!$F:$F,Xero!$B:$B,Heron!AE$9,Xero!$A:$A,Heron!$A$5,Xero!$E:$E,Heron!$A71)</f>
        <v/>
      </c>
      <c r="AF71" s="101">
        <f>SUMIFS(Xero!$F:$F,Xero!$B:$B,Heron!AF$9,Xero!$A:$A,Heron!$A$4,Xero!$E:$E,Heron!$A71)+SUMIFS(Xero!$F:$F,Xero!$B:$B,Heron!AF$9,Xero!$A:$A,Heron!$A$5,Xero!$E:$E,Heron!$A71)</f>
        <v/>
      </c>
      <c r="AG71" s="101">
        <f>SUMIFS(Xero!$F:$F,Xero!$B:$B,Heron!AG$9,Xero!$A:$A,Heron!$A$4,Xero!$E:$E,Heron!$A71)+SUMIFS(Xero!$F:$F,Xero!$B:$B,Heron!AG$9,Xero!$A:$A,Heron!$A$5,Xero!$E:$E,Heron!$A71)</f>
        <v/>
      </c>
      <c r="AH71" s="101">
        <f>SUMIFS(Xero!$F:$F,Xero!$B:$B,Heron!AH$9,Xero!$A:$A,Heron!$A$4,Xero!$E:$E,Heron!$A71)+SUMIFS(Xero!$F:$F,Xero!$B:$B,Heron!AH$9,Xero!$A:$A,Heron!$A$5,Xero!$E:$E,Heron!$A71)</f>
        <v/>
      </c>
      <c r="AI71" s="101">
        <f>SUMIFS(Xero!$F:$F,Xero!$B:$B,Heron!AI$9,Xero!$A:$A,Heron!$A$4,Xero!$E:$E,Heron!$A71)+SUMIFS(Xero!$F:$F,Xero!$B:$B,Heron!AI$9,Xero!$A:$A,Heron!$A$5,Xero!$E:$E,Heron!$A71)</f>
        <v/>
      </c>
      <c r="AJ71" s="101">
        <f>SUMIFS(Xero!$F:$F,Xero!$B:$B,Heron!AJ$9,Xero!$A:$A,Heron!$A$4,Xero!$E:$E,Heron!$A71)+SUMIFS(Xero!$F:$F,Xero!$B:$B,Heron!AJ$9,Xero!$A:$A,Heron!$A$5,Xero!$E:$E,Heron!$A71)</f>
        <v/>
      </c>
      <c r="AK71" s="101">
        <f>SUMIFS(Xero!$F:$F,Xero!$B:$B,Heron!AK$9,Xero!$A:$A,Heron!$A$4,Xero!$E:$E,Heron!$A71)+SUMIFS(Xero!$F:$F,Xero!$B:$B,Heron!AK$9,Xero!$A:$A,Heron!$A$5,Xero!$E:$E,Heron!$A71)</f>
        <v/>
      </c>
      <c r="AL71" s="101">
        <f>SUMIFS(Xero!$F:$F,Xero!$B:$B,Heron!AL$9,Xero!$A:$A,Heron!$A$4,Xero!$E:$E,Heron!$A71)+SUMIFS(Xero!$F:$F,Xero!$B:$B,Heron!AL$9,Xero!$A:$A,Heron!$A$5,Xero!$E:$E,Heron!$A71)</f>
        <v/>
      </c>
      <c r="AM71" s="101">
        <f>SUMIFS(Xero!$F:$F,Xero!$B:$B,Heron!AM$9,Xero!$A:$A,Heron!$A$4,Xero!$E:$E,Heron!$A71)+SUMIFS(Xero!$F:$F,Xero!$B:$B,Heron!AM$9,Xero!$A:$A,Heron!$A$5,Xero!$E:$E,Heron!$A71)</f>
        <v/>
      </c>
      <c r="AN71" s="101">
        <f>SUMIFS(Xero!$F:$F,Xero!$B:$B,Heron!AN$9,Xero!$A:$A,Heron!$A$4,Xero!$E:$E,Heron!$A71)+SUMIFS(Xero!$F:$F,Xero!$B:$B,Heron!AN$9,Xero!$A:$A,Heron!$A$5,Xero!$E:$E,Heron!$A71)</f>
        <v/>
      </c>
      <c r="AO71" s="101">
        <f>SUMIFS(Xero!$F:$F,Xero!$B:$B,Heron!AO$9,Xero!$A:$A,Heron!$A$4,Xero!$E:$E,Heron!$A71)+SUMIFS(Xero!$F:$F,Xero!$B:$B,Heron!AO$9,Xero!$A:$A,Heron!$A$5,Xero!$E:$E,Heron!$A71)</f>
        <v/>
      </c>
      <c r="AP71" s="101">
        <f>SUMIFS(Xero!$F:$F,Xero!$B:$B,Heron!AP$9,Xero!$A:$A,Heron!$A$4,Xero!$E:$E,Heron!$A71)+SUMIFS(Xero!$F:$F,Xero!$B:$B,Heron!AP$9,Xero!$A:$A,Heron!$A$5,Xero!$E:$E,Heron!$A71)</f>
        <v/>
      </c>
      <c r="AQ71" s="101">
        <f>SUMIFS(Xero!$F:$F,Xero!$B:$B,Heron!AQ$9,Xero!$A:$A,Heron!$A$4,Xero!$E:$E,Heron!$A71)+SUMIFS(Xero!$F:$F,Xero!$B:$B,Heron!AQ$9,Xero!$A:$A,Heron!$A$5,Xero!$E:$E,Heron!$A71)</f>
        <v/>
      </c>
      <c r="AR71" s="101">
        <f>SUMIFS(Xero!$F:$F,Xero!$B:$B,Heron!AR$9,Xero!$A:$A,Heron!$A$4,Xero!$E:$E,Heron!$A71)+SUMIFS(Xero!$F:$F,Xero!$B:$B,Heron!AR$9,Xero!$A:$A,Heron!$A$5,Xero!$E:$E,Heron!$A71)</f>
        <v/>
      </c>
      <c r="AS71" s="101">
        <f>SUMIFS(Xero!$F:$F,Xero!$B:$B,Heron!AS$9,Xero!$A:$A,Heron!$A$4,Xero!$E:$E,Heron!$A71)+SUMIFS(Xero!$F:$F,Xero!$B:$B,Heron!AS$9,Xero!$A:$A,Heron!$A$5,Xero!$E:$E,Heron!$A71)</f>
        <v/>
      </c>
      <c r="AT71" s="101">
        <f>SUMIFS(Xero!$F:$F,Xero!$B:$B,Heron!AT$9,Xero!$A:$A,Heron!$A$4,Xero!$E:$E,Heron!$A71)+SUMIFS(Xero!$F:$F,Xero!$B:$B,Heron!AT$9,Xero!$A:$A,Heron!$A$5,Xero!$E:$E,Heron!$A71)</f>
        <v/>
      </c>
      <c r="AU71" s="101">
        <f>SUMIFS(Xero!$F:$F,Xero!$B:$B,Heron!AU$9,Xero!$A:$A,Heron!$A$4,Xero!$E:$E,Heron!$A71)+SUMIFS(Xero!$F:$F,Xero!$B:$B,Heron!AU$9,Xero!$A:$A,Heron!$A$5,Xero!$E:$E,Heron!$A71)</f>
        <v/>
      </c>
      <c r="AV71" s="101">
        <f>SUMIFS(Xero!$F:$F,Xero!$B:$B,Heron!AV$9,Xero!$A:$A,Heron!$A$4,Xero!$E:$E,Heron!$A71)+SUMIFS(Xero!$F:$F,Xero!$B:$B,Heron!AV$9,Xero!$A:$A,Heron!$A$5,Xero!$E:$E,Heron!$A71)</f>
        <v/>
      </c>
      <c r="AW71" s="101">
        <f>SUMIFS(Xero!$F:$F,Xero!$B:$B,Heron!AW$9,Xero!$A:$A,Heron!$A$4,Xero!$E:$E,Heron!$A71)+SUMIFS(Xero!$F:$F,Xero!$B:$B,Heron!AW$9,Xero!$A:$A,Heron!$A$5,Xero!$E:$E,Heron!$A71)</f>
        <v/>
      </c>
      <c r="AX71" s="101">
        <f>SUMIFS(Xero!$F:$F,Xero!$B:$B,Heron!AX$9,Xero!$A:$A,Heron!$A$4,Xero!$E:$E,Heron!$A71)+SUMIFS(Xero!$F:$F,Xero!$B:$B,Heron!AX$9,Xero!$A:$A,Heron!$A$5,Xero!$E:$E,Heron!$A71)</f>
        <v/>
      </c>
      <c r="AY71" s="101">
        <f>SUMIFS(Xero!$F:$F,Xero!$B:$B,Heron!AY$9,Xero!$A:$A,Heron!$A$4,Xero!$E:$E,Heron!$A71)+SUMIFS(Xero!$F:$F,Xero!$B:$B,Heron!AY$9,Xero!$A:$A,Heron!$A$5,Xero!$E:$E,Heron!$A71)</f>
        <v/>
      </c>
      <c r="AZ71" s="101">
        <f>SUMIFS(Xero!$F:$F,Xero!$B:$B,Heron!AZ$9,Xero!$A:$A,Heron!$A$4,Xero!$E:$E,Heron!$A71)+SUMIFS(Xero!$F:$F,Xero!$B:$B,Heron!AZ$9,Xero!$A:$A,Heron!$A$5,Xero!$E:$E,Heron!$A71)</f>
        <v/>
      </c>
      <c r="BA71" s="101">
        <f>SUMIFS(Xero!$F:$F,Xero!$B:$B,Heron!BA$9,Xero!$A:$A,Heron!$A$4,Xero!$E:$E,Heron!$A71)+SUMIFS(Xero!$F:$F,Xero!$B:$B,Heron!BA$9,Xero!$A:$A,Heron!$A$5,Xero!$E:$E,Heron!$A71)</f>
        <v/>
      </c>
      <c r="BB71" s="101">
        <f>SUMIFS(Xero!$F:$F,Xero!$B:$B,Heron!BB$9,Xero!$A:$A,Heron!$A$4,Xero!$E:$E,Heron!$A71)+SUMIFS(Xero!$F:$F,Xero!$B:$B,Heron!BB$9,Xero!$A:$A,Heron!$A$5,Xero!$E:$E,Heron!$A71)</f>
        <v/>
      </c>
      <c r="BC71" s="101">
        <f>SUMIFS(Xero!$F:$F,Xero!$B:$B,Heron!BC$9,Xero!$A:$A,Heron!$A$4,Xero!$E:$E,Heron!$A71)+SUMIFS(Xero!$F:$F,Xero!$B:$B,Heron!BC$9,Xero!$A:$A,Heron!$A$5,Xero!$E:$E,Heron!$A71)</f>
        <v/>
      </c>
      <c r="BD71" s="101">
        <f>SUMIFS(Xero!$F:$F,Xero!$B:$B,Heron!BD$9,Xero!$A:$A,Heron!$A$4,Xero!$E:$E,Heron!$A71)+SUMIFS(Xero!$F:$F,Xero!$B:$B,Heron!BD$9,Xero!$A:$A,Heron!$A$5,Xero!$E:$E,Heron!$A71)</f>
        <v/>
      </c>
      <c r="BE71" s="101">
        <f>SUMIFS(Xero!$F:$F,Xero!$B:$B,Heron!BE$9,Xero!$A:$A,Heron!$A$4,Xero!$E:$E,Heron!$A71)+SUMIFS(Xero!$F:$F,Xero!$B:$B,Heron!BE$9,Xero!$A:$A,Heron!$A$5,Xero!$E:$E,Heron!$A71)</f>
        <v/>
      </c>
      <c r="BF71" s="101">
        <f>SUMIFS(Xero!$F:$F,Xero!$B:$B,Heron!BF$9,Xero!$A:$A,Heron!$A$4,Xero!$E:$E,Heron!$A71)+SUMIFS(Xero!$F:$F,Xero!$B:$B,Heron!BF$9,Xero!$A:$A,Heron!$A$5,Xero!$E:$E,Heron!$A71)</f>
        <v/>
      </c>
      <c r="BG71" s="101">
        <f>SUMIFS(Xero!$F:$F,Xero!$B:$B,Heron!BG$9,Xero!$A:$A,Heron!$A$4,Xero!$E:$E,Heron!$A71)+SUMIFS(Xero!$F:$F,Xero!$B:$B,Heron!BG$9,Xero!$A:$A,Heron!$A$5,Xero!$E:$E,Heron!$A71)</f>
        <v/>
      </c>
      <c r="BH71" s="101">
        <f>SUMIFS(Xero!$F:$F,Xero!$B:$B,Heron!BH$9,Xero!$A:$A,Heron!$A$4,Xero!$E:$E,Heron!$A71)+SUMIFS(Xero!$F:$F,Xero!$B:$B,Heron!BH$9,Xero!$A:$A,Heron!$A$5,Xero!$E:$E,Heron!$A71)</f>
        <v/>
      </c>
      <c r="BI71" s="101">
        <f>SUMIFS(Xero!$F:$F,Xero!$B:$B,Heron!BI$9,Xero!$A:$A,Heron!$A$4,Xero!$E:$E,Heron!$A71)+SUMIFS(Xero!$F:$F,Xero!$B:$B,Heron!BI$9,Xero!$A:$A,Heron!$A$5,Xero!$E:$E,Heron!$A71)</f>
        <v/>
      </c>
      <c r="BJ71" s="101">
        <f>SUMIFS(Xero!$F:$F,Xero!$B:$B,Heron!BJ$9,Xero!$A:$A,Heron!$A$4,Xero!$E:$E,Heron!$A71)+SUMIFS(Xero!$F:$F,Xero!$B:$B,Heron!BJ$9,Xero!$A:$A,Heron!$A$5,Xero!$E:$E,Heron!$A71)</f>
        <v/>
      </c>
      <c r="BK71" s="101">
        <f>sum(D71:BJ71)</f>
        <v/>
      </c>
    </row>
    <row r="72">
      <c r="A72" s="100" t="inlineStr">
        <is>
          <t>Interest Paid</t>
        </is>
      </c>
      <c r="D72" s="101">
        <f>SUMIFS(Xero!$F:$F,Xero!$B:$B,Heron!D$9,Xero!$A:$A,Heron!$A$4,Xero!$E:$E,Heron!$A72)+SUMIFS(Xero!$F:$F,Xero!$B:$B,Heron!D$9,Xero!$A:$A,Heron!$A$5,Xero!$E:$E,Heron!$A72)</f>
        <v/>
      </c>
      <c r="E72" s="101">
        <f>SUMIFS(Xero!$F:$F,Xero!$B:$B,Heron!E$9,Xero!$A:$A,Heron!$A$4,Xero!$E:$E,Heron!$A72)+SUMIFS(Xero!$F:$F,Xero!$B:$B,Heron!E$9,Xero!$A:$A,Heron!$A$5,Xero!$E:$E,Heron!$A72)</f>
        <v/>
      </c>
      <c r="F72" s="101">
        <f>SUMIFS(Xero!$F:$F,Xero!$B:$B,Heron!F$9,Xero!$A:$A,Heron!$A$4,Xero!$E:$E,Heron!$A72)+SUMIFS(Xero!$F:$F,Xero!$B:$B,Heron!F$9,Xero!$A:$A,Heron!$A$5,Xero!$E:$E,Heron!$A72)</f>
        <v/>
      </c>
      <c r="G72" s="101">
        <f>SUMIFS(Xero!$F:$F,Xero!$B:$B,Heron!G$9,Xero!$A:$A,Heron!$A$4,Xero!$E:$E,Heron!$A72)+SUMIFS(Xero!$F:$F,Xero!$B:$B,Heron!G$9,Xero!$A:$A,Heron!$A$5,Xero!$E:$E,Heron!$A72)</f>
        <v/>
      </c>
      <c r="H72" s="101">
        <f>SUMIFS(Xero!$F:$F,Xero!$B:$B,Heron!H$9,Xero!$A:$A,Heron!$A$4,Xero!$E:$E,Heron!$A72)+SUMIFS(Xero!$F:$F,Xero!$B:$B,Heron!H$9,Xero!$A:$A,Heron!$A$5,Xero!$E:$E,Heron!$A72)</f>
        <v/>
      </c>
      <c r="I72" s="101">
        <f>SUMIFS(Xero!$F:$F,Xero!$B:$B,Heron!I$9,Xero!$A:$A,Heron!$A$4,Xero!$E:$E,Heron!$A72)+SUMIFS(Xero!$F:$F,Xero!$B:$B,Heron!I$9,Xero!$A:$A,Heron!$A$5,Xero!$E:$E,Heron!$A72)</f>
        <v/>
      </c>
      <c r="J72" s="101">
        <f>SUMIFS(Xero!$F:$F,Xero!$B:$B,Heron!J$9,Xero!$A:$A,Heron!$A$4,Xero!$E:$E,Heron!$A72)+SUMIFS(Xero!$F:$F,Xero!$B:$B,Heron!J$9,Xero!$A:$A,Heron!$A$5,Xero!$E:$E,Heron!$A72)</f>
        <v/>
      </c>
      <c r="K72" s="101">
        <f>SUMIFS(Xero!$F:$F,Xero!$B:$B,Heron!K$9,Xero!$A:$A,Heron!$A$4,Xero!$E:$E,Heron!$A72)+SUMIFS(Xero!$F:$F,Xero!$B:$B,Heron!K$9,Xero!$A:$A,Heron!$A$5,Xero!$E:$E,Heron!$A72)</f>
        <v/>
      </c>
      <c r="L72" s="101">
        <f>SUMIFS(Xero!$F:$F,Xero!$B:$B,Heron!L$9,Xero!$A:$A,Heron!$A$4,Xero!$E:$E,Heron!$A72)+SUMIFS(Xero!$F:$F,Xero!$B:$B,Heron!L$9,Xero!$A:$A,Heron!$A$5,Xero!$E:$E,Heron!$A72)</f>
        <v/>
      </c>
      <c r="M72" s="101">
        <f>SUMIFS(Xero!$F:$F,Xero!$B:$B,Heron!M$9,Xero!$A:$A,Heron!$A$4,Xero!$E:$E,Heron!$A72)+SUMIFS(Xero!$F:$F,Xero!$B:$B,Heron!M$9,Xero!$A:$A,Heron!$A$5,Xero!$E:$E,Heron!$A72)</f>
        <v/>
      </c>
      <c r="N72" s="101">
        <f>SUMIFS(Xero!$F:$F,Xero!$B:$B,Heron!N$9,Xero!$A:$A,Heron!$A$4,Xero!$E:$E,Heron!$A72)+SUMIFS(Xero!$F:$F,Xero!$B:$B,Heron!N$9,Xero!$A:$A,Heron!$A$5,Xero!$E:$E,Heron!$A72)</f>
        <v/>
      </c>
      <c r="O72" s="101">
        <f>SUMIFS(Xero!$F:$F,Xero!$B:$B,Heron!O$9,Xero!$A:$A,Heron!$A$4,Xero!$E:$E,Heron!$A72)+SUMIFS(Xero!$F:$F,Xero!$B:$B,Heron!O$9,Xero!$A:$A,Heron!$A$5,Xero!$E:$E,Heron!$A72)</f>
        <v/>
      </c>
      <c r="P72" s="101">
        <f>SUMIFS(Xero!$F:$F,Xero!$B:$B,Heron!P$9,Xero!$A:$A,Heron!$A$4,Xero!$E:$E,Heron!$A72)+SUMIFS(Xero!$F:$F,Xero!$B:$B,Heron!P$9,Xero!$A:$A,Heron!$A$5,Xero!$E:$E,Heron!$A72)</f>
        <v/>
      </c>
      <c r="Q72" s="101">
        <f>SUMIFS(Xero!$F:$F,Xero!$B:$B,Heron!Q$9,Xero!$A:$A,Heron!$A$4,Xero!$E:$E,Heron!$A72)+SUMIFS(Xero!$F:$F,Xero!$B:$B,Heron!Q$9,Xero!$A:$A,Heron!$A$5,Xero!$E:$E,Heron!$A72)</f>
        <v/>
      </c>
      <c r="R72" s="101">
        <f>SUMIFS(Xero!$F:$F,Xero!$B:$B,Heron!R$9,Xero!$A:$A,Heron!$A$4,Xero!$E:$E,Heron!$A72)+SUMIFS(Xero!$F:$F,Xero!$B:$B,Heron!R$9,Xero!$A:$A,Heron!$A$5,Xero!$E:$E,Heron!$A72)</f>
        <v/>
      </c>
      <c r="S72" s="101">
        <f>SUMIFS(Xero!$F:$F,Xero!$B:$B,Heron!S$9,Xero!$A:$A,Heron!$A$4,Xero!$E:$E,Heron!$A72)+SUMIFS(Xero!$F:$F,Xero!$B:$B,Heron!S$9,Xero!$A:$A,Heron!$A$5,Xero!$E:$E,Heron!$A72)</f>
        <v/>
      </c>
      <c r="T72" s="101">
        <f>SUMIFS(Xero!$F:$F,Xero!$B:$B,Heron!T$9,Xero!$A:$A,Heron!$A$4,Xero!$E:$E,Heron!$A72)+SUMIFS(Xero!$F:$F,Xero!$B:$B,Heron!T$9,Xero!$A:$A,Heron!$A$5,Xero!$E:$E,Heron!$A72)</f>
        <v/>
      </c>
      <c r="U72" s="101">
        <f>SUMIFS(Xero!$F:$F,Xero!$B:$B,Heron!U$9,Xero!$A:$A,Heron!$A$4,Xero!$E:$E,Heron!$A72)+SUMIFS(Xero!$F:$F,Xero!$B:$B,Heron!U$9,Xero!$A:$A,Heron!$A$5,Xero!$E:$E,Heron!$A72)</f>
        <v/>
      </c>
      <c r="V72" s="101">
        <f>SUMIFS(Xero!$F:$F,Xero!$B:$B,Heron!V$9,Xero!$A:$A,Heron!$A$4,Xero!$E:$E,Heron!$A72)+SUMIFS(Xero!$F:$F,Xero!$B:$B,Heron!V$9,Xero!$A:$A,Heron!$A$5,Xero!$E:$E,Heron!$A72)</f>
        <v/>
      </c>
      <c r="W72" s="101">
        <f>SUMIFS(Xero!$F:$F,Xero!$B:$B,Heron!W$9,Xero!$A:$A,Heron!$A$4,Xero!$E:$E,Heron!$A72)+SUMIFS(Xero!$F:$F,Xero!$B:$B,Heron!W$9,Xero!$A:$A,Heron!$A$5,Xero!$E:$E,Heron!$A72)</f>
        <v/>
      </c>
      <c r="X72" s="101">
        <f>SUMIFS(Xero!$F:$F,Xero!$B:$B,Heron!X$9,Xero!$A:$A,Heron!$A$4,Xero!$E:$E,Heron!$A72)+SUMIFS(Xero!$F:$F,Xero!$B:$B,Heron!X$9,Xero!$A:$A,Heron!$A$5,Xero!$E:$E,Heron!$A72)</f>
        <v/>
      </c>
      <c r="Y72" s="101">
        <f>SUMIFS(Xero!$F:$F,Xero!$B:$B,Heron!Y$9,Xero!$A:$A,Heron!$A$4,Xero!$E:$E,Heron!$A72)+SUMIFS(Xero!$F:$F,Xero!$B:$B,Heron!Y$9,Xero!$A:$A,Heron!$A$5,Xero!$E:$E,Heron!$A72)</f>
        <v/>
      </c>
      <c r="Z72" s="101">
        <f>SUMIFS(Xero!$F:$F,Xero!$B:$B,Heron!Z$9,Xero!$A:$A,Heron!$A$4,Xero!$E:$E,Heron!$A72)+SUMIFS(Xero!$F:$F,Xero!$B:$B,Heron!Z$9,Xero!$A:$A,Heron!$A$5,Xero!$E:$E,Heron!$A72)</f>
        <v/>
      </c>
      <c r="AA72" s="101">
        <f>SUMIFS(Xero!$F:$F,Xero!$B:$B,Heron!AA$9,Xero!$A:$A,Heron!$A$4,Xero!$E:$E,Heron!$A72)+SUMIFS(Xero!$F:$F,Xero!$B:$B,Heron!AA$9,Xero!$A:$A,Heron!$A$5,Xero!$E:$E,Heron!$A72)</f>
        <v/>
      </c>
      <c r="AB72" s="101">
        <f>SUMIFS(Xero!$F:$F,Xero!$B:$B,Heron!AB$9,Xero!$A:$A,Heron!$A$4,Xero!$E:$E,Heron!$A72)+SUMIFS(Xero!$F:$F,Xero!$B:$B,Heron!AB$9,Xero!$A:$A,Heron!$A$5,Xero!$E:$E,Heron!$A72)</f>
        <v/>
      </c>
      <c r="AC72" s="101">
        <f>SUMIFS(Xero!$F:$F,Xero!$B:$B,Heron!AC$9,Xero!$A:$A,Heron!$A$4,Xero!$E:$E,Heron!$A72)+SUMIFS(Xero!$F:$F,Xero!$B:$B,Heron!AC$9,Xero!$A:$A,Heron!$A$5,Xero!$E:$E,Heron!$A72)</f>
        <v/>
      </c>
      <c r="AD72" s="101">
        <f>SUMIFS(Xero!$F:$F,Xero!$B:$B,Heron!AD$9,Xero!$A:$A,Heron!$A$4,Xero!$E:$E,Heron!$A72)+SUMIFS(Xero!$F:$F,Xero!$B:$B,Heron!AD$9,Xero!$A:$A,Heron!$A$5,Xero!$E:$E,Heron!$A72)</f>
        <v/>
      </c>
      <c r="AE72" s="101">
        <f>SUMIFS(Xero!$F:$F,Xero!$B:$B,Heron!AE$9,Xero!$A:$A,Heron!$A$4,Xero!$E:$E,Heron!$A72)+SUMIFS(Xero!$F:$F,Xero!$B:$B,Heron!AE$9,Xero!$A:$A,Heron!$A$5,Xero!$E:$E,Heron!$A72)</f>
        <v/>
      </c>
      <c r="AF72" s="101">
        <f>SUMIFS(Xero!$F:$F,Xero!$B:$B,Heron!AF$9,Xero!$A:$A,Heron!$A$4,Xero!$E:$E,Heron!$A72)+SUMIFS(Xero!$F:$F,Xero!$B:$B,Heron!AF$9,Xero!$A:$A,Heron!$A$5,Xero!$E:$E,Heron!$A72)</f>
        <v/>
      </c>
      <c r="AG72" s="101">
        <f>SUMIFS(Xero!$F:$F,Xero!$B:$B,Heron!AG$9,Xero!$A:$A,Heron!$A$4,Xero!$E:$E,Heron!$A72)+SUMIFS(Xero!$F:$F,Xero!$B:$B,Heron!AG$9,Xero!$A:$A,Heron!$A$5,Xero!$E:$E,Heron!$A72)</f>
        <v/>
      </c>
      <c r="AH72" s="101">
        <f>SUMIFS(Xero!$F:$F,Xero!$B:$B,Heron!AH$9,Xero!$A:$A,Heron!$A$4,Xero!$E:$E,Heron!$A72)+SUMIFS(Xero!$F:$F,Xero!$B:$B,Heron!AH$9,Xero!$A:$A,Heron!$A$5,Xero!$E:$E,Heron!$A72)</f>
        <v/>
      </c>
      <c r="AI72" s="101">
        <f>SUMIFS(Xero!$F:$F,Xero!$B:$B,Heron!AI$9,Xero!$A:$A,Heron!$A$4,Xero!$E:$E,Heron!$A72)+SUMIFS(Xero!$F:$F,Xero!$B:$B,Heron!AI$9,Xero!$A:$A,Heron!$A$5,Xero!$E:$E,Heron!$A72)</f>
        <v/>
      </c>
      <c r="AJ72" s="101">
        <f>SUMIFS(Xero!$F:$F,Xero!$B:$B,Heron!AJ$9,Xero!$A:$A,Heron!$A$4,Xero!$E:$E,Heron!$A72)+SUMIFS(Xero!$F:$F,Xero!$B:$B,Heron!AJ$9,Xero!$A:$A,Heron!$A$5,Xero!$E:$E,Heron!$A72)</f>
        <v/>
      </c>
      <c r="AK72" s="101">
        <f>SUMIFS(Xero!$F:$F,Xero!$B:$B,Heron!AK$9,Xero!$A:$A,Heron!$A$4,Xero!$E:$E,Heron!$A72)+SUMIFS(Xero!$F:$F,Xero!$B:$B,Heron!AK$9,Xero!$A:$A,Heron!$A$5,Xero!$E:$E,Heron!$A72)</f>
        <v/>
      </c>
      <c r="AL72" s="101">
        <f>SUMIFS(Xero!$F:$F,Xero!$B:$B,Heron!AL$9,Xero!$A:$A,Heron!$A$4,Xero!$E:$E,Heron!$A72)+SUMIFS(Xero!$F:$F,Xero!$B:$B,Heron!AL$9,Xero!$A:$A,Heron!$A$5,Xero!$E:$E,Heron!$A72)</f>
        <v/>
      </c>
      <c r="AM72" s="101">
        <f>SUMIFS(Xero!$F:$F,Xero!$B:$B,Heron!AM$9,Xero!$A:$A,Heron!$A$4,Xero!$E:$E,Heron!$A72)+SUMIFS(Xero!$F:$F,Xero!$B:$B,Heron!AM$9,Xero!$A:$A,Heron!$A$5,Xero!$E:$E,Heron!$A72)</f>
        <v/>
      </c>
      <c r="AN72" s="101">
        <f>SUMIFS(Xero!$F:$F,Xero!$B:$B,Heron!AN$9,Xero!$A:$A,Heron!$A$4,Xero!$E:$E,Heron!$A72)+SUMIFS(Xero!$F:$F,Xero!$B:$B,Heron!AN$9,Xero!$A:$A,Heron!$A$5,Xero!$E:$E,Heron!$A72)</f>
        <v/>
      </c>
      <c r="AO72" s="101">
        <f>SUMIFS(Xero!$F:$F,Xero!$B:$B,Heron!AO$9,Xero!$A:$A,Heron!$A$4,Xero!$E:$E,Heron!$A72)+SUMIFS(Xero!$F:$F,Xero!$B:$B,Heron!AO$9,Xero!$A:$A,Heron!$A$5,Xero!$E:$E,Heron!$A72)</f>
        <v/>
      </c>
      <c r="AP72" s="101">
        <f>SUMIFS(Xero!$F:$F,Xero!$B:$B,Heron!AP$9,Xero!$A:$A,Heron!$A$4,Xero!$E:$E,Heron!$A72)+SUMIFS(Xero!$F:$F,Xero!$B:$B,Heron!AP$9,Xero!$A:$A,Heron!$A$5,Xero!$E:$E,Heron!$A72)</f>
        <v/>
      </c>
      <c r="AQ72" s="101">
        <f>SUMIFS(Xero!$F:$F,Xero!$B:$B,Heron!AQ$9,Xero!$A:$A,Heron!$A$4,Xero!$E:$E,Heron!$A72)+SUMIFS(Xero!$F:$F,Xero!$B:$B,Heron!AQ$9,Xero!$A:$A,Heron!$A$5,Xero!$E:$E,Heron!$A72)</f>
        <v/>
      </c>
      <c r="AR72" s="101">
        <f>SUMIFS(Xero!$F:$F,Xero!$B:$B,Heron!AR$9,Xero!$A:$A,Heron!$A$4,Xero!$E:$E,Heron!$A72)+SUMIFS(Xero!$F:$F,Xero!$B:$B,Heron!AR$9,Xero!$A:$A,Heron!$A$5,Xero!$E:$E,Heron!$A72)</f>
        <v/>
      </c>
      <c r="AS72" s="101">
        <f>SUMIFS(Xero!$F:$F,Xero!$B:$B,Heron!AS$9,Xero!$A:$A,Heron!$A$4,Xero!$E:$E,Heron!$A72)+SUMIFS(Xero!$F:$F,Xero!$B:$B,Heron!AS$9,Xero!$A:$A,Heron!$A$5,Xero!$E:$E,Heron!$A72)</f>
        <v/>
      </c>
      <c r="AT72" s="101">
        <f>SUMIFS(Xero!$F:$F,Xero!$B:$B,Heron!AT$9,Xero!$A:$A,Heron!$A$4,Xero!$E:$E,Heron!$A72)+SUMIFS(Xero!$F:$F,Xero!$B:$B,Heron!AT$9,Xero!$A:$A,Heron!$A$5,Xero!$E:$E,Heron!$A72)</f>
        <v/>
      </c>
      <c r="AU72" s="101">
        <f>SUMIFS(Xero!$F:$F,Xero!$B:$B,Heron!AU$9,Xero!$A:$A,Heron!$A$4,Xero!$E:$E,Heron!$A72)+SUMIFS(Xero!$F:$F,Xero!$B:$B,Heron!AU$9,Xero!$A:$A,Heron!$A$5,Xero!$E:$E,Heron!$A72)</f>
        <v/>
      </c>
      <c r="AV72" s="101">
        <f>SUMIFS(Xero!$F:$F,Xero!$B:$B,Heron!AV$9,Xero!$A:$A,Heron!$A$4,Xero!$E:$E,Heron!$A72)+SUMIFS(Xero!$F:$F,Xero!$B:$B,Heron!AV$9,Xero!$A:$A,Heron!$A$5,Xero!$E:$E,Heron!$A72)</f>
        <v/>
      </c>
      <c r="AW72" s="101">
        <f>SUMIFS(Xero!$F:$F,Xero!$B:$B,Heron!AW$9,Xero!$A:$A,Heron!$A$4,Xero!$E:$E,Heron!$A72)+SUMIFS(Xero!$F:$F,Xero!$B:$B,Heron!AW$9,Xero!$A:$A,Heron!$A$5,Xero!$E:$E,Heron!$A72)</f>
        <v/>
      </c>
      <c r="AX72" s="101">
        <f>SUMIFS(Xero!$F:$F,Xero!$B:$B,Heron!AX$9,Xero!$A:$A,Heron!$A$4,Xero!$E:$E,Heron!$A72)+SUMIFS(Xero!$F:$F,Xero!$B:$B,Heron!AX$9,Xero!$A:$A,Heron!$A$5,Xero!$E:$E,Heron!$A72)</f>
        <v/>
      </c>
      <c r="AY72" s="101">
        <f>SUMIFS(Xero!$F:$F,Xero!$B:$B,Heron!AY$9,Xero!$A:$A,Heron!$A$4,Xero!$E:$E,Heron!$A72)+SUMIFS(Xero!$F:$F,Xero!$B:$B,Heron!AY$9,Xero!$A:$A,Heron!$A$5,Xero!$E:$E,Heron!$A72)</f>
        <v/>
      </c>
      <c r="AZ72" s="101">
        <f>SUMIFS(Xero!$F:$F,Xero!$B:$B,Heron!AZ$9,Xero!$A:$A,Heron!$A$4,Xero!$E:$E,Heron!$A72)+SUMIFS(Xero!$F:$F,Xero!$B:$B,Heron!AZ$9,Xero!$A:$A,Heron!$A$5,Xero!$E:$E,Heron!$A72)</f>
        <v/>
      </c>
      <c r="BA72" s="101">
        <f>SUMIFS(Xero!$F:$F,Xero!$B:$B,Heron!BA$9,Xero!$A:$A,Heron!$A$4,Xero!$E:$E,Heron!$A72)+SUMIFS(Xero!$F:$F,Xero!$B:$B,Heron!BA$9,Xero!$A:$A,Heron!$A$5,Xero!$E:$E,Heron!$A72)</f>
        <v/>
      </c>
      <c r="BB72" s="101">
        <f>SUMIFS(Xero!$F:$F,Xero!$B:$B,Heron!BB$9,Xero!$A:$A,Heron!$A$4,Xero!$E:$E,Heron!$A72)+SUMIFS(Xero!$F:$F,Xero!$B:$B,Heron!BB$9,Xero!$A:$A,Heron!$A$5,Xero!$E:$E,Heron!$A72)</f>
        <v/>
      </c>
      <c r="BC72" s="101">
        <f>SUMIFS(Xero!$F:$F,Xero!$B:$B,Heron!BC$9,Xero!$A:$A,Heron!$A$4,Xero!$E:$E,Heron!$A72)+SUMIFS(Xero!$F:$F,Xero!$B:$B,Heron!BC$9,Xero!$A:$A,Heron!$A$5,Xero!$E:$E,Heron!$A72)</f>
        <v/>
      </c>
      <c r="BD72" s="101">
        <f>SUMIFS(Xero!$F:$F,Xero!$B:$B,Heron!BD$9,Xero!$A:$A,Heron!$A$4,Xero!$E:$E,Heron!$A72)+SUMIFS(Xero!$F:$F,Xero!$B:$B,Heron!BD$9,Xero!$A:$A,Heron!$A$5,Xero!$E:$E,Heron!$A72)</f>
        <v/>
      </c>
      <c r="BE72" s="101">
        <f>SUMIFS(Xero!$F:$F,Xero!$B:$B,Heron!BE$9,Xero!$A:$A,Heron!$A$4,Xero!$E:$E,Heron!$A72)+SUMIFS(Xero!$F:$F,Xero!$B:$B,Heron!BE$9,Xero!$A:$A,Heron!$A$5,Xero!$E:$E,Heron!$A72)</f>
        <v/>
      </c>
      <c r="BF72" s="101">
        <f>SUMIFS(Xero!$F:$F,Xero!$B:$B,Heron!BF$9,Xero!$A:$A,Heron!$A$4,Xero!$E:$E,Heron!$A72)+SUMIFS(Xero!$F:$F,Xero!$B:$B,Heron!BF$9,Xero!$A:$A,Heron!$A$5,Xero!$E:$E,Heron!$A72)</f>
        <v/>
      </c>
      <c r="BG72" s="101">
        <f>SUMIFS(Xero!$F:$F,Xero!$B:$B,Heron!BG$9,Xero!$A:$A,Heron!$A$4,Xero!$E:$E,Heron!$A72)+SUMIFS(Xero!$F:$F,Xero!$B:$B,Heron!BG$9,Xero!$A:$A,Heron!$A$5,Xero!$E:$E,Heron!$A72)</f>
        <v/>
      </c>
      <c r="BH72" s="101">
        <f>SUMIFS(Xero!$F:$F,Xero!$B:$B,Heron!BH$9,Xero!$A:$A,Heron!$A$4,Xero!$E:$E,Heron!$A72)+SUMIFS(Xero!$F:$F,Xero!$B:$B,Heron!BH$9,Xero!$A:$A,Heron!$A$5,Xero!$E:$E,Heron!$A72)</f>
        <v/>
      </c>
      <c r="BI72" s="101">
        <f>SUMIFS(Xero!$F:$F,Xero!$B:$B,Heron!BI$9,Xero!$A:$A,Heron!$A$4,Xero!$E:$E,Heron!$A72)+SUMIFS(Xero!$F:$F,Xero!$B:$B,Heron!BI$9,Xero!$A:$A,Heron!$A$5,Xero!$E:$E,Heron!$A72)</f>
        <v/>
      </c>
      <c r="BJ72" s="101">
        <f>SUMIFS(Xero!$F:$F,Xero!$B:$B,Heron!BJ$9,Xero!$A:$A,Heron!$A$4,Xero!$E:$E,Heron!$A72)+SUMIFS(Xero!$F:$F,Xero!$B:$B,Heron!BJ$9,Xero!$A:$A,Heron!$A$5,Xero!$E:$E,Heron!$A72)</f>
        <v/>
      </c>
      <c r="BK72" s="101">
        <f>sum(D72:BJ72)</f>
        <v/>
      </c>
    </row>
    <row r="73">
      <c r="A73" s="100" t="inlineStr">
        <is>
          <t>Interest Paid - Investors @ 10%</t>
        </is>
      </c>
      <c r="D73" s="101">
        <f>SUMIFS(Xero!$F:$F,Xero!$B:$B,Heron!D$9,Xero!$A:$A,Heron!$A$4,Xero!$E:$E,Heron!$A73)+SUMIFS(Xero!$F:$F,Xero!$B:$B,Heron!D$9,Xero!$A:$A,Heron!$A$5,Xero!$E:$E,Heron!$A73)</f>
        <v/>
      </c>
      <c r="E73" s="101">
        <f>SUMIFS(Xero!$F:$F,Xero!$B:$B,Heron!E$9,Xero!$A:$A,Heron!$A$4,Xero!$E:$E,Heron!$A73)+SUMIFS(Xero!$F:$F,Xero!$B:$B,Heron!E$9,Xero!$A:$A,Heron!$A$5,Xero!$E:$E,Heron!$A73)</f>
        <v/>
      </c>
      <c r="F73" s="101">
        <f>SUMIFS(Xero!$F:$F,Xero!$B:$B,Heron!F$9,Xero!$A:$A,Heron!$A$4,Xero!$E:$E,Heron!$A73)+SUMIFS(Xero!$F:$F,Xero!$B:$B,Heron!F$9,Xero!$A:$A,Heron!$A$5,Xero!$E:$E,Heron!$A73)</f>
        <v/>
      </c>
      <c r="G73" s="101">
        <f>SUMIFS(Xero!$F:$F,Xero!$B:$B,Heron!G$9,Xero!$A:$A,Heron!$A$4,Xero!$E:$E,Heron!$A73)+SUMIFS(Xero!$F:$F,Xero!$B:$B,Heron!G$9,Xero!$A:$A,Heron!$A$5,Xero!$E:$E,Heron!$A73)</f>
        <v/>
      </c>
      <c r="H73" s="101">
        <f>SUMIFS(Xero!$F:$F,Xero!$B:$B,Heron!H$9,Xero!$A:$A,Heron!$A$4,Xero!$E:$E,Heron!$A73)+SUMIFS(Xero!$F:$F,Xero!$B:$B,Heron!H$9,Xero!$A:$A,Heron!$A$5,Xero!$E:$E,Heron!$A73)</f>
        <v/>
      </c>
      <c r="I73" s="101">
        <f>SUMIFS(Xero!$F:$F,Xero!$B:$B,Heron!I$9,Xero!$A:$A,Heron!$A$4,Xero!$E:$E,Heron!$A73)+SUMIFS(Xero!$F:$F,Xero!$B:$B,Heron!I$9,Xero!$A:$A,Heron!$A$5,Xero!$E:$E,Heron!$A73)</f>
        <v/>
      </c>
      <c r="J73" s="101">
        <f>SUMIFS(Xero!$F:$F,Xero!$B:$B,Heron!J$9,Xero!$A:$A,Heron!$A$4,Xero!$E:$E,Heron!$A73)+SUMIFS(Xero!$F:$F,Xero!$B:$B,Heron!J$9,Xero!$A:$A,Heron!$A$5,Xero!$E:$E,Heron!$A73)</f>
        <v/>
      </c>
      <c r="K73" s="101">
        <f>SUMIFS(Xero!$F:$F,Xero!$B:$B,Heron!K$9,Xero!$A:$A,Heron!$A$4,Xero!$E:$E,Heron!$A73)+SUMIFS(Xero!$F:$F,Xero!$B:$B,Heron!K$9,Xero!$A:$A,Heron!$A$5,Xero!$E:$E,Heron!$A73)</f>
        <v/>
      </c>
      <c r="L73" s="101">
        <f>SUMIFS(Xero!$F:$F,Xero!$B:$B,Heron!L$9,Xero!$A:$A,Heron!$A$4,Xero!$E:$E,Heron!$A73)+SUMIFS(Xero!$F:$F,Xero!$B:$B,Heron!L$9,Xero!$A:$A,Heron!$A$5,Xero!$E:$E,Heron!$A73)</f>
        <v/>
      </c>
      <c r="M73" s="101">
        <f>SUMIFS(Xero!$F:$F,Xero!$B:$B,Heron!M$9,Xero!$A:$A,Heron!$A$4,Xero!$E:$E,Heron!$A73)+SUMIFS(Xero!$F:$F,Xero!$B:$B,Heron!M$9,Xero!$A:$A,Heron!$A$5,Xero!$E:$E,Heron!$A73)</f>
        <v/>
      </c>
      <c r="N73" s="101">
        <f>SUMIFS(Xero!$F:$F,Xero!$B:$B,Heron!N$9,Xero!$A:$A,Heron!$A$4,Xero!$E:$E,Heron!$A73)+SUMIFS(Xero!$F:$F,Xero!$B:$B,Heron!N$9,Xero!$A:$A,Heron!$A$5,Xero!$E:$E,Heron!$A73)</f>
        <v/>
      </c>
      <c r="O73" s="101">
        <f>SUMIFS(Xero!$F:$F,Xero!$B:$B,Heron!O$9,Xero!$A:$A,Heron!$A$4,Xero!$E:$E,Heron!$A73)+SUMIFS(Xero!$F:$F,Xero!$B:$B,Heron!O$9,Xero!$A:$A,Heron!$A$5,Xero!$E:$E,Heron!$A73)</f>
        <v/>
      </c>
      <c r="P73" s="101">
        <f>SUMIFS(Xero!$F:$F,Xero!$B:$B,Heron!P$9,Xero!$A:$A,Heron!$A$4,Xero!$E:$E,Heron!$A73)+SUMIFS(Xero!$F:$F,Xero!$B:$B,Heron!P$9,Xero!$A:$A,Heron!$A$5,Xero!$E:$E,Heron!$A73)</f>
        <v/>
      </c>
      <c r="Q73" s="101">
        <f>SUMIFS(Xero!$F:$F,Xero!$B:$B,Heron!Q$9,Xero!$A:$A,Heron!$A$4,Xero!$E:$E,Heron!$A73)+SUMIFS(Xero!$F:$F,Xero!$B:$B,Heron!Q$9,Xero!$A:$A,Heron!$A$5,Xero!$E:$E,Heron!$A73)</f>
        <v/>
      </c>
      <c r="R73" s="101">
        <f>SUMIFS(Xero!$F:$F,Xero!$B:$B,Heron!R$9,Xero!$A:$A,Heron!$A$4,Xero!$E:$E,Heron!$A73)+SUMIFS(Xero!$F:$F,Xero!$B:$B,Heron!R$9,Xero!$A:$A,Heron!$A$5,Xero!$E:$E,Heron!$A73)</f>
        <v/>
      </c>
      <c r="S73" s="101">
        <f>SUMIFS(Xero!$F:$F,Xero!$B:$B,Heron!S$9,Xero!$A:$A,Heron!$A$4,Xero!$E:$E,Heron!$A73)+SUMIFS(Xero!$F:$F,Xero!$B:$B,Heron!S$9,Xero!$A:$A,Heron!$A$5,Xero!$E:$E,Heron!$A73)</f>
        <v/>
      </c>
      <c r="T73" s="101">
        <f>SUMIFS(Xero!$F:$F,Xero!$B:$B,Heron!T$9,Xero!$A:$A,Heron!$A$4,Xero!$E:$E,Heron!$A73)+SUMIFS(Xero!$F:$F,Xero!$B:$B,Heron!T$9,Xero!$A:$A,Heron!$A$5,Xero!$E:$E,Heron!$A73)</f>
        <v/>
      </c>
      <c r="U73" s="101">
        <f>SUMIFS(Xero!$F:$F,Xero!$B:$B,Heron!U$9,Xero!$A:$A,Heron!$A$4,Xero!$E:$E,Heron!$A73)+SUMIFS(Xero!$F:$F,Xero!$B:$B,Heron!U$9,Xero!$A:$A,Heron!$A$5,Xero!$E:$E,Heron!$A73)</f>
        <v/>
      </c>
      <c r="V73" s="101">
        <f>SUMIFS(Xero!$F:$F,Xero!$B:$B,Heron!V$9,Xero!$A:$A,Heron!$A$4,Xero!$E:$E,Heron!$A73)+SUMIFS(Xero!$F:$F,Xero!$B:$B,Heron!V$9,Xero!$A:$A,Heron!$A$5,Xero!$E:$E,Heron!$A73)</f>
        <v/>
      </c>
      <c r="W73" s="101">
        <f>SUMIFS(Xero!$F:$F,Xero!$B:$B,Heron!W$9,Xero!$A:$A,Heron!$A$4,Xero!$E:$E,Heron!$A73)+SUMIFS(Xero!$F:$F,Xero!$B:$B,Heron!W$9,Xero!$A:$A,Heron!$A$5,Xero!$E:$E,Heron!$A73)</f>
        <v/>
      </c>
      <c r="X73" s="101">
        <f>SUMIFS(Xero!$F:$F,Xero!$B:$B,Heron!X$9,Xero!$A:$A,Heron!$A$4,Xero!$E:$E,Heron!$A73)+SUMIFS(Xero!$F:$F,Xero!$B:$B,Heron!X$9,Xero!$A:$A,Heron!$A$5,Xero!$E:$E,Heron!$A73)</f>
        <v/>
      </c>
      <c r="Y73" s="101">
        <f>SUMIFS(Xero!$F:$F,Xero!$B:$B,Heron!Y$9,Xero!$A:$A,Heron!$A$4,Xero!$E:$E,Heron!$A73)+SUMIFS(Xero!$F:$F,Xero!$B:$B,Heron!Y$9,Xero!$A:$A,Heron!$A$5,Xero!$E:$E,Heron!$A73)</f>
        <v/>
      </c>
      <c r="Z73" s="101">
        <f>SUMIFS(Xero!$F:$F,Xero!$B:$B,Heron!Z$9,Xero!$A:$A,Heron!$A$4,Xero!$E:$E,Heron!$A73)+SUMIFS(Xero!$F:$F,Xero!$B:$B,Heron!Z$9,Xero!$A:$A,Heron!$A$5,Xero!$E:$E,Heron!$A73)</f>
        <v/>
      </c>
      <c r="AA73" s="101">
        <f>SUMIFS(Xero!$F:$F,Xero!$B:$B,Heron!AA$9,Xero!$A:$A,Heron!$A$4,Xero!$E:$E,Heron!$A73)+SUMIFS(Xero!$F:$F,Xero!$B:$B,Heron!AA$9,Xero!$A:$A,Heron!$A$5,Xero!$E:$E,Heron!$A73)</f>
        <v/>
      </c>
      <c r="AB73" s="101">
        <f>SUMIFS(Xero!$F:$F,Xero!$B:$B,Heron!AB$9,Xero!$A:$A,Heron!$A$4,Xero!$E:$E,Heron!$A73)+SUMIFS(Xero!$F:$F,Xero!$B:$B,Heron!AB$9,Xero!$A:$A,Heron!$A$5,Xero!$E:$E,Heron!$A73)</f>
        <v/>
      </c>
      <c r="AC73" s="101">
        <f>SUMIFS(Xero!$F:$F,Xero!$B:$B,Heron!AC$9,Xero!$A:$A,Heron!$A$4,Xero!$E:$E,Heron!$A73)+SUMIFS(Xero!$F:$F,Xero!$B:$B,Heron!AC$9,Xero!$A:$A,Heron!$A$5,Xero!$E:$E,Heron!$A73)</f>
        <v/>
      </c>
      <c r="AD73" s="101">
        <f>SUMIFS(Xero!$F:$F,Xero!$B:$B,Heron!AD$9,Xero!$A:$A,Heron!$A$4,Xero!$E:$E,Heron!$A73)+SUMIFS(Xero!$F:$F,Xero!$B:$B,Heron!AD$9,Xero!$A:$A,Heron!$A$5,Xero!$E:$E,Heron!$A73)</f>
        <v/>
      </c>
      <c r="AE73" s="101">
        <f>SUMIFS(Xero!$F:$F,Xero!$B:$B,Heron!AE$9,Xero!$A:$A,Heron!$A$4,Xero!$E:$E,Heron!$A73)+SUMIFS(Xero!$F:$F,Xero!$B:$B,Heron!AE$9,Xero!$A:$A,Heron!$A$5,Xero!$E:$E,Heron!$A73)</f>
        <v/>
      </c>
      <c r="AF73" s="101">
        <f>SUMIFS(Xero!$F:$F,Xero!$B:$B,Heron!AF$9,Xero!$A:$A,Heron!$A$4,Xero!$E:$E,Heron!$A73)+SUMIFS(Xero!$F:$F,Xero!$B:$B,Heron!AF$9,Xero!$A:$A,Heron!$A$5,Xero!$E:$E,Heron!$A73)</f>
        <v/>
      </c>
      <c r="AG73" s="101">
        <f>SUMIFS(Xero!$F:$F,Xero!$B:$B,Heron!AG$9,Xero!$A:$A,Heron!$A$4,Xero!$E:$E,Heron!$A73)+SUMIFS(Xero!$F:$F,Xero!$B:$B,Heron!AG$9,Xero!$A:$A,Heron!$A$5,Xero!$E:$E,Heron!$A73)</f>
        <v/>
      </c>
      <c r="AH73" s="101">
        <f>SUMIFS(Xero!$F:$F,Xero!$B:$B,Heron!AH$9,Xero!$A:$A,Heron!$A$4,Xero!$E:$E,Heron!$A73)+SUMIFS(Xero!$F:$F,Xero!$B:$B,Heron!AH$9,Xero!$A:$A,Heron!$A$5,Xero!$E:$E,Heron!$A73)</f>
        <v/>
      </c>
      <c r="AI73" s="101">
        <f>SUMIFS(Xero!$F:$F,Xero!$B:$B,Heron!AI$9,Xero!$A:$A,Heron!$A$4,Xero!$E:$E,Heron!$A73)+SUMIFS(Xero!$F:$F,Xero!$B:$B,Heron!AI$9,Xero!$A:$A,Heron!$A$5,Xero!$E:$E,Heron!$A73)</f>
        <v/>
      </c>
      <c r="AJ73" s="101">
        <f>SUMIFS(Xero!$F:$F,Xero!$B:$B,Heron!AJ$9,Xero!$A:$A,Heron!$A$4,Xero!$E:$E,Heron!$A73)+SUMIFS(Xero!$F:$F,Xero!$B:$B,Heron!AJ$9,Xero!$A:$A,Heron!$A$5,Xero!$E:$E,Heron!$A73)</f>
        <v/>
      </c>
      <c r="AK73" s="101">
        <f>SUMIFS(Xero!$F:$F,Xero!$B:$B,Heron!AK$9,Xero!$A:$A,Heron!$A$4,Xero!$E:$E,Heron!$A73)+SUMIFS(Xero!$F:$F,Xero!$B:$B,Heron!AK$9,Xero!$A:$A,Heron!$A$5,Xero!$E:$E,Heron!$A73)</f>
        <v/>
      </c>
      <c r="AL73" s="101">
        <f>SUMIFS(Xero!$F:$F,Xero!$B:$B,Heron!AL$9,Xero!$A:$A,Heron!$A$4,Xero!$E:$E,Heron!$A73)+SUMIFS(Xero!$F:$F,Xero!$B:$B,Heron!AL$9,Xero!$A:$A,Heron!$A$5,Xero!$E:$E,Heron!$A73)</f>
        <v/>
      </c>
      <c r="AM73" s="101">
        <f>SUMIFS(Xero!$F:$F,Xero!$B:$B,Heron!AM$9,Xero!$A:$A,Heron!$A$4,Xero!$E:$E,Heron!$A73)+SUMIFS(Xero!$F:$F,Xero!$B:$B,Heron!AM$9,Xero!$A:$A,Heron!$A$5,Xero!$E:$E,Heron!$A73)</f>
        <v/>
      </c>
      <c r="AN73" s="101">
        <f>SUMIFS(Xero!$F:$F,Xero!$B:$B,Heron!AN$9,Xero!$A:$A,Heron!$A$4,Xero!$E:$E,Heron!$A73)+SUMIFS(Xero!$F:$F,Xero!$B:$B,Heron!AN$9,Xero!$A:$A,Heron!$A$5,Xero!$E:$E,Heron!$A73)</f>
        <v/>
      </c>
      <c r="AO73" s="101">
        <f>SUMIFS(Xero!$F:$F,Xero!$B:$B,Heron!AO$9,Xero!$A:$A,Heron!$A$4,Xero!$E:$E,Heron!$A73)+SUMIFS(Xero!$F:$F,Xero!$B:$B,Heron!AO$9,Xero!$A:$A,Heron!$A$5,Xero!$E:$E,Heron!$A73)</f>
        <v/>
      </c>
      <c r="AP73" s="101">
        <f>SUMIFS(Xero!$F:$F,Xero!$B:$B,Heron!AP$9,Xero!$A:$A,Heron!$A$4,Xero!$E:$E,Heron!$A73)+SUMIFS(Xero!$F:$F,Xero!$B:$B,Heron!AP$9,Xero!$A:$A,Heron!$A$5,Xero!$E:$E,Heron!$A73)</f>
        <v/>
      </c>
      <c r="AQ73" s="101">
        <f>SUMIFS(Xero!$F:$F,Xero!$B:$B,Heron!AQ$9,Xero!$A:$A,Heron!$A$4,Xero!$E:$E,Heron!$A73)+SUMIFS(Xero!$F:$F,Xero!$B:$B,Heron!AQ$9,Xero!$A:$A,Heron!$A$5,Xero!$E:$E,Heron!$A73)</f>
        <v/>
      </c>
      <c r="AR73" s="101">
        <f>SUMIFS(Xero!$F:$F,Xero!$B:$B,Heron!AR$9,Xero!$A:$A,Heron!$A$4,Xero!$E:$E,Heron!$A73)+SUMIFS(Xero!$F:$F,Xero!$B:$B,Heron!AR$9,Xero!$A:$A,Heron!$A$5,Xero!$E:$E,Heron!$A73)</f>
        <v/>
      </c>
      <c r="AS73" s="101">
        <f>SUMIFS(Xero!$F:$F,Xero!$B:$B,Heron!AS$9,Xero!$A:$A,Heron!$A$4,Xero!$E:$E,Heron!$A73)+SUMIFS(Xero!$F:$F,Xero!$B:$B,Heron!AS$9,Xero!$A:$A,Heron!$A$5,Xero!$E:$E,Heron!$A73)</f>
        <v/>
      </c>
      <c r="AT73" s="101">
        <f>SUMIFS(Xero!$F:$F,Xero!$B:$B,Heron!AT$9,Xero!$A:$A,Heron!$A$4,Xero!$E:$E,Heron!$A73)+SUMIFS(Xero!$F:$F,Xero!$B:$B,Heron!AT$9,Xero!$A:$A,Heron!$A$5,Xero!$E:$E,Heron!$A73)</f>
        <v/>
      </c>
      <c r="AU73" s="101">
        <f>SUMIFS(Xero!$F:$F,Xero!$B:$B,Heron!AU$9,Xero!$A:$A,Heron!$A$4,Xero!$E:$E,Heron!$A73)+SUMIFS(Xero!$F:$F,Xero!$B:$B,Heron!AU$9,Xero!$A:$A,Heron!$A$5,Xero!$E:$E,Heron!$A73)</f>
        <v/>
      </c>
      <c r="AV73" s="101">
        <f>SUMIFS(Xero!$F:$F,Xero!$B:$B,Heron!AV$9,Xero!$A:$A,Heron!$A$4,Xero!$E:$E,Heron!$A73)+SUMIFS(Xero!$F:$F,Xero!$B:$B,Heron!AV$9,Xero!$A:$A,Heron!$A$5,Xero!$E:$E,Heron!$A73)</f>
        <v/>
      </c>
      <c r="AW73" s="101">
        <f>SUMIFS(Xero!$F:$F,Xero!$B:$B,Heron!AW$9,Xero!$A:$A,Heron!$A$4,Xero!$E:$E,Heron!$A73)+SUMIFS(Xero!$F:$F,Xero!$B:$B,Heron!AW$9,Xero!$A:$A,Heron!$A$5,Xero!$E:$E,Heron!$A73)</f>
        <v/>
      </c>
      <c r="AX73" s="101">
        <f>SUMIFS(Xero!$F:$F,Xero!$B:$B,Heron!AX$9,Xero!$A:$A,Heron!$A$4,Xero!$E:$E,Heron!$A73)+SUMIFS(Xero!$F:$F,Xero!$B:$B,Heron!AX$9,Xero!$A:$A,Heron!$A$5,Xero!$E:$E,Heron!$A73)</f>
        <v/>
      </c>
      <c r="AY73" s="101">
        <f>SUMIFS(Xero!$F:$F,Xero!$B:$B,Heron!AY$9,Xero!$A:$A,Heron!$A$4,Xero!$E:$E,Heron!$A73)+SUMIFS(Xero!$F:$F,Xero!$B:$B,Heron!AY$9,Xero!$A:$A,Heron!$A$5,Xero!$E:$E,Heron!$A73)</f>
        <v/>
      </c>
      <c r="AZ73" s="101">
        <f>SUMIFS(Xero!$F:$F,Xero!$B:$B,Heron!AZ$9,Xero!$A:$A,Heron!$A$4,Xero!$E:$E,Heron!$A73)+SUMIFS(Xero!$F:$F,Xero!$B:$B,Heron!AZ$9,Xero!$A:$A,Heron!$A$5,Xero!$E:$E,Heron!$A73)</f>
        <v/>
      </c>
      <c r="BA73" s="101">
        <f>SUMIFS(Xero!$F:$F,Xero!$B:$B,Heron!BA$9,Xero!$A:$A,Heron!$A$4,Xero!$E:$E,Heron!$A73)+SUMIFS(Xero!$F:$F,Xero!$B:$B,Heron!BA$9,Xero!$A:$A,Heron!$A$5,Xero!$E:$E,Heron!$A73)</f>
        <v/>
      </c>
      <c r="BB73" s="101">
        <f>SUMIFS(Xero!$F:$F,Xero!$B:$B,Heron!BB$9,Xero!$A:$A,Heron!$A$4,Xero!$E:$E,Heron!$A73)+SUMIFS(Xero!$F:$F,Xero!$B:$B,Heron!BB$9,Xero!$A:$A,Heron!$A$5,Xero!$E:$E,Heron!$A73)</f>
        <v/>
      </c>
      <c r="BC73" s="101">
        <f>SUMIFS(Xero!$F:$F,Xero!$B:$B,Heron!BC$9,Xero!$A:$A,Heron!$A$4,Xero!$E:$E,Heron!$A73)+SUMIFS(Xero!$F:$F,Xero!$B:$B,Heron!BC$9,Xero!$A:$A,Heron!$A$5,Xero!$E:$E,Heron!$A73)</f>
        <v/>
      </c>
      <c r="BD73" s="101">
        <f>SUMIFS(Xero!$F:$F,Xero!$B:$B,Heron!BD$9,Xero!$A:$A,Heron!$A$4,Xero!$E:$E,Heron!$A73)+SUMIFS(Xero!$F:$F,Xero!$B:$B,Heron!BD$9,Xero!$A:$A,Heron!$A$5,Xero!$E:$E,Heron!$A73)</f>
        <v/>
      </c>
      <c r="BE73" s="101">
        <f>SUMIFS(Xero!$F:$F,Xero!$B:$B,Heron!BE$9,Xero!$A:$A,Heron!$A$4,Xero!$E:$E,Heron!$A73)+SUMIFS(Xero!$F:$F,Xero!$B:$B,Heron!BE$9,Xero!$A:$A,Heron!$A$5,Xero!$E:$E,Heron!$A73)</f>
        <v/>
      </c>
      <c r="BF73" s="101">
        <f>SUMIFS(Xero!$F:$F,Xero!$B:$B,Heron!BF$9,Xero!$A:$A,Heron!$A$4,Xero!$E:$E,Heron!$A73)+SUMIFS(Xero!$F:$F,Xero!$B:$B,Heron!BF$9,Xero!$A:$A,Heron!$A$5,Xero!$E:$E,Heron!$A73)</f>
        <v/>
      </c>
      <c r="BG73" s="101">
        <f>SUMIFS(Xero!$F:$F,Xero!$B:$B,Heron!BG$9,Xero!$A:$A,Heron!$A$4,Xero!$E:$E,Heron!$A73)+SUMIFS(Xero!$F:$F,Xero!$B:$B,Heron!BG$9,Xero!$A:$A,Heron!$A$5,Xero!$E:$E,Heron!$A73)</f>
        <v/>
      </c>
      <c r="BH73" s="101">
        <f>SUMIFS(Xero!$F:$F,Xero!$B:$B,Heron!BH$9,Xero!$A:$A,Heron!$A$4,Xero!$E:$E,Heron!$A73)+SUMIFS(Xero!$F:$F,Xero!$B:$B,Heron!BH$9,Xero!$A:$A,Heron!$A$5,Xero!$E:$E,Heron!$A73)</f>
        <v/>
      </c>
      <c r="BI73" s="101">
        <f>SUMIFS(Xero!$F:$F,Xero!$B:$B,Heron!BI$9,Xero!$A:$A,Heron!$A$4,Xero!$E:$E,Heron!$A73)+SUMIFS(Xero!$F:$F,Xero!$B:$B,Heron!BI$9,Xero!$A:$A,Heron!$A$5,Xero!$E:$E,Heron!$A73)</f>
        <v/>
      </c>
      <c r="BJ73" s="101">
        <f>SUMIFS(Xero!$F:$F,Xero!$B:$B,Heron!BJ$9,Xero!$A:$A,Heron!$A$4,Xero!$E:$E,Heron!$A73)+SUMIFS(Xero!$F:$F,Xero!$B:$B,Heron!BJ$9,Xero!$A:$A,Heron!$A$5,Xero!$E:$E,Heron!$A73)</f>
        <v/>
      </c>
      <c r="BK73" s="101">
        <f>sum(D73:BJ73)</f>
        <v/>
      </c>
    </row>
    <row r="74">
      <c r="A74" s="100" t="inlineStr">
        <is>
          <t>Interest Paid - Investors @ 10.5%</t>
        </is>
      </c>
      <c r="D74" s="101">
        <f>SUMIFS(Xero!$F:$F,Xero!$B:$B,Heron!D$9,Xero!$A:$A,Heron!$A$4,Xero!$E:$E,Heron!$A74)+SUMIFS(Xero!$F:$F,Xero!$B:$B,Heron!D$9,Xero!$A:$A,Heron!$A$5,Xero!$E:$E,Heron!$A74)</f>
        <v/>
      </c>
      <c r="E74" s="101">
        <f>SUMIFS(Xero!$F:$F,Xero!$B:$B,Heron!E$9,Xero!$A:$A,Heron!$A$4,Xero!$E:$E,Heron!$A74)+SUMIFS(Xero!$F:$F,Xero!$B:$B,Heron!E$9,Xero!$A:$A,Heron!$A$5,Xero!$E:$E,Heron!$A74)</f>
        <v/>
      </c>
      <c r="F74" s="101">
        <f>SUMIFS(Xero!$F:$F,Xero!$B:$B,Heron!F$9,Xero!$A:$A,Heron!$A$4,Xero!$E:$E,Heron!$A74)+SUMIFS(Xero!$F:$F,Xero!$B:$B,Heron!F$9,Xero!$A:$A,Heron!$A$5,Xero!$E:$E,Heron!$A74)</f>
        <v/>
      </c>
      <c r="G74" s="101">
        <f>SUMIFS(Xero!$F:$F,Xero!$B:$B,Heron!G$9,Xero!$A:$A,Heron!$A$4,Xero!$E:$E,Heron!$A74)+SUMIFS(Xero!$F:$F,Xero!$B:$B,Heron!G$9,Xero!$A:$A,Heron!$A$5,Xero!$E:$E,Heron!$A74)</f>
        <v/>
      </c>
      <c r="H74" s="101">
        <f>SUMIFS(Xero!$F:$F,Xero!$B:$B,Heron!H$9,Xero!$A:$A,Heron!$A$4,Xero!$E:$E,Heron!$A74)+SUMIFS(Xero!$F:$F,Xero!$B:$B,Heron!H$9,Xero!$A:$A,Heron!$A$5,Xero!$E:$E,Heron!$A74)</f>
        <v/>
      </c>
      <c r="I74" s="101">
        <f>SUMIFS(Xero!$F:$F,Xero!$B:$B,Heron!I$9,Xero!$A:$A,Heron!$A$4,Xero!$E:$E,Heron!$A74)+SUMIFS(Xero!$F:$F,Xero!$B:$B,Heron!I$9,Xero!$A:$A,Heron!$A$5,Xero!$E:$E,Heron!$A74)</f>
        <v/>
      </c>
      <c r="J74" s="101">
        <f>SUMIFS(Xero!$F:$F,Xero!$B:$B,Heron!J$9,Xero!$A:$A,Heron!$A$4,Xero!$E:$E,Heron!$A74)+SUMIFS(Xero!$F:$F,Xero!$B:$B,Heron!J$9,Xero!$A:$A,Heron!$A$5,Xero!$E:$E,Heron!$A74)</f>
        <v/>
      </c>
      <c r="K74" s="101">
        <f>SUMIFS(Xero!$F:$F,Xero!$B:$B,Heron!K$9,Xero!$A:$A,Heron!$A$4,Xero!$E:$E,Heron!$A74)+SUMIFS(Xero!$F:$F,Xero!$B:$B,Heron!K$9,Xero!$A:$A,Heron!$A$5,Xero!$E:$E,Heron!$A74)</f>
        <v/>
      </c>
      <c r="L74" s="101">
        <f>SUMIFS(Xero!$F:$F,Xero!$B:$B,Heron!L$9,Xero!$A:$A,Heron!$A$4,Xero!$E:$E,Heron!$A74)+SUMIFS(Xero!$F:$F,Xero!$B:$B,Heron!L$9,Xero!$A:$A,Heron!$A$5,Xero!$E:$E,Heron!$A74)</f>
        <v/>
      </c>
      <c r="M74" s="101">
        <f>SUMIFS(Xero!$F:$F,Xero!$B:$B,Heron!M$9,Xero!$A:$A,Heron!$A$4,Xero!$E:$E,Heron!$A74)+SUMIFS(Xero!$F:$F,Xero!$B:$B,Heron!M$9,Xero!$A:$A,Heron!$A$5,Xero!$E:$E,Heron!$A74)</f>
        <v/>
      </c>
      <c r="N74" s="101">
        <f>SUMIFS(Xero!$F:$F,Xero!$B:$B,Heron!N$9,Xero!$A:$A,Heron!$A$4,Xero!$E:$E,Heron!$A74)+SUMIFS(Xero!$F:$F,Xero!$B:$B,Heron!N$9,Xero!$A:$A,Heron!$A$5,Xero!$E:$E,Heron!$A74)</f>
        <v/>
      </c>
      <c r="O74" s="101">
        <f>SUMIFS(Xero!$F:$F,Xero!$B:$B,Heron!O$9,Xero!$A:$A,Heron!$A$4,Xero!$E:$E,Heron!$A74)+SUMIFS(Xero!$F:$F,Xero!$B:$B,Heron!O$9,Xero!$A:$A,Heron!$A$5,Xero!$E:$E,Heron!$A74)</f>
        <v/>
      </c>
      <c r="P74" s="101">
        <f>SUMIFS(Xero!$F:$F,Xero!$B:$B,Heron!P$9,Xero!$A:$A,Heron!$A$4,Xero!$E:$E,Heron!$A74)+SUMIFS(Xero!$F:$F,Xero!$B:$B,Heron!P$9,Xero!$A:$A,Heron!$A$5,Xero!$E:$E,Heron!$A74)</f>
        <v/>
      </c>
      <c r="Q74" s="101">
        <f>SUMIFS(Xero!$F:$F,Xero!$B:$B,Heron!Q$9,Xero!$A:$A,Heron!$A$4,Xero!$E:$E,Heron!$A74)+SUMIFS(Xero!$F:$F,Xero!$B:$B,Heron!Q$9,Xero!$A:$A,Heron!$A$5,Xero!$E:$E,Heron!$A74)</f>
        <v/>
      </c>
      <c r="R74" s="101">
        <f>SUMIFS(Xero!$F:$F,Xero!$B:$B,Heron!R$9,Xero!$A:$A,Heron!$A$4,Xero!$E:$E,Heron!$A74)+SUMIFS(Xero!$F:$F,Xero!$B:$B,Heron!R$9,Xero!$A:$A,Heron!$A$5,Xero!$E:$E,Heron!$A74)</f>
        <v/>
      </c>
      <c r="S74" s="101">
        <f>SUMIFS(Xero!$F:$F,Xero!$B:$B,Heron!S$9,Xero!$A:$A,Heron!$A$4,Xero!$E:$E,Heron!$A74)+SUMIFS(Xero!$F:$F,Xero!$B:$B,Heron!S$9,Xero!$A:$A,Heron!$A$5,Xero!$E:$E,Heron!$A74)</f>
        <v/>
      </c>
      <c r="T74" s="101">
        <f>SUMIFS(Xero!$F:$F,Xero!$B:$B,Heron!T$9,Xero!$A:$A,Heron!$A$4,Xero!$E:$E,Heron!$A74)+SUMIFS(Xero!$F:$F,Xero!$B:$B,Heron!T$9,Xero!$A:$A,Heron!$A$5,Xero!$E:$E,Heron!$A74)</f>
        <v/>
      </c>
      <c r="U74" s="101">
        <f>SUMIFS(Xero!$F:$F,Xero!$B:$B,Heron!U$9,Xero!$A:$A,Heron!$A$4,Xero!$E:$E,Heron!$A74)+SUMIFS(Xero!$F:$F,Xero!$B:$B,Heron!U$9,Xero!$A:$A,Heron!$A$5,Xero!$E:$E,Heron!$A74)</f>
        <v/>
      </c>
      <c r="V74" s="101">
        <f>SUMIFS(Xero!$F:$F,Xero!$B:$B,Heron!V$9,Xero!$A:$A,Heron!$A$4,Xero!$E:$E,Heron!$A74)+SUMIFS(Xero!$F:$F,Xero!$B:$B,Heron!V$9,Xero!$A:$A,Heron!$A$5,Xero!$E:$E,Heron!$A74)</f>
        <v/>
      </c>
      <c r="W74" s="101">
        <f>SUMIFS(Xero!$F:$F,Xero!$B:$B,Heron!W$9,Xero!$A:$A,Heron!$A$4,Xero!$E:$E,Heron!$A74)+SUMIFS(Xero!$F:$F,Xero!$B:$B,Heron!W$9,Xero!$A:$A,Heron!$A$5,Xero!$E:$E,Heron!$A74)</f>
        <v/>
      </c>
      <c r="X74" s="101">
        <f>SUMIFS(Xero!$F:$F,Xero!$B:$B,Heron!X$9,Xero!$A:$A,Heron!$A$4,Xero!$E:$E,Heron!$A74)+SUMIFS(Xero!$F:$F,Xero!$B:$B,Heron!X$9,Xero!$A:$A,Heron!$A$5,Xero!$E:$E,Heron!$A74)</f>
        <v/>
      </c>
      <c r="Y74" s="101">
        <f>SUMIFS(Xero!$F:$F,Xero!$B:$B,Heron!Y$9,Xero!$A:$A,Heron!$A$4,Xero!$E:$E,Heron!$A74)+SUMIFS(Xero!$F:$F,Xero!$B:$B,Heron!Y$9,Xero!$A:$A,Heron!$A$5,Xero!$E:$E,Heron!$A74)</f>
        <v/>
      </c>
      <c r="Z74" s="101">
        <f>SUMIFS(Xero!$F:$F,Xero!$B:$B,Heron!Z$9,Xero!$A:$A,Heron!$A$4,Xero!$E:$E,Heron!$A74)+SUMIFS(Xero!$F:$F,Xero!$B:$B,Heron!Z$9,Xero!$A:$A,Heron!$A$5,Xero!$E:$E,Heron!$A74)</f>
        <v/>
      </c>
      <c r="AA74" s="101">
        <f>SUMIFS(Xero!$F:$F,Xero!$B:$B,Heron!AA$9,Xero!$A:$A,Heron!$A$4,Xero!$E:$E,Heron!$A74)+SUMIFS(Xero!$F:$F,Xero!$B:$B,Heron!AA$9,Xero!$A:$A,Heron!$A$5,Xero!$E:$E,Heron!$A74)</f>
        <v/>
      </c>
      <c r="AB74" s="101">
        <f>SUMIFS(Xero!$F:$F,Xero!$B:$B,Heron!AB$9,Xero!$A:$A,Heron!$A$4,Xero!$E:$E,Heron!$A74)+SUMIFS(Xero!$F:$F,Xero!$B:$B,Heron!AB$9,Xero!$A:$A,Heron!$A$5,Xero!$E:$E,Heron!$A74)</f>
        <v/>
      </c>
      <c r="AC74" s="101">
        <f>SUMIFS(Xero!$F:$F,Xero!$B:$B,Heron!AC$9,Xero!$A:$A,Heron!$A$4,Xero!$E:$E,Heron!$A74)+SUMIFS(Xero!$F:$F,Xero!$B:$B,Heron!AC$9,Xero!$A:$A,Heron!$A$5,Xero!$E:$E,Heron!$A74)</f>
        <v/>
      </c>
      <c r="AD74" s="101">
        <f>SUMIFS(Xero!$F:$F,Xero!$B:$B,Heron!AD$9,Xero!$A:$A,Heron!$A$4,Xero!$E:$E,Heron!$A74)+SUMIFS(Xero!$F:$F,Xero!$B:$B,Heron!AD$9,Xero!$A:$A,Heron!$A$5,Xero!$E:$E,Heron!$A74)</f>
        <v/>
      </c>
      <c r="AE74" s="101">
        <f>SUMIFS(Xero!$F:$F,Xero!$B:$B,Heron!AE$9,Xero!$A:$A,Heron!$A$4,Xero!$E:$E,Heron!$A74)+SUMIFS(Xero!$F:$F,Xero!$B:$B,Heron!AE$9,Xero!$A:$A,Heron!$A$5,Xero!$E:$E,Heron!$A74)</f>
        <v/>
      </c>
      <c r="AF74" s="101">
        <f>SUMIFS(Xero!$F:$F,Xero!$B:$B,Heron!AF$9,Xero!$A:$A,Heron!$A$4,Xero!$E:$E,Heron!$A74)+SUMIFS(Xero!$F:$F,Xero!$B:$B,Heron!AF$9,Xero!$A:$A,Heron!$A$5,Xero!$E:$E,Heron!$A74)</f>
        <v/>
      </c>
      <c r="AG74" s="101">
        <f>SUMIFS(Xero!$F:$F,Xero!$B:$B,Heron!AG$9,Xero!$A:$A,Heron!$A$4,Xero!$E:$E,Heron!$A74)+SUMIFS(Xero!$F:$F,Xero!$B:$B,Heron!AG$9,Xero!$A:$A,Heron!$A$5,Xero!$E:$E,Heron!$A74)</f>
        <v/>
      </c>
      <c r="AH74" s="101">
        <f>SUMIFS(Xero!$F:$F,Xero!$B:$B,Heron!AH$9,Xero!$A:$A,Heron!$A$4,Xero!$E:$E,Heron!$A74)+SUMIFS(Xero!$F:$F,Xero!$B:$B,Heron!AH$9,Xero!$A:$A,Heron!$A$5,Xero!$E:$E,Heron!$A74)</f>
        <v/>
      </c>
      <c r="AI74" s="101">
        <f>SUMIFS(Xero!$F:$F,Xero!$B:$B,Heron!AI$9,Xero!$A:$A,Heron!$A$4,Xero!$E:$E,Heron!$A74)+SUMIFS(Xero!$F:$F,Xero!$B:$B,Heron!AI$9,Xero!$A:$A,Heron!$A$5,Xero!$E:$E,Heron!$A74)</f>
        <v/>
      </c>
      <c r="AJ74" s="101">
        <f>SUMIFS(Xero!$F:$F,Xero!$B:$B,Heron!AJ$9,Xero!$A:$A,Heron!$A$4,Xero!$E:$E,Heron!$A74)+SUMIFS(Xero!$F:$F,Xero!$B:$B,Heron!AJ$9,Xero!$A:$A,Heron!$A$5,Xero!$E:$E,Heron!$A74)</f>
        <v/>
      </c>
      <c r="AK74" s="101">
        <f>SUMIFS(Xero!$F:$F,Xero!$B:$B,Heron!AK$9,Xero!$A:$A,Heron!$A$4,Xero!$E:$E,Heron!$A74)+SUMIFS(Xero!$F:$F,Xero!$B:$B,Heron!AK$9,Xero!$A:$A,Heron!$A$5,Xero!$E:$E,Heron!$A74)</f>
        <v/>
      </c>
      <c r="AL74" s="101">
        <f>SUMIFS(Xero!$F:$F,Xero!$B:$B,Heron!AL$9,Xero!$A:$A,Heron!$A$4,Xero!$E:$E,Heron!$A74)+SUMIFS(Xero!$F:$F,Xero!$B:$B,Heron!AL$9,Xero!$A:$A,Heron!$A$5,Xero!$E:$E,Heron!$A74)</f>
        <v/>
      </c>
      <c r="AM74" s="101">
        <f>SUMIFS(Xero!$F:$F,Xero!$B:$B,Heron!AM$9,Xero!$A:$A,Heron!$A$4,Xero!$E:$E,Heron!$A74)+SUMIFS(Xero!$F:$F,Xero!$B:$B,Heron!AM$9,Xero!$A:$A,Heron!$A$5,Xero!$E:$E,Heron!$A74)</f>
        <v/>
      </c>
      <c r="AN74" s="101">
        <f>SUMIFS(Xero!$F:$F,Xero!$B:$B,Heron!AN$9,Xero!$A:$A,Heron!$A$4,Xero!$E:$E,Heron!$A74)+SUMIFS(Xero!$F:$F,Xero!$B:$B,Heron!AN$9,Xero!$A:$A,Heron!$A$5,Xero!$E:$E,Heron!$A74)</f>
        <v/>
      </c>
      <c r="AO74" s="101">
        <f>SUMIFS(Xero!$F:$F,Xero!$B:$B,Heron!AO$9,Xero!$A:$A,Heron!$A$4,Xero!$E:$E,Heron!$A74)+SUMIFS(Xero!$F:$F,Xero!$B:$B,Heron!AO$9,Xero!$A:$A,Heron!$A$5,Xero!$E:$E,Heron!$A74)</f>
        <v/>
      </c>
      <c r="AP74" s="101">
        <f>SUMIFS(Xero!$F:$F,Xero!$B:$B,Heron!AP$9,Xero!$A:$A,Heron!$A$4,Xero!$E:$E,Heron!$A74)+SUMIFS(Xero!$F:$F,Xero!$B:$B,Heron!AP$9,Xero!$A:$A,Heron!$A$5,Xero!$E:$E,Heron!$A74)</f>
        <v/>
      </c>
      <c r="AQ74" s="101">
        <f>SUMIFS(Xero!$F:$F,Xero!$B:$B,Heron!AQ$9,Xero!$A:$A,Heron!$A$4,Xero!$E:$E,Heron!$A74)+SUMIFS(Xero!$F:$F,Xero!$B:$B,Heron!AQ$9,Xero!$A:$A,Heron!$A$5,Xero!$E:$E,Heron!$A74)</f>
        <v/>
      </c>
      <c r="AR74" s="101">
        <f>SUMIFS(Xero!$F:$F,Xero!$B:$B,Heron!AR$9,Xero!$A:$A,Heron!$A$4,Xero!$E:$E,Heron!$A74)+SUMIFS(Xero!$F:$F,Xero!$B:$B,Heron!AR$9,Xero!$A:$A,Heron!$A$5,Xero!$E:$E,Heron!$A74)</f>
        <v/>
      </c>
      <c r="AS74" s="101">
        <f>SUMIFS(Xero!$F:$F,Xero!$B:$B,Heron!AS$9,Xero!$A:$A,Heron!$A$4,Xero!$E:$E,Heron!$A74)+SUMIFS(Xero!$F:$F,Xero!$B:$B,Heron!AS$9,Xero!$A:$A,Heron!$A$5,Xero!$E:$E,Heron!$A74)</f>
        <v/>
      </c>
      <c r="AT74" s="101">
        <f>SUMIFS(Xero!$F:$F,Xero!$B:$B,Heron!AT$9,Xero!$A:$A,Heron!$A$4,Xero!$E:$E,Heron!$A74)+SUMIFS(Xero!$F:$F,Xero!$B:$B,Heron!AT$9,Xero!$A:$A,Heron!$A$5,Xero!$E:$E,Heron!$A74)</f>
        <v/>
      </c>
      <c r="AU74" s="101">
        <f>SUMIFS(Xero!$F:$F,Xero!$B:$B,Heron!AU$9,Xero!$A:$A,Heron!$A$4,Xero!$E:$E,Heron!$A74)+SUMIFS(Xero!$F:$F,Xero!$B:$B,Heron!AU$9,Xero!$A:$A,Heron!$A$5,Xero!$E:$E,Heron!$A74)</f>
        <v/>
      </c>
      <c r="AV74" s="101">
        <f>SUMIFS(Xero!$F:$F,Xero!$B:$B,Heron!AV$9,Xero!$A:$A,Heron!$A$4,Xero!$E:$E,Heron!$A74)+SUMIFS(Xero!$F:$F,Xero!$B:$B,Heron!AV$9,Xero!$A:$A,Heron!$A$5,Xero!$E:$E,Heron!$A74)</f>
        <v/>
      </c>
      <c r="AW74" s="101">
        <f>SUMIFS(Xero!$F:$F,Xero!$B:$B,Heron!AW$9,Xero!$A:$A,Heron!$A$4,Xero!$E:$E,Heron!$A74)+SUMIFS(Xero!$F:$F,Xero!$B:$B,Heron!AW$9,Xero!$A:$A,Heron!$A$5,Xero!$E:$E,Heron!$A74)</f>
        <v/>
      </c>
      <c r="AX74" s="101">
        <f>SUMIFS(Xero!$F:$F,Xero!$B:$B,Heron!AX$9,Xero!$A:$A,Heron!$A$4,Xero!$E:$E,Heron!$A74)+SUMIFS(Xero!$F:$F,Xero!$B:$B,Heron!AX$9,Xero!$A:$A,Heron!$A$5,Xero!$E:$E,Heron!$A74)</f>
        <v/>
      </c>
      <c r="AY74" s="101">
        <f>SUMIFS(Xero!$F:$F,Xero!$B:$B,Heron!AY$9,Xero!$A:$A,Heron!$A$4,Xero!$E:$E,Heron!$A74)+SUMIFS(Xero!$F:$F,Xero!$B:$B,Heron!AY$9,Xero!$A:$A,Heron!$A$5,Xero!$E:$E,Heron!$A74)</f>
        <v/>
      </c>
      <c r="AZ74" s="101">
        <f>SUMIFS(Xero!$F:$F,Xero!$B:$B,Heron!AZ$9,Xero!$A:$A,Heron!$A$4,Xero!$E:$E,Heron!$A74)+SUMIFS(Xero!$F:$F,Xero!$B:$B,Heron!AZ$9,Xero!$A:$A,Heron!$A$5,Xero!$E:$E,Heron!$A74)</f>
        <v/>
      </c>
      <c r="BA74" s="101">
        <f>SUMIFS(Xero!$F:$F,Xero!$B:$B,Heron!BA$9,Xero!$A:$A,Heron!$A$4,Xero!$E:$E,Heron!$A74)+SUMIFS(Xero!$F:$F,Xero!$B:$B,Heron!BA$9,Xero!$A:$A,Heron!$A$5,Xero!$E:$E,Heron!$A74)</f>
        <v/>
      </c>
      <c r="BB74" s="101">
        <f>SUMIFS(Xero!$F:$F,Xero!$B:$B,Heron!BB$9,Xero!$A:$A,Heron!$A$4,Xero!$E:$E,Heron!$A74)+SUMIFS(Xero!$F:$F,Xero!$B:$B,Heron!BB$9,Xero!$A:$A,Heron!$A$5,Xero!$E:$E,Heron!$A74)</f>
        <v/>
      </c>
      <c r="BC74" s="101">
        <f>SUMIFS(Xero!$F:$F,Xero!$B:$B,Heron!BC$9,Xero!$A:$A,Heron!$A$4,Xero!$E:$E,Heron!$A74)+SUMIFS(Xero!$F:$F,Xero!$B:$B,Heron!BC$9,Xero!$A:$A,Heron!$A$5,Xero!$E:$E,Heron!$A74)</f>
        <v/>
      </c>
      <c r="BD74" s="101">
        <f>SUMIFS(Xero!$F:$F,Xero!$B:$B,Heron!BD$9,Xero!$A:$A,Heron!$A$4,Xero!$E:$E,Heron!$A74)+SUMIFS(Xero!$F:$F,Xero!$B:$B,Heron!BD$9,Xero!$A:$A,Heron!$A$5,Xero!$E:$E,Heron!$A74)</f>
        <v/>
      </c>
      <c r="BE74" s="101">
        <f>SUMIFS(Xero!$F:$F,Xero!$B:$B,Heron!BE$9,Xero!$A:$A,Heron!$A$4,Xero!$E:$E,Heron!$A74)+SUMIFS(Xero!$F:$F,Xero!$B:$B,Heron!BE$9,Xero!$A:$A,Heron!$A$5,Xero!$E:$E,Heron!$A74)</f>
        <v/>
      </c>
      <c r="BF74" s="101">
        <f>SUMIFS(Xero!$F:$F,Xero!$B:$B,Heron!BF$9,Xero!$A:$A,Heron!$A$4,Xero!$E:$E,Heron!$A74)+SUMIFS(Xero!$F:$F,Xero!$B:$B,Heron!BF$9,Xero!$A:$A,Heron!$A$5,Xero!$E:$E,Heron!$A74)</f>
        <v/>
      </c>
      <c r="BG74" s="101">
        <f>SUMIFS(Xero!$F:$F,Xero!$B:$B,Heron!BG$9,Xero!$A:$A,Heron!$A$4,Xero!$E:$E,Heron!$A74)+SUMIFS(Xero!$F:$F,Xero!$B:$B,Heron!BG$9,Xero!$A:$A,Heron!$A$5,Xero!$E:$E,Heron!$A74)</f>
        <v/>
      </c>
      <c r="BH74" s="101">
        <f>SUMIFS(Xero!$F:$F,Xero!$B:$B,Heron!BH$9,Xero!$A:$A,Heron!$A$4,Xero!$E:$E,Heron!$A74)+SUMIFS(Xero!$F:$F,Xero!$B:$B,Heron!BH$9,Xero!$A:$A,Heron!$A$5,Xero!$E:$E,Heron!$A74)</f>
        <v/>
      </c>
      <c r="BI74" s="101">
        <f>SUMIFS(Xero!$F:$F,Xero!$B:$B,Heron!BI$9,Xero!$A:$A,Heron!$A$4,Xero!$E:$E,Heron!$A74)+SUMIFS(Xero!$F:$F,Xero!$B:$B,Heron!BI$9,Xero!$A:$A,Heron!$A$5,Xero!$E:$E,Heron!$A74)</f>
        <v/>
      </c>
      <c r="BJ74" s="101">
        <f>SUMIFS(Xero!$F:$F,Xero!$B:$B,Heron!BJ$9,Xero!$A:$A,Heron!$A$4,Xero!$E:$E,Heron!$A74)+SUMIFS(Xero!$F:$F,Xero!$B:$B,Heron!BJ$9,Xero!$A:$A,Heron!$A$5,Xero!$E:$E,Heron!$A74)</f>
        <v/>
      </c>
      <c r="BK74" s="101">
        <f>sum(D74:BJ74)</f>
        <v/>
      </c>
    </row>
    <row r="75">
      <c r="A75" s="100" t="inlineStr">
        <is>
          <t>Interest Paid - Investors @ 11%</t>
        </is>
      </c>
      <c r="D75" s="101">
        <f>SUMIFS(Xero!$F:$F,Xero!$B:$B,Heron!D$9,Xero!$A:$A,Heron!$A$4,Xero!$E:$E,Heron!$A75)+SUMIFS(Xero!$F:$F,Xero!$B:$B,Heron!D$9,Xero!$A:$A,Heron!$A$5,Xero!$E:$E,Heron!$A75)</f>
        <v/>
      </c>
      <c r="E75" s="101">
        <f>SUMIFS(Xero!$F:$F,Xero!$B:$B,Heron!E$9,Xero!$A:$A,Heron!$A$4,Xero!$E:$E,Heron!$A75)+SUMIFS(Xero!$F:$F,Xero!$B:$B,Heron!E$9,Xero!$A:$A,Heron!$A$5,Xero!$E:$E,Heron!$A75)</f>
        <v/>
      </c>
      <c r="F75" s="101">
        <f>SUMIFS(Xero!$F:$F,Xero!$B:$B,Heron!F$9,Xero!$A:$A,Heron!$A$4,Xero!$E:$E,Heron!$A75)+SUMIFS(Xero!$F:$F,Xero!$B:$B,Heron!F$9,Xero!$A:$A,Heron!$A$5,Xero!$E:$E,Heron!$A75)</f>
        <v/>
      </c>
      <c r="G75" s="101">
        <f>SUMIFS(Xero!$F:$F,Xero!$B:$B,Heron!G$9,Xero!$A:$A,Heron!$A$4,Xero!$E:$E,Heron!$A75)+SUMIFS(Xero!$F:$F,Xero!$B:$B,Heron!G$9,Xero!$A:$A,Heron!$A$5,Xero!$E:$E,Heron!$A75)</f>
        <v/>
      </c>
      <c r="H75" s="101">
        <f>SUMIFS(Xero!$F:$F,Xero!$B:$B,Heron!H$9,Xero!$A:$A,Heron!$A$4,Xero!$E:$E,Heron!$A75)+SUMIFS(Xero!$F:$F,Xero!$B:$B,Heron!H$9,Xero!$A:$A,Heron!$A$5,Xero!$E:$E,Heron!$A75)</f>
        <v/>
      </c>
      <c r="I75" s="101">
        <f>SUMIFS(Xero!$F:$F,Xero!$B:$B,Heron!I$9,Xero!$A:$A,Heron!$A$4,Xero!$E:$E,Heron!$A75)+SUMIFS(Xero!$F:$F,Xero!$B:$B,Heron!I$9,Xero!$A:$A,Heron!$A$5,Xero!$E:$E,Heron!$A75)</f>
        <v/>
      </c>
      <c r="J75" s="101">
        <f>SUMIFS(Xero!$F:$F,Xero!$B:$B,Heron!J$9,Xero!$A:$A,Heron!$A$4,Xero!$E:$E,Heron!$A75)+SUMIFS(Xero!$F:$F,Xero!$B:$B,Heron!J$9,Xero!$A:$A,Heron!$A$5,Xero!$E:$E,Heron!$A75)</f>
        <v/>
      </c>
      <c r="K75" s="101">
        <f>SUMIFS(Xero!$F:$F,Xero!$B:$B,Heron!K$9,Xero!$A:$A,Heron!$A$4,Xero!$E:$E,Heron!$A75)+SUMIFS(Xero!$F:$F,Xero!$B:$B,Heron!K$9,Xero!$A:$A,Heron!$A$5,Xero!$E:$E,Heron!$A75)</f>
        <v/>
      </c>
      <c r="L75" s="101">
        <f>SUMIFS(Xero!$F:$F,Xero!$B:$B,Heron!L$9,Xero!$A:$A,Heron!$A$4,Xero!$E:$E,Heron!$A75)+SUMIFS(Xero!$F:$F,Xero!$B:$B,Heron!L$9,Xero!$A:$A,Heron!$A$5,Xero!$E:$E,Heron!$A75)</f>
        <v/>
      </c>
      <c r="M75" s="101">
        <f>SUMIFS(Xero!$F:$F,Xero!$B:$B,Heron!M$9,Xero!$A:$A,Heron!$A$4,Xero!$E:$E,Heron!$A75)+SUMIFS(Xero!$F:$F,Xero!$B:$B,Heron!M$9,Xero!$A:$A,Heron!$A$5,Xero!$E:$E,Heron!$A75)</f>
        <v/>
      </c>
      <c r="N75" s="101">
        <f>SUMIFS(Xero!$F:$F,Xero!$B:$B,Heron!N$9,Xero!$A:$A,Heron!$A$4,Xero!$E:$E,Heron!$A75)+SUMIFS(Xero!$F:$F,Xero!$B:$B,Heron!N$9,Xero!$A:$A,Heron!$A$5,Xero!$E:$E,Heron!$A75)</f>
        <v/>
      </c>
      <c r="O75" s="101">
        <f>SUMIFS(Xero!$F:$F,Xero!$B:$B,Heron!O$9,Xero!$A:$A,Heron!$A$4,Xero!$E:$E,Heron!$A75)+SUMIFS(Xero!$F:$F,Xero!$B:$B,Heron!O$9,Xero!$A:$A,Heron!$A$5,Xero!$E:$E,Heron!$A75)</f>
        <v/>
      </c>
      <c r="P75" s="101">
        <f>SUMIFS(Xero!$F:$F,Xero!$B:$B,Heron!P$9,Xero!$A:$A,Heron!$A$4,Xero!$E:$E,Heron!$A75)+SUMIFS(Xero!$F:$F,Xero!$B:$B,Heron!P$9,Xero!$A:$A,Heron!$A$5,Xero!$E:$E,Heron!$A75)</f>
        <v/>
      </c>
      <c r="Q75" s="101">
        <f>SUMIFS(Xero!$F:$F,Xero!$B:$B,Heron!Q$9,Xero!$A:$A,Heron!$A$4,Xero!$E:$E,Heron!$A75)+SUMIFS(Xero!$F:$F,Xero!$B:$B,Heron!Q$9,Xero!$A:$A,Heron!$A$5,Xero!$E:$E,Heron!$A75)</f>
        <v/>
      </c>
      <c r="R75" s="101">
        <f>SUMIFS(Xero!$F:$F,Xero!$B:$B,Heron!R$9,Xero!$A:$A,Heron!$A$4,Xero!$E:$E,Heron!$A75)+SUMIFS(Xero!$F:$F,Xero!$B:$B,Heron!R$9,Xero!$A:$A,Heron!$A$5,Xero!$E:$E,Heron!$A75)</f>
        <v/>
      </c>
      <c r="S75" s="101">
        <f>SUMIFS(Xero!$F:$F,Xero!$B:$B,Heron!S$9,Xero!$A:$A,Heron!$A$4,Xero!$E:$E,Heron!$A75)+SUMIFS(Xero!$F:$F,Xero!$B:$B,Heron!S$9,Xero!$A:$A,Heron!$A$5,Xero!$E:$E,Heron!$A75)</f>
        <v/>
      </c>
      <c r="T75" s="101">
        <f>SUMIFS(Xero!$F:$F,Xero!$B:$B,Heron!T$9,Xero!$A:$A,Heron!$A$4,Xero!$E:$E,Heron!$A75)+SUMIFS(Xero!$F:$F,Xero!$B:$B,Heron!T$9,Xero!$A:$A,Heron!$A$5,Xero!$E:$E,Heron!$A75)</f>
        <v/>
      </c>
      <c r="U75" s="101">
        <f>SUMIFS(Xero!$F:$F,Xero!$B:$B,Heron!U$9,Xero!$A:$A,Heron!$A$4,Xero!$E:$E,Heron!$A75)+SUMIFS(Xero!$F:$F,Xero!$B:$B,Heron!U$9,Xero!$A:$A,Heron!$A$5,Xero!$E:$E,Heron!$A75)</f>
        <v/>
      </c>
      <c r="V75" s="101">
        <f>SUMIFS(Xero!$F:$F,Xero!$B:$B,Heron!V$9,Xero!$A:$A,Heron!$A$4,Xero!$E:$E,Heron!$A75)+SUMIFS(Xero!$F:$F,Xero!$B:$B,Heron!V$9,Xero!$A:$A,Heron!$A$5,Xero!$E:$E,Heron!$A75)</f>
        <v/>
      </c>
      <c r="W75" s="101">
        <f>SUMIFS(Xero!$F:$F,Xero!$B:$B,Heron!W$9,Xero!$A:$A,Heron!$A$4,Xero!$E:$E,Heron!$A75)+SUMIFS(Xero!$F:$F,Xero!$B:$B,Heron!W$9,Xero!$A:$A,Heron!$A$5,Xero!$E:$E,Heron!$A75)</f>
        <v/>
      </c>
      <c r="X75" s="101">
        <f>SUMIFS(Xero!$F:$F,Xero!$B:$B,Heron!X$9,Xero!$A:$A,Heron!$A$4,Xero!$E:$E,Heron!$A75)+SUMIFS(Xero!$F:$F,Xero!$B:$B,Heron!X$9,Xero!$A:$A,Heron!$A$5,Xero!$E:$E,Heron!$A75)</f>
        <v/>
      </c>
      <c r="Y75" s="101">
        <f>SUMIFS(Xero!$F:$F,Xero!$B:$B,Heron!Y$9,Xero!$A:$A,Heron!$A$4,Xero!$E:$E,Heron!$A75)+SUMIFS(Xero!$F:$F,Xero!$B:$B,Heron!Y$9,Xero!$A:$A,Heron!$A$5,Xero!$E:$E,Heron!$A75)</f>
        <v/>
      </c>
      <c r="Z75" s="101">
        <f>SUMIFS(Xero!$F:$F,Xero!$B:$B,Heron!Z$9,Xero!$A:$A,Heron!$A$4,Xero!$E:$E,Heron!$A75)+SUMIFS(Xero!$F:$F,Xero!$B:$B,Heron!Z$9,Xero!$A:$A,Heron!$A$5,Xero!$E:$E,Heron!$A75)</f>
        <v/>
      </c>
      <c r="AA75" s="101">
        <f>SUMIFS(Xero!$F:$F,Xero!$B:$B,Heron!AA$9,Xero!$A:$A,Heron!$A$4,Xero!$E:$E,Heron!$A75)+SUMIFS(Xero!$F:$F,Xero!$B:$B,Heron!AA$9,Xero!$A:$A,Heron!$A$5,Xero!$E:$E,Heron!$A75)</f>
        <v/>
      </c>
      <c r="AB75" s="101">
        <f>SUMIFS(Xero!$F:$F,Xero!$B:$B,Heron!AB$9,Xero!$A:$A,Heron!$A$4,Xero!$E:$E,Heron!$A75)+SUMIFS(Xero!$F:$F,Xero!$B:$B,Heron!AB$9,Xero!$A:$A,Heron!$A$5,Xero!$E:$E,Heron!$A75)</f>
        <v/>
      </c>
      <c r="AC75" s="101">
        <f>SUMIFS(Xero!$F:$F,Xero!$B:$B,Heron!AC$9,Xero!$A:$A,Heron!$A$4,Xero!$E:$E,Heron!$A75)+SUMIFS(Xero!$F:$F,Xero!$B:$B,Heron!AC$9,Xero!$A:$A,Heron!$A$5,Xero!$E:$E,Heron!$A75)</f>
        <v/>
      </c>
      <c r="AD75" s="101">
        <f>SUMIFS(Xero!$F:$F,Xero!$B:$B,Heron!AD$9,Xero!$A:$A,Heron!$A$4,Xero!$E:$E,Heron!$A75)+SUMIFS(Xero!$F:$F,Xero!$B:$B,Heron!AD$9,Xero!$A:$A,Heron!$A$5,Xero!$E:$E,Heron!$A75)</f>
        <v/>
      </c>
      <c r="AE75" s="101">
        <f>SUMIFS(Xero!$F:$F,Xero!$B:$B,Heron!AE$9,Xero!$A:$A,Heron!$A$4,Xero!$E:$E,Heron!$A75)+SUMIFS(Xero!$F:$F,Xero!$B:$B,Heron!AE$9,Xero!$A:$A,Heron!$A$5,Xero!$E:$E,Heron!$A75)</f>
        <v/>
      </c>
      <c r="AF75" s="101">
        <f>SUMIFS(Xero!$F:$F,Xero!$B:$B,Heron!AF$9,Xero!$A:$A,Heron!$A$4,Xero!$E:$E,Heron!$A75)+SUMIFS(Xero!$F:$F,Xero!$B:$B,Heron!AF$9,Xero!$A:$A,Heron!$A$5,Xero!$E:$E,Heron!$A75)</f>
        <v/>
      </c>
      <c r="AG75" s="101">
        <f>SUMIFS(Xero!$F:$F,Xero!$B:$B,Heron!AG$9,Xero!$A:$A,Heron!$A$4,Xero!$E:$E,Heron!$A75)+SUMIFS(Xero!$F:$F,Xero!$B:$B,Heron!AG$9,Xero!$A:$A,Heron!$A$5,Xero!$E:$E,Heron!$A75)</f>
        <v/>
      </c>
      <c r="AH75" s="101">
        <f>SUMIFS(Xero!$F:$F,Xero!$B:$B,Heron!AH$9,Xero!$A:$A,Heron!$A$4,Xero!$E:$E,Heron!$A75)+SUMIFS(Xero!$F:$F,Xero!$B:$B,Heron!AH$9,Xero!$A:$A,Heron!$A$5,Xero!$E:$E,Heron!$A75)</f>
        <v/>
      </c>
      <c r="AI75" s="101">
        <f>SUMIFS(Xero!$F:$F,Xero!$B:$B,Heron!AI$9,Xero!$A:$A,Heron!$A$4,Xero!$E:$E,Heron!$A75)+SUMIFS(Xero!$F:$F,Xero!$B:$B,Heron!AI$9,Xero!$A:$A,Heron!$A$5,Xero!$E:$E,Heron!$A75)</f>
        <v/>
      </c>
      <c r="AJ75" s="101">
        <f>SUMIFS(Xero!$F:$F,Xero!$B:$B,Heron!AJ$9,Xero!$A:$A,Heron!$A$4,Xero!$E:$E,Heron!$A75)+SUMIFS(Xero!$F:$F,Xero!$B:$B,Heron!AJ$9,Xero!$A:$A,Heron!$A$5,Xero!$E:$E,Heron!$A75)</f>
        <v/>
      </c>
      <c r="AK75" s="101">
        <f>SUMIFS(Xero!$F:$F,Xero!$B:$B,Heron!AK$9,Xero!$A:$A,Heron!$A$4,Xero!$E:$E,Heron!$A75)+SUMIFS(Xero!$F:$F,Xero!$B:$B,Heron!AK$9,Xero!$A:$A,Heron!$A$5,Xero!$E:$E,Heron!$A75)</f>
        <v/>
      </c>
      <c r="AL75" s="101">
        <f>SUMIFS(Xero!$F:$F,Xero!$B:$B,Heron!AL$9,Xero!$A:$A,Heron!$A$4,Xero!$E:$E,Heron!$A75)+SUMIFS(Xero!$F:$F,Xero!$B:$B,Heron!AL$9,Xero!$A:$A,Heron!$A$5,Xero!$E:$E,Heron!$A75)</f>
        <v/>
      </c>
      <c r="AM75" s="101">
        <f>SUMIFS(Xero!$F:$F,Xero!$B:$B,Heron!AM$9,Xero!$A:$A,Heron!$A$4,Xero!$E:$E,Heron!$A75)+SUMIFS(Xero!$F:$F,Xero!$B:$B,Heron!AM$9,Xero!$A:$A,Heron!$A$5,Xero!$E:$E,Heron!$A75)</f>
        <v/>
      </c>
      <c r="AN75" s="101">
        <f>SUMIFS(Xero!$F:$F,Xero!$B:$B,Heron!AN$9,Xero!$A:$A,Heron!$A$4,Xero!$E:$E,Heron!$A75)+SUMIFS(Xero!$F:$F,Xero!$B:$B,Heron!AN$9,Xero!$A:$A,Heron!$A$5,Xero!$E:$E,Heron!$A75)</f>
        <v/>
      </c>
      <c r="AO75" s="101">
        <f>SUMIFS(Xero!$F:$F,Xero!$B:$B,Heron!AO$9,Xero!$A:$A,Heron!$A$4,Xero!$E:$E,Heron!$A75)+SUMIFS(Xero!$F:$F,Xero!$B:$B,Heron!AO$9,Xero!$A:$A,Heron!$A$5,Xero!$E:$E,Heron!$A75)</f>
        <v/>
      </c>
      <c r="AP75" s="101">
        <f>SUMIFS(Xero!$F:$F,Xero!$B:$B,Heron!AP$9,Xero!$A:$A,Heron!$A$4,Xero!$E:$E,Heron!$A75)+SUMIFS(Xero!$F:$F,Xero!$B:$B,Heron!AP$9,Xero!$A:$A,Heron!$A$5,Xero!$E:$E,Heron!$A75)</f>
        <v/>
      </c>
      <c r="AQ75" s="101">
        <f>SUMIFS(Xero!$F:$F,Xero!$B:$B,Heron!AQ$9,Xero!$A:$A,Heron!$A$4,Xero!$E:$E,Heron!$A75)+SUMIFS(Xero!$F:$F,Xero!$B:$B,Heron!AQ$9,Xero!$A:$A,Heron!$A$5,Xero!$E:$E,Heron!$A75)</f>
        <v/>
      </c>
      <c r="AR75" s="101">
        <f>SUMIFS(Xero!$F:$F,Xero!$B:$B,Heron!AR$9,Xero!$A:$A,Heron!$A$4,Xero!$E:$E,Heron!$A75)+SUMIFS(Xero!$F:$F,Xero!$B:$B,Heron!AR$9,Xero!$A:$A,Heron!$A$5,Xero!$E:$E,Heron!$A75)</f>
        <v/>
      </c>
      <c r="AS75" s="101">
        <f>SUMIFS(Xero!$F:$F,Xero!$B:$B,Heron!AS$9,Xero!$A:$A,Heron!$A$4,Xero!$E:$E,Heron!$A75)+SUMIFS(Xero!$F:$F,Xero!$B:$B,Heron!AS$9,Xero!$A:$A,Heron!$A$5,Xero!$E:$E,Heron!$A75)</f>
        <v/>
      </c>
      <c r="AT75" s="101">
        <f>SUMIFS(Xero!$F:$F,Xero!$B:$B,Heron!AT$9,Xero!$A:$A,Heron!$A$4,Xero!$E:$E,Heron!$A75)+SUMIFS(Xero!$F:$F,Xero!$B:$B,Heron!AT$9,Xero!$A:$A,Heron!$A$5,Xero!$E:$E,Heron!$A75)</f>
        <v/>
      </c>
      <c r="AU75" s="101">
        <f>SUMIFS(Xero!$F:$F,Xero!$B:$B,Heron!AU$9,Xero!$A:$A,Heron!$A$4,Xero!$E:$E,Heron!$A75)+SUMIFS(Xero!$F:$F,Xero!$B:$B,Heron!AU$9,Xero!$A:$A,Heron!$A$5,Xero!$E:$E,Heron!$A75)</f>
        <v/>
      </c>
      <c r="AV75" s="101">
        <f>SUMIFS(Xero!$F:$F,Xero!$B:$B,Heron!AV$9,Xero!$A:$A,Heron!$A$4,Xero!$E:$E,Heron!$A75)+SUMIFS(Xero!$F:$F,Xero!$B:$B,Heron!AV$9,Xero!$A:$A,Heron!$A$5,Xero!$E:$E,Heron!$A75)</f>
        <v/>
      </c>
      <c r="AW75" s="101">
        <f>SUMIFS(Xero!$F:$F,Xero!$B:$B,Heron!AW$9,Xero!$A:$A,Heron!$A$4,Xero!$E:$E,Heron!$A75)+SUMIFS(Xero!$F:$F,Xero!$B:$B,Heron!AW$9,Xero!$A:$A,Heron!$A$5,Xero!$E:$E,Heron!$A75)</f>
        <v/>
      </c>
      <c r="AX75" s="101">
        <f>SUMIFS(Xero!$F:$F,Xero!$B:$B,Heron!AX$9,Xero!$A:$A,Heron!$A$4,Xero!$E:$E,Heron!$A75)+SUMIFS(Xero!$F:$F,Xero!$B:$B,Heron!AX$9,Xero!$A:$A,Heron!$A$5,Xero!$E:$E,Heron!$A75)</f>
        <v/>
      </c>
      <c r="AY75" s="101">
        <f>SUMIFS(Xero!$F:$F,Xero!$B:$B,Heron!AY$9,Xero!$A:$A,Heron!$A$4,Xero!$E:$E,Heron!$A75)+SUMIFS(Xero!$F:$F,Xero!$B:$B,Heron!AY$9,Xero!$A:$A,Heron!$A$5,Xero!$E:$E,Heron!$A75)</f>
        <v/>
      </c>
      <c r="AZ75" s="101">
        <f>SUMIFS(Xero!$F:$F,Xero!$B:$B,Heron!AZ$9,Xero!$A:$A,Heron!$A$4,Xero!$E:$E,Heron!$A75)+SUMIFS(Xero!$F:$F,Xero!$B:$B,Heron!AZ$9,Xero!$A:$A,Heron!$A$5,Xero!$E:$E,Heron!$A75)</f>
        <v/>
      </c>
      <c r="BA75" s="101">
        <f>SUMIFS(Xero!$F:$F,Xero!$B:$B,Heron!BA$9,Xero!$A:$A,Heron!$A$4,Xero!$E:$E,Heron!$A75)+SUMIFS(Xero!$F:$F,Xero!$B:$B,Heron!BA$9,Xero!$A:$A,Heron!$A$5,Xero!$E:$E,Heron!$A75)</f>
        <v/>
      </c>
      <c r="BB75" s="101">
        <f>SUMIFS(Xero!$F:$F,Xero!$B:$B,Heron!BB$9,Xero!$A:$A,Heron!$A$4,Xero!$E:$E,Heron!$A75)+SUMIFS(Xero!$F:$F,Xero!$B:$B,Heron!BB$9,Xero!$A:$A,Heron!$A$5,Xero!$E:$E,Heron!$A75)</f>
        <v/>
      </c>
      <c r="BC75" s="101">
        <f>SUMIFS(Xero!$F:$F,Xero!$B:$B,Heron!BC$9,Xero!$A:$A,Heron!$A$4,Xero!$E:$E,Heron!$A75)+SUMIFS(Xero!$F:$F,Xero!$B:$B,Heron!BC$9,Xero!$A:$A,Heron!$A$5,Xero!$E:$E,Heron!$A75)</f>
        <v/>
      </c>
      <c r="BD75" s="101">
        <f>SUMIFS(Xero!$F:$F,Xero!$B:$B,Heron!BD$9,Xero!$A:$A,Heron!$A$4,Xero!$E:$E,Heron!$A75)+SUMIFS(Xero!$F:$F,Xero!$B:$B,Heron!BD$9,Xero!$A:$A,Heron!$A$5,Xero!$E:$E,Heron!$A75)</f>
        <v/>
      </c>
      <c r="BE75" s="101">
        <f>SUMIFS(Xero!$F:$F,Xero!$B:$B,Heron!BE$9,Xero!$A:$A,Heron!$A$4,Xero!$E:$E,Heron!$A75)+SUMIFS(Xero!$F:$F,Xero!$B:$B,Heron!BE$9,Xero!$A:$A,Heron!$A$5,Xero!$E:$E,Heron!$A75)</f>
        <v/>
      </c>
      <c r="BF75" s="101">
        <f>SUMIFS(Xero!$F:$F,Xero!$B:$B,Heron!BF$9,Xero!$A:$A,Heron!$A$4,Xero!$E:$E,Heron!$A75)+SUMIFS(Xero!$F:$F,Xero!$B:$B,Heron!BF$9,Xero!$A:$A,Heron!$A$5,Xero!$E:$E,Heron!$A75)</f>
        <v/>
      </c>
      <c r="BG75" s="101">
        <f>SUMIFS(Xero!$F:$F,Xero!$B:$B,Heron!BG$9,Xero!$A:$A,Heron!$A$4,Xero!$E:$E,Heron!$A75)+SUMIFS(Xero!$F:$F,Xero!$B:$B,Heron!BG$9,Xero!$A:$A,Heron!$A$5,Xero!$E:$E,Heron!$A75)</f>
        <v/>
      </c>
      <c r="BH75" s="101">
        <f>SUMIFS(Xero!$F:$F,Xero!$B:$B,Heron!BH$9,Xero!$A:$A,Heron!$A$4,Xero!$E:$E,Heron!$A75)+SUMIFS(Xero!$F:$F,Xero!$B:$B,Heron!BH$9,Xero!$A:$A,Heron!$A$5,Xero!$E:$E,Heron!$A75)</f>
        <v/>
      </c>
      <c r="BI75" s="101">
        <f>SUMIFS(Xero!$F:$F,Xero!$B:$B,Heron!BI$9,Xero!$A:$A,Heron!$A$4,Xero!$E:$E,Heron!$A75)+SUMIFS(Xero!$F:$F,Xero!$B:$B,Heron!BI$9,Xero!$A:$A,Heron!$A$5,Xero!$E:$E,Heron!$A75)</f>
        <v/>
      </c>
      <c r="BJ75" s="101">
        <f>SUMIFS(Xero!$F:$F,Xero!$B:$B,Heron!BJ$9,Xero!$A:$A,Heron!$A$4,Xero!$E:$E,Heron!$A75)+SUMIFS(Xero!$F:$F,Xero!$B:$B,Heron!BJ$9,Xero!$A:$A,Heron!$A$5,Xero!$E:$E,Heron!$A75)</f>
        <v/>
      </c>
      <c r="BK75" s="101">
        <f>sum(D75:BJ75)</f>
        <v/>
      </c>
    </row>
    <row r="76">
      <c r="A76" s="100" t="inlineStr">
        <is>
          <t>Interest Paid - Investors @ 14%</t>
        </is>
      </c>
      <c r="D76" s="101">
        <f>SUMIFS(Xero!$F:$F,Xero!$B:$B,Heron!D$9,Xero!$A:$A,Heron!$A$4,Xero!$E:$E,Heron!$A76)+SUMIFS(Xero!$F:$F,Xero!$B:$B,Heron!D$9,Xero!$A:$A,Heron!$A$5,Xero!$E:$E,Heron!$A76)</f>
        <v/>
      </c>
      <c r="E76" s="101">
        <f>SUMIFS(Xero!$F:$F,Xero!$B:$B,Heron!E$9,Xero!$A:$A,Heron!$A$4,Xero!$E:$E,Heron!$A76)+SUMIFS(Xero!$F:$F,Xero!$B:$B,Heron!E$9,Xero!$A:$A,Heron!$A$5,Xero!$E:$E,Heron!$A76)</f>
        <v/>
      </c>
      <c r="F76" s="101">
        <f>SUMIFS(Xero!$F:$F,Xero!$B:$B,Heron!F$9,Xero!$A:$A,Heron!$A$4,Xero!$E:$E,Heron!$A76)+SUMIFS(Xero!$F:$F,Xero!$B:$B,Heron!F$9,Xero!$A:$A,Heron!$A$5,Xero!$E:$E,Heron!$A76)</f>
        <v/>
      </c>
      <c r="G76" s="101">
        <f>SUMIFS(Xero!$F:$F,Xero!$B:$B,Heron!G$9,Xero!$A:$A,Heron!$A$4,Xero!$E:$E,Heron!$A76)+SUMIFS(Xero!$F:$F,Xero!$B:$B,Heron!G$9,Xero!$A:$A,Heron!$A$5,Xero!$E:$E,Heron!$A76)</f>
        <v/>
      </c>
      <c r="H76" s="101">
        <f>SUMIFS(Xero!$F:$F,Xero!$B:$B,Heron!H$9,Xero!$A:$A,Heron!$A$4,Xero!$E:$E,Heron!$A76)+SUMIFS(Xero!$F:$F,Xero!$B:$B,Heron!H$9,Xero!$A:$A,Heron!$A$5,Xero!$E:$E,Heron!$A76)</f>
        <v/>
      </c>
      <c r="I76" s="101">
        <f>SUMIFS(Xero!$F:$F,Xero!$B:$B,Heron!I$9,Xero!$A:$A,Heron!$A$4,Xero!$E:$E,Heron!$A76)+SUMIFS(Xero!$F:$F,Xero!$B:$B,Heron!I$9,Xero!$A:$A,Heron!$A$5,Xero!$E:$E,Heron!$A76)</f>
        <v/>
      </c>
      <c r="J76" s="101">
        <f>SUMIFS(Xero!$F:$F,Xero!$B:$B,Heron!J$9,Xero!$A:$A,Heron!$A$4,Xero!$E:$E,Heron!$A76)+SUMIFS(Xero!$F:$F,Xero!$B:$B,Heron!J$9,Xero!$A:$A,Heron!$A$5,Xero!$E:$E,Heron!$A76)</f>
        <v/>
      </c>
      <c r="K76" s="101">
        <f>SUMIFS(Xero!$F:$F,Xero!$B:$B,Heron!K$9,Xero!$A:$A,Heron!$A$4,Xero!$E:$E,Heron!$A76)+SUMIFS(Xero!$F:$F,Xero!$B:$B,Heron!K$9,Xero!$A:$A,Heron!$A$5,Xero!$E:$E,Heron!$A76)</f>
        <v/>
      </c>
      <c r="L76" s="101">
        <f>SUMIFS(Xero!$F:$F,Xero!$B:$B,Heron!L$9,Xero!$A:$A,Heron!$A$4,Xero!$E:$E,Heron!$A76)+SUMIFS(Xero!$F:$F,Xero!$B:$B,Heron!L$9,Xero!$A:$A,Heron!$A$5,Xero!$E:$E,Heron!$A76)</f>
        <v/>
      </c>
      <c r="M76" s="101">
        <f>SUMIFS(Xero!$F:$F,Xero!$B:$B,Heron!M$9,Xero!$A:$A,Heron!$A$4,Xero!$E:$E,Heron!$A76)+SUMIFS(Xero!$F:$F,Xero!$B:$B,Heron!M$9,Xero!$A:$A,Heron!$A$5,Xero!$E:$E,Heron!$A76)</f>
        <v/>
      </c>
      <c r="N76" s="101">
        <f>SUMIFS(Xero!$F:$F,Xero!$B:$B,Heron!N$9,Xero!$A:$A,Heron!$A$4,Xero!$E:$E,Heron!$A76)+SUMIFS(Xero!$F:$F,Xero!$B:$B,Heron!N$9,Xero!$A:$A,Heron!$A$5,Xero!$E:$E,Heron!$A76)</f>
        <v/>
      </c>
      <c r="O76" s="101">
        <f>SUMIFS(Xero!$F:$F,Xero!$B:$B,Heron!O$9,Xero!$A:$A,Heron!$A$4,Xero!$E:$E,Heron!$A76)+SUMIFS(Xero!$F:$F,Xero!$B:$B,Heron!O$9,Xero!$A:$A,Heron!$A$5,Xero!$E:$E,Heron!$A76)</f>
        <v/>
      </c>
      <c r="P76" s="101">
        <f>SUMIFS(Xero!$F:$F,Xero!$B:$B,Heron!P$9,Xero!$A:$A,Heron!$A$4,Xero!$E:$E,Heron!$A76)+SUMIFS(Xero!$F:$F,Xero!$B:$B,Heron!P$9,Xero!$A:$A,Heron!$A$5,Xero!$E:$E,Heron!$A76)</f>
        <v/>
      </c>
      <c r="Q76" s="101">
        <f>SUMIFS(Xero!$F:$F,Xero!$B:$B,Heron!Q$9,Xero!$A:$A,Heron!$A$4,Xero!$E:$E,Heron!$A76)+SUMIFS(Xero!$F:$F,Xero!$B:$B,Heron!Q$9,Xero!$A:$A,Heron!$A$5,Xero!$E:$E,Heron!$A76)</f>
        <v/>
      </c>
      <c r="R76" s="101">
        <f>SUMIFS(Xero!$F:$F,Xero!$B:$B,Heron!R$9,Xero!$A:$A,Heron!$A$4,Xero!$E:$E,Heron!$A76)+SUMIFS(Xero!$F:$F,Xero!$B:$B,Heron!R$9,Xero!$A:$A,Heron!$A$5,Xero!$E:$E,Heron!$A76)</f>
        <v/>
      </c>
      <c r="S76" s="101">
        <f>SUMIFS(Xero!$F:$F,Xero!$B:$B,Heron!S$9,Xero!$A:$A,Heron!$A$4,Xero!$E:$E,Heron!$A76)+SUMIFS(Xero!$F:$F,Xero!$B:$B,Heron!S$9,Xero!$A:$A,Heron!$A$5,Xero!$E:$E,Heron!$A76)</f>
        <v/>
      </c>
      <c r="T76" s="101">
        <f>SUMIFS(Xero!$F:$F,Xero!$B:$B,Heron!T$9,Xero!$A:$A,Heron!$A$4,Xero!$E:$E,Heron!$A76)+SUMIFS(Xero!$F:$F,Xero!$B:$B,Heron!T$9,Xero!$A:$A,Heron!$A$5,Xero!$E:$E,Heron!$A76)</f>
        <v/>
      </c>
      <c r="U76" s="101">
        <f>SUMIFS(Xero!$F:$F,Xero!$B:$B,Heron!U$9,Xero!$A:$A,Heron!$A$4,Xero!$E:$E,Heron!$A76)+SUMIFS(Xero!$F:$F,Xero!$B:$B,Heron!U$9,Xero!$A:$A,Heron!$A$5,Xero!$E:$E,Heron!$A76)</f>
        <v/>
      </c>
      <c r="V76" s="101">
        <f>SUMIFS(Xero!$F:$F,Xero!$B:$B,Heron!V$9,Xero!$A:$A,Heron!$A$4,Xero!$E:$E,Heron!$A76)+SUMIFS(Xero!$F:$F,Xero!$B:$B,Heron!V$9,Xero!$A:$A,Heron!$A$5,Xero!$E:$E,Heron!$A76)</f>
        <v/>
      </c>
      <c r="W76" s="101">
        <f>SUMIFS(Xero!$F:$F,Xero!$B:$B,Heron!W$9,Xero!$A:$A,Heron!$A$4,Xero!$E:$E,Heron!$A76)+SUMIFS(Xero!$F:$F,Xero!$B:$B,Heron!W$9,Xero!$A:$A,Heron!$A$5,Xero!$E:$E,Heron!$A76)</f>
        <v/>
      </c>
      <c r="X76" s="101">
        <f>SUMIFS(Xero!$F:$F,Xero!$B:$B,Heron!X$9,Xero!$A:$A,Heron!$A$4,Xero!$E:$E,Heron!$A76)+SUMIFS(Xero!$F:$F,Xero!$B:$B,Heron!X$9,Xero!$A:$A,Heron!$A$5,Xero!$E:$E,Heron!$A76)</f>
        <v/>
      </c>
      <c r="Y76" s="101">
        <f>SUMIFS(Xero!$F:$F,Xero!$B:$B,Heron!Y$9,Xero!$A:$A,Heron!$A$4,Xero!$E:$E,Heron!$A76)+SUMIFS(Xero!$F:$F,Xero!$B:$B,Heron!Y$9,Xero!$A:$A,Heron!$A$5,Xero!$E:$E,Heron!$A76)</f>
        <v/>
      </c>
      <c r="Z76" s="101">
        <f>SUMIFS(Xero!$F:$F,Xero!$B:$B,Heron!Z$9,Xero!$A:$A,Heron!$A$4,Xero!$E:$E,Heron!$A76)+SUMIFS(Xero!$F:$F,Xero!$B:$B,Heron!Z$9,Xero!$A:$A,Heron!$A$5,Xero!$E:$E,Heron!$A76)</f>
        <v/>
      </c>
      <c r="AA76" s="101">
        <f>SUMIFS(Xero!$F:$F,Xero!$B:$B,Heron!AA$9,Xero!$A:$A,Heron!$A$4,Xero!$E:$E,Heron!$A76)+SUMIFS(Xero!$F:$F,Xero!$B:$B,Heron!AA$9,Xero!$A:$A,Heron!$A$5,Xero!$E:$E,Heron!$A76)</f>
        <v/>
      </c>
      <c r="AB76" s="101">
        <f>SUMIFS(Xero!$F:$F,Xero!$B:$B,Heron!AB$9,Xero!$A:$A,Heron!$A$4,Xero!$E:$E,Heron!$A76)+SUMIFS(Xero!$F:$F,Xero!$B:$B,Heron!AB$9,Xero!$A:$A,Heron!$A$5,Xero!$E:$E,Heron!$A76)</f>
        <v/>
      </c>
      <c r="AC76" s="101">
        <f>SUMIFS(Xero!$F:$F,Xero!$B:$B,Heron!AC$9,Xero!$A:$A,Heron!$A$4,Xero!$E:$E,Heron!$A76)+SUMIFS(Xero!$F:$F,Xero!$B:$B,Heron!AC$9,Xero!$A:$A,Heron!$A$5,Xero!$E:$E,Heron!$A76)</f>
        <v/>
      </c>
      <c r="AD76" s="101">
        <f>SUMIFS(Xero!$F:$F,Xero!$B:$B,Heron!AD$9,Xero!$A:$A,Heron!$A$4,Xero!$E:$E,Heron!$A76)+SUMIFS(Xero!$F:$F,Xero!$B:$B,Heron!AD$9,Xero!$A:$A,Heron!$A$5,Xero!$E:$E,Heron!$A76)</f>
        <v/>
      </c>
      <c r="AE76" s="101">
        <f>SUMIFS(Xero!$F:$F,Xero!$B:$B,Heron!AE$9,Xero!$A:$A,Heron!$A$4,Xero!$E:$E,Heron!$A76)+SUMIFS(Xero!$F:$F,Xero!$B:$B,Heron!AE$9,Xero!$A:$A,Heron!$A$5,Xero!$E:$E,Heron!$A76)</f>
        <v/>
      </c>
      <c r="AF76" s="101">
        <f>SUMIFS(Xero!$F:$F,Xero!$B:$B,Heron!AF$9,Xero!$A:$A,Heron!$A$4,Xero!$E:$E,Heron!$A76)+SUMIFS(Xero!$F:$F,Xero!$B:$B,Heron!AF$9,Xero!$A:$A,Heron!$A$5,Xero!$E:$E,Heron!$A76)</f>
        <v/>
      </c>
      <c r="AG76" s="101">
        <f>SUMIFS(Xero!$F:$F,Xero!$B:$B,Heron!AG$9,Xero!$A:$A,Heron!$A$4,Xero!$E:$E,Heron!$A76)+SUMIFS(Xero!$F:$F,Xero!$B:$B,Heron!AG$9,Xero!$A:$A,Heron!$A$5,Xero!$E:$E,Heron!$A76)</f>
        <v/>
      </c>
      <c r="AH76" s="101">
        <f>SUMIFS(Xero!$F:$F,Xero!$B:$B,Heron!AH$9,Xero!$A:$A,Heron!$A$4,Xero!$E:$E,Heron!$A76)+SUMIFS(Xero!$F:$F,Xero!$B:$B,Heron!AH$9,Xero!$A:$A,Heron!$A$5,Xero!$E:$E,Heron!$A76)</f>
        <v/>
      </c>
      <c r="AI76" s="101">
        <f>SUMIFS(Xero!$F:$F,Xero!$B:$B,Heron!AI$9,Xero!$A:$A,Heron!$A$4,Xero!$E:$E,Heron!$A76)+SUMIFS(Xero!$F:$F,Xero!$B:$B,Heron!AI$9,Xero!$A:$A,Heron!$A$5,Xero!$E:$E,Heron!$A76)</f>
        <v/>
      </c>
      <c r="AJ76" s="101">
        <f>SUMIFS(Xero!$F:$F,Xero!$B:$B,Heron!AJ$9,Xero!$A:$A,Heron!$A$4,Xero!$E:$E,Heron!$A76)+SUMIFS(Xero!$F:$F,Xero!$B:$B,Heron!AJ$9,Xero!$A:$A,Heron!$A$5,Xero!$E:$E,Heron!$A76)</f>
        <v/>
      </c>
      <c r="AK76" s="101">
        <f>SUMIFS(Xero!$F:$F,Xero!$B:$B,Heron!AK$9,Xero!$A:$A,Heron!$A$4,Xero!$E:$E,Heron!$A76)+SUMIFS(Xero!$F:$F,Xero!$B:$B,Heron!AK$9,Xero!$A:$A,Heron!$A$5,Xero!$E:$E,Heron!$A76)</f>
        <v/>
      </c>
      <c r="AL76" s="101">
        <f>SUMIFS(Xero!$F:$F,Xero!$B:$B,Heron!AL$9,Xero!$A:$A,Heron!$A$4,Xero!$E:$E,Heron!$A76)+SUMIFS(Xero!$F:$F,Xero!$B:$B,Heron!AL$9,Xero!$A:$A,Heron!$A$5,Xero!$E:$E,Heron!$A76)</f>
        <v/>
      </c>
      <c r="AM76" s="101">
        <f>SUMIFS(Xero!$F:$F,Xero!$B:$B,Heron!AM$9,Xero!$A:$A,Heron!$A$4,Xero!$E:$E,Heron!$A76)+SUMIFS(Xero!$F:$F,Xero!$B:$B,Heron!AM$9,Xero!$A:$A,Heron!$A$5,Xero!$E:$E,Heron!$A76)</f>
        <v/>
      </c>
      <c r="AN76" s="101">
        <f>SUMIFS(Xero!$F:$F,Xero!$B:$B,Heron!AN$9,Xero!$A:$A,Heron!$A$4,Xero!$E:$E,Heron!$A76)+SUMIFS(Xero!$F:$F,Xero!$B:$B,Heron!AN$9,Xero!$A:$A,Heron!$A$5,Xero!$E:$E,Heron!$A76)</f>
        <v/>
      </c>
      <c r="AO76" s="101">
        <f>SUMIFS(Xero!$F:$F,Xero!$B:$B,Heron!AO$9,Xero!$A:$A,Heron!$A$4,Xero!$E:$E,Heron!$A76)+SUMIFS(Xero!$F:$F,Xero!$B:$B,Heron!AO$9,Xero!$A:$A,Heron!$A$5,Xero!$E:$E,Heron!$A76)</f>
        <v/>
      </c>
      <c r="AP76" s="101">
        <f>SUMIFS(Xero!$F:$F,Xero!$B:$B,Heron!AP$9,Xero!$A:$A,Heron!$A$4,Xero!$E:$E,Heron!$A76)+SUMIFS(Xero!$F:$F,Xero!$B:$B,Heron!AP$9,Xero!$A:$A,Heron!$A$5,Xero!$E:$E,Heron!$A76)</f>
        <v/>
      </c>
      <c r="AQ76" s="101">
        <f>SUMIFS(Xero!$F:$F,Xero!$B:$B,Heron!AQ$9,Xero!$A:$A,Heron!$A$4,Xero!$E:$E,Heron!$A76)+SUMIFS(Xero!$F:$F,Xero!$B:$B,Heron!AQ$9,Xero!$A:$A,Heron!$A$5,Xero!$E:$E,Heron!$A76)</f>
        <v/>
      </c>
      <c r="AR76" s="101">
        <f>SUMIFS(Xero!$F:$F,Xero!$B:$B,Heron!AR$9,Xero!$A:$A,Heron!$A$4,Xero!$E:$E,Heron!$A76)+SUMIFS(Xero!$F:$F,Xero!$B:$B,Heron!AR$9,Xero!$A:$A,Heron!$A$5,Xero!$E:$E,Heron!$A76)</f>
        <v/>
      </c>
      <c r="AS76" s="101">
        <f>SUMIFS(Xero!$F:$F,Xero!$B:$B,Heron!AS$9,Xero!$A:$A,Heron!$A$4,Xero!$E:$E,Heron!$A76)+SUMIFS(Xero!$F:$F,Xero!$B:$B,Heron!AS$9,Xero!$A:$A,Heron!$A$5,Xero!$E:$E,Heron!$A76)</f>
        <v/>
      </c>
      <c r="AT76" s="101">
        <f>SUMIFS(Xero!$F:$F,Xero!$B:$B,Heron!AT$9,Xero!$A:$A,Heron!$A$4,Xero!$E:$E,Heron!$A76)+SUMIFS(Xero!$F:$F,Xero!$B:$B,Heron!AT$9,Xero!$A:$A,Heron!$A$5,Xero!$E:$E,Heron!$A76)</f>
        <v/>
      </c>
      <c r="AU76" s="101">
        <f>SUMIFS(Xero!$F:$F,Xero!$B:$B,Heron!AU$9,Xero!$A:$A,Heron!$A$4,Xero!$E:$E,Heron!$A76)+SUMIFS(Xero!$F:$F,Xero!$B:$B,Heron!AU$9,Xero!$A:$A,Heron!$A$5,Xero!$E:$E,Heron!$A76)</f>
        <v/>
      </c>
      <c r="AV76" s="101">
        <f>SUMIFS(Xero!$F:$F,Xero!$B:$B,Heron!AV$9,Xero!$A:$A,Heron!$A$4,Xero!$E:$E,Heron!$A76)+SUMIFS(Xero!$F:$F,Xero!$B:$B,Heron!AV$9,Xero!$A:$A,Heron!$A$5,Xero!$E:$E,Heron!$A76)</f>
        <v/>
      </c>
      <c r="AW76" s="101">
        <f>SUMIFS(Xero!$F:$F,Xero!$B:$B,Heron!AW$9,Xero!$A:$A,Heron!$A$4,Xero!$E:$E,Heron!$A76)+SUMIFS(Xero!$F:$F,Xero!$B:$B,Heron!AW$9,Xero!$A:$A,Heron!$A$5,Xero!$E:$E,Heron!$A76)</f>
        <v/>
      </c>
      <c r="AX76" s="101">
        <f>SUMIFS(Xero!$F:$F,Xero!$B:$B,Heron!AX$9,Xero!$A:$A,Heron!$A$4,Xero!$E:$E,Heron!$A76)+SUMIFS(Xero!$F:$F,Xero!$B:$B,Heron!AX$9,Xero!$A:$A,Heron!$A$5,Xero!$E:$E,Heron!$A76)</f>
        <v/>
      </c>
      <c r="AY76" s="101">
        <f>SUMIFS(Xero!$F:$F,Xero!$B:$B,Heron!AY$9,Xero!$A:$A,Heron!$A$4,Xero!$E:$E,Heron!$A76)+SUMIFS(Xero!$F:$F,Xero!$B:$B,Heron!AY$9,Xero!$A:$A,Heron!$A$5,Xero!$E:$E,Heron!$A76)</f>
        <v/>
      </c>
      <c r="AZ76" s="101">
        <f>SUMIFS(Xero!$F:$F,Xero!$B:$B,Heron!AZ$9,Xero!$A:$A,Heron!$A$4,Xero!$E:$E,Heron!$A76)+SUMIFS(Xero!$F:$F,Xero!$B:$B,Heron!AZ$9,Xero!$A:$A,Heron!$A$5,Xero!$E:$E,Heron!$A76)</f>
        <v/>
      </c>
      <c r="BA76" s="101">
        <f>SUMIFS(Xero!$F:$F,Xero!$B:$B,Heron!BA$9,Xero!$A:$A,Heron!$A$4,Xero!$E:$E,Heron!$A76)+SUMIFS(Xero!$F:$F,Xero!$B:$B,Heron!BA$9,Xero!$A:$A,Heron!$A$5,Xero!$E:$E,Heron!$A76)</f>
        <v/>
      </c>
      <c r="BB76" s="101">
        <f>SUMIFS(Xero!$F:$F,Xero!$B:$B,Heron!BB$9,Xero!$A:$A,Heron!$A$4,Xero!$E:$E,Heron!$A76)+SUMIFS(Xero!$F:$F,Xero!$B:$B,Heron!BB$9,Xero!$A:$A,Heron!$A$5,Xero!$E:$E,Heron!$A76)</f>
        <v/>
      </c>
      <c r="BC76" s="101">
        <f>SUMIFS(Xero!$F:$F,Xero!$B:$B,Heron!BC$9,Xero!$A:$A,Heron!$A$4,Xero!$E:$E,Heron!$A76)+SUMIFS(Xero!$F:$F,Xero!$B:$B,Heron!BC$9,Xero!$A:$A,Heron!$A$5,Xero!$E:$E,Heron!$A76)</f>
        <v/>
      </c>
      <c r="BD76" s="101">
        <f>SUMIFS(Xero!$F:$F,Xero!$B:$B,Heron!BD$9,Xero!$A:$A,Heron!$A$4,Xero!$E:$E,Heron!$A76)+SUMIFS(Xero!$F:$F,Xero!$B:$B,Heron!BD$9,Xero!$A:$A,Heron!$A$5,Xero!$E:$E,Heron!$A76)</f>
        <v/>
      </c>
      <c r="BE76" s="101">
        <f>SUMIFS(Xero!$F:$F,Xero!$B:$B,Heron!BE$9,Xero!$A:$A,Heron!$A$4,Xero!$E:$E,Heron!$A76)+SUMIFS(Xero!$F:$F,Xero!$B:$B,Heron!BE$9,Xero!$A:$A,Heron!$A$5,Xero!$E:$E,Heron!$A76)</f>
        <v/>
      </c>
      <c r="BF76" s="101">
        <f>SUMIFS(Xero!$F:$F,Xero!$B:$B,Heron!BF$9,Xero!$A:$A,Heron!$A$4,Xero!$E:$E,Heron!$A76)+SUMIFS(Xero!$F:$F,Xero!$B:$B,Heron!BF$9,Xero!$A:$A,Heron!$A$5,Xero!$E:$E,Heron!$A76)</f>
        <v/>
      </c>
      <c r="BG76" s="101">
        <f>SUMIFS(Xero!$F:$F,Xero!$B:$B,Heron!BG$9,Xero!$A:$A,Heron!$A$4,Xero!$E:$E,Heron!$A76)+SUMIFS(Xero!$F:$F,Xero!$B:$B,Heron!BG$9,Xero!$A:$A,Heron!$A$5,Xero!$E:$E,Heron!$A76)</f>
        <v/>
      </c>
      <c r="BH76" s="101">
        <f>SUMIFS(Xero!$F:$F,Xero!$B:$B,Heron!BH$9,Xero!$A:$A,Heron!$A$4,Xero!$E:$E,Heron!$A76)+SUMIFS(Xero!$F:$F,Xero!$B:$B,Heron!BH$9,Xero!$A:$A,Heron!$A$5,Xero!$E:$E,Heron!$A76)</f>
        <v/>
      </c>
      <c r="BI76" s="101">
        <f>SUMIFS(Xero!$F:$F,Xero!$B:$B,Heron!BI$9,Xero!$A:$A,Heron!$A$4,Xero!$E:$E,Heron!$A76)+SUMIFS(Xero!$F:$F,Xero!$B:$B,Heron!BI$9,Xero!$A:$A,Heron!$A$5,Xero!$E:$E,Heron!$A76)</f>
        <v/>
      </c>
      <c r="BJ76" s="101">
        <f>SUMIFS(Xero!$F:$F,Xero!$B:$B,Heron!BJ$9,Xero!$A:$A,Heron!$A$4,Xero!$E:$E,Heron!$A76)+SUMIFS(Xero!$F:$F,Xero!$B:$B,Heron!BJ$9,Xero!$A:$A,Heron!$A$5,Xero!$E:$E,Heron!$A76)</f>
        <v/>
      </c>
      <c r="BK76" s="101">
        <f>sum(D76:BJ76)</f>
        <v/>
      </c>
    </row>
    <row r="77">
      <c r="A77" s="100" t="inlineStr">
        <is>
          <t>Interest Paid - Investors @ 15%</t>
        </is>
      </c>
      <c r="D77" s="101">
        <f>SUMIFS(Xero!$F:$F,Xero!$B:$B,Heron!D$9,Xero!$A:$A,Heron!$A$4,Xero!$E:$E,Heron!$A77)+SUMIFS(Xero!$F:$F,Xero!$B:$B,Heron!D$9,Xero!$A:$A,Heron!$A$5,Xero!$E:$E,Heron!$A77)</f>
        <v/>
      </c>
      <c r="E77" s="101">
        <f>SUMIFS(Xero!$F:$F,Xero!$B:$B,Heron!E$9,Xero!$A:$A,Heron!$A$4,Xero!$E:$E,Heron!$A77)+SUMIFS(Xero!$F:$F,Xero!$B:$B,Heron!E$9,Xero!$A:$A,Heron!$A$5,Xero!$E:$E,Heron!$A77)</f>
        <v/>
      </c>
      <c r="F77" s="101">
        <f>SUMIFS(Xero!$F:$F,Xero!$B:$B,Heron!F$9,Xero!$A:$A,Heron!$A$4,Xero!$E:$E,Heron!$A77)+SUMIFS(Xero!$F:$F,Xero!$B:$B,Heron!F$9,Xero!$A:$A,Heron!$A$5,Xero!$E:$E,Heron!$A77)</f>
        <v/>
      </c>
      <c r="G77" s="101">
        <f>SUMIFS(Xero!$F:$F,Xero!$B:$B,Heron!G$9,Xero!$A:$A,Heron!$A$4,Xero!$E:$E,Heron!$A77)+SUMIFS(Xero!$F:$F,Xero!$B:$B,Heron!G$9,Xero!$A:$A,Heron!$A$5,Xero!$E:$E,Heron!$A77)</f>
        <v/>
      </c>
      <c r="H77" s="101">
        <f>SUMIFS(Xero!$F:$F,Xero!$B:$B,Heron!H$9,Xero!$A:$A,Heron!$A$4,Xero!$E:$E,Heron!$A77)+SUMIFS(Xero!$F:$F,Xero!$B:$B,Heron!H$9,Xero!$A:$A,Heron!$A$5,Xero!$E:$E,Heron!$A77)</f>
        <v/>
      </c>
      <c r="I77" s="101">
        <f>SUMIFS(Xero!$F:$F,Xero!$B:$B,Heron!I$9,Xero!$A:$A,Heron!$A$4,Xero!$E:$E,Heron!$A77)+SUMIFS(Xero!$F:$F,Xero!$B:$B,Heron!I$9,Xero!$A:$A,Heron!$A$5,Xero!$E:$E,Heron!$A77)</f>
        <v/>
      </c>
      <c r="J77" s="101">
        <f>SUMIFS(Xero!$F:$F,Xero!$B:$B,Heron!J$9,Xero!$A:$A,Heron!$A$4,Xero!$E:$E,Heron!$A77)+SUMIFS(Xero!$F:$F,Xero!$B:$B,Heron!J$9,Xero!$A:$A,Heron!$A$5,Xero!$E:$E,Heron!$A77)</f>
        <v/>
      </c>
      <c r="K77" s="101">
        <f>SUMIFS(Xero!$F:$F,Xero!$B:$B,Heron!K$9,Xero!$A:$A,Heron!$A$4,Xero!$E:$E,Heron!$A77)+SUMIFS(Xero!$F:$F,Xero!$B:$B,Heron!K$9,Xero!$A:$A,Heron!$A$5,Xero!$E:$E,Heron!$A77)</f>
        <v/>
      </c>
      <c r="L77" s="101">
        <f>SUMIFS(Xero!$F:$F,Xero!$B:$B,Heron!L$9,Xero!$A:$A,Heron!$A$4,Xero!$E:$E,Heron!$A77)+SUMIFS(Xero!$F:$F,Xero!$B:$B,Heron!L$9,Xero!$A:$A,Heron!$A$5,Xero!$E:$E,Heron!$A77)</f>
        <v/>
      </c>
      <c r="M77" s="101">
        <f>SUMIFS(Xero!$F:$F,Xero!$B:$B,Heron!M$9,Xero!$A:$A,Heron!$A$4,Xero!$E:$E,Heron!$A77)+SUMIFS(Xero!$F:$F,Xero!$B:$B,Heron!M$9,Xero!$A:$A,Heron!$A$5,Xero!$E:$E,Heron!$A77)</f>
        <v/>
      </c>
      <c r="N77" s="101">
        <f>SUMIFS(Xero!$F:$F,Xero!$B:$B,Heron!N$9,Xero!$A:$A,Heron!$A$4,Xero!$E:$E,Heron!$A77)+SUMIFS(Xero!$F:$F,Xero!$B:$B,Heron!N$9,Xero!$A:$A,Heron!$A$5,Xero!$E:$E,Heron!$A77)</f>
        <v/>
      </c>
      <c r="O77" s="101">
        <f>SUMIFS(Xero!$F:$F,Xero!$B:$B,Heron!O$9,Xero!$A:$A,Heron!$A$4,Xero!$E:$E,Heron!$A77)+SUMIFS(Xero!$F:$F,Xero!$B:$B,Heron!O$9,Xero!$A:$A,Heron!$A$5,Xero!$E:$E,Heron!$A77)</f>
        <v/>
      </c>
      <c r="P77" s="101">
        <f>SUMIFS(Xero!$F:$F,Xero!$B:$B,Heron!P$9,Xero!$A:$A,Heron!$A$4,Xero!$E:$E,Heron!$A77)+SUMIFS(Xero!$F:$F,Xero!$B:$B,Heron!P$9,Xero!$A:$A,Heron!$A$5,Xero!$E:$E,Heron!$A77)</f>
        <v/>
      </c>
      <c r="Q77" s="101">
        <f>SUMIFS(Xero!$F:$F,Xero!$B:$B,Heron!Q$9,Xero!$A:$A,Heron!$A$4,Xero!$E:$E,Heron!$A77)+SUMIFS(Xero!$F:$F,Xero!$B:$B,Heron!Q$9,Xero!$A:$A,Heron!$A$5,Xero!$E:$E,Heron!$A77)</f>
        <v/>
      </c>
      <c r="R77" s="101">
        <f>SUMIFS(Xero!$F:$F,Xero!$B:$B,Heron!R$9,Xero!$A:$A,Heron!$A$4,Xero!$E:$E,Heron!$A77)+SUMIFS(Xero!$F:$F,Xero!$B:$B,Heron!R$9,Xero!$A:$A,Heron!$A$5,Xero!$E:$E,Heron!$A77)</f>
        <v/>
      </c>
      <c r="S77" s="101">
        <f>SUMIFS(Xero!$F:$F,Xero!$B:$B,Heron!S$9,Xero!$A:$A,Heron!$A$4,Xero!$E:$E,Heron!$A77)+SUMIFS(Xero!$F:$F,Xero!$B:$B,Heron!S$9,Xero!$A:$A,Heron!$A$5,Xero!$E:$E,Heron!$A77)</f>
        <v/>
      </c>
      <c r="T77" s="101">
        <f>SUMIFS(Xero!$F:$F,Xero!$B:$B,Heron!T$9,Xero!$A:$A,Heron!$A$4,Xero!$E:$E,Heron!$A77)+SUMIFS(Xero!$F:$F,Xero!$B:$B,Heron!T$9,Xero!$A:$A,Heron!$A$5,Xero!$E:$E,Heron!$A77)</f>
        <v/>
      </c>
      <c r="U77" s="101">
        <f>SUMIFS(Xero!$F:$F,Xero!$B:$B,Heron!U$9,Xero!$A:$A,Heron!$A$4,Xero!$E:$E,Heron!$A77)+SUMIFS(Xero!$F:$F,Xero!$B:$B,Heron!U$9,Xero!$A:$A,Heron!$A$5,Xero!$E:$E,Heron!$A77)</f>
        <v/>
      </c>
      <c r="V77" s="101">
        <f>SUMIFS(Xero!$F:$F,Xero!$B:$B,Heron!V$9,Xero!$A:$A,Heron!$A$4,Xero!$E:$E,Heron!$A77)+SUMIFS(Xero!$F:$F,Xero!$B:$B,Heron!V$9,Xero!$A:$A,Heron!$A$5,Xero!$E:$E,Heron!$A77)</f>
        <v/>
      </c>
      <c r="W77" s="101">
        <f>SUMIFS(Xero!$F:$F,Xero!$B:$B,Heron!W$9,Xero!$A:$A,Heron!$A$4,Xero!$E:$E,Heron!$A77)+SUMIFS(Xero!$F:$F,Xero!$B:$B,Heron!W$9,Xero!$A:$A,Heron!$A$5,Xero!$E:$E,Heron!$A77)</f>
        <v/>
      </c>
      <c r="X77" s="101">
        <f>SUMIFS(Xero!$F:$F,Xero!$B:$B,Heron!X$9,Xero!$A:$A,Heron!$A$4,Xero!$E:$E,Heron!$A77)+SUMIFS(Xero!$F:$F,Xero!$B:$B,Heron!X$9,Xero!$A:$A,Heron!$A$5,Xero!$E:$E,Heron!$A77)</f>
        <v/>
      </c>
      <c r="Y77" s="101">
        <f>SUMIFS(Xero!$F:$F,Xero!$B:$B,Heron!Y$9,Xero!$A:$A,Heron!$A$4,Xero!$E:$E,Heron!$A77)+SUMIFS(Xero!$F:$F,Xero!$B:$B,Heron!Y$9,Xero!$A:$A,Heron!$A$5,Xero!$E:$E,Heron!$A77)</f>
        <v/>
      </c>
      <c r="Z77" s="101">
        <f>SUMIFS(Xero!$F:$F,Xero!$B:$B,Heron!Z$9,Xero!$A:$A,Heron!$A$4,Xero!$E:$E,Heron!$A77)+SUMIFS(Xero!$F:$F,Xero!$B:$B,Heron!Z$9,Xero!$A:$A,Heron!$A$5,Xero!$E:$E,Heron!$A77)</f>
        <v/>
      </c>
      <c r="AA77" s="101">
        <f>SUMIFS(Xero!$F:$F,Xero!$B:$B,Heron!AA$9,Xero!$A:$A,Heron!$A$4,Xero!$E:$E,Heron!$A77)+SUMIFS(Xero!$F:$F,Xero!$B:$B,Heron!AA$9,Xero!$A:$A,Heron!$A$5,Xero!$E:$E,Heron!$A77)</f>
        <v/>
      </c>
      <c r="AB77" s="101">
        <f>SUMIFS(Xero!$F:$F,Xero!$B:$B,Heron!AB$9,Xero!$A:$A,Heron!$A$4,Xero!$E:$E,Heron!$A77)+SUMIFS(Xero!$F:$F,Xero!$B:$B,Heron!AB$9,Xero!$A:$A,Heron!$A$5,Xero!$E:$E,Heron!$A77)</f>
        <v/>
      </c>
      <c r="AC77" s="101">
        <f>SUMIFS(Xero!$F:$F,Xero!$B:$B,Heron!AC$9,Xero!$A:$A,Heron!$A$4,Xero!$E:$E,Heron!$A77)+SUMIFS(Xero!$F:$F,Xero!$B:$B,Heron!AC$9,Xero!$A:$A,Heron!$A$5,Xero!$E:$E,Heron!$A77)</f>
        <v/>
      </c>
      <c r="AD77" s="101">
        <f>SUMIFS(Xero!$F:$F,Xero!$B:$B,Heron!AD$9,Xero!$A:$A,Heron!$A$4,Xero!$E:$E,Heron!$A77)+SUMIFS(Xero!$F:$F,Xero!$B:$B,Heron!AD$9,Xero!$A:$A,Heron!$A$5,Xero!$E:$E,Heron!$A77)</f>
        <v/>
      </c>
      <c r="AE77" s="101">
        <f>SUMIFS(Xero!$F:$F,Xero!$B:$B,Heron!AE$9,Xero!$A:$A,Heron!$A$4,Xero!$E:$E,Heron!$A77)+SUMIFS(Xero!$F:$F,Xero!$B:$B,Heron!AE$9,Xero!$A:$A,Heron!$A$5,Xero!$E:$E,Heron!$A77)</f>
        <v/>
      </c>
      <c r="AF77" s="101">
        <f>SUMIFS(Xero!$F:$F,Xero!$B:$B,Heron!AF$9,Xero!$A:$A,Heron!$A$4,Xero!$E:$E,Heron!$A77)+SUMIFS(Xero!$F:$F,Xero!$B:$B,Heron!AF$9,Xero!$A:$A,Heron!$A$5,Xero!$E:$E,Heron!$A77)</f>
        <v/>
      </c>
      <c r="AG77" s="101">
        <f>SUMIFS(Xero!$F:$F,Xero!$B:$B,Heron!AG$9,Xero!$A:$A,Heron!$A$4,Xero!$E:$E,Heron!$A77)+SUMIFS(Xero!$F:$F,Xero!$B:$B,Heron!AG$9,Xero!$A:$A,Heron!$A$5,Xero!$E:$E,Heron!$A77)</f>
        <v/>
      </c>
      <c r="AH77" s="101">
        <f>SUMIFS(Xero!$F:$F,Xero!$B:$B,Heron!AH$9,Xero!$A:$A,Heron!$A$4,Xero!$E:$E,Heron!$A77)+SUMIFS(Xero!$F:$F,Xero!$B:$B,Heron!AH$9,Xero!$A:$A,Heron!$A$5,Xero!$E:$E,Heron!$A77)</f>
        <v/>
      </c>
      <c r="AI77" s="101">
        <f>SUMIFS(Xero!$F:$F,Xero!$B:$B,Heron!AI$9,Xero!$A:$A,Heron!$A$4,Xero!$E:$E,Heron!$A77)+SUMIFS(Xero!$F:$F,Xero!$B:$B,Heron!AI$9,Xero!$A:$A,Heron!$A$5,Xero!$E:$E,Heron!$A77)</f>
        <v/>
      </c>
      <c r="AJ77" s="101">
        <f>SUMIFS(Xero!$F:$F,Xero!$B:$B,Heron!AJ$9,Xero!$A:$A,Heron!$A$4,Xero!$E:$E,Heron!$A77)+SUMIFS(Xero!$F:$F,Xero!$B:$B,Heron!AJ$9,Xero!$A:$A,Heron!$A$5,Xero!$E:$E,Heron!$A77)</f>
        <v/>
      </c>
      <c r="AK77" s="101">
        <f>SUMIFS(Xero!$F:$F,Xero!$B:$B,Heron!AK$9,Xero!$A:$A,Heron!$A$4,Xero!$E:$E,Heron!$A77)+SUMIFS(Xero!$F:$F,Xero!$B:$B,Heron!AK$9,Xero!$A:$A,Heron!$A$5,Xero!$E:$E,Heron!$A77)</f>
        <v/>
      </c>
      <c r="AL77" s="101">
        <f>SUMIFS(Xero!$F:$F,Xero!$B:$B,Heron!AL$9,Xero!$A:$A,Heron!$A$4,Xero!$E:$E,Heron!$A77)+SUMIFS(Xero!$F:$F,Xero!$B:$B,Heron!AL$9,Xero!$A:$A,Heron!$A$5,Xero!$E:$E,Heron!$A77)</f>
        <v/>
      </c>
      <c r="AM77" s="101">
        <f>SUMIFS(Xero!$F:$F,Xero!$B:$B,Heron!AM$9,Xero!$A:$A,Heron!$A$4,Xero!$E:$E,Heron!$A77)+SUMIFS(Xero!$F:$F,Xero!$B:$B,Heron!AM$9,Xero!$A:$A,Heron!$A$5,Xero!$E:$E,Heron!$A77)</f>
        <v/>
      </c>
      <c r="AN77" s="101">
        <f>SUMIFS(Xero!$F:$F,Xero!$B:$B,Heron!AN$9,Xero!$A:$A,Heron!$A$4,Xero!$E:$E,Heron!$A77)+SUMIFS(Xero!$F:$F,Xero!$B:$B,Heron!AN$9,Xero!$A:$A,Heron!$A$5,Xero!$E:$E,Heron!$A77)</f>
        <v/>
      </c>
      <c r="AO77" s="101">
        <f>SUMIFS(Xero!$F:$F,Xero!$B:$B,Heron!AO$9,Xero!$A:$A,Heron!$A$4,Xero!$E:$E,Heron!$A77)+SUMIFS(Xero!$F:$F,Xero!$B:$B,Heron!AO$9,Xero!$A:$A,Heron!$A$5,Xero!$E:$E,Heron!$A77)</f>
        <v/>
      </c>
      <c r="AP77" s="101">
        <f>SUMIFS(Xero!$F:$F,Xero!$B:$B,Heron!AP$9,Xero!$A:$A,Heron!$A$4,Xero!$E:$E,Heron!$A77)+SUMIFS(Xero!$F:$F,Xero!$B:$B,Heron!AP$9,Xero!$A:$A,Heron!$A$5,Xero!$E:$E,Heron!$A77)</f>
        <v/>
      </c>
      <c r="AQ77" s="101">
        <f>SUMIFS(Xero!$F:$F,Xero!$B:$B,Heron!AQ$9,Xero!$A:$A,Heron!$A$4,Xero!$E:$E,Heron!$A77)+SUMIFS(Xero!$F:$F,Xero!$B:$B,Heron!AQ$9,Xero!$A:$A,Heron!$A$5,Xero!$E:$E,Heron!$A77)</f>
        <v/>
      </c>
      <c r="AR77" s="101">
        <f>SUMIFS(Xero!$F:$F,Xero!$B:$B,Heron!AR$9,Xero!$A:$A,Heron!$A$4,Xero!$E:$E,Heron!$A77)+SUMIFS(Xero!$F:$F,Xero!$B:$B,Heron!AR$9,Xero!$A:$A,Heron!$A$5,Xero!$E:$E,Heron!$A77)</f>
        <v/>
      </c>
      <c r="AS77" s="101">
        <f>SUMIFS(Xero!$F:$F,Xero!$B:$B,Heron!AS$9,Xero!$A:$A,Heron!$A$4,Xero!$E:$E,Heron!$A77)+SUMIFS(Xero!$F:$F,Xero!$B:$B,Heron!AS$9,Xero!$A:$A,Heron!$A$5,Xero!$E:$E,Heron!$A77)</f>
        <v/>
      </c>
      <c r="AT77" s="101">
        <f>SUMIFS(Xero!$F:$F,Xero!$B:$B,Heron!AT$9,Xero!$A:$A,Heron!$A$4,Xero!$E:$E,Heron!$A77)+SUMIFS(Xero!$F:$F,Xero!$B:$B,Heron!AT$9,Xero!$A:$A,Heron!$A$5,Xero!$E:$E,Heron!$A77)</f>
        <v/>
      </c>
      <c r="AU77" s="101">
        <f>SUMIFS(Xero!$F:$F,Xero!$B:$B,Heron!AU$9,Xero!$A:$A,Heron!$A$4,Xero!$E:$E,Heron!$A77)+SUMIFS(Xero!$F:$F,Xero!$B:$B,Heron!AU$9,Xero!$A:$A,Heron!$A$5,Xero!$E:$E,Heron!$A77)</f>
        <v/>
      </c>
      <c r="AV77" s="101">
        <f>SUMIFS(Xero!$F:$F,Xero!$B:$B,Heron!AV$9,Xero!$A:$A,Heron!$A$4,Xero!$E:$E,Heron!$A77)+SUMIFS(Xero!$F:$F,Xero!$B:$B,Heron!AV$9,Xero!$A:$A,Heron!$A$5,Xero!$E:$E,Heron!$A77)</f>
        <v/>
      </c>
      <c r="AW77" s="101">
        <f>SUMIFS(Xero!$F:$F,Xero!$B:$B,Heron!AW$9,Xero!$A:$A,Heron!$A$4,Xero!$E:$E,Heron!$A77)+SUMIFS(Xero!$F:$F,Xero!$B:$B,Heron!AW$9,Xero!$A:$A,Heron!$A$5,Xero!$E:$E,Heron!$A77)</f>
        <v/>
      </c>
      <c r="AX77" s="101">
        <f>SUMIFS(Xero!$F:$F,Xero!$B:$B,Heron!AX$9,Xero!$A:$A,Heron!$A$4,Xero!$E:$E,Heron!$A77)+SUMIFS(Xero!$F:$F,Xero!$B:$B,Heron!AX$9,Xero!$A:$A,Heron!$A$5,Xero!$E:$E,Heron!$A77)</f>
        <v/>
      </c>
      <c r="AY77" s="101">
        <f>SUMIFS(Xero!$F:$F,Xero!$B:$B,Heron!AY$9,Xero!$A:$A,Heron!$A$4,Xero!$E:$E,Heron!$A77)+SUMIFS(Xero!$F:$F,Xero!$B:$B,Heron!AY$9,Xero!$A:$A,Heron!$A$5,Xero!$E:$E,Heron!$A77)</f>
        <v/>
      </c>
      <c r="AZ77" s="101">
        <f>SUMIFS(Xero!$F:$F,Xero!$B:$B,Heron!AZ$9,Xero!$A:$A,Heron!$A$4,Xero!$E:$E,Heron!$A77)+SUMIFS(Xero!$F:$F,Xero!$B:$B,Heron!AZ$9,Xero!$A:$A,Heron!$A$5,Xero!$E:$E,Heron!$A77)</f>
        <v/>
      </c>
      <c r="BA77" s="101">
        <f>SUMIFS(Xero!$F:$F,Xero!$B:$B,Heron!BA$9,Xero!$A:$A,Heron!$A$4,Xero!$E:$E,Heron!$A77)+SUMIFS(Xero!$F:$F,Xero!$B:$B,Heron!BA$9,Xero!$A:$A,Heron!$A$5,Xero!$E:$E,Heron!$A77)</f>
        <v/>
      </c>
      <c r="BB77" s="101">
        <f>SUMIFS(Xero!$F:$F,Xero!$B:$B,Heron!BB$9,Xero!$A:$A,Heron!$A$4,Xero!$E:$E,Heron!$A77)+SUMIFS(Xero!$F:$F,Xero!$B:$B,Heron!BB$9,Xero!$A:$A,Heron!$A$5,Xero!$E:$E,Heron!$A77)</f>
        <v/>
      </c>
      <c r="BC77" s="101">
        <f>SUMIFS(Xero!$F:$F,Xero!$B:$B,Heron!BC$9,Xero!$A:$A,Heron!$A$4,Xero!$E:$E,Heron!$A77)+SUMIFS(Xero!$F:$F,Xero!$B:$B,Heron!BC$9,Xero!$A:$A,Heron!$A$5,Xero!$E:$E,Heron!$A77)</f>
        <v/>
      </c>
      <c r="BD77" s="101">
        <f>SUMIFS(Xero!$F:$F,Xero!$B:$B,Heron!BD$9,Xero!$A:$A,Heron!$A$4,Xero!$E:$E,Heron!$A77)+SUMIFS(Xero!$F:$F,Xero!$B:$B,Heron!BD$9,Xero!$A:$A,Heron!$A$5,Xero!$E:$E,Heron!$A77)</f>
        <v/>
      </c>
      <c r="BE77" s="101">
        <f>SUMIFS(Xero!$F:$F,Xero!$B:$B,Heron!BE$9,Xero!$A:$A,Heron!$A$4,Xero!$E:$E,Heron!$A77)+SUMIFS(Xero!$F:$F,Xero!$B:$B,Heron!BE$9,Xero!$A:$A,Heron!$A$5,Xero!$E:$E,Heron!$A77)</f>
        <v/>
      </c>
      <c r="BF77" s="101">
        <f>SUMIFS(Xero!$F:$F,Xero!$B:$B,Heron!BF$9,Xero!$A:$A,Heron!$A$4,Xero!$E:$E,Heron!$A77)+SUMIFS(Xero!$F:$F,Xero!$B:$B,Heron!BF$9,Xero!$A:$A,Heron!$A$5,Xero!$E:$E,Heron!$A77)</f>
        <v/>
      </c>
      <c r="BG77" s="101">
        <f>SUMIFS(Xero!$F:$F,Xero!$B:$B,Heron!BG$9,Xero!$A:$A,Heron!$A$4,Xero!$E:$E,Heron!$A77)+SUMIFS(Xero!$F:$F,Xero!$B:$B,Heron!BG$9,Xero!$A:$A,Heron!$A$5,Xero!$E:$E,Heron!$A77)</f>
        <v/>
      </c>
      <c r="BH77" s="101">
        <f>SUMIFS(Xero!$F:$F,Xero!$B:$B,Heron!BH$9,Xero!$A:$A,Heron!$A$4,Xero!$E:$E,Heron!$A77)+SUMIFS(Xero!$F:$F,Xero!$B:$B,Heron!BH$9,Xero!$A:$A,Heron!$A$5,Xero!$E:$E,Heron!$A77)</f>
        <v/>
      </c>
      <c r="BI77" s="101">
        <f>SUMIFS(Xero!$F:$F,Xero!$B:$B,Heron!BI$9,Xero!$A:$A,Heron!$A$4,Xero!$E:$E,Heron!$A77)+SUMIFS(Xero!$F:$F,Xero!$B:$B,Heron!BI$9,Xero!$A:$A,Heron!$A$5,Xero!$E:$E,Heron!$A77)</f>
        <v/>
      </c>
      <c r="BJ77" s="101">
        <f>SUMIFS(Xero!$F:$F,Xero!$B:$B,Heron!BJ$9,Xero!$A:$A,Heron!$A$4,Xero!$E:$E,Heron!$A77)+SUMIFS(Xero!$F:$F,Xero!$B:$B,Heron!BJ$9,Xero!$A:$A,Heron!$A$5,Xero!$E:$E,Heron!$A77)</f>
        <v/>
      </c>
      <c r="BK77" s="101">
        <f>sum(D77:BJ77)</f>
        <v/>
      </c>
    </row>
    <row r="78">
      <c r="A78" s="100" t="inlineStr">
        <is>
          <t>Interest Paid - Investors @ 16%</t>
        </is>
      </c>
      <c r="D78" s="101">
        <f>SUMIFS(Xero!$F:$F,Xero!$B:$B,Heron!D$9,Xero!$A:$A,Heron!$A$4,Xero!$E:$E,Heron!$A78)+SUMIFS(Xero!$F:$F,Xero!$B:$B,Heron!D$9,Xero!$A:$A,Heron!$A$5,Xero!$E:$E,Heron!$A78)</f>
        <v/>
      </c>
      <c r="E78" s="101">
        <f>SUMIFS(Xero!$F:$F,Xero!$B:$B,Heron!E$9,Xero!$A:$A,Heron!$A$4,Xero!$E:$E,Heron!$A78)+SUMIFS(Xero!$F:$F,Xero!$B:$B,Heron!E$9,Xero!$A:$A,Heron!$A$5,Xero!$E:$E,Heron!$A78)</f>
        <v/>
      </c>
      <c r="F78" s="101">
        <f>SUMIFS(Xero!$F:$F,Xero!$B:$B,Heron!F$9,Xero!$A:$A,Heron!$A$4,Xero!$E:$E,Heron!$A78)+SUMIFS(Xero!$F:$F,Xero!$B:$B,Heron!F$9,Xero!$A:$A,Heron!$A$5,Xero!$E:$E,Heron!$A78)</f>
        <v/>
      </c>
      <c r="G78" s="101">
        <f>SUMIFS(Xero!$F:$F,Xero!$B:$B,Heron!G$9,Xero!$A:$A,Heron!$A$4,Xero!$E:$E,Heron!$A78)+SUMIFS(Xero!$F:$F,Xero!$B:$B,Heron!G$9,Xero!$A:$A,Heron!$A$5,Xero!$E:$E,Heron!$A78)</f>
        <v/>
      </c>
      <c r="H78" s="101">
        <f>SUMIFS(Xero!$F:$F,Xero!$B:$B,Heron!H$9,Xero!$A:$A,Heron!$A$4,Xero!$E:$E,Heron!$A78)+SUMIFS(Xero!$F:$F,Xero!$B:$B,Heron!H$9,Xero!$A:$A,Heron!$A$5,Xero!$E:$E,Heron!$A78)</f>
        <v/>
      </c>
      <c r="I78" s="101">
        <f>SUMIFS(Xero!$F:$F,Xero!$B:$B,Heron!I$9,Xero!$A:$A,Heron!$A$4,Xero!$E:$E,Heron!$A78)+SUMIFS(Xero!$F:$F,Xero!$B:$B,Heron!I$9,Xero!$A:$A,Heron!$A$5,Xero!$E:$E,Heron!$A78)</f>
        <v/>
      </c>
      <c r="J78" s="101">
        <f>SUMIFS(Xero!$F:$F,Xero!$B:$B,Heron!J$9,Xero!$A:$A,Heron!$A$4,Xero!$E:$E,Heron!$A78)+SUMIFS(Xero!$F:$F,Xero!$B:$B,Heron!J$9,Xero!$A:$A,Heron!$A$5,Xero!$E:$E,Heron!$A78)</f>
        <v/>
      </c>
      <c r="K78" s="101">
        <f>SUMIFS(Xero!$F:$F,Xero!$B:$B,Heron!K$9,Xero!$A:$A,Heron!$A$4,Xero!$E:$E,Heron!$A78)+SUMIFS(Xero!$F:$F,Xero!$B:$B,Heron!K$9,Xero!$A:$A,Heron!$A$5,Xero!$E:$E,Heron!$A78)</f>
        <v/>
      </c>
      <c r="L78" s="101">
        <f>SUMIFS(Xero!$F:$F,Xero!$B:$B,Heron!L$9,Xero!$A:$A,Heron!$A$4,Xero!$E:$E,Heron!$A78)+SUMIFS(Xero!$F:$F,Xero!$B:$B,Heron!L$9,Xero!$A:$A,Heron!$A$5,Xero!$E:$E,Heron!$A78)</f>
        <v/>
      </c>
      <c r="M78" s="101">
        <f>SUMIFS(Xero!$F:$F,Xero!$B:$B,Heron!M$9,Xero!$A:$A,Heron!$A$4,Xero!$E:$E,Heron!$A78)+SUMIFS(Xero!$F:$F,Xero!$B:$B,Heron!M$9,Xero!$A:$A,Heron!$A$5,Xero!$E:$E,Heron!$A78)</f>
        <v/>
      </c>
      <c r="N78" s="101">
        <f>SUMIFS(Xero!$F:$F,Xero!$B:$B,Heron!N$9,Xero!$A:$A,Heron!$A$4,Xero!$E:$E,Heron!$A78)+SUMIFS(Xero!$F:$F,Xero!$B:$B,Heron!N$9,Xero!$A:$A,Heron!$A$5,Xero!$E:$E,Heron!$A78)</f>
        <v/>
      </c>
      <c r="O78" s="101">
        <f>SUMIFS(Xero!$F:$F,Xero!$B:$B,Heron!O$9,Xero!$A:$A,Heron!$A$4,Xero!$E:$E,Heron!$A78)+SUMIFS(Xero!$F:$F,Xero!$B:$B,Heron!O$9,Xero!$A:$A,Heron!$A$5,Xero!$E:$E,Heron!$A78)</f>
        <v/>
      </c>
      <c r="P78" s="101">
        <f>SUMIFS(Xero!$F:$F,Xero!$B:$B,Heron!P$9,Xero!$A:$A,Heron!$A$4,Xero!$E:$E,Heron!$A78)+SUMIFS(Xero!$F:$F,Xero!$B:$B,Heron!P$9,Xero!$A:$A,Heron!$A$5,Xero!$E:$E,Heron!$A78)</f>
        <v/>
      </c>
      <c r="Q78" s="101">
        <f>SUMIFS(Xero!$F:$F,Xero!$B:$B,Heron!Q$9,Xero!$A:$A,Heron!$A$4,Xero!$E:$E,Heron!$A78)+SUMIFS(Xero!$F:$F,Xero!$B:$B,Heron!Q$9,Xero!$A:$A,Heron!$A$5,Xero!$E:$E,Heron!$A78)</f>
        <v/>
      </c>
      <c r="R78" s="101">
        <f>SUMIFS(Xero!$F:$F,Xero!$B:$B,Heron!R$9,Xero!$A:$A,Heron!$A$4,Xero!$E:$E,Heron!$A78)+SUMIFS(Xero!$F:$F,Xero!$B:$B,Heron!R$9,Xero!$A:$A,Heron!$A$5,Xero!$E:$E,Heron!$A78)</f>
        <v/>
      </c>
      <c r="S78" s="101">
        <f>SUMIFS(Xero!$F:$F,Xero!$B:$B,Heron!S$9,Xero!$A:$A,Heron!$A$4,Xero!$E:$E,Heron!$A78)+SUMIFS(Xero!$F:$F,Xero!$B:$B,Heron!S$9,Xero!$A:$A,Heron!$A$5,Xero!$E:$E,Heron!$A78)</f>
        <v/>
      </c>
      <c r="T78" s="101">
        <f>SUMIFS(Xero!$F:$F,Xero!$B:$B,Heron!T$9,Xero!$A:$A,Heron!$A$4,Xero!$E:$E,Heron!$A78)+SUMIFS(Xero!$F:$F,Xero!$B:$B,Heron!T$9,Xero!$A:$A,Heron!$A$5,Xero!$E:$E,Heron!$A78)</f>
        <v/>
      </c>
      <c r="U78" s="101">
        <f>SUMIFS(Xero!$F:$F,Xero!$B:$B,Heron!U$9,Xero!$A:$A,Heron!$A$4,Xero!$E:$E,Heron!$A78)+SUMIFS(Xero!$F:$F,Xero!$B:$B,Heron!U$9,Xero!$A:$A,Heron!$A$5,Xero!$E:$E,Heron!$A78)</f>
        <v/>
      </c>
      <c r="V78" s="101">
        <f>SUMIFS(Xero!$F:$F,Xero!$B:$B,Heron!V$9,Xero!$A:$A,Heron!$A$4,Xero!$E:$E,Heron!$A78)+SUMIFS(Xero!$F:$F,Xero!$B:$B,Heron!V$9,Xero!$A:$A,Heron!$A$5,Xero!$E:$E,Heron!$A78)</f>
        <v/>
      </c>
      <c r="W78" s="101">
        <f>SUMIFS(Xero!$F:$F,Xero!$B:$B,Heron!W$9,Xero!$A:$A,Heron!$A$4,Xero!$E:$E,Heron!$A78)+SUMIFS(Xero!$F:$F,Xero!$B:$B,Heron!W$9,Xero!$A:$A,Heron!$A$5,Xero!$E:$E,Heron!$A78)</f>
        <v/>
      </c>
      <c r="X78" s="101">
        <f>SUMIFS(Xero!$F:$F,Xero!$B:$B,Heron!X$9,Xero!$A:$A,Heron!$A$4,Xero!$E:$E,Heron!$A78)+SUMIFS(Xero!$F:$F,Xero!$B:$B,Heron!X$9,Xero!$A:$A,Heron!$A$5,Xero!$E:$E,Heron!$A78)</f>
        <v/>
      </c>
      <c r="Y78" s="101">
        <f>SUMIFS(Xero!$F:$F,Xero!$B:$B,Heron!Y$9,Xero!$A:$A,Heron!$A$4,Xero!$E:$E,Heron!$A78)+SUMIFS(Xero!$F:$F,Xero!$B:$B,Heron!Y$9,Xero!$A:$A,Heron!$A$5,Xero!$E:$E,Heron!$A78)</f>
        <v/>
      </c>
      <c r="Z78" s="101">
        <f>SUMIFS(Xero!$F:$F,Xero!$B:$B,Heron!Z$9,Xero!$A:$A,Heron!$A$4,Xero!$E:$E,Heron!$A78)+SUMIFS(Xero!$F:$F,Xero!$B:$B,Heron!Z$9,Xero!$A:$A,Heron!$A$5,Xero!$E:$E,Heron!$A78)</f>
        <v/>
      </c>
      <c r="AA78" s="101">
        <f>SUMIFS(Xero!$F:$F,Xero!$B:$B,Heron!AA$9,Xero!$A:$A,Heron!$A$4,Xero!$E:$E,Heron!$A78)+SUMIFS(Xero!$F:$F,Xero!$B:$B,Heron!AA$9,Xero!$A:$A,Heron!$A$5,Xero!$E:$E,Heron!$A78)</f>
        <v/>
      </c>
      <c r="AB78" s="101">
        <f>SUMIFS(Xero!$F:$F,Xero!$B:$B,Heron!AB$9,Xero!$A:$A,Heron!$A$4,Xero!$E:$E,Heron!$A78)+SUMIFS(Xero!$F:$F,Xero!$B:$B,Heron!AB$9,Xero!$A:$A,Heron!$A$5,Xero!$E:$E,Heron!$A78)</f>
        <v/>
      </c>
      <c r="AC78" s="101">
        <f>SUMIFS(Xero!$F:$F,Xero!$B:$B,Heron!AC$9,Xero!$A:$A,Heron!$A$4,Xero!$E:$E,Heron!$A78)+SUMIFS(Xero!$F:$F,Xero!$B:$B,Heron!AC$9,Xero!$A:$A,Heron!$A$5,Xero!$E:$E,Heron!$A78)</f>
        <v/>
      </c>
      <c r="AD78" s="101">
        <f>SUMIFS(Xero!$F:$F,Xero!$B:$B,Heron!AD$9,Xero!$A:$A,Heron!$A$4,Xero!$E:$E,Heron!$A78)+SUMIFS(Xero!$F:$F,Xero!$B:$B,Heron!AD$9,Xero!$A:$A,Heron!$A$5,Xero!$E:$E,Heron!$A78)</f>
        <v/>
      </c>
      <c r="AE78" s="101">
        <f>SUMIFS(Xero!$F:$F,Xero!$B:$B,Heron!AE$9,Xero!$A:$A,Heron!$A$4,Xero!$E:$E,Heron!$A78)+SUMIFS(Xero!$F:$F,Xero!$B:$B,Heron!AE$9,Xero!$A:$A,Heron!$A$5,Xero!$E:$E,Heron!$A78)</f>
        <v/>
      </c>
      <c r="AF78" s="101">
        <f>SUMIFS(Xero!$F:$F,Xero!$B:$B,Heron!AF$9,Xero!$A:$A,Heron!$A$4,Xero!$E:$E,Heron!$A78)+SUMIFS(Xero!$F:$F,Xero!$B:$B,Heron!AF$9,Xero!$A:$A,Heron!$A$5,Xero!$E:$E,Heron!$A78)</f>
        <v/>
      </c>
      <c r="AG78" s="101">
        <f>SUMIFS(Xero!$F:$F,Xero!$B:$B,Heron!AG$9,Xero!$A:$A,Heron!$A$4,Xero!$E:$E,Heron!$A78)+SUMIFS(Xero!$F:$F,Xero!$B:$B,Heron!AG$9,Xero!$A:$A,Heron!$A$5,Xero!$E:$E,Heron!$A78)</f>
        <v/>
      </c>
      <c r="AH78" s="101">
        <f>SUMIFS(Xero!$F:$F,Xero!$B:$B,Heron!AH$9,Xero!$A:$A,Heron!$A$4,Xero!$E:$E,Heron!$A78)+SUMIFS(Xero!$F:$F,Xero!$B:$B,Heron!AH$9,Xero!$A:$A,Heron!$A$5,Xero!$E:$E,Heron!$A78)</f>
        <v/>
      </c>
      <c r="AI78" s="101">
        <f>SUMIFS(Xero!$F:$F,Xero!$B:$B,Heron!AI$9,Xero!$A:$A,Heron!$A$4,Xero!$E:$E,Heron!$A78)+SUMIFS(Xero!$F:$F,Xero!$B:$B,Heron!AI$9,Xero!$A:$A,Heron!$A$5,Xero!$E:$E,Heron!$A78)</f>
        <v/>
      </c>
      <c r="AJ78" s="101">
        <f>SUMIFS(Xero!$F:$F,Xero!$B:$B,Heron!AJ$9,Xero!$A:$A,Heron!$A$4,Xero!$E:$E,Heron!$A78)+SUMIFS(Xero!$F:$F,Xero!$B:$B,Heron!AJ$9,Xero!$A:$A,Heron!$A$5,Xero!$E:$E,Heron!$A78)</f>
        <v/>
      </c>
      <c r="AK78" s="101">
        <f>SUMIFS(Xero!$F:$F,Xero!$B:$B,Heron!AK$9,Xero!$A:$A,Heron!$A$4,Xero!$E:$E,Heron!$A78)+SUMIFS(Xero!$F:$F,Xero!$B:$B,Heron!AK$9,Xero!$A:$A,Heron!$A$5,Xero!$E:$E,Heron!$A78)</f>
        <v/>
      </c>
      <c r="AL78" s="101">
        <f>SUMIFS(Xero!$F:$F,Xero!$B:$B,Heron!AL$9,Xero!$A:$A,Heron!$A$4,Xero!$E:$E,Heron!$A78)+SUMIFS(Xero!$F:$F,Xero!$B:$B,Heron!AL$9,Xero!$A:$A,Heron!$A$5,Xero!$E:$E,Heron!$A78)</f>
        <v/>
      </c>
      <c r="AM78" s="101">
        <f>SUMIFS(Xero!$F:$F,Xero!$B:$B,Heron!AM$9,Xero!$A:$A,Heron!$A$4,Xero!$E:$E,Heron!$A78)+SUMIFS(Xero!$F:$F,Xero!$B:$B,Heron!AM$9,Xero!$A:$A,Heron!$A$5,Xero!$E:$E,Heron!$A78)</f>
        <v/>
      </c>
      <c r="AN78" s="101">
        <f>SUMIFS(Xero!$F:$F,Xero!$B:$B,Heron!AN$9,Xero!$A:$A,Heron!$A$4,Xero!$E:$E,Heron!$A78)+SUMIFS(Xero!$F:$F,Xero!$B:$B,Heron!AN$9,Xero!$A:$A,Heron!$A$5,Xero!$E:$E,Heron!$A78)</f>
        <v/>
      </c>
      <c r="AO78" s="101">
        <f>SUMIFS(Xero!$F:$F,Xero!$B:$B,Heron!AO$9,Xero!$A:$A,Heron!$A$4,Xero!$E:$E,Heron!$A78)+SUMIFS(Xero!$F:$F,Xero!$B:$B,Heron!AO$9,Xero!$A:$A,Heron!$A$5,Xero!$E:$E,Heron!$A78)</f>
        <v/>
      </c>
      <c r="AP78" s="101">
        <f>SUMIFS(Xero!$F:$F,Xero!$B:$B,Heron!AP$9,Xero!$A:$A,Heron!$A$4,Xero!$E:$E,Heron!$A78)+SUMIFS(Xero!$F:$F,Xero!$B:$B,Heron!AP$9,Xero!$A:$A,Heron!$A$5,Xero!$E:$E,Heron!$A78)</f>
        <v/>
      </c>
      <c r="AQ78" s="101">
        <f>SUMIFS(Xero!$F:$F,Xero!$B:$B,Heron!AQ$9,Xero!$A:$A,Heron!$A$4,Xero!$E:$E,Heron!$A78)+SUMIFS(Xero!$F:$F,Xero!$B:$B,Heron!AQ$9,Xero!$A:$A,Heron!$A$5,Xero!$E:$E,Heron!$A78)</f>
        <v/>
      </c>
      <c r="AR78" s="101">
        <f>SUMIFS(Xero!$F:$F,Xero!$B:$B,Heron!AR$9,Xero!$A:$A,Heron!$A$4,Xero!$E:$E,Heron!$A78)+SUMIFS(Xero!$F:$F,Xero!$B:$B,Heron!AR$9,Xero!$A:$A,Heron!$A$5,Xero!$E:$E,Heron!$A78)</f>
        <v/>
      </c>
      <c r="AS78" s="101">
        <f>SUMIFS(Xero!$F:$F,Xero!$B:$B,Heron!AS$9,Xero!$A:$A,Heron!$A$4,Xero!$E:$E,Heron!$A78)+SUMIFS(Xero!$F:$F,Xero!$B:$B,Heron!AS$9,Xero!$A:$A,Heron!$A$5,Xero!$E:$E,Heron!$A78)</f>
        <v/>
      </c>
      <c r="AT78" s="101">
        <f>SUMIFS(Xero!$F:$F,Xero!$B:$B,Heron!AT$9,Xero!$A:$A,Heron!$A$4,Xero!$E:$E,Heron!$A78)+SUMIFS(Xero!$F:$F,Xero!$B:$B,Heron!AT$9,Xero!$A:$A,Heron!$A$5,Xero!$E:$E,Heron!$A78)</f>
        <v/>
      </c>
      <c r="AU78" s="101">
        <f>SUMIFS(Xero!$F:$F,Xero!$B:$B,Heron!AU$9,Xero!$A:$A,Heron!$A$4,Xero!$E:$E,Heron!$A78)+SUMIFS(Xero!$F:$F,Xero!$B:$B,Heron!AU$9,Xero!$A:$A,Heron!$A$5,Xero!$E:$E,Heron!$A78)</f>
        <v/>
      </c>
      <c r="AV78" s="101">
        <f>SUMIFS(Xero!$F:$F,Xero!$B:$B,Heron!AV$9,Xero!$A:$A,Heron!$A$4,Xero!$E:$E,Heron!$A78)+SUMIFS(Xero!$F:$F,Xero!$B:$B,Heron!AV$9,Xero!$A:$A,Heron!$A$5,Xero!$E:$E,Heron!$A78)</f>
        <v/>
      </c>
      <c r="AW78" s="101">
        <f>SUMIFS(Xero!$F:$F,Xero!$B:$B,Heron!AW$9,Xero!$A:$A,Heron!$A$4,Xero!$E:$E,Heron!$A78)+SUMIFS(Xero!$F:$F,Xero!$B:$B,Heron!AW$9,Xero!$A:$A,Heron!$A$5,Xero!$E:$E,Heron!$A78)</f>
        <v/>
      </c>
      <c r="AX78" s="101">
        <f>SUMIFS(Xero!$F:$F,Xero!$B:$B,Heron!AX$9,Xero!$A:$A,Heron!$A$4,Xero!$E:$E,Heron!$A78)+SUMIFS(Xero!$F:$F,Xero!$B:$B,Heron!AX$9,Xero!$A:$A,Heron!$A$5,Xero!$E:$E,Heron!$A78)</f>
        <v/>
      </c>
      <c r="AY78" s="101">
        <f>SUMIFS(Xero!$F:$F,Xero!$B:$B,Heron!AY$9,Xero!$A:$A,Heron!$A$4,Xero!$E:$E,Heron!$A78)+SUMIFS(Xero!$F:$F,Xero!$B:$B,Heron!AY$9,Xero!$A:$A,Heron!$A$5,Xero!$E:$E,Heron!$A78)</f>
        <v/>
      </c>
      <c r="AZ78" s="101">
        <f>SUMIFS(Xero!$F:$F,Xero!$B:$B,Heron!AZ$9,Xero!$A:$A,Heron!$A$4,Xero!$E:$E,Heron!$A78)+SUMIFS(Xero!$F:$F,Xero!$B:$B,Heron!AZ$9,Xero!$A:$A,Heron!$A$5,Xero!$E:$E,Heron!$A78)</f>
        <v/>
      </c>
      <c r="BA78" s="101">
        <f>SUMIFS(Xero!$F:$F,Xero!$B:$B,Heron!BA$9,Xero!$A:$A,Heron!$A$4,Xero!$E:$E,Heron!$A78)+SUMIFS(Xero!$F:$F,Xero!$B:$B,Heron!BA$9,Xero!$A:$A,Heron!$A$5,Xero!$E:$E,Heron!$A78)</f>
        <v/>
      </c>
      <c r="BB78" s="101">
        <f>SUMIFS(Xero!$F:$F,Xero!$B:$B,Heron!BB$9,Xero!$A:$A,Heron!$A$4,Xero!$E:$E,Heron!$A78)+SUMIFS(Xero!$F:$F,Xero!$B:$B,Heron!BB$9,Xero!$A:$A,Heron!$A$5,Xero!$E:$E,Heron!$A78)</f>
        <v/>
      </c>
      <c r="BC78" s="101">
        <f>SUMIFS(Xero!$F:$F,Xero!$B:$B,Heron!BC$9,Xero!$A:$A,Heron!$A$4,Xero!$E:$E,Heron!$A78)+SUMIFS(Xero!$F:$F,Xero!$B:$B,Heron!BC$9,Xero!$A:$A,Heron!$A$5,Xero!$E:$E,Heron!$A78)</f>
        <v/>
      </c>
      <c r="BD78" s="101">
        <f>SUMIFS(Xero!$F:$F,Xero!$B:$B,Heron!BD$9,Xero!$A:$A,Heron!$A$4,Xero!$E:$E,Heron!$A78)+SUMIFS(Xero!$F:$F,Xero!$B:$B,Heron!BD$9,Xero!$A:$A,Heron!$A$5,Xero!$E:$E,Heron!$A78)</f>
        <v/>
      </c>
      <c r="BE78" s="101">
        <f>SUMIFS(Xero!$F:$F,Xero!$B:$B,Heron!BE$9,Xero!$A:$A,Heron!$A$4,Xero!$E:$E,Heron!$A78)+SUMIFS(Xero!$F:$F,Xero!$B:$B,Heron!BE$9,Xero!$A:$A,Heron!$A$5,Xero!$E:$E,Heron!$A78)</f>
        <v/>
      </c>
      <c r="BF78" s="101">
        <f>SUMIFS(Xero!$F:$F,Xero!$B:$B,Heron!BF$9,Xero!$A:$A,Heron!$A$4,Xero!$E:$E,Heron!$A78)+SUMIFS(Xero!$F:$F,Xero!$B:$B,Heron!BF$9,Xero!$A:$A,Heron!$A$5,Xero!$E:$E,Heron!$A78)</f>
        <v/>
      </c>
      <c r="BG78" s="101">
        <f>SUMIFS(Xero!$F:$F,Xero!$B:$B,Heron!BG$9,Xero!$A:$A,Heron!$A$4,Xero!$E:$E,Heron!$A78)+SUMIFS(Xero!$F:$F,Xero!$B:$B,Heron!BG$9,Xero!$A:$A,Heron!$A$5,Xero!$E:$E,Heron!$A78)</f>
        <v/>
      </c>
      <c r="BH78" s="101">
        <f>SUMIFS(Xero!$F:$F,Xero!$B:$B,Heron!BH$9,Xero!$A:$A,Heron!$A$4,Xero!$E:$E,Heron!$A78)+SUMIFS(Xero!$F:$F,Xero!$B:$B,Heron!BH$9,Xero!$A:$A,Heron!$A$5,Xero!$E:$E,Heron!$A78)</f>
        <v/>
      </c>
      <c r="BI78" s="101">
        <f>SUMIFS(Xero!$F:$F,Xero!$B:$B,Heron!BI$9,Xero!$A:$A,Heron!$A$4,Xero!$E:$E,Heron!$A78)+SUMIFS(Xero!$F:$F,Xero!$B:$B,Heron!BI$9,Xero!$A:$A,Heron!$A$5,Xero!$E:$E,Heron!$A78)</f>
        <v/>
      </c>
      <c r="BJ78" s="101">
        <f>SUMIFS(Xero!$F:$F,Xero!$B:$B,Heron!BJ$9,Xero!$A:$A,Heron!$A$4,Xero!$E:$E,Heron!$A78)+SUMIFS(Xero!$F:$F,Xero!$B:$B,Heron!BJ$9,Xero!$A:$A,Heron!$A$5,Xero!$E:$E,Heron!$A78)</f>
        <v/>
      </c>
      <c r="BK78" s="101">
        <f>sum(D78:BJ78)</f>
        <v/>
      </c>
    </row>
    <row r="79">
      <c r="A79" s="100" t="inlineStr">
        <is>
          <t>Interest Paid - Investors @ 18%</t>
        </is>
      </c>
      <c r="D79" s="101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01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01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01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01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01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01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01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01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01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01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01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01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01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01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01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01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01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01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01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01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01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01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01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01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01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01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01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01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01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01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01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01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01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01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01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01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01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01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01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01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01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01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01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01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01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01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01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01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01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01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01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01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01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01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01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01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01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01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01">
        <f>sum(D79:BJ79)</f>
        <v/>
      </c>
    </row>
    <row r="80">
      <c r="A80" s="100" t="inlineStr">
        <is>
          <t>Interest Paid - Investors @ 6.25%</t>
        </is>
      </c>
      <c r="D80" s="101">
        <f>SUMIFS(Xero!$F:$F,Xero!$B:$B,Heron!D$9,Xero!$A:$A,Heron!$A$4,Xero!$E:$E,Heron!$A80)+SUMIFS(Xero!$F:$F,Xero!$B:$B,Heron!D$9,Xero!$A:$A,Heron!$A$5,Xero!$E:$E,Heron!$A80)</f>
        <v/>
      </c>
      <c r="E80" s="101">
        <f>SUMIFS(Xero!$F:$F,Xero!$B:$B,Heron!E$9,Xero!$A:$A,Heron!$A$4,Xero!$E:$E,Heron!$A80)+SUMIFS(Xero!$F:$F,Xero!$B:$B,Heron!E$9,Xero!$A:$A,Heron!$A$5,Xero!$E:$E,Heron!$A80)</f>
        <v/>
      </c>
      <c r="F80" s="101">
        <f>SUMIFS(Xero!$F:$F,Xero!$B:$B,Heron!F$9,Xero!$A:$A,Heron!$A$4,Xero!$E:$E,Heron!$A80)+SUMIFS(Xero!$F:$F,Xero!$B:$B,Heron!F$9,Xero!$A:$A,Heron!$A$5,Xero!$E:$E,Heron!$A80)</f>
        <v/>
      </c>
      <c r="G80" s="101">
        <f>SUMIFS(Xero!$F:$F,Xero!$B:$B,Heron!G$9,Xero!$A:$A,Heron!$A$4,Xero!$E:$E,Heron!$A80)+SUMIFS(Xero!$F:$F,Xero!$B:$B,Heron!G$9,Xero!$A:$A,Heron!$A$5,Xero!$E:$E,Heron!$A80)</f>
        <v/>
      </c>
      <c r="H80" s="101">
        <f>SUMIFS(Xero!$F:$F,Xero!$B:$B,Heron!H$9,Xero!$A:$A,Heron!$A$4,Xero!$E:$E,Heron!$A80)+SUMIFS(Xero!$F:$F,Xero!$B:$B,Heron!H$9,Xero!$A:$A,Heron!$A$5,Xero!$E:$E,Heron!$A80)</f>
        <v/>
      </c>
      <c r="I80" s="101">
        <f>SUMIFS(Xero!$F:$F,Xero!$B:$B,Heron!I$9,Xero!$A:$A,Heron!$A$4,Xero!$E:$E,Heron!$A80)+SUMIFS(Xero!$F:$F,Xero!$B:$B,Heron!I$9,Xero!$A:$A,Heron!$A$5,Xero!$E:$E,Heron!$A80)</f>
        <v/>
      </c>
      <c r="J80" s="101">
        <f>SUMIFS(Xero!$F:$F,Xero!$B:$B,Heron!J$9,Xero!$A:$A,Heron!$A$4,Xero!$E:$E,Heron!$A80)+SUMIFS(Xero!$F:$F,Xero!$B:$B,Heron!J$9,Xero!$A:$A,Heron!$A$5,Xero!$E:$E,Heron!$A80)</f>
        <v/>
      </c>
      <c r="K80" s="101">
        <f>SUMIFS(Xero!$F:$F,Xero!$B:$B,Heron!K$9,Xero!$A:$A,Heron!$A$4,Xero!$E:$E,Heron!$A80)+SUMIFS(Xero!$F:$F,Xero!$B:$B,Heron!K$9,Xero!$A:$A,Heron!$A$5,Xero!$E:$E,Heron!$A80)</f>
        <v/>
      </c>
      <c r="L80" s="101">
        <f>SUMIFS(Xero!$F:$F,Xero!$B:$B,Heron!L$9,Xero!$A:$A,Heron!$A$4,Xero!$E:$E,Heron!$A80)+SUMIFS(Xero!$F:$F,Xero!$B:$B,Heron!L$9,Xero!$A:$A,Heron!$A$5,Xero!$E:$E,Heron!$A80)</f>
        <v/>
      </c>
      <c r="M80" s="101">
        <f>SUMIFS(Xero!$F:$F,Xero!$B:$B,Heron!M$9,Xero!$A:$A,Heron!$A$4,Xero!$E:$E,Heron!$A80)+SUMIFS(Xero!$F:$F,Xero!$B:$B,Heron!M$9,Xero!$A:$A,Heron!$A$5,Xero!$E:$E,Heron!$A80)</f>
        <v/>
      </c>
      <c r="N80" s="101">
        <f>SUMIFS(Xero!$F:$F,Xero!$B:$B,Heron!N$9,Xero!$A:$A,Heron!$A$4,Xero!$E:$E,Heron!$A80)+SUMIFS(Xero!$F:$F,Xero!$B:$B,Heron!N$9,Xero!$A:$A,Heron!$A$5,Xero!$E:$E,Heron!$A80)</f>
        <v/>
      </c>
      <c r="O80" s="101">
        <f>SUMIFS(Xero!$F:$F,Xero!$B:$B,Heron!O$9,Xero!$A:$A,Heron!$A$4,Xero!$E:$E,Heron!$A80)+SUMIFS(Xero!$F:$F,Xero!$B:$B,Heron!O$9,Xero!$A:$A,Heron!$A$5,Xero!$E:$E,Heron!$A80)</f>
        <v/>
      </c>
      <c r="P80" s="101">
        <f>SUMIFS(Xero!$F:$F,Xero!$B:$B,Heron!P$9,Xero!$A:$A,Heron!$A$4,Xero!$E:$E,Heron!$A80)+SUMIFS(Xero!$F:$F,Xero!$B:$B,Heron!P$9,Xero!$A:$A,Heron!$A$5,Xero!$E:$E,Heron!$A80)</f>
        <v/>
      </c>
      <c r="Q80" s="101">
        <f>SUMIFS(Xero!$F:$F,Xero!$B:$B,Heron!Q$9,Xero!$A:$A,Heron!$A$4,Xero!$E:$E,Heron!$A80)+SUMIFS(Xero!$F:$F,Xero!$B:$B,Heron!Q$9,Xero!$A:$A,Heron!$A$5,Xero!$E:$E,Heron!$A80)</f>
        <v/>
      </c>
      <c r="R80" s="101">
        <f>SUMIFS(Xero!$F:$F,Xero!$B:$B,Heron!R$9,Xero!$A:$A,Heron!$A$4,Xero!$E:$E,Heron!$A80)+SUMIFS(Xero!$F:$F,Xero!$B:$B,Heron!R$9,Xero!$A:$A,Heron!$A$5,Xero!$E:$E,Heron!$A80)</f>
        <v/>
      </c>
      <c r="S80" s="101">
        <f>SUMIFS(Xero!$F:$F,Xero!$B:$B,Heron!S$9,Xero!$A:$A,Heron!$A$4,Xero!$E:$E,Heron!$A80)+SUMIFS(Xero!$F:$F,Xero!$B:$B,Heron!S$9,Xero!$A:$A,Heron!$A$5,Xero!$E:$E,Heron!$A80)</f>
        <v/>
      </c>
      <c r="T80" s="101">
        <f>SUMIFS(Xero!$F:$F,Xero!$B:$B,Heron!T$9,Xero!$A:$A,Heron!$A$4,Xero!$E:$E,Heron!$A80)+SUMIFS(Xero!$F:$F,Xero!$B:$B,Heron!T$9,Xero!$A:$A,Heron!$A$5,Xero!$E:$E,Heron!$A80)</f>
        <v/>
      </c>
      <c r="U80" s="101">
        <f>SUMIFS(Xero!$F:$F,Xero!$B:$B,Heron!U$9,Xero!$A:$A,Heron!$A$4,Xero!$E:$E,Heron!$A80)+SUMIFS(Xero!$F:$F,Xero!$B:$B,Heron!U$9,Xero!$A:$A,Heron!$A$5,Xero!$E:$E,Heron!$A80)</f>
        <v/>
      </c>
      <c r="V80" s="101">
        <f>SUMIFS(Xero!$F:$F,Xero!$B:$B,Heron!V$9,Xero!$A:$A,Heron!$A$4,Xero!$E:$E,Heron!$A80)+SUMIFS(Xero!$F:$F,Xero!$B:$B,Heron!V$9,Xero!$A:$A,Heron!$A$5,Xero!$E:$E,Heron!$A80)</f>
        <v/>
      </c>
      <c r="W80" s="101">
        <f>SUMIFS(Xero!$F:$F,Xero!$B:$B,Heron!W$9,Xero!$A:$A,Heron!$A$4,Xero!$E:$E,Heron!$A80)+SUMIFS(Xero!$F:$F,Xero!$B:$B,Heron!W$9,Xero!$A:$A,Heron!$A$5,Xero!$E:$E,Heron!$A80)</f>
        <v/>
      </c>
      <c r="X80" s="101">
        <f>SUMIFS(Xero!$F:$F,Xero!$B:$B,Heron!X$9,Xero!$A:$A,Heron!$A$4,Xero!$E:$E,Heron!$A80)+SUMIFS(Xero!$F:$F,Xero!$B:$B,Heron!X$9,Xero!$A:$A,Heron!$A$5,Xero!$E:$E,Heron!$A80)</f>
        <v/>
      </c>
      <c r="Y80" s="101">
        <f>SUMIFS(Xero!$F:$F,Xero!$B:$B,Heron!Y$9,Xero!$A:$A,Heron!$A$4,Xero!$E:$E,Heron!$A80)+SUMIFS(Xero!$F:$F,Xero!$B:$B,Heron!Y$9,Xero!$A:$A,Heron!$A$5,Xero!$E:$E,Heron!$A80)</f>
        <v/>
      </c>
      <c r="Z80" s="101">
        <f>SUMIFS(Xero!$F:$F,Xero!$B:$B,Heron!Z$9,Xero!$A:$A,Heron!$A$4,Xero!$E:$E,Heron!$A80)+SUMIFS(Xero!$F:$F,Xero!$B:$B,Heron!Z$9,Xero!$A:$A,Heron!$A$5,Xero!$E:$E,Heron!$A80)</f>
        <v/>
      </c>
      <c r="AA80" s="101">
        <f>SUMIFS(Xero!$F:$F,Xero!$B:$B,Heron!AA$9,Xero!$A:$A,Heron!$A$4,Xero!$E:$E,Heron!$A80)+SUMIFS(Xero!$F:$F,Xero!$B:$B,Heron!AA$9,Xero!$A:$A,Heron!$A$5,Xero!$E:$E,Heron!$A80)</f>
        <v/>
      </c>
      <c r="AB80" s="101">
        <f>SUMIFS(Xero!$F:$F,Xero!$B:$B,Heron!AB$9,Xero!$A:$A,Heron!$A$4,Xero!$E:$E,Heron!$A80)+SUMIFS(Xero!$F:$F,Xero!$B:$B,Heron!AB$9,Xero!$A:$A,Heron!$A$5,Xero!$E:$E,Heron!$A80)</f>
        <v/>
      </c>
      <c r="AC80" s="101">
        <f>SUMIFS(Xero!$F:$F,Xero!$B:$B,Heron!AC$9,Xero!$A:$A,Heron!$A$4,Xero!$E:$E,Heron!$A80)+SUMIFS(Xero!$F:$F,Xero!$B:$B,Heron!AC$9,Xero!$A:$A,Heron!$A$5,Xero!$E:$E,Heron!$A80)</f>
        <v/>
      </c>
      <c r="AD80" s="101">
        <f>SUMIFS(Xero!$F:$F,Xero!$B:$B,Heron!AD$9,Xero!$A:$A,Heron!$A$4,Xero!$E:$E,Heron!$A80)+SUMIFS(Xero!$F:$F,Xero!$B:$B,Heron!AD$9,Xero!$A:$A,Heron!$A$5,Xero!$E:$E,Heron!$A80)</f>
        <v/>
      </c>
      <c r="AE80" s="101">
        <f>SUMIFS(Xero!$F:$F,Xero!$B:$B,Heron!AE$9,Xero!$A:$A,Heron!$A$4,Xero!$E:$E,Heron!$A80)+SUMIFS(Xero!$F:$F,Xero!$B:$B,Heron!AE$9,Xero!$A:$A,Heron!$A$5,Xero!$E:$E,Heron!$A80)</f>
        <v/>
      </c>
      <c r="AF80" s="101">
        <f>SUMIFS(Xero!$F:$F,Xero!$B:$B,Heron!AF$9,Xero!$A:$A,Heron!$A$4,Xero!$E:$E,Heron!$A80)+SUMIFS(Xero!$F:$F,Xero!$B:$B,Heron!AF$9,Xero!$A:$A,Heron!$A$5,Xero!$E:$E,Heron!$A80)</f>
        <v/>
      </c>
      <c r="AG80" s="101">
        <f>SUMIFS(Xero!$F:$F,Xero!$B:$B,Heron!AG$9,Xero!$A:$A,Heron!$A$4,Xero!$E:$E,Heron!$A80)+SUMIFS(Xero!$F:$F,Xero!$B:$B,Heron!AG$9,Xero!$A:$A,Heron!$A$5,Xero!$E:$E,Heron!$A80)</f>
        <v/>
      </c>
      <c r="AH80" s="101">
        <f>SUMIFS(Xero!$F:$F,Xero!$B:$B,Heron!AH$9,Xero!$A:$A,Heron!$A$4,Xero!$E:$E,Heron!$A80)+SUMIFS(Xero!$F:$F,Xero!$B:$B,Heron!AH$9,Xero!$A:$A,Heron!$A$5,Xero!$E:$E,Heron!$A80)</f>
        <v/>
      </c>
      <c r="AI80" s="101">
        <f>SUMIFS(Xero!$F:$F,Xero!$B:$B,Heron!AI$9,Xero!$A:$A,Heron!$A$4,Xero!$E:$E,Heron!$A80)+SUMIFS(Xero!$F:$F,Xero!$B:$B,Heron!AI$9,Xero!$A:$A,Heron!$A$5,Xero!$E:$E,Heron!$A80)</f>
        <v/>
      </c>
      <c r="AJ80" s="101">
        <f>SUMIFS(Xero!$F:$F,Xero!$B:$B,Heron!AJ$9,Xero!$A:$A,Heron!$A$4,Xero!$E:$E,Heron!$A80)+SUMIFS(Xero!$F:$F,Xero!$B:$B,Heron!AJ$9,Xero!$A:$A,Heron!$A$5,Xero!$E:$E,Heron!$A80)</f>
        <v/>
      </c>
      <c r="AK80" s="101">
        <f>SUMIFS(Xero!$F:$F,Xero!$B:$B,Heron!AK$9,Xero!$A:$A,Heron!$A$4,Xero!$E:$E,Heron!$A80)+SUMIFS(Xero!$F:$F,Xero!$B:$B,Heron!AK$9,Xero!$A:$A,Heron!$A$5,Xero!$E:$E,Heron!$A80)</f>
        <v/>
      </c>
      <c r="AL80" s="101">
        <f>SUMIFS(Xero!$F:$F,Xero!$B:$B,Heron!AL$9,Xero!$A:$A,Heron!$A$4,Xero!$E:$E,Heron!$A80)+SUMIFS(Xero!$F:$F,Xero!$B:$B,Heron!AL$9,Xero!$A:$A,Heron!$A$5,Xero!$E:$E,Heron!$A80)</f>
        <v/>
      </c>
      <c r="AM80" s="101">
        <f>SUMIFS(Xero!$F:$F,Xero!$B:$B,Heron!AM$9,Xero!$A:$A,Heron!$A$4,Xero!$E:$E,Heron!$A80)+SUMIFS(Xero!$F:$F,Xero!$B:$B,Heron!AM$9,Xero!$A:$A,Heron!$A$5,Xero!$E:$E,Heron!$A80)</f>
        <v/>
      </c>
      <c r="AN80" s="101">
        <f>SUMIFS(Xero!$F:$F,Xero!$B:$B,Heron!AN$9,Xero!$A:$A,Heron!$A$4,Xero!$E:$E,Heron!$A80)+SUMIFS(Xero!$F:$F,Xero!$B:$B,Heron!AN$9,Xero!$A:$A,Heron!$A$5,Xero!$E:$E,Heron!$A80)</f>
        <v/>
      </c>
      <c r="AO80" s="101">
        <f>SUMIFS(Xero!$F:$F,Xero!$B:$B,Heron!AO$9,Xero!$A:$A,Heron!$A$4,Xero!$E:$E,Heron!$A80)+SUMIFS(Xero!$F:$F,Xero!$B:$B,Heron!AO$9,Xero!$A:$A,Heron!$A$5,Xero!$E:$E,Heron!$A80)</f>
        <v/>
      </c>
      <c r="AP80" s="101">
        <f>SUMIFS(Xero!$F:$F,Xero!$B:$B,Heron!AP$9,Xero!$A:$A,Heron!$A$4,Xero!$E:$E,Heron!$A80)+SUMIFS(Xero!$F:$F,Xero!$B:$B,Heron!AP$9,Xero!$A:$A,Heron!$A$5,Xero!$E:$E,Heron!$A80)</f>
        <v/>
      </c>
      <c r="AQ80" s="101">
        <f>SUMIFS(Xero!$F:$F,Xero!$B:$B,Heron!AQ$9,Xero!$A:$A,Heron!$A$4,Xero!$E:$E,Heron!$A80)+SUMIFS(Xero!$F:$F,Xero!$B:$B,Heron!AQ$9,Xero!$A:$A,Heron!$A$5,Xero!$E:$E,Heron!$A80)</f>
        <v/>
      </c>
      <c r="AR80" s="101">
        <f>SUMIFS(Xero!$F:$F,Xero!$B:$B,Heron!AR$9,Xero!$A:$A,Heron!$A$4,Xero!$E:$E,Heron!$A80)+SUMIFS(Xero!$F:$F,Xero!$B:$B,Heron!AR$9,Xero!$A:$A,Heron!$A$5,Xero!$E:$E,Heron!$A80)</f>
        <v/>
      </c>
      <c r="AS80" s="101">
        <f>SUMIFS(Xero!$F:$F,Xero!$B:$B,Heron!AS$9,Xero!$A:$A,Heron!$A$4,Xero!$E:$E,Heron!$A80)+SUMIFS(Xero!$F:$F,Xero!$B:$B,Heron!AS$9,Xero!$A:$A,Heron!$A$5,Xero!$E:$E,Heron!$A80)</f>
        <v/>
      </c>
      <c r="AT80" s="101">
        <f>SUMIFS(Xero!$F:$F,Xero!$B:$B,Heron!AT$9,Xero!$A:$A,Heron!$A$4,Xero!$E:$E,Heron!$A80)+SUMIFS(Xero!$F:$F,Xero!$B:$B,Heron!AT$9,Xero!$A:$A,Heron!$A$5,Xero!$E:$E,Heron!$A80)</f>
        <v/>
      </c>
      <c r="AU80" s="101">
        <f>SUMIFS(Xero!$F:$F,Xero!$B:$B,Heron!AU$9,Xero!$A:$A,Heron!$A$4,Xero!$E:$E,Heron!$A80)+SUMIFS(Xero!$F:$F,Xero!$B:$B,Heron!AU$9,Xero!$A:$A,Heron!$A$5,Xero!$E:$E,Heron!$A80)</f>
        <v/>
      </c>
      <c r="AV80" s="101">
        <f>SUMIFS(Xero!$F:$F,Xero!$B:$B,Heron!AV$9,Xero!$A:$A,Heron!$A$4,Xero!$E:$E,Heron!$A80)+SUMIFS(Xero!$F:$F,Xero!$B:$B,Heron!AV$9,Xero!$A:$A,Heron!$A$5,Xero!$E:$E,Heron!$A80)</f>
        <v/>
      </c>
      <c r="AW80" s="101">
        <f>SUMIFS(Xero!$F:$F,Xero!$B:$B,Heron!AW$9,Xero!$A:$A,Heron!$A$4,Xero!$E:$E,Heron!$A80)+SUMIFS(Xero!$F:$F,Xero!$B:$B,Heron!AW$9,Xero!$A:$A,Heron!$A$5,Xero!$E:$E,Heron!$A80)</f>
        <v/>
      </c>
      <c r="AX80" s="101">
        <f>SUMIFS(Xero!$F:$F,Xero!$B:$B,Heron!AX$9,Xero!$A:$A,Heron!$A$4,Xero!$E:$E,Heron!$A80)+SUMIFS(Xero!$F:$F,Xero!$B:$B,Heron!AX$9,Xero!$A:$A,Heron!$A$5,Xero!$E:$E,Heron!$A80)</f>
        <v/>
      </c>
      <c r="AY80" s="101">
        <f>SUMIFS(Xero!$F:$F,Xero!$B:$B,Heron!AY$9,Xero!$A:$A,Heron!$A$4,Xero!$E:$E,Heron!$A80)+SUMIFS(Xero!$F:$F,Xero!$B:$B,Heron!AY$9,Xero!$A:$A,Heron!$A$5,Xero!$E:$E,Heron!$A80)</f>
        <v/>
      </c>
      <c r="AZ80" s="101">
        <f>SUMIFS(Xero!$F:$F,Xero!$B:$B,Heron!AZ$9,Xero!$A:$A,Heron!$A$4,Xero!$E:$E,Heron!$A80)+SUMIFS(Xero!$F:$F,Xero!$B:$B,Heron!AZ$9,Xero!$A:$A,Heron!$A$5,Xero!$E:$E,Heron!$A80)</f>
        <v/>
      </c>
      <c r="BA80" s="101">
        <f>SUMIFS(Xero!$F:$F,Xero!$B:$B,Heron!BA$9,Xero!$A:$A,Heron!$A$4,Xero!$E:$E,Heron!$A80)+SUMIFS(Xero!$F:$F,Xero!$B:$B,Heron!BA$9,Xero!$A:$A,Heron!$A$5,Xero!$E:$E,Heron!$A80)</f>
        <v/>
      </c>
      <c r="BB80" s="101">
        <f>SUMIFS(Xero!$F:$F,Xero!$B:$B,Heron!BB$9,Xero!$A:$A,Heron!$A$4,Xero!$E:$E,Heron!$A80)+SUMIFS(Xero!$F:$F,Xero!$B:$B,Heron!BB$9,Xero!$A:$A,Heron!$A$5,Xero!$E:$E,Heron!$A80)</f>
        <v/>
      </c>
      <c r="BC80" s="101">
        <f>SUMIFS(Xero!$F:$F,Xero!$B:$B,Heron!BC$9,Xero!$A:$A,Heron!$A$4,Xero!$E:$E,Heron!$A80)+SUMIFS(Xero!$F:$F,Xero!$B:$B,Heron!BC$9,Xero!$A:$A,Heron!$A$5,Xero!$E:$E,Heron!$A80)</f>
        <v/>
      </c>
      <c r="BD80" s="101">
        <f>SUMIFS(Xero!$F:$F,Xero!$B:$B,Heron!BD$9,Xero!$A:$A,Heron!$A$4,Xero!$E:$E,Heron!$A80)+SUMIFS(Xero!$F:$F,Xero!$B:$B,Heron!BD$9,Xero!$A:$A,Heron!$A$5,Xero!$E:$E,Heron!$A80)</f>
        <v/>
      </c>
      <c r="BE80" s="101">
        <f>SUMIFS(Xero!$F:$F,Xero!$B:$B,Heron!BE$9,Xero!$A:$A,Heron!$A$4,Xero!$E:$E,Heron!$A80)+SUMIFS(Xero!$F:$F,Xero!$B:$B,Heron!BE$9,Xero!$A:$A,Heron!$A$5,Xero!$E:$E,Heron!$A80)</f>
        <v/>
      </c>
      <c r="BF80" s="101">
        <f>SUMIFS(Xero!$F:$F,Xero!$B:$B,Heron!BF$9,Xero!$A:$A,Heron!$A$4,Xero!$E:$E,Heron!$A80)+SUMIFS(Xero!$F:$F,Xero!$B:$B,Heron!BF$9,Xero!$A:$A,Heron!$A$5,Xero!$E:$E,Heron!$A80)</f>
        <v/>
      </c>
      <c r="BG80" s="101">
        <f>SUMIFS(Xero!$F:$F,Xero!$B:$B,Heron!BG$9,Xero!$A:$A,Heron!$A$4,Xero!$E:$E,Heron!$A80)+SUMIFS(Xero!$F:$F,Xero!$B:$B,Heron!BG$9,Xero!$A:$A,Heron!$A$5,Xero!$E:$E,Heron!$A80)</f>
        <v/>
      </c>
      <c r="BH80" s="101">
        <f>SUMIFS(Xero!$F:$F,Xero!$B:$B,Heron!BH$9,Xero!$A:$A,Heron!$A$4,Xero!$E:$E,Heron!$A80)+SUMIFS(Xero!$F:$F,Xero!$B:$B,Heron!BH$9,Xero!$A:$A,Heron!$A$5,Xero!$E:$E,Heron!$A80)</f>
        <v/>
      </c>
      <c r="BI80" s="101">
        <f>SUMIFS(Xero!$F:$F,Xero!$B:$B,Heron!BI$9,Xero!$A:$A,Heron!$A$4,Xero!$E:$E,Heron!$A80)+SUMIFS(Xero!$F:$F,Xero!$B:$B,Heron!BI$9,Xero!$A:$A,Heron!$A$5,Xero!$E:$E,Heron!$A80)</f>
        <v/>
      </c>
      <c r="BJ80" s="101">
        <f>SUMIFS(Xero!$F:$F,Xero!$B:$B,Heron!BJ$9,Xero!$A:$A,Heron!$A$4,Xero!$E:$E,Heron!$A80)+SUMIFS(Xero!$F:$F,Xero!$B:$B,Heron!BJ$9,Xero!$A:$A,Heron!$A$5,Xero!$E:$E,Heron!$A80)</f>
        <v/>
      </c>
      <c r="BK80" s="101">
        <f>sum(D80:BJ80)</f>
        <v/>
      </c>
    </row>
    <row r="81">
      <c r="A81" s="100" t="inlineStr">
        <is>
          <t>Interest Paid - Investors @ 6.5%</t>
        </is>
      </c>
      <c r="D81" s="101">
        <f>SUMIFS(Xero!$F:$F,Xero!$B:$B,Heron!D$9,Xero!$A:$A,Heron!$A$4,Xero!$E:$E,Heron!$A81)+SUMIFS(Xero!$F:$F,Xero!$B:$B,Heron!D$9,Xero!$A:$A,Heron!$A$5,Xero!$E:$E,Heron!$A81)</f>
        <v/>
      </c>
      <c r="E81" s="101">
        <f>SUMIFS(Xero!$F:$F,Xero!$B:$B,Heron!E$9,Xero!$A:$A,Heron!$A$4,Xero!$E:$E,Heron!$A81)+SUMIFS(Xero!$F:$F,Xero!$B:$B,Heron!E$9,Xero!$A:$A,Heron!$A$5,Xero!$E:$E,Heron!$A81)</f>
        <v/>
      </c>
      <c r="F81" s="101">
        <f>SUMIFS(Xero!$F:$F,Xero!$B:$B,Heron!F$9,Xero!$A:$A,Heron!$A$4,Xero!$E:$E,Heron!$A81)+SUMIFS(Xero!$F:$F,Xero!$B:$B,Heron!F$9,Xero!$A:$A,Heron!$A$5,Xero!$E:$E,Heron!$A81)</f>
        <v/>
      </c>
      <c r="G81" s="101">
        <f>SUMIFS(Xero!$F:$F,Xero!$B:$B,Heron!G$9,Xero!$A:$A,Heron!$A$4,Xero!$E:$E,Heron!$A81)+SUMIFS(Xero!$F:$F,Xero!$B:$B,Heron!G$9,Xero!$A:$A,Heron!$A$5,Xero!$E:$E,Heron!$A81)</f>
        <v/>
      </c>
      <c r="H81" s="101">
        <f>SUMIFS(Xero!$F:$F,Xero!$B:$B,Heron!H$9,Xero!$A:$A,Heron!$A$4,Xero!$E:$E,Heron!$A81)+SUMIFS(Xero!$F:$F,Xero!$B:$B,Heron!H$9,Xero!$A:$A,Heron!$A$5,Xero!$E:$E,Heron!$A81)</f>
        <v/>
      </c>
      <c r="I81" s="101">
        <f>SUMIFS(Xero!$F:$F,Xero!$B:$B,Heron!I$9,Xero!$A:$A,Heron!$A$4,Xero!$E:$E,Heron!$A81)+SUMIFS(Xero!$F:$F,Xero!$B:$B,Heron!I$9,Xero!$A:$A,Heron!$A$5,Xero!$E:$E,Heron!$A81)</f>
        <v/>
      </c>
      <c r="J81" s="101">
        <f>SUMIFS(Xero!$F:$F,Xero!$B:$B,Heron!J$9,Xero!$A:$A,Heron!$A$4,Xero!$E:$E,Heron!$A81)+SUMIFS(Xero!$F:$F,Xero!$B:$B,Heron!J$9,Xero!$A:$A,Heron!$A$5,Xero!$E:$E,Heron!$A81)</f>
        <v/>
      </c>
      <c r="K81" s="101">
        <f>SUMIFS(Xero!$F:$F,Xero!$B:$B,Heron!K$9,Xero!$A:$A,Heron!$A$4,Xero!$E:$E,Heron!$A81)+SUMIFS(Xero!$F:$F,Xero!$B:$B,Heron!K$9,Xero!$A:$A,Heron!$A$5,Xero!$E:$E,Heron!$A81)</f>
        <v/>
      </c>
      <c r="L81" s="101">
        <f>SUMIFS(Xero!$F:$F,Xero!$B:$B,Heron!L$9,Xero!$A:$A,Heron!$A$4,Xero!$E:$E,Heron!$A81)+SUMIFS(Xero!$F:$F,Xero!$B:$B,Heron!L$9,Xero!$A:$A,Heron!$A$5,Xero!$E:$E,Heron!$A81)</f>
        <v/>
      </c>
      <c r="M81" s="101">
        <f>SUMIFS(Xero!$F:$F,Xero!$B:$B,Heron!M$9,Xero!$A:$A,Heron!$A$4,Xero!$E:$E,Heron!$A81)+SUMIFS(Xero!$F:$F,Xero!$B:$B,Heron!M$9,Xero!$A:$A,Heron!$A$5,Xero!$E:$E,Heron!$A81)</f>
        <v/>
      </c>
      <c r="N81" s="101">
        <f>SUMIFS(Xero!$F:$F,Xero!$B:$B,Heron!N$9,Xero!$A:$A,Heron!$A$4,Xero!$E:$E,Heron!$A81)+SUMIFS(Xero!$F:$F,Xero!$B:$B,Heron!N$9,Xero!$A:$A,Heron!$A$5,Xero!$E:$E,Heron!$A81)</f>
        <v/>
      </c>
      <c r="O81" s="101">
        <f>SUMIFS(Xero!$F:$F,Xero!$B:$B,Heron!O$9,Xero!$A:$A,Heron!$A$4,Xero!$E:$E,Heron!$A81)+SUMIFS(Xero!$F:$F,Xero!$B:$B,Heron!O$9,Xero!$A:$A,Heron!$A$5,Xero!$E:$E,Heron!$A81)</f>
        <v/>
      </c>
      <c r="P81" s="101">
        <f>SUMIFS(Xero!$F:$F,Xero!$B:$B,Heron!P$9,Xero!$A:$A,Heron!$A$4,Xero!$E:$E,Heron!$A81)+SUMIFS(Xero!$F:$F,Xero!$B:$B,Heron!P$9,Xero!$A:$A,Heron!$A$5,Xero!$E:$E,Heron!$A81)</f>
        <v/>
      </c>
      <c r="Q81" s="101">
        <f>SUMIFS(Xero!$F:$F,Xero!$B:$B,Heron!Q$9,Xero!$A:$A,Heron!$A$4,Xero!$E:$E,Heron!$A81)+SUMIFS(Xero!$F:$F,Xero!$B:$B,Heron!Q$9,Xero!$A:$A,Heron!$A$5,Xero!$E:$E,Heron!$A81)</f>
        <v/>
      </c>
      <c r="R81" s="101">
        <f>SUMIFS(Xero!$F:$F,Xero!$B:$B,Heron!R$9,Xero!$A:$A,Heron!$A$4,Xero!$E:$E,Heron!$A81)+SUMIFS(Xero!$F:$F,Xero!$B:$B,Heron!R$9,Xero!$A:$A,Heron!$A$5,Xero!$E:$E,Heron!$A81)</f>
        <v/>
      </c>
      <c r="S81" s="101">
        <f>SUMIFS(Xero!$F:$F,Xero!$B:$B,Heron!S$9,Xero!$A:$A,Heron!$A$4,Xero!$E:$E,Heron!$A81)+SUMIFS(Xero!$F:$F,Xero!$B:$B,Heron!S$9,Xero!$A:$A,Heron!$A$5,Xero!$E:$E,Heron!$A81)</f>
        <v/>
      </c>
      <c r="T81" s="101">
        <f>SUMIFS(Xero!$F:$F,Xero!$B:$B,Heron!T$9,Xero!$A:$A,Heron!$A$4,Xero!$E:$E,Heron!$A81)+SUMIFS(Xero!$F:$F,Xero!$B:$B,Heron!T$9,Xero!$A:$A,Heron!$A$5,Xero!$E:$E,Heron!$A81)</f>
        <v/>
      </c>
      <c r="U81" s="101">
        <f>SUMIFS(Xero!$F:$F,Xero!$B:$B,Heron!U$9,Xero!$A:$A,Heron!$A$4,Xero!$E:$E,Heron!$A81)+SUMIFS(Xero!$F:$F,Xero!$B:$B,Heron!U$9,Xero!$A:$A,Heron!$A$5,Xero!$E:$E,Heron!$A81)</f>
        <v/>
      </c>
      <c r="V81" s="101">
        <f>SUMIFS(Xero!$F:$F,Xero!$B:$B,Heron!V$9,Xero!$A:$A,Heron!$A$4,Xero!$E:$E,Heron!$A81)+SUMIFS(Xero!$F:$F,Xero!$B:$B,Heron!V$9,Xero!$A:$A,Heron!$A$5,Xero!$E:$E,Heron!$A81)</f>
        <v/>
      </c>
      <c r="W81" s="101">
        <f>SUMIFS(Xero!$F:$F,Xero!$B:$B,Heron!W$9,Xero!$A:$A,Heron!$A$4,Xero!$E:$E,Heron!$A81)+SUMIFS(Xero!$F:$F,Xero!$B:$B,Heron!W$9,Xero!$A:$A,Heron!$A$5,Xero!$E:$E,Heron!$A81)</f>
        <v/>
      </c>
      <c r="X81" s="101">
        <f>SUMIFS(Xero!$F:$F,Xero!$B:$B,Heron!X$9,Xero!$A:$A,Heron!$A$4,Xero!$E:$E,Heron!$A81)+SUMIFS(Xero!$F:$F,Xero!$B:$B,Heron!X$9,Xero!$A:$A,Heron!$A$5,Xero!$E:$E,Heron!$A81)</f>
        <v/>
      </c>
      <c r="Y81" s="101">
        <f>SUMIFS(Xero!$F:$F,Xero!$B:$B,Heron!Y$9,Xero!$A:$A,Heron!$A$4,Xero!$E:$E,Heron!$A81)+SUMIFS(Xero!$F:$F,Xero!$B:$B,Heron!Y$9,Xero!$A:$A,Heron!$A$5,Xero!$E:$E,Heron!$A81)</f>
        <v/>
      </c>
      <c r="Z81" s="101">
        <f>SUMIFS(Xero!$F:$F,Xero!$B:$B,Heron!Z$9,Xero!$A:$A,Heron!$A$4,Xero!$E:$E,Heron!$A81)+SUMIFS(Xero!$F:$F,Xero!$B:$B,Heron!Z$9,Xero!$A:$A,Heron!$A$5,Xero!$E:$E,Heron!$A81)</f>
        <v/>
      </c>
      <c r="AA81" s="101">
        <f>SUMIFS(Xero!$F:$F,Xero!$B:$B,Heron!AA$9,Xero!$A:$A,Heron!$A$4,Xero!$E:$E,Heron!$A81)+SUMIFS(Xero!$F:$F,Xero!$B:$B,Heron!AA$9,Xero!$A:$A,Heron!$A$5,Xero!$E:$E,Heron!$A81)</f>
        <v/>
      </c>
      <c r="AB81" s="101">
        <f>SUMIFS(Xero!$F:$F,Xero!$B:$B,Heron!AB$9,Xero!$A:$A,Heron!$A$4,Xero!$E:$E,Heron!$A81)+SUMIFS(Xero!$F:$F,Xero!$B:$B,Heron!AB$9,Xero!$A:$A,Heron!$A$5,Xero!$E:$E,Heron!$A81)</f>
        <v/>
      </c>
      <c r="AC81" s="101">
        <f>SUMIFS(Xero!$F:$F,Xero!$B:$B,Heron!AC$9,Xero!$A:$A,Heron!$A$4,Xero!$E:$E,Heron!$A81)+SUMIFS(Xero!$F:$F,Xero!$B:$B,Heron!AC$9,Xero!$A:$A,Heron!$A$5,Xero!$E:$E,Heron!$A81)</f>
        <v/>
      </c>
      <c r="AD81" s="101">
        <f>SUMIFS(Xero!$F:$F,Xero!$B:$B,Heron!AD$9,Xero!$A:$A,Heron!$A$4,Xero!$E:$E,Heron!$A81)+SUMIFS(Xero!$F:$F,Xero!$B:$B,Heron!AD$9,Xero!$A:$A,Heron!$A$5,Xero!$E:$E,Heron!$A81)</f>
        <v/>
      </c>
      <c r="AE81" s="101">
        <f>SUMIFS(Xero!$F:$F,Xero!$B:$B,Heron!AE$9,Xero!$A:$A,Heron!$A$4,Xero!$E:$E,Heron!$A81)+SUMIFS(Xero!$F:$F,Xero!$B:$B,Heron!AE$9,Xero!$A:$A,Heron!$A$5,Xero!$E:$E,Heron!$A81)</f>
        <v/>
      </c>
      <c r="AF81" s="101">
        <f>SUMIFS(Xero!$F:$F,Xero!$B:$B,Heron!AF$9,Xero!$A:$A,Heron!$A$4,Xero!$E:$E,Heron!$A81)+SUMIFS(Xero!$F:$F,Xero!$B:$B,Heron!AF$9,Xero!$A:$A,Heron!$A$5,Xero!$E:$E,Heron!$A81)</f>
        <v/>
      </c>
      <c r="AG81" s="101">
        <f>SUMIFS(Xero!$F:$F,Xero!$B:$B,Heron!AG$9,Xero!$A:$A,Heron!$A$4,Xero!$E:$E,Heron!$A81)+SUMIFS(Xero!$F:$F,Xero!$B:$B,Heron!AG$9,Xero!$A:$A,Heron!$A$5,Xero!$E:$E,Heron!$A81)</f>
        <v/>
      </c>
      <c r="AH81" s="101">
        <f>SUMIFS(Xero!$F:$F,Xero!$B:$B,Heron!AH$9,Xero!$A:$A,Heron!$A$4,Xero!$E:$E,Heron!$A81)+SUMIFS(Xero!$F:$F,Xero!$B:$B,Heron!AH$9,Xero!$A:$A,Heron!$A$5,Xero!$E:$E,Heron!$A81)</f>
        <v/>
      </c>
      <c r="AI81" s="101">
        <f>SUMIFS(Xero!$F:$F,Xero!$B:$B,Heron!AI$9,Xero!$A:$A,Heron!$A$4,Xero!$E:$E,Heron!$A81)+SUMIFS(Xero!$F:$F,Xero!$B:$B,Heron!AI$9,Xero!$A:$A,Heron!$A$5,Xero!$E:$E,Heron!$A81)</f>
        <v/>
      </c>
      <c r="AJ81" s="101">
        <f>SUMIFS(Xero!$F:$F,Xero!$B:$B,Heron!AJ$9,Xero!$A:$A,Heron!$A$4,Xero!$E:$E,Heron!$A81)+SUMIFS(Xero!$F:$F,Xero!$B:$B,Heron!AJ$9,Xero!$A:$A,Heron!$A$5,Xero!$E:$E,Heron!$A81)</f>
        <v/>
      </c>
      <c r="AK81" s="101">
        <f>SUMIFS(Xero!$F:$F,Xero!$B:$B,Heron!AK$9,Xero!$A:$A,Heron!$A$4,Xero!$E:$E,Heron!$A81)+SUMIFS(Xero!$F:$F,Xero!$B:$B,Heron!AK$9,Xero!$A:$A,Heron!$A$5,Xero!$E:$E,Heron!$A81)</f>
        <v/>
      </c>
      <c r="AL81" s="101">
        <f>SUMIFS(Xero!$F:$F,Xero!$B:$B,Heron!AL$9,Xero!$A:$A,Heron!$A$4,Xero!$E:$E,Heron!$A81)+SUMIFS(Xero!$F:$F,Xero!$B:$B,Heron!AL$9,Xero!$A:$A,Heron!$A$5,Xero!$E:$E,Heron!$A81)</f>
        <v/>
      </c>
      <c r="AM81" s="101">
        <f>SUMIFS(Xero!$F:$F,Xero!$B:$B,Heron!AM$9,Xero!$A:$A,Heron!$A$4,Xero!$E:$E,Heron!$A81)+SUMIFS(Xero!$F:$F,Xero!$B:$B,Heron!AM$9,Xero!$A:$A,Heron!$A$5,Xero!$E:$E,Heron!$A81)</f>
        <v/>
      </c>
      <c r="AN81" s="101">
        <f>SUMIFS(Xero!$F:$F,Xero!$B:$B,Heron!AN$9,Xero!$A:$A,Heron!$A$4,Xero!$E:$E,Heron!$A81)+SUMIFS(Xero!$F:$F,Xero!$B:$B,Heron!AN$9,Xero!$A:$A,Heron!$A$5,Xero!$E:$E,Heron!$A81)</f>
        <v/>
      </c>
      <c r="AO81" s="101">
        <f>SUMIFS(Xero!$F:$F,Xero!$B:$B,Heron!AO$9,Xero!$A:$A,Heron!$A$4,Xero!$E:$E,Heron!$A81)+SUMIFS(Xero!$F:$F,Xero!$B:$B,Heron!AO$9,Xero!$A:$A,Heron!$A$5,Xero!$E:$E,Heron!$A81)</f>
        <v/>
      </c>
      <c r="AP81" s="101">
        <f>SUMIFS(Xero!$F:$F,Xero!$B:$B,Heron!AP$9,Xero!$A:$A,Heron!$A$4,Xero!$E:$E,Heron!$A81)+SUMIFS(Xero!$F:$F,Xero!$B:$B,Heron!AP$9,Xero!$A:$A,Heron!$A$5,Xero!$E:$E,Heron!$A81)</f>
        <v/>
      </c>
      <c r="AQ81" s="101">
        <f>SUMIFS(Xero!$F:$F,Xero!$B:$B,Heron!AQ$9,Xero!$A:$A,Heron!$A$4,Xero!$E:$E,Heron!$A81)+SUMIFS(Xero!$F:$F,Xero!$B:$B,Heron!AQ$9,Xero!$A:$A,Heron!$A$5,Xero!$E:$E,Heron!$A81)</f>
        <v/>
      </c>
      <c r="AR81" s="101">
        <f>SUMIFS(Xero!$F:$F,Xero!$B:$B,Heron!AR$9,Xero!$A:$A,Heron!$A$4,Xero!$E:$E,Heron!$A81)+SUMIFS(Xero!$F:$F,Xero!$B:$B,Heron!AR$9,Xero!$A:$A,Heron!$A$5,Xero!$E:$E,Heron!$A81)</f>
        <v/>
      </c>
      <c r="AS81" s="101">
        <f>SUMIFS(Xero!$F:$F,Xero!$B:$B,Heron!AS$9,Xero!$A:$A,Heron!$A$4,Xero!$E:$E,Heron!$A81)+SUMIFS(Xero!$F:$F,Xero!$B:$B,Heron!AS$9,Xero!$A:$A,Heron!$A$5,Xero!$E:$E,Heron!$A81)</f>
        <v/>
      </c>
      <c r="AT81" s="101">
        <f>SUMIFS(Xero!$F:$F,Xero!$B:$B,Heron!AT$9,Xero!$A:$A,Heron!$A$4,Xero!$E:$E,Heron!$A81)+SUMIFS(Xero!$F:$F,Xero!$B:$B,Heron!AT$9,Xero!$A:$A,Heron!$A$5,Xero!$E:$E,Heron!$A81)</f>
        <v/>
      </c>
      <c r="AU81" s="101">
        <f>SUMIFS(Xero!$F:$F,Xero!$B:$B,Heron!AU$9,Xero!$A:$A,Heron!$A$4,Xero!$E:$E,Heron!$A81)+SUMIFS(Xero!$F:$F,Xero!$B:$B,Heron!AU$9,Xero!$A:$A,Heron!$A$5,Xero!$E:$E,Heron!$A81)</f>
        <v/>
      </c>
      <c r="AV81" s="101">
        <f>SUMIFS(Xero!$F:$F,Xero!$B:$B,Heron!AV$9,Xero!$A:$A,Heron!$A$4,Xero!$E:$E,Heron!$A81)+SUMIFS(Xero!$F:$F,Xero!$B:$B,Heron!AV$9,Xero!$A:$A,Heron!$A$5,Xero!$E:$E,Heron!$A81)</f>
        <v/>
      </c>
      <c r="AW81" s="101">
        <f>SUMIFS(Xero!$F:$F,Xero!$B:$B,Heron!AW$9,Xero!$A:$A,Heron!$A$4,Xero!$E:$E,Heron!$A81)+SUMIFS(Xero!$F:$F,Xero!$B:$B,Heron!AW$9,Xero!$A:$A,Heron!$A$5,Xero!$E:$E,Heron!$A81)</f>
        <v/>
      </c>
      <c r="AX81" s="101">
        <f>SUMIFS(Xero!$F:$F,Xero!$B:$B,Heron!AX$9,Xero!$A:$A,Heron!$A$4,Xero!$E:$E,Heron!$A81)+SUMIFS(Xero!$F:$F,Xero!$B:$B,Heron!AX$9,Xero!$A:$A,Heron!$A$5,Xero!$E:$E,Heron!$A81)</f>
        <v/>
      </c>
      <c r="AY81" s="101">
        <f>SUMIFS(Xero!$F:$F,Xero!$B:$B,Heron!AY$9,Xero!$A:$A,Heron!$A$4,Xero!$E:$E,Heron!$A81)+SUMIFS(Xero!$F:$F,Xero!$B:$B,Heron!AY$9,Xero!$A:$A,Heron!$A$5,Xero!$E:$E,Heron!$A81)</f>
        <v/>
      </c>
      <c r="AZ81" s="101">
        <f>SUMIFS(Xero!$F:$F,Xero!$B:$B,Heron!AZ$9,Xero!$A:$A,Heron!$A$4,Xero!$E:$E,Heron!$A81)+SUMIFS(Xero!$F:$F,Xero!$B:$B,Heron!AZ$9,Xero!$A:$A,Heron!$A$5,Xero!$E:$E,Heron!$A81)</f>
        <v/>
      </c>
      <c r="BA81" s="101">
        <f>SUMIFS(Xero!$F:$F,Xero!$B:$B,Heron!BA$9,Xero!$A:$A,Heron!$A$4,Xero!$E:$E,Heron!$A81)+SUMIFS(Xero!$F:$F,Xero!$B:$B,Heron!BA$9,Xero!$A:$A,Heron!$A$5,Xero!$E:$E,Heron!$A81)</f>
        <v/>
      </c>
      <c r="BB81" s="101">
        <f>SUMIFS(Xero!$F:$F,Xero!$B:$B,Heron!BB$9,Xero!$A:$A,Heron!$A$4,Xero!$E:$E,Heron!$A81)+SUMIFS(Xero!$F:$F,Xero!$B:$B,Heron!BB$9,Xero!$A:$A,Heron!$A$5,Xero!$E:$E,Heron!$A81)</f>
        <v/>
      </c>
      <c r="BC81" s="101">
        <f>SUMIFS(Xero!$F:$F,Xero!$B:$B,Heron!BC$9,Xero!$A:$A,Heron!$A$4,Xero!$E:$E,Heron!$A81)+SUMIFS(Xero!$F:$F,Xero!$B:$B,Heron!BC$9,Xero!$A:$A,Heron!$A$5,Xero!$E:$E,Heron!$A81)</f>
        <v/>
      </c>
      <c r="BD81" s="101">
        <f>SUMIFS(Xero!$F:$F,Xero!$B:$B,Heron!BD$9,Xero!$A:$A,Heron!$A$4,Xero!$E:$E,Heron!$A81)+SUMIFS(Xero!$F:$F,Xero!$B:$B,Heron!BD$9,Xero!$A:$A,Heron!$A$5,Xero!$E:$E,Heron!$A81)</f>
        <v/>
      </c>
      <c r="BE81" s="101">
        <f>SUMIFS(Xero!$F:$F,Xero!$B:$B,Heron!BE$9,Xero!$A:$A,Heron!$A$4,Xero!$E:$E,Heron!$A81)+SUMIFS(Xero!$F:$F,Xero!$B:$B,Heron!BE$9,Xero!$A:$A,Heron!$A$5,Xero!$E:$E,Heron!$A81)</f>
        <v/>
      </c>
      <c r="BF81" s="101">
        <f>SUMIFS(Xero!$F:$F,Xero!$B:$B,Heron!BF$9,Xero!$A:$A,Heron!$A$4,Xero!$E:$E,Heron!$A81)+SUMIFS(Xero!$F:$F,Xero!$B:$B,Heron!BF$9,Xero!$A:$A,Heron!$A$5,Xero!$E:$E,Heron!$A81)</f>
        <v/>
      </c>
      <c r="BG81" s="101">
        <f>SUMIFS(Xero!$F:$F,Xero!$B:$B,Heron!BG$9,Xero!$A:$A,Heron!$A$4,Xero!$E:$E,Heron!$A81)+SUMIFS(Xero!$F:$F,Xero!$B:$B,Heron!BG$9,Xero!$A:$A,Heron!$A$5,Xero!$E:$E,Heron!$A81)</f>
        <v/>
      </c>
      <c r="BH81" s="101">
        <f>SUMIFS(Xero!$F:$F,Xero!$B:$B,Heron!BH$9,Xero!$A:$A,Heron!$A$4,Xero!$E:$E,Heron!$A81)+SUMIFS(Xero!$F:$F,Xero!$B:$B,Heron!BH$9,Xero!$A:$A,Heron!$A$5,Xero!$E:$E,Heron!$A81)</f>
        <v/>
      </c>
      <c r="BI81" s="101">
        <f>SUMIFS(Xero!$F:$F,Xero!$B:$B,Heron!BI$9,Xero!$A:$A,Heron!$A$4,Xero!$E:$E,Heron!$A81)+SUMIFS(Xero!$F:$F,Xero!$B:$B,Heron!BI$9,Xero!$A:$A,Heron!$A$5,Xero!$E:$E,Heron!$A81)</f>
        <v/>
      </c>
      <c r="BJ81" s="101">
        <f>SUMIFS(Xero!$F:$F,Xero!$B:$B,Heron!BJ$9,Xero!$A:$A,Heron!$A$4,Xero!$E:$E,Heron!$A81)+SUMIFS(Xero!$F:$F,Xero!$B:$B,Heron!BJ$9,Xero!$A:$A,Heron!$A$5,Xero!$E:$E,Heron!$A81)</f>
        <v/>
      </c>
      <c r="BK81" s="101">
        <f>sum(D81:BJ81)</f>
        <v/>
      </c>
    </row>
    <row r="82">
      <c r="A82" s="100" t="inlineStr">
        <is>
          <t>Interest Paid - Investors @ 6.75%</t>
        </is>
      </c>
      <c r="D82" s="101">
        <f>SUMIFS(Xero!$F:$F,Xero!$B:$B,Heron!D$9,Xero!$A:$A,Heron!$A$4,Xero!$E:$E,Heron!$A82)+SUMIFS(Xero!$F:$F,Xero!$B:$B,Heron!D$9,Xero!$A:$A,Heron!$A$5,Xero!$E:$E,Heron!$A82)</f>
        <v/>
      </c>
      <c r="E82" s="101">
        <f>SUMIFS(Xero!$F:$F,Xero!$B:$B,Heron!E$9,Xero!$A:$A,Heron!$A$4,Xero!$E:$E,Heron!$A82)+SUMIFS(Xero!$F:$F,Xero!$B:$B,Heron!E$9,Xero!$A:$A,Heron!$A$5,Xero!$E:$E,Heron!$A82)</f>
        <v/>
      </c>
      <c r="F82" s="101">
        <f>SUMIFS(Xero!$F:$F,Xero!$B:$B,Heron!F$9,Xero!$A:$A,Heron!$A$4,Xero!$E:$E,Heron!$A82)+SUMIFS(Xero!$F:$F,Xero!$B:$B,Heron!F$9,Xero!$A:$A,Heron!$A$5,Xero!$E:$E,Heron!$A82)</f>
        <v/>
      </c>
      <c r="G82" s="101">
        <f>SUMIFS(Xero!$F:$F,Xero!$B:$B,Heron!G$9,Xero!$A:$A,Heron!$A$4,Xero!$E:$E,Heron!$A82)+SUMIFS(Xero!$F:$F,Xero!$B:$B,Heron!G$9,Xero!$A:$A,Heron!$A$5,Xero!$E:$E,Heron!$A82)</f>
        <v/>
      </c>
      <c r="H82" s="101">
        <f>SUMIFS(Xero!$F:$F,Xero!$B:$B,Heron!H$9,Xero!$A:$A,Heron!$A$4,Xero!$E:$E,Heron!$A82)+SUMIFS(Xero!$F:$F,Xero!$B:$B,Heron!H$9,Xero!$A:$A,Heron!$A$5,Xero!$E:$E,Heron!$A82)</f>
        <v/>
      </c>
      <c r="I82" s="101">
        <f>SUMIFS(Xero!$F:$F,Xero!$B:$B,Heron!I$9,Xero!$A:$A,Heron!$A$4,Xero!$E:$E,Heron!$A82)+SUMIFS(Xero!$F:$F,Xero!$B:$B,Heron!I$9,Xero!$A:$A,Heron!$A$5,Xero!$E:$E,Heron!$A82)</f>
        <v/>
      </c>
      <c r="J82" s="101">
        <f>SUMIFS(Xero!$F:$F,Xero!$B:$B,Heron!J$9,Xero!$A:$A,Heron!$A$4,Xero!$E:$E,Heron!$A82)+SUMIFS(Xero!$F:$F,Xero!$B:$B,Heron!J$9,Xero!$A:$A,Heron!$A$5,Xero!$E:$E,Heron!$A82)</f>
        <v/>
      </c>
      <c r="K82" s="101">
        <f>SUMIFS(Xero!$F:$F,Xero!$B:$B,Heron!K$9,Xero!$A:$A,Heron!$A$4,Xero!$E:$E,Heron!$A82)+SUMIFS(Xero!$F:$F,Xero!$B:$B,Heron!K$9,Xero!$A:$A,Heron!$A$5,Xero!$E:$E,Heron!$A82)</f>
        <v/>
      </c>
      <c r="L82" s="101">
        <f>SUMIFS(Xero!$F:$F,Xero!$B:$B,Heron!L$9,Xero!$A:$A,Heron!$A$4,Xero!$E:$E,Heron!$A82)+SUMIFS(Xero!$F:$F,Xero!$B:$B,Heron!L$9,Xero!$A:$A,Heron!$A$5,Xero!$E:$E,Heron!$A82)</f>
        <v/>
      </c>
      <c r="M82" s="101">
        <f>SUMIFS(Xero!$F:$F,Xero!$B:$B,Heron!M$9,Xero!$A:$A,Heron!$A$4,Xero!$E:$E,Heron!$A82)+SUMIFS(Xero!$F:$F,Xero!$B:$B,Heron!M$9,Xero!$A:$A,Heron!$A$5,Xero!$E:$E,Heron!$A82)</f>
        <v/>
      </c>
      <c r="N82" s="101">
        <f>SUMIFS(Xero!$F:$F,Xero!$B:$B,Heron!N$9,Xero!$A:$A,Heron!$A$4,Xero!$E:$E,Heron!$A82)+SUMIFS(Xero!$F:$F,Xero!$B:$B,Heron!N$9,Xero!$A:$A,Heron!$A$5,Xero!$E:$E,Heron!$A82)</f>
        <v/>
      </c>
      <c r="O82" s="101">
        <f>SUMIFS(Xero!$F:$F,Xero!$B:$B,Heron!O$9,Xero!$A:$A,Heron!$A$4,Xero!$E:$E,Heron!$A82)+SUMIFS(Xero!$F:$F,Xero!$B:$B,Heron!O$9,Xero!$A:$A,Heron!$A$5,Xero!$E:$E,Heron!$A82)</f>
        <v/>
      </c>
      <c r="P82" s="101">
        <f>SUMIFS(Xero!$F:$F,Xero!$B:$B,Heron!P$9,Xero!$A:$A,Heron!$A$4,Xero!$E:$E,Heron!$A82)+SUMIFS(Xero!$F:$F,Xero!$B:$B,Heron!P$9,Xero!$A:$A,Heron!$A$5,Xero!$E:$E,Heron!$A82)</f>
        <v/>
      </c>
      <c r="Q82" s="101">
        <f>SUMIFS(Xero!$F:$F,Xero!$B:$B,Heron!Q$9,Xero!$A:$A,Heron!$A$4,Xero!$E:$E,Heron!$A82)+SUMIFS(Xero!$F:$F,Xero!$B:$B,Heron!Q$9,Xero!$A:$A,Heron!$A$5,Xero!$E:$E,Heron!$A82)</f>
        <v/>
      </c>
      <c r="R82" s="101">
        <f>SUMIFS(Xero!$F:$F,Xero!$B:$B,Heron!R$9,Xero!$A:$A,Heron!$A$4,Xero!$E:$E,Heron!$A82)+SUMIFS(Xero!$F:$F,Xero!$B:$B,Heron!R$9,Xero!$A:$A,Heron!$A$5,Xero!$E:$E,Heron!$A82)</f>
        <v/>
      </c>
      <c r="S82" s="101">
        <f>SUMIFS(Xero!$F:$F,Xero!$B:$B,Heron!S$9,Xero!$A:$A,Heron!$A$4,Xero!$E:$E,Heron!$A82)+SUMIFS(Xero!$F:$F,Xero!$B:$B,Heron!S$9,Xero!$A:$A,Heron!$A$5,Xero!$E:$E,Heron!$A82)</f>
        <v/>
      </c>
      <c r="T82" s="101">
        <f>SUMIFS(Xero!$F:$F,Xero!$B:$B,Heron!T$9,Xero!$A:$A,Heron!$A$4,Xero!$E:$E,Heron!$A82)+SUMIFS(Xero!$F:$F,Xero!$B:$B,Heron!T$9,Xero!$A:$A,Heron!$A$5,Xero!$E:$E,Heron!$A82)</f>
        <v/>
      </c>
      <c r="U82" s="101">
        <f>SUMIFS(Xero!$F:$F,Xero!$B:$B,Heron!U$9,Xero!$A:$A,Heron!$A$4,Xero!$E:$E,Heron!$A82)+SUMIFS(Xero!$F:$F,Xero!$B:$B,Heron!U$9,Xero!$A:$A,Heron!$A$5,Xero!$E:$E,Heron!$A82)</f>
        <v/>
      </c>
      <c r="V82" s="101">
        <f>SUMIFS(Xero!$F:$F,Xero!$B:$B,Heron!V$9,Xero!$A:$A,Heron!$A$4,Xero!$E:$E,Heron!$A82)+SUMIFS(Xero!$F:$F,Xero!$B:$B,Heron!V$9,Xero!$A:$A,Heron!$A$5,Xero!$E:$E,Heron!$A82)</f>
        <v/>
      </c>
      <c r="W82" s="101">
        <f>SUMIFS(Xero!$F:$F,Xero!$B:$B,Heron!W$9,Xero!$A:$A,Heron!$A$4,Xero!$E:$E,Heron!$A82)+SUMIFS(Xero!$F:$F,Xero!$B:$B,Heron!W$9,Xero!$A:$A,Heron!$A$5,Xero!$E:$E,Heron!$A82)</f>
        <v/>
      </c>
      <c r="X82" s="101">
        <f>SUMIFS(Xero!$F:$F,Xero!$B:$B,Heron!X$9,Xero!$A:$A,Heron!$A$4,Xero!$E:$E,Heron!$A82)+SUMIFS(Xero!$F:$F,Xero!$B:$B,Heron!X$9,Xero!$A:$A,Heron!$A$5,Xero!$E:$E,Heron!$A82)</f>
        <v/>
      </c>
      <c r="Y82" s="101">
        <f>SUMIFS(Xero!$F:$F,Xero!$B:$B,Heron!Y$9,Xero!$A:$A,Heron!$A$4,Xero!$E:$E,Heron!$A82)+SUMIFS(Xero!$F:$F,Xero!$B:$B,Heron!Y$9,Xero!$A:$A,Heron!$A$5,Xero!$E:$E,Heron!$A82)</f>
        <v/>
      </c>
      <c r="Z82" s="101">
        <f>SUMIFS(Xero!$F:$F,Xero!$B:$B,Heron!Z$9,Xero!$A:$A,Heron!$A$4,Xero!$E:$E,Heron!$A82)+SUMIFS(Xero!$F:$F,Xero!$B:$B,Heron!Z$9,Xero!$A:$A,Heron!$A$5,Xero!$E:$E,Heron!$A82)</f>
        <v/>
      </c>
      <c r="AA82" s="101">
        <f>SUMIFS(Xero!$F:$F,Xero!$B:$B,Heron!AA$9,Xero!$A:$A,Heron!$A$4,Xero!$E:$E,Heron!$A82)+SUMIFS(Xero!$F:$F,Xero!$B:$B,Heron!AA$9,Xero!$A:$A,Heron!$A$5,Xero!$E:$E,Heron!$A82)</f>
        <v/>
      </c>
      <c r="AB82" s="101">
        <f>SUMIFS(Xero!$F:$F,Xero!$B:$B,Heron!AB$9,Xero!$A:$A,Heron!$A$4,Xero!$E:$E,Heron!$A82)+SUMIFS(Xero!$F:$F,Xero!$B:$B,Heron!AB$9,Xero!$A:$A,Heron!$A$5,Xero!$E:$E,Heron!$A82)</f>
        <v/>
      </c>
      <c r="AC82" s="101">
        <f>SUMIFS(Xero!$F:$F,Xero!$B:$B,Heron!AC$9,Xero!$A:$A,Heron!$A$4,Xero!$E:$E,Heron!$A82)+SUMIFS(Xero!$F:$F,Xero!$B:$B,Heron!AC$9,Xero!$A:$A,Heron!$A$5,Xero!$E:$E,Heron!$A82)</f>
        <v/>
      </c>
      <c r="AD82" s="101">
        <f>SUMIFS(Xero!$F:$F,Xero!$B:$B,Heron!AD$9,Xero!$A:$A,Heron!$A$4,Xero!$E:$E,Heron!$A82)+SUMIFS(Xero!$F:$F,Xero!$B:$B,Heron!AD$9,Xero!$A:$A,Heron!$A$5,Xero!$E:$E,Heron!$A82)</f>
        <v/>
      </c>
      <c r="AE82" s="101">
        <f>SUMIFS(Xero!$F:$F,Xero!$B:$B,Heron!AE$9,Xero!$A:$A,Heron!$A$4,Xero!$E:$E,Heron!$A82)+SUMIFS(Xero!$F:$F,Xero!$B:$B,Heron!AE$9,Xero!$A:$A,Heron!$A$5,Xero!$E:$E,Heron!$A82)</f>
        <v/>
      </c>
      <c r="AF82" s="101">
        <f>SUMIFS(Xero!$F:$F,Xero!$B:$B,Heron!AF$9,Xero!$A:$A,Heron!$A$4,Xero!$E:$E,Heron!$A82)+SUMIFS(Xero!$F:$F,Xero!$B:$B,Heron!AF$9,Xero!$A:$A,Heron!$A$5,Xero!$E:$E,Heron!$A82)</f>
        <v/>
      </c>
      <c r="AG82" s="101">
        <f>SUMIFS(Xero!$F:$F,Xero!$B:$B,Heron!AG$9,Xero!$A:$A,Heron!$A$4,Xero!$E:$E,Heron!$A82)+SUMIFS(Xero!$F:$F,Xero!$B:$B,Heron!AG$9,Xero!$A:$A,Heron!$A$5,Xero!$E:$E,Heron!$A82)</f>
        <v/>
      </c>
      <c r="AH82" s="101">
        <f>SUMIFS(Xero!$F:$F,Xero!$B:$B,Heron!AH$9,Xero!$A:$A,Heron!$A$4,Xero!$E:$E,Heron!$A82)+SUMIFS(Xero!$F:$F,Xero!$B:$B,Heron!AH$9,Xero!$A:$A,Heron!$A$5,Xero!$E:$E,Heron!$A82)</f>
        <v/>
      </c>
      <c r="AI82" s="101">
        <f>SUMIFS(Xero!$F:$F,Xero!$B:$B,Heron!AI$9,Xero!$A:$A,Heron!$A$4,Xero!$E:$E,Heron!$A82)+SUMIFS(Xero!$F:$F,Xero!$B:$B,Heron!AI$9,Xero!$A:$A,Heron!$A$5,Xero!$E:$E,Heron!$A82)</f>
        <v/>
      </c>
      <c r="AJ82" s="101">
        <f>SUMIFS(Xero!$F:$F,Xero!$B:$B,Heron!AJ$9,Xero!$A:$A,Heron!$A$4,Xero!$E:$E,Heron!$A82)+SUMIFS(Xero!$F:$F,Xero!$B:$B,Heron!AJ$9,Xero!$A:$A,Heron!$A$5,Xero!$E:$E,Heron!$A82)</f>
        <v/>
      </c>
      <c r="AK82" s="101">
        <f>SUMIFS(Xero!$F:$F,Xero!$B:$B,Heron!AK$9,Xero!$A:$A,Heron!$A$4,Xero!$E:$E,Heron!$A82)+SUMIFS(Xero!$F:$F,Xero!$B:$B,Heron!AK$9,Xero!$A:$A,Heron!$A$5,Xero!$E:$E,Heron!$A82)</f>
        <v/>
      </c>
      <c r="AL82" s="101">
        <f>SUMIFS(Xero!$F:$F,Xero!$B:$B,Heron!AL$9,Xero!$A:$A,Heron!$A$4,Xero!$E:$E,Heron!$A82)+SUMIFS(Xero!$F:$F,Xero!$B:$B,Heron!AL$9,Xero!$A:$A,Heron!$A$5,Xero!$E:$E,Heron!$A82)</f>
        <v/>
      </c>
      <c r="AM82" s="101">
        <f>SUMIFS(Xero!$F:$F,Xero!$B:$B,Heron!AM$9,Xero!$A:$A,Heron!$A$4,Xero!$E:$E,Heron!$A82)+SUMIFS(Xero!$F:$F,Xero!$B:$B,Heron!AM$9,Xero!$A:$A,Heron!$A$5,Xero!$E:$E,Heron!$A82)</f>
        <v/>
      </c>
      <c r="AN82" s="101">
        <f>SUMIFS(Xero!$F:$F,Xero!$B:$B,Heron!AN$9,Xero!$A:$A,Heron!$A$4,Xero!$E:$E,Heron!$A82)+SUMIFS(Xero!$F:$F,Xero!$B:$B,Heron!AN$9,Xero!$A:$A,Heron!$A$5,Xero!$E:$E,Heron!$A82)</f>
        <v/>
      </c>
      <c r="AO82" s="101">
        <f>SUMIFS(Xero!$F:$F,Xero!$B:$B,Heron!AO$9,Xero!$A:$A,Heron!$A$4,Xero!$E:$E,Heron!$A82)+SUMIFS(Xero!$F:$F,Xero!$B:$B,Heron!AO$9,Xero!$A:$A,Heron!$A$5,Xero!$E:$E,Heron!$A82)</f>
        <v/>
      </c>
      <c r="AP82" s="101">
        <f>SUMIFS(Xero!$F:$F,Xero!$B:$B,Heron!AP$9,Xero!$A:$A,Heron!$A$4,Xero!$E:$E,Heron!$A82)+SUMIFS(Xero!$F:$F,Xero!$B:$B,Heron!AP$9,Xero!$A:$A,Heron!$A$5,Xero!$E:$E,Heron!$A82)</f>
        <v/>
      </c>
      <c r="AQ82" s="101">
        <f>SUMIFS(Xero!$F:$F,Xero!$B:$B,Heron!AQ$9,Xero!$A:$A,Heron!$A$4,Xero!$E:$E,Heron!$A82)+SUMIFS(Xero!$F:$F,Xero!$B:$B,Heron!AQ$9,Xero!$A:$A,Heron!$A$5,Xero!$E:$E,Heron!$A82)</f>
        <v/>
      </c>
      <c r="AR82" s="101">
        <f>SUMIFS(Xero!$F:$F,Xero!$B:$B,Heron!AR$9,Xero!$A:$A,Heron!$A$4,Xero!$E:$E,Heron!$A82)+SUMIFS(Xero!$F:$F,Xero!$B:$B,Heron!AR$9,Xero!$A:$A,Heron!$A$5,Xero!$E:$E,Heron!$A82)</f>
        <v/>
      </c>
      <c r="AS82" s="101">
        <f>SUMIFS(Xero!$F:$F,Xero!$B:$B,Heron!AS$9,Xero!$A:$A,Heron!$A$4,Xero!$E:$E,Heron!$A82)+SUMIFS(Xero!$F:$F,Xero!$B:$B,Heron!AS$9,Xero!$A:$A,Heron!$A$5,Xero!$E:$E,Heron!$A82)</f>
        <v/>
      </c>
      <c r="AT82" s="101">
        <f>SUMIFS(Xero!$F:$F,Xero!$B:$B,Heron!AT$9,Xero!$A:$A,Heron!$A$4,Xero!$E:$E,Heron!$A82)+SUMIFS(Xero!$F:$F,Xero!$B:$B,Heron!AT$9,Xero!$A:$A,Heron!$A$5,Xero!$E:$E,Heron!$A82)</f>
        <v/>
      </c>
      <c r="AU82" s="101">
        <f>SUMIFS(Xero!$F:$F,Xero!$B:$B,Heron!AU$9,Xero!$A:$A,Heron!$A$4,Xero!$E:$E,Heron!$A82)+SUMIFS(Xero!$F:$F,Xero!$B:$B,Heron!AU$9,Xero!$A:$A,Heron!$A$5,Xero!$E:$E,Heron!$A82)</f>
        <v/>
      </c>
      <c r="AV82" s="101">
        <f>SUMIFS(Xero!$F:$F,Xero!$B:$B,Heron!AV$9,Xero!$A:$A,Heron!$A$4,Xero!$E:$E,Heron!$A82)+SUMIFS(Xero!$F:$F,Xero!$B:$B,Heron!AV$9,Xero!$A:$A,Heron!$A$5,Xero!$E:$E,Heron!$A82)</f>
        <v/>
      </c>
      <c r="AW82" s="101">
        <f>SUMIFS(Xero!$F:$F,Xero!$B:$B,Heron!AW$9,Xero!$A:$A,Heron!$A$4,Xero!$E:$E,Heron!$A82)+SUMIFS(Xero!$F:$F,Xero!$B:$B,Heron!AW$9,Xero!$A:$A,Heron!$A$5,Xero!$E:$E,Heron!$A82)</f>
        <v/>
      </c>
      <c r="AX82" s="101">
        <f>SUMIFS(Xero!$F:$F,Xero!$B:$B,Heron!AX$9,Xero!$A:$A,Heron!$A$4,Xero!$E:$E,Heron!$A82)+SUMIFS(Xero!$F:$F,Xero!$B:$B,Heron!AX$9,Xero!$A:$A,Heron!$A$5,Xero!$E:$E,Heron!$A82)</f>
        <v/>
      </c>
      <c r="AY82" s="101">
        <f>SUMIFS(Xero!$F:$F,Xero!$B:$B,Heron!AY$9,Xero!$A:$A,Heron!$A$4,Xero!$E:$E,Heron!$A82)+SUMIFS(Xero!$F:$F,Xero!$B:$B,Heron!AY$9,Xero!$A:$A,Heron!$A$5,Xero!$E:$E,Heron!$A82)</f>
        <v/>
      </c>
      <c r="AZ82" s="101">
        <f>SUMIFS(Xero!$F:$F,Xero!$B:$B,Heron!AZ$9,Xero!$A:$A,Heron!$A$4,Xero!$E:$E,Heron!$A82)+SUMIFS(Xero!$F:$F,Xero!$B:$B,Heron!AZ$9,Xero!$A:$A,Heron!$A$5,Xero!$E:$E,Heron!$A82)</f>
        <v/>
      </c>
      <c r="BA82" s="101">
        <f>SUMIFS(Xero!$F:$F,Xero!$B:$B,Heron!BA$9,Xero!$A:$A,Heron!$A$4,Xero!$E:$E,Heron!$A82)+SUMIFS(Xero!$F:$F,Xero!$B:$B,Heron!BA$9,Xero!$A:$A,Heron!$A$5,Xero!$E:$E,Heron!$A82)</f>
        <v/>
      </c>
      <c r="BB82" s="101">
        <f>SUMIFS(Xero!$F:$F,Xero!$B:$B,Heron!BB$9,Xero!$A:$A,Heron!$A$4,Xero!$E:$E,Heron!$A82)+SUMIFS(Xero!$F:$F,Xero!$B:$B,Heron!BB$9,Xero!$A:$A,Heron!$A$5,Xero!$E:$E,Heron!$A82)</f>
        <v/>
      </c>
      <c r="BC82" s="101">
        <f>SUMIFS(Xero!$F:$F,Xero!$B:$B,Heron!BC$9,Xero!$A:$A,Heron!$A$4,Xero!$E:$E,Heron!$A82)+SUMIFS(Xero!$F:$F,Xero!$B:$B,Heron!BC$9,Xero!$A:$A,Heron!$A$5,Xero!$E:$E,Heron!$A82)</f>
        <v/>
      </c>
      <c r="BD82" s="101">
        <f>SUMIFS(Xero!$F:$F,Xero!$B:$B,Heron!BD$9,Xero!$A:$A,Heron!$A$4,Xero!$E:$E,Heron!$A82)+SUMIFS(Xero!$F:$F,Xero!$B:$B,Heron!BD$9,Xero!$A:$A,Heron!$A$5,Xero!$E:$E,Heron!$A82)</f>
        <v/>
      </c>
      <c r="BE82" s="101">
        <f>SUMIFS(Xero!$F:$F,Xero!$B:$B,Heron!BE$9,Xero!$A:$A,Heron!$A$4,Xero!$E:$E,Heron!$A82)+SUMIFS(Xero!$F:$F,Xero!$B:$B,Heron!BE$9,Xero!$A:$A,Heron!$A$5,Xero!$E:$E,Heron!$A82)</f>
        <v/>
      </c>
      <c r="BF82" s="101">
        <f>SUMIFS(Xero!$F:$F,Xero!$B:$B,Heron!BF$9,Xero!$A:$A,Heron!$A$4,Xero!$E:$E,Heron!$A82)+SUMIFS(Xero!$F:$F,Xero!$B:$B,Heron!BF$9,Xero!$A:$A,Heron!$A$5,Xero!$E:$E,Heron!$A82)</f>
        <v/>
      </c>
      <c r="BG82" s="101">
        <f>SUMIFS(Xero!$F:$F,Xero!$B:$B,Heron!BG$9,Xero!$A:$A,Heron!$A$4,Xero!$E:$E,Heron!$A82)+SUMIFS(Xero!$F:$F,Xero!$B:$B,Heron!BG$9,Xero!$A:$A,Heron!$A$5,Xero!$E:$E,Heron!$A82)</f>
        <v/>
      </c>
      <c r="BH82" s="101">
        <f>SUMIFS(Xero!$F:$F,Xero!$B:$B,Heron!BH$9,Xero!$A:$A,Heron!$A$4,Xero!$E:$E,Heron!$A82)+SUMIFS(Xero!$F:$F,Xero!$B:$B,Heron!BH$9,Xero!$A:$A,Heron!$A$5,Xero!$E:$E,Heron!$A82)</f>
        <v/>
      </c>
      <c r="BI82" s="101">
        <f>SUMIFS(Xero!$F:$F,Xero!$B:$B,Heron!BI$9,Xero!$A:$A,Heron!$A$4,Xero!$E:$E,Heron!$A82)+SUMIFS(Xero!$F:$F,Xero!$B:$B,Heron!BI$9,Xero!$A:$A,Heron!$A$5,Xero!$E:$E,Heron!$A82)</f>
        <v/>
      </c>
      <c r="BJ82" s="101">
        <f>SUMIFS(Xero!$F:$F,Xero!$B:$B,Heron!BJ$9,Xero!$A:$A,Heron!$A$4,Xero!$E:$E,Heron!$A82)+SUMIFS(Xero!$F:$F,Xero!$B:$B,Heron!BJ$9,Xero!$A:$A,Heron!$A$5,Xero!$E:$E,Heron!$A82)</f>
        <v/>
      </c>
      <c r="BK82" s="101">
        <f>sum(D82:BJ82)</f>
        <v/>
      </c>
    </row>
    <row r="83">
      <c r="A83" s="100" t="inlineStr">
        <is>
          <t>Interest Paid - Investors @ 7%</t>
        </is>
      </c>
      <c r="D83" s="101">
        <f>SUMIFS(Xero!$F:$F,Xero!$B:$B,Heron!D$9,Xero!$A:$A,Heron!$A$4,Xero!$E:$E,Heron!$A83)+SUMIFS(Xero!$F:$F,Xero!$B:$B,Heron!D$9,Xero!$A:$A,Heron!$A$5,Xero!$E:$E,Heron!$A83)</f>
        <v/>
      </c>
      <c r="E83" s="101">
        <f>SUMIFS(Xero!$F:$F,Xero!$B:$B,Heron!E$9,Xero!$A:$A,Heron!$A$4,Xero!$E:$E,Heron!$A83)+SUMIFS(Xero!$F:$F,Xero!$B:$B,Heron!E$9,Xero!$A:$A,Heron!$A$5,Xero!$E:$E,Heron!$A83)</f>
        <v/>
      </c>
      <c r="F83" s="101">
        <f>SUMIFS(Xero!$F:$F,Xero!$B:$B,Heron!F$9,Xero!$A:$A,Heron!$A$4,Xero!$E:$E,Heron!$A83)+SUMIFS(Xero!$F:$F,Xero!$B:$B,Heron!F$9,Xero!$A:$A,Heron!$A$5,Xero!$E:$E,Heron!$A83)</f>
        <v/>
      </c>
      <c r="G83" s="101">
        <f>SUMIFS(Xero!$F:$F,Xero!$B:$B,Heron!G$9,Xero!$A:$A,Heron!$A$4,Xero!$E:$E,Heron!$A83)+SUMIFS(Xero!$F:$F,Xero!$B:$B,Heron!G$9,Xero!$A:$A,Heron!$A$5,Xero!$E:$E,Heron!$A83)</f>
        <v/>
      </c>
      <c r="H83" s="101">
        <f>SUMIFS(Xero!$F:$F,Xero!$B:$B,Heron!H$9,Xero!$A:$A,Heron!$A$4,Xero!$E:$E,Heron!$A83)+SUMIFS(Xero!$F:$F,Xero!$B:$B,Heron!H$9,Xero!$A:$A,Heron!$A$5,Xero!$E:$E,Heron!$A83)</f>
        <v/>
      </c>
      <c r="I83" s="101">
        <f>SUMIFS(Xero!$F:$F,Xero!$B:$B,Heron!I$9,Xero!$A:$A,Heron!$A$4,Xero!$E:$E,Heron!$A83)+SUMIFS(Xero!$F:$F,Xero!$B:$B,Heron!I$9,Xero!$A:$A,Heron!$A$5,Xero!$E:$E,Heron!$A83)</f>
        <v/>
      </c>
      <c r="J83" s="101">
        <f>SUMIFS(Xero!$F:$F,Xero!$B:$B,Heron!J$9,Xero!$A:$A,Heron!$A$4,Xero!$E:$E,Heron!$A83)+SUMIFS(Xero!$F:$F,Xero!$B:$B,Heron!J$9,Xero!$A:$A,Heron!$A$5,Xero!$E:$E,Heron!$A83)</f>
        <v/>
      </c>
      <c r="K83" s="101">
        <f>SUMIFS(Xero!$F:$F,Xero!$B:$B,Heron!K$9,Xero!$A:$A,Heron!$A$4,Xero!$E:$E,Heron!$A83)+SUMIFS(Xero!$F:$F,Xero!$B:$B,Heron!K$9,Xero!$A:$A,Heron!$A$5,Xero!$E:$E,Heron!$A83)</f>
        <v/>
      </c>
      <c r="L83" s="101">
        <f>SUMIFS(Xero!$F:$F,Xero!$B:$B,Heron!L$9,Xero!$A:$A,Heron!$A$4,Xero!$E:$E,Heron!$A83)+SUMIFS(Xero!$F:$F,Xero!$B:$B,Heron!L$9,Xero!$A:$A,Heron!$A$5,Xero!$E:$E,Heron!$A83)</f>
        <v/>
      </c>
      <c r="M83" s="101">
        <f>SUMIFS(Xero!$F:$F,Xero!$B:$B,Heron!M$9,Xero!$A:$A,Heron!$A$4,Xero!$E:$E,Heron!$A83)+SUMIFS(Xero!$F:$F,Xero!$B:$B,Heron!M$9,Xero!$A:$A,Heron!$A$5,Xero!$E:$E,Heron!$A83)</f>
        <v/>
      </c>
      <c r="N83" s="101">
        <f>SUMIFS(Xero!$F:$F,Xero!$B:$B,Heron!N$9,Xero!$A:$A,Heron!$A$4,Xero!$E:$E,Heron!$A83)+SUMIFS(Xero!$F:$F,Xero!$B:$B,Heron!N$9,Xero!$A:$A,Heron!$A$5,Xero!$E:$E,Heron!$A83)</f>
        <v/>
      </c>
      <c r="O83" s="101">
        <f>SUMIFS(Xero!$F:$F,Xero!$B:$B,Heron!O$9,Xero!$A:$A,Heron!$A$4,Xero!$E:$E,Heron!$A83)+SUMIFS(Xero!$F:$F,Xero!$B:$B,Heron!O$9,Xero!$A:$A,Heron!$A$5,Xero!$E:$E,Heron!$A83)</f>
        <v/>
      </c>
      <c r="P83" s="101">
        <f>SUMIFS(Xero!$F:$F,Xero!$B:$B,Heron!P$9,Xero!$A:$A,Heron!$A$4,Xero!$E:$E,Heron!$A83)+SUMIFS(Xero!$F:$F,Xero!$B:$B,Heron!P$9,Xero!$A:$A,Heron!$A$5,Xero!$E:$E,Heron!$A83)</f>
        <v/>
      </c>
      <c r="Q83" s="101">
        <f>SUMIFS(Xero!$F:$F,Xero!$B:$B,Heron!Q$9,Xero!$A:$A,Heron!$A$4,Xero!$E:$E,Heron!$A83)+SUMIFS(Xero!$F:$F,Xero!$B:$B,Heron!Q$9,Xero!$A:$A,Heron!$A$5,Xero!$E:$E,Heron!$A83)</f>
        <v/>
      </c>
      <c r="R83" s="101">
        <f>SUMIFS(Xero!$F:$F,Xero!$B:$B,Heron!R$9,Xero!$A:$A,Heron!$A$4,Xero!$E:$E,Heron!$A83)+SUMIFS(Xero!$F:$F,Xero!$B:$B,Heron!R$9,Xero!$A:$A,Heron!$A$5,Xero!$E:$E,Heron!$A83)</f>
        <v/>
      </c>
      <c r="S83" s="101">
        <f>SUMIFS(Xero!$F:$F,Xero!$B:$B,Heron!S$9,Xero!$A:$A,Heron!$A$4,Xero!$E:$E,Heron!$A83)+SUMIFS(Xero!$F:$F,Xero!$B:$B,Heron!S$9,Xero!$A:$A,Heron!$A$5,Xero!$E:$E,Heron!$A83)</f>
        <v/>
      </c>
      <c r="T83" s="101">
        <f>SUMIFS(Xero!$F:$F,Xero!$B:$B,Heron!T$9,Xero!$A:$A,Heron!$A$4,Xero!$E:$E,Heron!$A83)+SUMIFS(Xero!$F:$F,Xero!$B:$B,Heron!T$9,Xero!$A:$A,Heron!$A$5,Xero!$E:$E,Heron!$A83)</f>
        <v/>
      </c>
      <c r="U83" s="101">
        <f>SUMIFS(Xero!$F:$F,Xero!$B:$B,Heron!U$9,Xero!$A:$A,Heron!$A$4,Xero!$E:$E,Heron!$A83)+SUMIFS(Xero!$F:$F,Xero!$B:$B,Heron!U$9,Xero!$A:$A,Heron!$A$5,Xero!$E:$E,Heron!$A83)</f>
        <v/>
      </c>
      <c r="V83" s="101">
        <f>SUMIFS(Xero!$F:$F,Xero!$B:$B,Heron!V$9,Xero!$A:$A,Heron!$A$4,Xero!$E:$E,Heron!$A83)+SUMIFS(Xero!$F:$F,Xero!$B:$B,Heron!V$9,Xero!$A:$A,Heron!$A$5,Xero!$E:$E,Heron!$A83)</f>
        <v/>
      </c>
      <c r="W83" s="101">
        <f>SUMIFS(Xero!$F:$F,Xero!$B:$B,Heron!W$9,Xero!$A:$A,Heron!$A$4,Xero!$E:$E,Heron!$A83)+SUMIFS(Xero!$F:$F,Xero!$B:$B,Heron!W$9,Xero!$A:$A,Heron!$A$5,Xero!$E:$E,Heron!$A83)</f>
        <v/>
      </c>
      <c r="X83" s="101">
        <f>SUMIFS(Xero!$F:$F,Xero!$B:$B,Heron!X$9,Xero!$A:$A,Heron!$A$4,Xero!$E:$E,Heron!$A83)+SUMIFS(Xero!$F:$F,Xero!$B:$B,Heron!X$9,Xero!$A:$A,Heron!$A$5,Xero!$E:$E,Heron!$A83)</f>
        <v/>
      </c>
      <c r="Y83" s="101">
        <f>SUMIFS(Xero!$F:$F,Xero!$B:$B,Heron!Y$9,Xero!$A:$A,Heron!$A$4,Xero!$E:$E,Heron!$A83)+SUMIFS(Xero!$F:$F,Xero!$B:$B,Heron!Y$9,Xero!$A:$A,Heron!$A$5,Xero!$E:$E,Heron!$A83)</f>
        <v/>
      </c>
      <c r="Z83" s="101">
        <f>SUMIFS(Xero!$F:$F,Xero!$B:$B,Heron!Z$9,Xero!$A:$A,Heron!$A$4,Xero!$E:$E,Heron!$A83)+SUMIFS(Xero!$F:$F,Xero!$B:$B,Heron!Z$9,Xero!$A:$A,Heron!$A$5,Xero!$E:$E,Heron!$A83)</f>
        <v/>
      </c>
      <c r="AA83" s="101">
        <f>SUMIFS(Xero!$F:$F,Xero!$B:$B,Heron!AA$9,Xero!$A:$A,Heron!$A$4,Xero!$E:$E,Heron!$A83)+SUMIFS(Xero!$F:$F,Xero!$B:$B,Heron!AA$9,Xero!$A:$A,Heron!$A$5,Xero!$E:$E,Heron!$A83)</f>
        <v/>
      </c>
      <c r="AB83" s="101">
        <f>SUMIFS(Xero!$F:$F,Xero!$B:$B,Heron!AB$9,Xero!$A:$A,Heron!$A$4,Xero!$E:$E,Heron!$A83)+SUMIFS(Xero!$F:$F,Xero!$B:$B,Heron!AB$9,Xero!$A:$A,Heron!$A$5,Xero!$E:$E,Heron!$A83)</f>
        <v/>
      </c>
      <c r="AC83" s="101">
        <f>SUMIFS(Xero!$F:$F,Xero!$B:$B,Heron!AC$9,Xero!$A:$A,Heron!$A$4,Xero!$E:$E,Heron!$A83)+SUMIFS(Xero!$F:$F,Xero!$B:$B,Heron!AC$9,Xero!$A:$A,Heron!$A$5,Xero!$E:$E,Heron!$A83)</f>
        <v/>
      </c>
      <c r="AD83" s="101">
        <f>SUMIFS(Xero!$F:$F,Xero!$B:$B,Heron!AD$9,Xero!$A:$A,Heron!$A$4,Xero!$E:$E,Heron!$A83)+SUMIFS(Xero!$F:$F,Xero!$B:$B,Heron!AD$9,Xero!$A:$A,Heron!$A$5,Xero!$E:$E,Heron!$A83)</f>
        <v/>
      </c>
      <c r="AE83" s="101">
        <f>SUMIFS(Xero!$F:$F,Xero!$B:$B,Heron!AE$9,Xero!$A:$A,Heron!$A$4,Xero!$E:$E,Heron!$A83)+SUMIFS(Xero!$F:$F,Xero!$B:$B,Heron!AE$9,Xero!$A:$A,Heron!$A$5,Xero!$E:$E,Heron!$A83)</f>
        <v/>
      </c>
      <c r="AF83" s="101">
        <f>SUMIFS(Xero!$F:$F,Xero!$B:$B,Heron!AF$9,Xero!$A:$A,Heron!$A$4,Xero!$E:$E,Heron!$A83)+SUMIFS(Xero!$F:$F,Xero!$B:$B,Heron!AF$9,Xero!$A:$A,Heron!$A$5,Xero!$E:$E,Heron!$A83)</f>
        <v/>
      </c>
      <c r="AG83" s="101">
        <f>SUMIFS(Xero!$F:$F,Xero!$B:$B,Heron!AG$9,Xero!$A:$A,Heron!$A$4,Xero!$E:$E,Heron!$A83)+SUMIFS(Xero!$F:$F,Xero!$B:$B,Heron!AG$9,Xero!$A:$A,Heron!$A$5,Xero!$E:$E,Heron!$A83)</f>
        <v/>
      </c>
      <c r="AH83" s="101">
        <f>SUMIFS(Xero!$F:$F,Xero!$B:$B,Heron!AH$9,Xero!$A:$A,Heron!$A$4,Xero!$E:$E,Heron!$A83)+SUMIFS(Xero!$F:$F,Xero!$B:$B,Heron!AH$9,Xero!$A:$A,Heron!$A$5,Xero!$E:$E,Heron!$A83)</f>
        <v/>
      </c>
      <c r="AI83" s="101">
        <f>SUMIFS(Xero!$F:$F,Xero!$B:$B,Heron!AI$9,Xero!$A:$A,Heron!$A$4,Xero!$E:$E,Heron!$A83)+SUMIFS(Xero!$F:$F,Xero!$B:$B,Heron!AI$9,Xero!$A:$A,Heron!$A$5,Xero!$E:$E,Heron!$A83)</f>
        <v/>
      </c>
      <c r="AJ83" s="101">
        <f>SUMIFS(Xero!$F:$F,Xero!$B:$B,Heron!AJ$9,Xero!$A:$A,Heron!$A$4,Xero!$E:$E,Heron!$A83)+SUMIFS(Xero!$F:$F,Xero!$B:$B,Heron!AJ$9,Xero!$A:$A,Heron!$A$5,Xero!$E:$E,Heron!$A83)</f>
        <v/>
      </c>
      <c r="AK83" s="101">
        <f>SUMIFS(Xero!$F:$F,Xero!$B:$B,Heron!AK$9,Xero!$A:$A,Heron!$A$4,Xero!$E:$E,Heron!$A83)+SUMIFS(Xero!$F:$F,Xero!$B:$B,Heron!AK$9,Xero!$A:$A,Heron!$A$5,Xero!$E:$E,Heron!$A83)</f>
        <v/>
      </c>
      <c r="AL83" s="101">
        <f>SUMIFS(Xero!$F:$F,Xero!$B:$B,Heron!AL$9,Xero!$A:$A,Heron!$A$4,Xero!$E:$E,Heron!$A83)+SUMIFS(Xero!$F:$F,Xero!$B:$B,Heron!AL$9,Xero!$A:$A,Heron!$A$5,Xero!$E:$E,Heron!$A83)</f>
        <v/>
      </c>
      <c r="AM83" s="101">
        <f>SUMIFS(Xero!$F:$F,Xero!$B:$B,Heron!AM$9,Xero!$A:$A,Heron!$A$4,Xero!$E:$E,Heron!$A83)+SUMIFS(Xero!$F:$F,Xero!$B:$B,Heron!AM$9,Xero!$A:$A,Heron!$A$5,Xero!$E:$E,Heron!$A83)</f>
        <v/>
      </c>
      <c r="AN83" s="101">
        <f>SUMIFS(Xero!$F:$F,Xero!$B:$B,Heron!AN$9,Xero!$A:$A,Heron!$A$4,Xero!$E:$E,Heron!$A83)+SUMIFS(Xero!$F:$F,Xero!$B:$B,Heron!AN$9,Xero!$A:$A,Heron!$A$5,Xero!$E:$E,Heron!$A83)</f>
        <v/>
      </c>
      <c r="AO83" s="101">
        <f>SUMIFS(Xero!$F:$F,Xero!$B:$B,Heron!AO$9,Xero!$A:$A,Heron!$A$4,Xero!$E:$E,Heron!$A83)+SUMIFS(Xero!$F:$F,Xero!$B:$B,Heron!AO$9,Xero!$A:$A,Heron!$A$5,Xero!$E:$E,Heron!$A83)</f>
        <v/>
      </c>
      <c r="AP83" s="101">
        <f>SUMIFS(Xero!$F:$F,Xero!$B:$B,Heron!AP$9,Xero!$A:$A,Heron!$A$4,Xero!$E:$E,Heron!$A83)+SUMIFS(Xero!$F:$F,Xero!$B:$B,Heron!AP$9,Xero!$A:$A,Heron!$A$5,Xero!$E:$E,Heron!$A83)</f>
        <v/>
      </c>
      <c r="AQ83" s="101">
        <f>SUMIFS(Xero!$F:$F,Xero!$B:$B,Heron!AQ$9,Xero!$A:$A,Heron!$A$4,Xero!$E:$E,Heron!$A83)+SUMIFS(Xero!$F:$F,Xero!$B:$B,Heron!AQ$9,Xero!$A:$A,Heron!$A$5,Xero!$E:$E,Heron!$A83)</f>
        <v/>
      </c>
      <c r="AR83" s="101">
        <f>SUMIFS(Xero!$F:$F,Xero!$B:$B,Heron!AR$9,Xero!$A:$A,Heron!$A$4,Xero!$E:$E,Heron!$A83)+SUMIFS(Xero!$F:$F,Xero!$B:$B,Heron!AR$9,Xero!$A:$A,Heron!$A$5,Xero!$E:$E,Heron!$A83)</f>
        <v/>
      </c>
      <c r="AS83" s="101">
        <f>SUMIFS(Xero!$F:$F,Xero!$B:$B,Heron!AS$9,Xero!$A:$A,Heron!$A$4,Xero!$E:$E,Heron!$A83)+SUMIFS(Xero!$F:$F,Xero!$B:$B,Heron!AS$9,Xero!$A:$A,Heron!$A$5,Xero!$E:$E,Heron!$A83)</f>
        <v/>
      </c>
      <c r="AT83" s="101">
        <f>SUMIFS(Xero!$F:$F,Xero!$B:$B,Heron!AT$9,Xero!$A:$A,Heron!$A$4,Xero!$E:$E,Heron!$A83)+SUMIFS(Xero!$F:$F,Xero!$B:$B,Heron!AT$9,Xero!$A:$A,Heron!$A$5,Xero!$E:$E,Heron!$A83)</f>
        <v/>
      </c>
      <c r="AU83" s="101">
        <f>SUMIFS(Xero!$F:$F,Xero!$B:$B,Heron!AU$9,Xero!$A:$A,Heron!$A$4,Xero!$E:$E,Heron!$A83)+SUMIFS(Xero!$F:$F,Xero!$B:$B,Heron!AU$9,Xero!$A:$A,Heron!$A$5,Xero!$E:$E,Heron!$A83)</f>
        <v/>
      </c>
      <c r="AV83" s="101">
        <f>SUMIFS(Xero!$F:$F,Xero!$B:$B,Heron!AV$9,Xero!$A:$A,Heron!$A$4,Xero!$E:$E,Heron!$A83)+SUMIFS(Xero!$F:$F,Xero!$B:$B,Heron!AV$9,Xero!$A:$A,Heron!$A$5,Xero!$E:$E,Heron!$A83)</f>
        <v/>
      </c>
      <c r="AW83" s="101">
        <f>SUMIFS(Xero!$F:$F,Xero!$B:$B,Heron!AW$9,Xero!$A:$A,Heron!$A$4,Xero!$E:$E,Heron!$A83)+SUMIFS(Xero!$F:$F,Xero!$B:$B,Heron!AW$9,Xero!$A:$A,Heron!$A$5,Xero!$E:$E,Heron!$A83)</f>
        <v/>
      </c>
      <c r="AX83" s="101">
        <f>SUMIFS(Xero!$F:$F,Xero!$B:$B,Heron!AX$9,Xero!$A:$A,Heron!$A$4,Xero!$E:$E,Heron!$A83)+SUMIFS(Xero!$F:$F,Xero!$B:$B,Heron!AX$9,Xero!$A:$A,Heron!$A$5,Xero!$E:$E,Heron!$A83)</f>
        <v/>
      </c>
      <c r="AY83" s="101">
        <f>SUMIFS(Xero!$F:$F,Xero!$B:$B,Heron!AY$9,Xero!$A:$A,Heron!$A$4,Xero!$E:$E,Heron!$A83)+SUMIFS(Xero!$F:$F,Xero!$B:$B,Heron!AY$9,Xero!$A:$A,Heron!$A$5,Xero!$E:$E,Heron!$A83)</f>
        <v/>
      </c>
      <c r="AZ83" s="101">
        <f>SUMIFS(Xero!$F:$F,Xero!$B:$B,Heron!AZ$9,Xero!$A:$A,Heron!$A$4,Xero!$E:$E,Heron!$A83)+SUMIFS(Xero!$F:$F,Xero!$B:$B,Heron!AZ$9,Xero!$A:$A,Heron!$A$5,Xero!$E:$E,Heron!$A83)</f>
        <v/>
      </c>
      <c r="BA83" s="101">
        <f>SUMIFS(Xero!$F:$F,Xero!$B:$B,Heron!BA$9,Xero!$A:$A,Heron!$A$4,Xero!$E:$E,Heron!$A83)+SUMIFS(Xero!$F:$F,Xero!$B:$B,Heron!BA$9,Xero!$A:$A,Heron!$A$5,Xero!$E:$E,Heron!$A83)</f>
        <v/>
      </c>
      <c r="BB83" s="101">
        <f>SUMIFS(Xero!$F:$F,Xero!$B:$B,Heron!BB$9,Xero!$A:$A,Heron!$A$4,Xero!$E:$E,Heron!$A83)+SUMIFS(Xero!$F:$F,Xero!$B:$B,Heron!BB$9,Xero!$A:$A,Heron!$A$5,Xero!$E:$E,Heron!$A83)</f>
        <v/>
      </c>
      <c r="BC83" s="101">
        <f>SUMIFS(Xero!$F:$F,Xero!$B:$B,Heron!BC$9,Xero!$A:$A,Heron!$A$4,Xero!$E:$E,Heron!$A83)+SUMIFS(Xero!$F:$F,Xero!$B:$B,Heron!BC$9,Xero!$A:$A,Heron!$A$5,Xero!$E:$E,Heron!$A83)</f>
        <v/>
      </c>
      <c r="BD83" s="101">
        <f>SUMIFS(Xero!$F:$F,Xero!$B:$B,Heron!BD$9,Xero!$A:$A,Heron!$A$4,Xero!$E:$E,Heron!$A83)+SUMIFS(Xero!$F:$F,Xero!$B:$B,Heron!BD$9,Xero!$A:$A,Heron!$A$5,Xero!$E:$E,Heron!$A83)</f>
        <v/>
      </c>
      <c r="BE83" s="101">
        <f>SUMIFS(Xero!$F:$F,Xero!$B:$B,Heron!BE$9,Xero!$A:$A,Heron!$A$4,Xero!$E:$E,Heron!$A83)+SUMIFS(Xero!$F:$F,Xero!$B:$B,Heron!BE$9,Xero!$A:$A,Heron!$A$5,Xero!$E:$E,Heron!$A83)</f>
        <v/>
      </c>
      <c r="BF83" s="101">
        <f>SUMIFS(Xero!$F:$F,Xero!$B:$B,Heron!BF$9,Xero!$A:$A,Heron!$A$4,Xero!$E:$E,Heron!$A83)+SUMIFS(Xero!$F:$F,Xero!$B:$B,Heron!BF$9,Xero!$A:$A,Heron!$A$5,Xero!$E:$E,Heron!$A83)</f>
        <v/>
      </c>
      <c r="BG83" s="101">
        <f>SUMIFS(Xero!$F:$F,Xero!$B:$B,Heron!BG$9,Xero!$A:$A,Heron!$A$4,Xero!$E:$E,Heron!$A83)+SUMIFS(Xero!$F:$F,Xero!$B:$B,Heron!BG$9,Xero!$A:$A,Heron!$A$5,Xero!$E:$E,Heron!$A83)</f>
        <v/>
      </c>
      <c r="BH83" s="101">
        <f>SUMIFS(Xero!$F:$F,Xero!$B:$B,Heron!BH$9,Xero!$A:$A,Heron!$A$4,Xero!$E:$E,Heron!$A83)+SUMIFS(Xero!$F:$F,Xero!$B:$B,Heron!BH$9,Xero!$A:$A,Heron!$A$5,Xero!$E:$E,Heron!$A83)</f>
        <v/>
      </c>
      <c r="BI83" s="101">
        <f>SUMIFS(Xero!$F:$F,Xero!$B:$B,Heron!BI$9,Xero!$A:$A,Heron!$A$4,Xero!$E:$E,Heron!$A83)+SUMIFS(Xero!$F:$F,Xero!$B:$B,Heron!BI$9,Xero!$A:$A,Heron!$A$5,Xero!$E:$E,Heron!$A83)</f>
        <v/>
      </c>
      <c r="BJ83" s="101">
        <f>SUMIFS(Xero!$F:$F,Xero!$B:$B,Heron!BJ$9,Xero!$A:$A,Heron!$A$4,Xero!$E:$E,Heron!$A83)+SUMIFS(Xero!$F:$F,Xero!$B:$B,Heron!BJ$9,Xero!$A:$A,Heron!$A$5,Xero!$E:$E,Heron!$A83)</f>
        <v/>
      </c>
      <c r="BK83" s="101">
        <f>sum(D83:BJ83)</f>
        <v/>
      </c>
    </row>
    <row r="84">
      <c r="A84" s="100" t="inlineStr">
        <is>
          <t>Interest Paid - Investors @ 7.5%</t>
        </is>
      </c>
      <c r="D84" s="101">
        <f>SUMIFS(Xero!$F:$F,Xero!$B:$B,Heron!D$9,Xero!$A:$A,Heron!$A$4,Xero!$E:$E,Heron!$A84)+SUMIFS(Xero!$F:$F,Xero!$B:$B,Heron!D$9,Xero!$A:$A,Heron!$A$5,Xero!$E:$E,Heron!$A84)</f>
        <v/>
      </c>
      <c r="E84" s="101">
        <f>SUMIFS(Xero!$F:$F,Xero!$B:$B,Heron!E$9,Xero!$A:$A,Heron!$A$4,Xero!$E:$E,Heron!$A84)+SUMIFS(Xero!$F:$F,Xero!$B:$B,Heron!E$9,Xero!$A:$A,Heron!$A$5,Xero!$E:$E,Heron!$A84)</f>
        <v/>
      </c>
      <c r="F84" s="101">
        <f>SUMIFS(Xero!$F:$F,Xero!$B:$B,Heron!F$9,Xero!$A:$A,Heron!$A$4,Xero!$E:$E,Heron!$A84)+SUMIFS(Xero!$F:$F,Xero!$B:$B,Heron!F$9,Xero!$A:$A,Heron!$A$5,Xero!$E:$E,Heron!$A84)</f>
        <v/>
      </c>
      <c r="G84" s="101">
        <f>SUMIFS(Xero!$F:$F,Xero!$B:$B,Heron!G$9,Xero!$A:$A,Heron!$A$4,Xero!$E:$E,Heron!$A84)+SUMIFS(Xero!$F:$F,Xero!$B:$B,Heron!G$9,Xero!$A:$A,Heron!$A$5,Xero!$E:$E,Heron!$A84)</f>
        <v/>
      </c>
      <c r="H84" s="101">
        <f>SUMIFS(Xero!$F:$F,Xero!$B:$B,Heron!H$9,Xero!$A:$A,Heron!$A$4,Xero!$E:$E,Heron!$A84)+SUMIFS(Xero!$F:$F,Xero!$B:$B,Heron!H$9,Xero!$A:$A,Heron!$A$5,Xero!$E:$E,Heron!$A84)</f>
        <v/>
      </c>
      <c r="I84" s="101">
        <f>SUMIFS(Xero!$F:$F,Xero!$B:$B,Heron!I$9,Xero!$A:$A,Heron!$A$4,Xero!$E:$E,Heron!$A84)+SUMIFS(Xero!$F:$F,Xero!$B:$B,Heron!I$9,Xero!$A:$A,Heron!$A$5,Xero!$E:$E,Heron!$A84)</f>
        <v/>
      </c>
      <c r="J84" s="101">
        <f>SUMIFS(Xero!$F:$F,Xero!$B:$B,Heron!J$9,Xero!$A:$A,Heron!$A$4,Xero!$E:$E,Heron!$A84)+SUMIFS(Xero!$F:$F,Xero!$B:$B,Heron!J$9,Xero!$A:$A,Heron!$A$5,Xero!$E:$E,Heron!$A84)</f>
        <v/>
      </c>
      <c r="K84" s="101">
        <f>SUMIFS(Xero!$F:$F,Xero!$B:$B,Heron!K$9,Xero!$A:$A,Heron!$A$4,Xero!$E:$E,Heron!$A84)+SUMIFS(Xero!$F:$F,Xero!$B:$B,Heron!K$9,Xero!$A:$A,Heron!$A$5,Xero!$E:$E,Heron!$A84)</f>
        <v/>
      </c>
      <c r="L84" s="101">
        <f>SUMIFS(Xero!$F:$F,Xero!$B:$B,Heron!L$9,Xero!$A:$A,Heron!$A$4,Xero!$E:$E,Heron!$A84)+SUMIFS(Xero!$F:$F,Xero!$B:$B,Heron!L$9,Xero!$A:$A,Heron!$A$5,Xero!$E:$E,Heron!$A84)</f>
        <v/>
      </c>
      <c r="M84" s="101">
        <f>SUMIFS(Xero!$F:$F,Xero!$B:$B,Heron!M$9,Xero!$A:$A,Heron!$A$4,Xero!$E:$E,Heron!$A84)+SUMIFS(Xero!$F:$F,Xero!$B:$B,Heron!M$9,Xero!$A:$A,Heron!$A$5,Xero!$E:$E,Heron!$A84)</f>
        <v/>
      </c>
      <c r="N84" s="101">
        <f>SUMIFS(Xero!$F:$F,Xero!$B:$B,Heron!N$9,Xero!$A:$A,Heron!$A$4,Xero!$E:$E,Heron!$A84)+SUMIFS(Xero!$F:$F,Xero!$B:$B,Heron!N$9,Xero!$A:$A,Heron!$A$5,Xero!$E:$E,Heron!$A84)</f>
        <v/>
      </c>
      <c r="O84" s="101">
        <f>SUMIFS(Xero!$F:$F,Xero!$B:$B,Heron!O$9,Xero!$A:$A,Heron!$A$4,Xero!$E:$E,Heron!$A84)+SUMIFS(Xero!$F:$F,Xero!$B:$B,Heron!O$9,Xero!$A:$A,Heron!$A$5,Xero!$E:$E,Heron!$A84)</f>
        <v/>
      </c>
      <c r="P84" s="101">
        <f>SUMIFS(Xero!$F:$F,Xero!$B:$B,Heron!P$9,Xero!$A:$A,Heron!$A$4,Xero!$E:$E,Heron!$A84)+SUMIFS(Xero!$F:$F,Xero!$B:$B,Heron!P$9,Xero!$A:$A,Heron!$A$5,Xero!$E:$E,Heron!$A84)</f>
        <v/>
      </c>
      <c r="Q84" s="101">
        <f>SUMIFS(Xero!$F:$F,Xero!$B:$B,Heron!Q$9,Xero!$A:$A,Heron!$A$4,Xero!$E:$E,Heron!$A84)+SUMIFS(Xero!$F:$F,Xero!$B:$B,Heron!Q$9,Xero!$A:$A,Heron!$A$5,Xero!$E:$E,Heron!$A84)</f>
        <v/>
      </c>
      <c r="R84" s="101">
        <f>SUMIFS(Xero!$F:$F,Xero!$B:$B,Heron!R$9,Xero!$A:$A,Heron!$A$4,Xero!$E:$E,Heron!$A84)+SUMIFS(Xero!$F:$F,Xero!$B:$B,Heron!R$9,Xero!$A:$A,Heron!$A$5,Xero!$E:$E,Heron!$A84)</f>
        <v/>
      </c>
      <c r="S84" s="101">
        <f>SUMIFS(Xero!$F:$F,Xero!$B:$B,Heron!S$9,Xero!$A:$A,Heron!$A$4,Xero!$E:$E,Heron!$A84)+SUMIFS(Xero!$F:$F,Xero!$B:$B,Heron!S$9,Xero!$A:$A,Heron!$A$5,Xero!$E:$E,Heron!$A84)</f>
        <v/>
      </c>
      <c r="T84" s="101">
        <f>SUMIFS(Xero!$F:$F,Xero!$B:$B,Heron!T$9,Xero!$A:$A,Heron!$A$4,Xero!$E:$E,Heron!$A84)+SUMIFS(Xero!$F:$F,Xero!$B:$B,Heron!T$9,Xero!$A:$A,Heron!$A$5,Xero!$E:$E,Heron!$A84)</f>
        <v/>
      </c>
      <c r="U84" s="101">
        <f>SUMIFS(Xero!$F:$F,Xero!$B:$B,Heron!U$9,Xero!$A:$A,Heron!$A$4,Xero!$E:$E,Heron!$A84)+SUMIFS(Xero!$F:$F,Xero!$B:$B,Heron!U$9,Xero!$A:$A,Heron!$A$5,Xero!$E:$E,Heron!$A84)</f>
        <v/>
      </c>
      <c r="V84" s="101">
        <f>SUMIFS(Xero!$F:$F,Xero!$B:$B,Heron!V$9,Xero!$A:$A,Heron!$A$4,Xero!$E:$E,Heron!$A84)+SUMIFS(Xero!$F:$F,Xero!$B:$B,Heron!V$9,Xero!$A:$A,Heron!$A$5,Xero!$E:$E,Heron!$A84)</f>
        <v/>
      </c>
      <c r="W84" s="101">
        <f>SUMIFS(Xero!$F:$F,Xero!$B:$B,Heron!W$9,Xero!$A:$A,Heron!$A$4,Xero!$E:$E,Heron!$A84)+SUMIFS(Xero!$F:$F,Xero!$B:$B,Heron!W$9,Xero!$A:$A,Heron!$A$5,Xero!$E:$E,Heron!$A84)</f>
        <v/>
      </c>
      <c r="X84" s="101">
        <f>SUMIFS(Xero!$F:$F,Xero!$B:$B,Heron!X$9,Xero!$A:$A,Heron!$A$4,Xero!$E:$E,Heron!$A84)+SUMIFS(Xero!$F:$F,Xero!$B:$B,Heron!X$9,Xero!$A:$A,Heron!$A$5,Xero!$E:$E,Heron!$A84)</f>
        <v/>
      </c>
      <c r="Y84" s="101">
        <f>SUMIFS(Xero!$F:$F,Xero!$B:$B,Heron!Y$9,Xero!$A:$A,Heron!$A$4,Xero!$E:$E,Heron!$A84)+SUMIFS(Xero!$F:$F,Xero!$B:$B,Heron!Y$9,Xero!$A:$A,Heron!$A$5,Xero!$E:$E,Heron!$A84)</f>
        <v/>
      </c>
      <c r="Z84" s="101">
        <f>SUMIFS(Xero!$F:$F,Xero!$B:$B,Heron!Z$9,Xero!$A:$A,Heron!$A$4,Xero!$E:$E,Heron!$A84)+SUMIFS(Xero!$F:$F,Xero!$B:$B,Heron!Z$9,Xero!$A:$A,Heron!$A$5,Xero!$E:$E,Heron!$A84)</f>
        <v/>
      </c>
      <c r="AA84" s="101">
        <f>SUMIFS(Xero!$F:$F,Xero!$B:$B,Heron!AA$9,Xero!$A:$A,Heron!$A$4,Xero!$E:$E,Heron!$A84)+SUMIFS(Xero!$F:$F,Xero!$B:$B,Heron!AA$9,Xero!$A:$A,Heron!$A$5,Xero!$E:$E,Heron!$A84)</f>
        <v/>
      </c>
      <c r="AB84" s="101">
        <f>SUMIFS(Xero!$F:$F,Xero!$B:$B,Heron!AB$9,Xero!$A:$A,Heron!$A$4,Xero!$E:$E,Heron!$A84)+SUMIFS(Xero!$F:$F,Xero!$B:$B,Heron!AB$9,Xero!$A:$A,Heron!$A$5,Xero!$E:$E,Heron!$A84)</f>
        <v/>
      </c>
      <c r="AC84" s="101">
        <f>SUMIFS(Xero!$F:$F,Xero!$B:$B,Heron!AC$9,Xero!$A:$A,Heron!$A$4,Xero!$E:$E,Heron!$A84)+SUMIFS(Xero!$F:$F,Xero!$B:$B,Heron!AC$9,Xero!$A:$A,Heron!$A$5,Xero!$E:$E,Heron!$A84)</f>
        <v/>
      </c>
      <c r="AD84" s="101">
        <f>SUMIFS(Xero!$F:$F,Xero!$B:$B,Heron!AD$9,Xero!$A:$A,Heron!$A$4,Xero!$E:$E,Heron!$A84)+SUMIFS(Xero!$F:$F,Xero!$B:$B,Heron!AD$9,Xero!$A:$A,Heron!$A$5,Xero!$E:$E,Heron!$A84)</f>
        <v/>
      </c>
      <c r="AE84" s="101">
        <f>SUMIFS(Xero!$F:$F,Xero!$B:$B,Heron!AE$9,Xero!$A:$A,Heron!$A$4,Xero!$E:$E,Heron!$A84)+SUMIFS(Xero!$F:$F,Xero!$B:$B,Heron!AE$9,Xero!$A:$A,Heron!$A$5,Xero!$E:$E,Heron!$A84)</f>
        <v/>
      </c>
      <c r="AF84" s="101">
        <f>SUMIFS(Xero!$F:$F,Xero!$B:$B,Heron!AF$9,Xero!$A:$A,Heron!$A$4,Xero!$E:$E,Heron!$A84)+SUMIFS(Xero!$F:$F,Xero!$B:$B,Heron!AF$9,Xero!$A:$A,Heron!$A$5,Xero!$E:$E,Heron!$A84)</f>
        <v/>
      </c>
      <c r="AG84" s="101">
        <f>SUMIFS(Xero!$F:$F,Xero!$B:$B,Heron!AG$9,Xero!$A:$A,Heron!$A$4,Xero!$E:$E,Heron!$A84)+SUMIFS(Xero!$F:$F,Xero!$B:$B,Heron!AG$9,Xero!$A:$A,Heron!$A$5,Xero!$E:$E,Heron!$A84)</f>
        <v/>
      </c>
      <c r="AH84" s="101">
        <f>SUMIFS(Xero!$F:$F,Xero!$B:$B,Heron!AH$9,Xero!$A:$A,Heron!$A$4,Xero!$E:$E,Heron!$A84)+SUMIFS(Xero!$F:$F,Xero!$B:$B,Heron!AH$9,Xero!$A:$A,Heron!$A$5,Xero!$E:$E,Heron!$A84)</f>
        <v/>
      </c>
      <c r="AI84" s="101">
        <f>SUMIFS(Xero!$F:$F,Xero!$B:$B,Heron!AI$9,Xero!$A:$A,Heron!$A$4,Xero!$E:$E,Heron!$A84)+SUMIFS(Xero!$F:$F,Xero!$B:$B,Heron!AI$9,Xero!$A:$A,Heron!$A$5,Xero!$E:$E,Heron!$A84)</f>
        <v/>
      </c>
      <c r="AJ84" s="101">
        <f>SUMIFS(Xero!$F:$F,Xero!$B:$B,Heron!AJ$9,Xero!$A:$A,Heron!$A$4,Xero!$E:$E,Heron!$A84)+SUMIFS(Xero!$F:$F,Xero!$B:$B,Heron!AJ$9,Xero!$A:$A,Heron!$A$5,Xero!$E:$E,Heron!$A84)</f>
        <v/>
      </c>
      <c r="AK84" s="101">
        <f>SUMIFS(Xero!$F:$F,Xero!$B:$B,Heron!AK$9,Xero!$A:$A,Heron!$A$4,Xero!$E:$E,Heron!$A84)+SUMIFS(Xero!$F:$F,Xero!$B:$B,Heron!AK$9,Xero!$A:$A,Heron!$A$5,Xero!$E:$E,Heron!$A84)</f>
        <v/>
      </c>
      <c r="AL84" s="101">
        <f>SUMIFS(Xero!$F:$F,Xero!$B:$B,Heron!AL$9,Xero!$A:$A,Heron!$A$4,Xero!$E:$E,Heron!$A84)+SUMIFS(Xero!$F:$F,Xero!$B:$B,Heron!AL$9,Xero!$A:$A,Heron!$A$5,Xero!$E:$E,Heron!$A84)</f>
        <v/>
      </c>
      <c r="AM84" s="101">
        <f>SUMIFS(Xero!$F:$F,Xero!$B:$B,Heron!AM$9,Xero!$A:$A,Heron!$A$4,Xero!$E:$E,Heron!$A84)+SUMIFS(Xero!$F:$F,Xero!$B:$B,Heron!AM$9,Xero!$A:$A,Heron!$A$5,Xero!$E:$E,Heron!$A84)</f>
        <v/>
      </c>
      <c r="AN84" s="101">
        <f>SUMIFS(Xero!$F:$F,Xero!$B:$B,Heron!AN$9,Xero!$A:$A,Heron!$A$4,Xero!$E:$E,Heron!$A84)+SUMIFS(Xero!$F:$F,Xero!$B:$B,Heron!AN$9,Xero!$A:$A,Heron!$A$5,Xero!$E:$E,Heron!$A84)</f>
        <v/>
      </c>
      <c r="AO84" s="101">
        <f>SUMIFS(Xero!$F:$F,Xero!$B:$B,Heron!AO$9,Xero!$A:$A,Heron!$A$4,Xero!$E:$E,Heron!$A84)+SUMIFS(Xero!$F:$F,Xero!$B:$B,Heron!AO$9,Xero!$A:$A,Heron!$A$5,Xero!$E:$E,Heron!$A84)</f>
        <v/>
      </c>
      <c r="AP84" s="101">
        <f>SUMIFS(Xero!$F:$F,Xero!$B:$B,Heron!AP$9,Xero!$A:$A,Heron!$A$4,Xero!$E:$E,Heron!$A84)+SUMIFS(Xero!$F:$F,Xero!$B:$B,Heron!AP$9,Xero!$A:$A,Heron!$A$5,Xero!$E:$E,Heron!$A84)</f>
        <v/>
      </c>
      <c r="AQ84" s="101">
        <f>SUMIFS(Xero!$F:$F,Xero!$B:$B,Heron!AQ$9,Xero!$A:$A,Heron!$A$4,Xero!$E:$E,Heron!$A84)+SUMIFS(Xero!$F:$F,Xero!$B:$B,Heron!AQ$9,Xero!$A:$A,Heron!$A$5,Xero!$E:$E,Heron!$A84)</f>
        <v/>
      </c>
      <c r="AR84" s="101">
        <f>SUMIFS(Xero!$F:$F,Xero!$B:$B,Heron!AR$9,Xero!$A:$A,Heron!$A$4,Xero!$E:$E,Heron!$A84)+SUMIFS(Xero!$F:$F,Xero!$B:$B,Heron!AR$9,Xero!$A:$A,Heron!$A$5,Xero!$E:$E,Heron!$A84)</f>
        <v/>
      </c>
      <c r="AS84" s="101">
        <f>SUMIFS(Xero!$F:$F,Xero!$B:$B,Heron!AS$9,Xero!$A:$A,Heron!$A$4,Xero!$E:$E,Heron!$A84)+SUMIFS(Xero!$F:$F,Xero!$B:$B,Heron!AS$9,Xero!$A:$A,Heron!$A$5,Xero!$E:$E,Heron!$A84)</f>
        <v/>
      </c>
      <c r="AT84" s="101">
        <f>SUMIFS(Xero!$F:$F,Xero!$B:$B,Heron!AT$9,Xero!$A:$A,Heron!$A$4,Xero!$E:$E,Heron!$A84)+SUMIFS(Xero!$F:$F,Xero!$B:$B,Heron!AT$9,Xero!$A:$A,Heron!$A$5,Xero!$E:$E,Heron!$A84)</f>
        <v/>
      </c>
      <c r="AU84" s="101">
        <f>SUMIFS(Xero!$F:$F,Xero!$B:$B,Heron!AU$9,Xero!$A:$A,Heron!$A$4,Xero!$E:$E,Heron!$A84)+SUMIFS(Xero!$F:$F,Xero!$B:$B,Heron!AU$9,Xero!$A:$A,Heron!$A$5,Xero!$E:$E,Heron!$A84)</f>
        <v/>
      </c>
      <c r="AV84" s="101">
        <f>SUMIFS(Xero!$F:$F,Xero!$B:$B,Heron!AV$9,Xero!$A:$A,Heron!$A$4,Xero!$E:$E,Heron!$A84)+SUMIFS(Xero!$F:$F,Xero!$B:$B,Heron!AV$9,Xero!$A:$A,Heron!$A$5,Xero!$E:$E,Heron!$A84)</f>
        <v/>
      </c>
      <c r="AW84" s="101">
        <f>SUMIFS(Xero!$F:$F,Xero!$B:$B,Heron!AW$9,Xero!$A:$A,Heron!$A$4,Xero!$E:$E,Heron!$A84)+SUMIFS(Xero!$F:$F,Xero!$B:$B,Heron!AW$9,Xero!$A:$A,Heron!$A$5,Xero!$E:$E,Heron!$A84)</f>
        <v/>
      </c>
      <c r="AX84" s="101">
        <f>SUMIFS(Xero!$F:$F,Xero!$B:$B,Heron!AX$9,Xero!$A:$A,Heron!$A$4,Xero!$E:$E,Heron!$A84)+SUMIFS(Xero!$F:$F,Xero!$B:$B,Heron!AX$9,Xero!$A:$A,Heron!$A$5,Xero!$E:$E,Heron!$A84)</f>
        <v/>
      </c>
      <c r="AY84" s="101">
        <f>SUMIFS(Xero!$F:$F,Xero!$B:$B,Heron!AY$9,Xero!$A:$A,Heron!$A$4,Xero!$E:$E,Heron!$A84)+SUMIFS(Xero!$F:$F,Xero!$B:$B,Heron!AY$9,Xero!$A:$A,Heron!$A$5,Xero!$E:$E,Heron!$A84)</f>
        <v/>
      </c>
      <c r="AZ84" s="101">
        <f>SUMIFS(Xero!$F:$F,Xero!$B:$B,Heron!AZ$9,Xero!$A:$A,Heron!$A$4,Xero!$E:$E,Heron!$A84)+SUMIFS(Xero!$F:$F,Xero!$B:$B,Heron!AZ$9,Xero!$A:$A,Heron!$A$5,Xero!$E:$E,Heron!$A84)</f>
        <v/>
      </c>
      <c r="BA84" s="101">
        <f>SUMIFS(Xero!$F:$F,Xero!$B:$B,Heron!BA$9,Xero!$A:$A,Heron!$A$4,Xero!$E:$E,Heron!$A84)+SUMIFS(Xero!$F:$F,Xero!$B:$B,Heron!BA$9,Xero!$A:$A,Heron!$A$5,Xero!$E:$E,Heron!$A84)</f>
        <v/>
      </c>
      <c r="BB84" s="101">
        <f>SUMIFS(Xero!$F:$F,Xero!$B:$B,Heron!BB$9,Xero!$A:$A,Heron!$A$4,Xero!$E:$E,Heron!$A84)+SUMIFS(Xero!$F:$F,Xero!$B:$B,Heron!BB$9,Xero!$A:$A,Heron!$A$5,Xero!$E:$E,Heron!$A84)</f>
        <v/>
      </c>
      <c r="BC84" s="101">
        <f>SUMIFS(Xero!$F:$F,Xero!$B:$B,Heron!BC$9,Xero!$A:$A,Heron!$A$4,Xero!$E:$E,Heron!$A84)+SUMIFS(Xero!$F:$F,Xero!$B:$B,Heron!BC$9,Xero!$A:$A,Heron!$A$5,Xero!$E:$E,Heron!$A84)</f>
        <v/>
      </c>
      <c r="BD84" s="101">
        <f>SUMIFS(Xero!$F:$F,Xero!$B:$B,Heron!BD$9,Xero!$A:$A,Heron!$A$4,Xero!$E:$E,Heron!$A84)+SUMIFS(Xero!$F:$F,Xero!$B:$B,Heron!BD$9,Xero!$A:$A,Heron!$A$5,Xero!$E:$E,Heron!$A84)</f>
        <v/>
      </c>
      <c r="BE84" s="101">
        <f>SUMIFS(Xero!$F:$F,Xero!$B:$B,Heron!BE$9,Xero!$A:$A,Heron!$A$4,Xero!$E:$E,Heron!$A84)+SUMIFS(Xero!$F:$F,Xero!$B:$B,Heron!BE$9,Xero!$A:$A,Heron!$A$5,Xero!$E:$E,Heron!$A84)</f>
        <v/>
      </c>
      <c r="BF84" s="101">
        <f>SUMIFS(Xero!$F:$F,Xero!$B:$B,Heron!BF$9,Xero!$A:$A,Heron!$A$4,Xero!$E:$E,Heron!$A84)+SUMIFS(Xero!$F:$F,Xero!$B:$B,Heron!BF$9,Xero!$A:$A,Heron!$A$5,Xero!$E:$E,Heron!$A84)</f>
        <v/>
      </c>
      <c r="BG84" s="101">
        <f>SUMIFS(Xero!$F:$F,Xero!$B:$B,Heron!BG$9,Xero!$A:$A,Heron!$A$4,Xero!$E:$E,Heron!$A84)+SUMIFS(Xero!$F:$F,Xero!$B:$B,Heron!BG$9,Xero!$A:$A,Heron!$A$5,Xero!$E:$E,Heron!$A84)</f>
        <v/>
      </c>
      <c r="BH84" s="101">
        <f>SUMIFS(Xero!$F:$F,Xero!$B:$B,Heron!BH$9,Xero!$A:$A,Heron!$A$4,Xero!$E:$E,Heron!$A84)+SUMIFS(Xero!$F:$F,Xero!$B:$B,Heron!BH$9,Xero!$A:$A,Heron!$A$5,Xero!$E:$E,Heron!$A84)</f>
        <v/>
      </c>
      <c r="BI84" s="101">
        <f>SUMIFS(Xero!$F:$F,Xero!$B:$B,Heron!BI$9,Xero!$A:$A,Heron!$A$4,Xero!$E:$E,Heron!$A84)+SUMIFS(Xero!$F:$F,Xero!$B:$B,Heron!BI$9,Xero!$A:$A,Heron!$A$5,Xero!$E:$E,Heron!$A84)</f>
        <v/>
      </c>
      <c r="BJ84" s="101">
        <f>SUMIFS(Xero!$F:$F,Xero!$B:$B,Heron!BJ$9,Xero!$A:$A,Heron!$A$4,Xero!$E:$E,Heron!$A84)+SUMIFS(Xero!$F:$F,Xero!$B:$B,Heron!BJ$9,Xero!$A:$A,Heron!$A$5,Xero!$E:$E,Heron!$A84)</f>
        <v/>
      </c>
      <c r="BK84" s="101">
        <f>sum(D84:BJ84)</f>
        <v/>
      </c>
    </row>
    <row r="85">
      <c r="A85" s="100" t="inlineStr">
        <is>
          <t>Interest Paid - Investors @ 8.25%</t>
        </is>
      </c>
      <c r="D85" s="101">
        <f>SUMIFS(Xero!$F:$F,Xero!$B:$B,Heron!D$9,Xero!$A:$A,Heron!$A$4,Xero!$E:$E,Heron!$A85)+SUMIFS(Xero!$F:$F,Xero!$B:$B,Heron!D$9,Xero!$A:$A,Heron!$A$5,Xero!$E:$E,Heron!$A85)</f>
        <v/>
      </c>
      <c r="E85" s="101">
        <f>SUMIFS(Xero!$F:$F,Xero!$B:$B,Heron!E$9,Xero!$A:$A,Heron!$A$4,Xero!$E:$E,Heron!$A85)+SUMIFS(Xero!$F:$F,Xero!$B:$B,Heron!E$9,Xero!$A:$A,Heron!$A$5,Xero!$E:$E,Heron!$A85)</f>
        <v/>
      </c>
      <c r="F85" s="101">
        <f>SUMIFS(Xero!$F:$F,Xero!$B:$B,Heron!F$9,Xero!$A:$A,Heron!$A$4,Xero!$E:$E,Heron!$A85)+SUMIFS(Xero!$F:$F,Xero!$B:$B,Heron!F$9,Xero!$A:$A,Heron!$A$5,Xero!$E:$E,Heron!$A85)</f>
        <v/>
      </c>
      <c r="G85" s="101">
        <f>SUMIFS(Xero!$F:$F,Xero!$B:$B,Heron!G$9,Xero!$A:$A,Heron!$A$4,Xero!$E:$E,Heron!$A85)+SUMIFS(Xero!$F:$F,Xero!$B:$B,Heron!G$9,Xero!$A:$A,Heron!$A$5,Xero!$E:$E,Heron!$A85)</f>
        <v/>
      </c>
      <c r="H85" s="101">
        <f>SUMIFS(Xero!$F:$F,Xero!$B:$B,Heron!H$9,Xero!$A:$A,Heron!$A$4,Xero!$E:$E,Heron!$A85)+SUMIFS(Xero!$F:$F,Xero!$B:$B,Heron!H$9,Xero!$A:$A,Heron!$A$5,Xero!$E:$E,Heron!$A85)</f>
        <v/>
      </c>
      <c r="I85" s="101">
        <f>SUMIFS(Xero!$F:$F,Xero!$B:$B,Heron!I$9,Xero!$A:$A,Heron!$A$4,Xero!$E:$E,Heron!$A85)+SUMIFS(Xero!$F:$F,Xero!$B:$B,Heron!I$9,Xero!$A:$A,Heron!$A$5,Xero!$E:$E,Heron!$A85)</f>
        <v/>
      </c>
      <c r="J85" s="101">
        <f>SUMIFS(Xero!$F:$F,Xero!$B:$B,Heron!J$9,Xero!$A:$A,Heron!$A$4,Xero!$E:$E,Heron!$A85)+SUMIFS(Xero!$F:$F,Xero!$B:$B,Heron!J$9,Xero!$A:$A,Heron!$A$5,Xero!$E:$E,Heron!$A85)</f>
        <v/>
      </c>
      <c r="K85" s="101">
        <f>SUMIFS(Xero!$F:$F,Xero!$B:$B,Heron!K$9,Xero!$A:$A,Heron!$A$4,Xero!$E:$E,Heron!$A85)+SUMIFS(Xero!$F:$F,Xero!$B:$B,Heron!K$9,Xero!$A:$A,Heron!$A$5,Xero!$E:$E,Heron!$A85)</f>
        <v/>
      </c>
      <c r="L85" s="101">
        <f>SUMIFS(Xero!$F:$F,Xero!$B:$B,Heron!L$9,Xero!$A:$A,Heron!$A$4,Xero!$E:$E,Heron!$A85)+SUMIFS(Xero!$F:$F,Xero!$B:$B,Heron!L$9,Xero!$A:$A,Heron!$A$5,Xero!$E:$E,Heron!$A85)</f>
        <v/>
      </c>
      <c r="M85" s="101">
        <f>SUMIFS(Xero!$F:$F,Xero!$B:$B,Heron!M$9,Xero!$A:$A,Heron!$A$4,Xero!$E:$E,Heron!$A85)+SUMIFS(Xero!$F:$F,Xero!$B:$B,Heron!M$9,Xero!$A:$A,Heron!$A$5,Xero!$E:$E,Heron!$A85)</f>
        <v/>
      </c>
      <c r="N85" s="101">
        <f>SUMIFS(Xero!$F:$F,Xero!$B:$B,Heron!N$9,Xero!$A:$A,Heron!$A$4,Xero!$E:$E,Heron!$A85)+SUMIFS(Xero!$F:$F,Xero!$B:$B,Heron!N$9,Xero!$A:$A,Heron!$A$5,Xero!$E:$E,Heron!$A85)</f>
        <v/>
      </c>
      <c r="O85" s="101">
        <f>SUMIFS(Xero!$F:$F,Xero!$B:$B,Heron!O$9,Xero!$A:$A,Heron!$A$4,Xero!$E:$E,Heron!$A85)+SUMIFS(Xero!$F:$F,Xero!$B:$B,Heron!O$9,Xero!$A:$A,Heron!$A$5,Xero!$E:$E,Heron!$A85)</f>
        <v/>
      </c>
      <c r="P85" s="101">
        <f>SUMIFS(Xero!$F:$F,Xero!$B:$B,Heron!P$9,Xero!$A:$A,Heron!$A$4,Xero!$E:$E,Heron!$A85)+SUMIFS(Xero!$F:$F,Xero!$B:$B,Heron!P$9,Xero!$A:$A,Heron!$A$5,Xero!$E:$E,Heron!$A85)</f>
        <v/>
      </c>
      <c r="Q85" s="101">
        <f>SUMIFS(Xero!$F:$F,Xero!$B:$B,Heron!Q$9,Xero!$A:$A,Heron!$A$4,Xero!$E:$E,Heron!$A85)+SUMIFS(Xero!$F:$F,Xero!$B:$B,Heron!Q$9,Xero!$A:$A,Heron!$A$5,Xero!$E:$E,Heron!$A85)</f>
        <v/>
      </c>
      <c r="R85" s="101">
        <f>SUMIFS(Xero!$F:$F,Xero!$B:$B,Heron!R$9,Xero!$A:$A,Heron!$A$4,Xero!$E:$E,Heron!$A85)+SUMIFS(Xero!$F:$F,Xero!$B:$B,Heron!R$9,Xero!$A:$A,Heron!$A$5,Xero!$E:$E,Heron!$A85)</f>
        <v/>
      </c>
      <c r="S85" s="101">
        <f>SUMIFS(Xero!$F:$F,Xero!$B:$B,Heron!S$9,Xero!$A:$A,Heron!$A$4,Xero!$E:$E,Heron!$A85)+SUMIFS(Xero!$F:$F,Xero!$B:$B,Heron!S$9,Xero!$A:$A,Heron!$A$5,Xero!$E:$E,Heron!$A85)</f>
        <v/>
      </c>
      <c r="T85" s="101">
        <f>SUMIFS(Xero!$F:$F,Xero!$B:$B,Heron!T$9,Xero!$A:$A,Heron!$A$4,Xero!$E:$E,Heron!$A85)+SUMIFS(Xero!$F:$F,Xero!$B:$B,Heron!T$9,Xero!$A:$A,Heron!$A$5,Xero!$E:$E,Heron!$A85)</f>
        <v/>
      </c>
      <c r="U85" s="101">
        <f>SUMIFS(Xero!$F:$F,Xero!$B:$B,Heron!U$9,Xero!$A:$A,Heron!$A$4,Xero!$E:$E,Heron!$A85)+SUMIFS(Xero!$F:$F,Xero!$B:$B,Heron!U$9,Xero!$A:$A,Heron!$A$5,Xero!$E:$E,Heron!$A85)</f>
        <v/>
      </c>
      <c r="V85" s="101">
        <f>SUMIFS(Xero!$F:$F,Xero!$B:$B,Heron!V$9,Xero!$A:$A,Heron!$A$4,Xero!$E:$E,Heron!$A85)+SUMIFS(Xero!$F:$F,Xero!$B:$B,Heron!V$9,Xero!$A:$A,Heron!$A$5,Xero!$E:$E,Heron!$A85)</f>
        <v/>
      </c>
      <c r="W85" s="101">
        <f>SUMIFS(Xero!$F:$F,Xero!$B:$B,Heron!W$9,Xero!$A:$A,Heron!$A$4,Xero!$E:$E,Heron!$A85)+SUMIFS(Xero!$F:$F,Xero!$B:$B,Heron!W$9,Xero!$A:$A,Heron!$A$5,Xero!$E:$E,Heron!$A85)</f>
        <v/>
      </c>
      <c r="X85" s="101">
        <f>SUMIFS(Xero!$F:$F,Xero!$B:$B,Heron!X$9,Xero!$A:$A,Heron!$A$4,Xero!$E:$E,Heron!$A85)+SUMIFS(Xero!$F:$F,Xero!$B:$B,Heron!X$9,Xero!$A:$A,Heron!$A$5,Xero!$E:$E,Heron!$A85)</f>
        <v/>
      </c>
      <c r="Y85" s="101">
        <f>SUMIFS(Xero!$F:$F,Xero!$B:$B,Heron!Y$9,Xero!$A:$A,Heron!$A$4,Xero!$E:$E,Heron!$A85)+SUMIFS(Xero!$F:$F,Xero!$B:$B,Heron!Y$9,Xero!$A:$A,Heron!$A$5,Xero!$E:$E,Heron!$A85)</f>
        <v/>
      </c>
      <c r="Z85" s="101">
        <f>SUMIFS(Xero!$F:$F,Xero!$B:$B,Heron!Z$9,Xero!$A:$A,Heron!$A$4,Xero!$E:$E,Heron!$A85)+SUMIFS(Xero!$F:$F,Xero!$B:$B,Heron!Z$9,Xero!$A:$A,Heron!$A$5,Xero!$E:$E,Heron!$A85)</f>
        <v/>
      </c>
      <c r="AA85" s="101">
        <f>SUMIFS(Xero!$F:$F,Xero!$B:$B,Heron!AA$9,Xero!$A:$A,Heron!$A$4,Xero!$E:$E,Heron!$A85)+SUMIFS(Xero!$F:$F,Xero!$B:$B,Heron!AA$9,Xero!$A:$A,Heron!$A$5,Xero!$E:$E,Heron!$A85)</f>
        <v/>
      </c>
      <c r="AB85" s="101">
        <f>SUMIFS(Xero!$F:$F,Xero!$B:$B,Heron!AB$9,Xero!$A:$A,Heron!$A$4,Xero!$E:$E,Heron!$A85)+SUMIFS(Xero!$F:$F,Xero!$B:$B,Heron!AB$9,Xero!$A:$A,Heron!$A$5,Xero!$E:$E,Heron!$A85)</f>
        <v/>
      </c>
      <c r="AC85" s="101">
        <f>SUMIFS(Xero!$F:$F,Xero!$B:$B,Heron!AC$9,Xero!$A:$A,Heron!$A$4,Xero!$E:$E,Heron!$A85)+SUMIFS(Xero!$F:$F,Xero!$B:$B,Heron!AC$9,Xero!$A:$A,Heron!$A$5,Xero!$E:$E,Heron!$A85)</f>
        <v/>
      </c>
      <c r="AD85" s="101">
        <f>SUMIFS(Xero!$F:$F,Xero!$B:$B,Heron!AD$9,Xero!$A:$A,Heron!$A$4,Xero!$E:$E,Heron!$A85)+SUMIFS(Xero!$F:$F,Xero!$B:$B,Heron!AD$9,Xero!$A:$A,Heron!$A$5,Xero!$E:$E,Heron!$A85)</f>
        <v/>
      </c>
      <c r="AE85" s="101">
        <f>SUMIFS(Xero!$F:$F,Xero!$B:$B,Heron!AE$9,Xero!$A:$A,Heron!$A$4,Xero!$E:$E,Heron!$A85)+SUMIFS(Xero!$F:$F,Xero!$B:$B,Heron!AE$9,Xero!$A:$A,Heron!$A$5,Xero!$E:$E,Heron!$A85)</f>
        <v/>
      </c>
      <c r="AF85" s="101">
        <f>SUMIFS(Xero!$F:$F,Xero!$B:$B,Heron!AF$9,Xero!$A:$A,Heron!$A$4,Xero!$E:$E,Heron!$A85)+SUMIFS(Xero!$F:$F,Xero!$B:$B,Heron!AF$9,Xero!$A:$A,Heron!$A$5,Xero!$E:$E,Heron!$A85)</f>
        <v/>
      </c>
      <c r="AG85" s="101">
        <f>SUMIFS(Xero!$F:$F,Xero!$B:$B,Heron!AG$9,Xero!$A:$A,Heron!$A$4,Xero!$E:$E,Heron!$A85)+SUMIFS(Xero!$F:$F,Xero!$B:$B,Heron!AG$9,Xero!$A:$A,Heron!$A$5,Xero!$E:$E,Heron!$A85)</f>
        <v/>
      </c>
      <c r="AH85" s="101">
        <f>SUMIFS(Xero!$F:$F,Xero!$B:$B,Heron!AH$9,Xero!$A:$A,Heron!$A$4,Xero!$E:$E,Heron!$A85)+SUMIFS(Xero!$F:$F,Xero!$B:$B,Heron!AH$9,Xero!$A:$A,Heron!$A$5,Xero!$E:$E,Heron!$A85)</f>
        <v/>
      </c>
      <c r="AI85" s="101">
        <f>SUMIFS(Xero!$F:$F,Xero!$B:$B,Heron!AI$9,Xero!$A:$A,Heron!$A$4,Xero!$E:$E,Heron!$A85)+SUMIFS(Xero!$F:$F,Xero!$B:$B,Heron!AI$9,Xero!$A:$A,Heron!$A$5,Xero!$E:$E,Heron!$A85)</f>
        <v/>
      </c>
      <c r="AJ85" s="101">
        <f>SUMIFS(Xero!$F:$F,Xero!$B:$B,Heron!AJ$9,Xero!$A:$A,Heron!$A$4,Xero!$E:$E,Heron!$A85)+SUMIFS(Xero!$F:$F,Xero!$B:$B,Heron!AJ$9,Xero!$A:$A,Heron!$A$5,Xero!$E:$E,Heron!$A85)</f>
        <v/>
      </c>
      <c r="AK85" s="101">
        <f>SUMIFS(Xero!$F:$F,Xero!$B:$B,Heron!AK$9,Xero!$A:$A,Heron!$A$4,Xero!$E:$E,Heron!$A85)+SUMIFS(Xero!$F:$F,Xero!$B:$B,Heron!AK$9,Xero!$A:$A,Heron!$A$5,Xero!$E:$E,Heron!$A85)</f>
        <v/>
      </c>
      <c r="AL85" s="101">
        <f>SUMIFS(Xero!$F:$F,Xero!$B:$B,Heron!AL$9,Xero!$A:$A,Heron!$A$4,Xero!$E:$E,Heron!$A85)+SUMIFS(Xero!$F:$F,Xero!$B:$B,Heron!AL$9,Xero!$A:$A,Heron!$A$5,Xero!$E:$E,Heron!$A85)</f>
        <v/>
      </c>
      <c r="AM85" s="101">
        <f>SUMIFS(Xero!$F:$F,Xero!$B:$B,Heron!AM$9,Xero!$A:$A,Heron!$A$4,Xero!$E:$E,Heron!$A85)+SUMIFS(Xero!$F:$F,Xero!$B:$B,Heron!AM$9,Xero!$A:$A,Heron!$A$5,Xero!$E:$E,Heron!$A85)</f>
        <v/>
      </c>
      <c r="AN85" s="101">
        <f>SUMIFS(Xero!$F:$F,Xero!$B:$B,Heron!AN$9,Xero!$A:$A,Heron!$A$4,Xero!$E:$E,Heron!$A85)+SUMIFS(Xero!$F:$F,Xero!$B:$B,Heron!AN$9,Xero!$A:$A,Heron!$A$5,Xero!$E:$E,Heron!$A85)</f>
        <v/>
      </c>
      <c r="AO85" s="101">
        <f>SUMIFS(Xero!$F:$F,Xero!$B:$B,Heron!AO$9,Xero!$A:$A,Heron!$A$4,Xero!$E:$E,Heron!$A85)+SUMIFS(Xero!$F:$F,Xero!$B:$B,Heron!AO$9,Xero!$A:$A,Heron!$A$5,Xero!$E:$E,Heron!$A85)</f>
        <v/>
      </c>
      <c r="AP85" s="101">
        <f>SUMIFS(Xero!$F:$F,Xero!$B:$B,Heron!AP$9,Xero!$A:$A,Heron!$A$4,Xero!$E:$E,Heron!$A85)+SUMIFS(Xero!$F:$F,Xero!$B:$B,Heron!AP$9,Xero!$A:$A,Heron!$A$5,Xero!$E:$E,Heron!$A85)</f>
        <v/>
      </c>
      <c r="AQ85" s="101">
        <f>SUMIFS(Xero!$F:$F,Xero!$B:$B,Heron!AQ$9,Xero!$A:$A,Heron!$A$4,Xero!$E:$E,Heron!$A85)+SUMIFS(Xero!$F:$F,Xero!$B:$B,Heron!AQ$9,Xero!$A:$A,Heron!$A$5,Xero!$E:$E,Heron!$A85)</f>
        <v/>
      </c>
      <c r="AR85" s="101">
        <f>SUMIFS(Xero!$F:$F,Xero!$B:$B,Heron!AR$9,Xero!$A:$A,Heron!$A$4,Xero!$E:$E,Heron!$A85)+SUMIFS(Xero!$F:$F,Xero!$B:$B,Heron!AR$9,Xero!$A:$A,Heron!$A$5,Xero!$E:$E,Heron!$A85)</f>
        <v/>
      </c>
      <c r="AS85" s="101">
        <f>SUMIFS(Xero!$F:$F,Xero!$B:$B,Heron!AS$9,Xero!$A:$A,Heron!$A$4,Xero!$E:$E,Heron!$A85)+SUMIFS(Xero!$F:$F,Xero!$B:$B,Heron!AS$9,Xero!$A:$A,Heron!$A$5,Xero!$E:$E,Heron!$A85)</f>
        <v/>
      </c>
      <c r="AT85" s="101">
        <f>SUMIFS(Xero!$F:$F,Xero!$B:$B,Heron!AT$9,Xero!$A:$A,Heron!$A$4,Xero!$E:$E,Heron!$A85)+SUMIFS(Xero!$F:$F,Xero!$B:$B,Heron!AT$9,Xero!$A:$A,Heron!$A$5,Xero!$E:$E,Heron!$A85)</f>
        <v/>
      </c>
      <c r="AU85" s="101">
        <f>SUMIFS(Xero!$F:$F,Xero!$B:$B,Heron!AU$9,Xero!$A:$A,Heron!$A$4,Xero!$E:$E,Heron!$A85)+SUMIFS(Xero!$F:$F,Xero!$B:$B,Heron!AU$9,Xero!$A:$A,Heron!$A$5,Xero!$E:$E,Heron!$A85)</f>
        <v/>
      </c>
      <c r="AV85" s="101">
        <f>SUMIFS(Xero!$F:$F,Xero!$B:$B,Heron!AV$9,Xero!$A:$A,Heron!$A$4,Xero!$E:$E,Heron!$A85)+SUMIFS(Xero!$F:$F,Xero!$B:$B,Heron!AV$9,Xero!$A:$A,Heron!$A$5,Xero!$E:$E,Heron!$A85)</f>
        <v/>
      </c>
      <c r="AW85" s="101">
        <f>SUMIFS(Xero!$F:$F,Xero!$B:$B,Heron!AW$9,Xero!$A:$A,Heron!$A$4,Xero!$E:$E,Heron!$A85)+SUMIFS(Xero!$F:$F,Xero!$B:$B,Heron!AW$9,Xero!$A:$A,Heron!$A$5,Xero!$E:$E,Heron!$A85)</f>
        <v/>
      </c>
      <c r="AX85" s="101">
        <f>SUMIFS(Xero!$F:$F,Xero!$B:$B,Heron!AX$9,Xero!$A:$A,Heron!$A$4,Xero!$E:$E,Heron!$A85)+SUMIFS(Xero!$F:$F,Xero!$B:$B,Heron!AX$9,Xero!$A:$A,Heron!$A$5,Xero!$E:$E,Heron!$A85)</f>
        <v/>
      </c>
      <c r="AY85" s="101">
        <f>SUMIFS(Xero!$F:$F,Xero!$B:$B,Heron!AY$9,Xero!$A:$A,Heron!$A$4,Xero!$E:$E,Heron!$A85)+SUMIFS(Xero!$F:$F,Xero!$B:$B,Heron!AY$9,Xero!$A:$A,Heron!$A$5,Xero!$E:$E,Heron!$A85)</f>
        <v/>
      </c>
      <c r="AZ85" s="101">
        <f>SUMIFS(Xero!$F:$F,Xero!$B:$B,Heron!AZ$9,Xero!$A:$A,Heron!$A$4,Xero!$E:$E,Heron!$A85)+SUMIFS(Xero!$F:$F,Xero!$B:$B,Heron!AZ$9,Xero!$A:$A,Heron!$A$5,Xero!$E:$E,Heron!$A85)</f>
        <v/>
      </c>
      <c r="BA85" s="101">
        <f>SUMIFS(Xero!$F:$F,Xero!$B:$B,Heron!BA$9,Xero!$A:$A,Heron!$A$4,Xero!$E:$E,Heron!$A85)+SUMIFS(Xero!$F:$F,Xero!$B:$B,Heron!BA$9,Xero!$A:$A,Heron!$A$5,Xero!$E:$E,Heron!$A85)</f>
        <v/>
      </c>
      <c r="BB85" s="101">
        <f>SUMIFS(Xero!$F:$F,Xero!$B:$B,Heron!BB$9,Xero!$A:$A,Heron!$A$4,Xero!$E:$E,Heron!$A85)+SUMIFS(Xero!$F:$F,Xero!$B:$B,Heron!BB$9,Xero!$A:$A,Heron!$A$5,Xero!$E:$E,Heron!$A85)</f>
        <v/>
      </c>
      <c r="BC85" s="101">
        <f>SUMIFS(Xero!$F:$F,Xero!$B:$B,Heron!BC$9,Xero!$A:$A,Heron!$A$4,Xero!$E:$E,Heron!$A85)+SUMIFS(Xero!$F:$F,Xero!$B:$B,Heron!BC$9,Xero!$A:$A,Heron!$A$5,Xero!$E:$E,Heron!$A85)</f>
        <v/>
      </c>
      <c r="BD85" s="101">
        <f>SUMIFS(Xero!$F:$F,Xero!$B:$B,Heron!BD$9,Xero!$A:$A,Heron!$A$4,Xero!$E:$E,Heron!$A85)+SUMIFS(Xero!$F:$F,Xero!$B:$B,Heron!BD$9,Xero!$A:$A,Heron!$A$5,Xero!$E:$E,Heron!$A85)</f>
        <v/>
      </c>
      <c r="BE85" s="101">
        <f>SUMIFS(Xero!$F:$F,Xero!$B:$B,Heron!BE$9,Xero!$A:$A,Heron!$A$4,Xero!$E:$E,Heron!$A85)+SUMIFS(Xero!$F:$F,Xero!$B:$B,Heron!BE$9,Xero!$A:$A,Heron!$A$5,Xero!$E:$E,Heron!$A85)</f>
        <v/>
      </c>
      <c r="BF85" s="101">
        <f>SUMIFS(Xero!$F:$F,Xero!$B:$B,Heron!BF$9,Xero!$A:$A,Heron!$A$4,Xero!$E:$E,Heron!$A85)+SUMIFS(Xero!$F:$F,Xero!$B:$B,Heron!BF$9,Xero!$A:$A,Heron!$A$5,Xero!$E:$E,Heron!$A85)</f>
        <v/>
      </c>
      <c r="BG85" s="101">
        <f>SUMIFS(Xero!$F:$F,Xero!$B:$B,Heron!BG$9,Xero!$A:$A,Heron!$A$4,Xero!$E:$E,Heron!$A85)+SUMIFS(Xero!$F:$F,Xero!$B:$B,Heron!BG$9,Xero!$A:$A,Heron!$A$5,Xero!$E:$E,Heron!$A85)</f>
        <v/>
      </c>
      <c r="BH85" s="101">
        <f>SUMIFS(Xero!$F:$F,Xero!$B:$B,Heron!BH$9,Xero!$A:$A,Heron!$A$4,Xero!$E:$E,Heron!$A85)+SUMIFS(Xero!$F:$F,Xero!$B:$B,Heron!BH$9,Xero!$A:$A,Heron!$A$5,Xero!$E:$E,Heron!$A85)</f>
        <v/>
      </c>
      <c r="BI85" s="101">
        <f>SUMIFS(Xero!$F:$F,Xero!$B:$B,Heron!BI$9,Xero!$A:$A,Heron!$A$4,Xero!$E:$E,Heron!$A85)+SUMIFS(Xero!$F:$F,Xero!$B:$B,Heron!BI$9,Xero!$A:$A,Heron!$A$5,Xero!$E:$E,Heron!$A85)</f>
        <v/>
      </c>
      <c r="BJ85" s="101">
        <f>SUMIFS(Xero!$F:$F,Xero!$B:$B,Heron!BJ$9,Xero!$A:$A,Heron!$A$4,Xero!$E:$E,Heron!$A85)+SUMIFS(Xero!$F:$F,Xero!$B:$B,Heron!BJ$9,Xero!$A:$A,Heron!$A$5,Xero!$E:$E,Heron!$A85)</f>
        <v/>
      </c>
      <c r="BK85" s="101">
        <f>sum(D85:BJ85)</f>
        <v/>
      </c>
    </row>
    <row r="86">
      <c r="A86" s="100" t="inlineStr">
        <is>
          <t>Interest Paid - Investors @ 9%</t>
        </is>
      </c>
      <c r="D86" s="101">
        <f>SUMIFS(Xero!$F:$F,Xero!$B:$B,Heron!D$9,Xero!$A:$A,Heron!$A$4,Xero!$E:$E,Heron!$A86)+SUMIFS(Xero!$F:$F,Xero!$B:$B,Heron!D$9,Xero!$A:$A,Heron!$A$5,Xero!$E:$E,Heron!$A86)</f>
        <v/>
      </c>
      <c r="E86" s="101">
        <f>SUMIFS(Xero!$F:$F,Xero!$B:$B,Heron!E$9,Xero!$A:$A,Heron!$A$4,Xero!$E:$E,Heron!$A86)+SUMIFS(Xero!$F:$F,Xero!$B:$B,Heron!E$9,Xero!$A:$A,Heron!$A$5,Xero!$E:$E,Heron!$A86)</f>
        <v/>
      </c>
      <c r="F86" s="101">
        <f>SUMIFS(Xero!$F:$F,Xero!$B:$B,Heron!F$9,Xero!$A:$A,Heron!$A$4,Xero!$E:$E,Heron!$A86)+SUMIFS(Xero!$F:$F,Xero!$B:$B,Heron!F$9,Xero!$A:$A,Heron!$A$5,Xero!$E:$E,Heron!$A86)</f>
        <v/>
      </c>
      <c r="G86" s="101">
        <f>SUMIFS(Xero!$F:$F,Xero!$B:$B,Heron!G$9,Xero!$A:$A,Heron!$A$4,Xero!$E:$E,Heron!$A86)+SUMIFS(Xero!$F:$F,Xero!$B:$B,Heron!G$9,Xero!$A:$A,Heron!$A$5,Xero!$E:$E,Heron!$A86)</f>
        <v/>
      </c>
      <c r="H86" s="101">
        <f>SUMIFS(Xero!$F:$F,Xero!$B:$B,Heron!H$9,Xero!$A:$A,Heron!$A$4,Xero!$E:$E,Heron!$A86)+SUMIFS(Xero!$F:$F,Xero!$B:$B,Heron!H$9,Xero!$A:$A,Heron!$A$5,Xero!$E:$E,Heron!$A86)</f>
        <v/>
      </c>
      <c r="I86" s="101">
        <f>SUMIFS(Xero!$F:$F,Xero!$B:$B,Heron!I$9,Xero!$A:$A,Heron!$A$4,Xero!$E:$E,Heron!$A86)+SUMIFS(Xero!$F:$F,Xero!$B:$B,Heron!I$9,Xero!$A:$A,Heron!$A$5,Xero!$E:$E,Heron!$A86)</f>
        <v/>
      </c>
      <c r="J86" s="101">
        <f>SUMIFS(Xero!$F:$F,Xero!$B:$B,Heron!J$9,Xero!$A:$A,Heron!$A$4,Xero!$E:$E,Heron!$A86)+SUMIFS(Xero!$F:$F,Xero!$B:$B,Heron!J$9,Xero!$A:$A,Heron!$A$5,Xero!$E:$E,Heron!$A86)</f>
        <v/>
      </c>
      <c r="K86" s="101">
        <f>SUMIFS(Xero!$F:$F,Xero!$B:$B,Heron!K$9,Xero!$A:$A,Heron!$A$4,Xero!$E:$E,Heron!$A86)+SUMIFS(Xero!$F:$F,Xero!$B:$B,Heron!K$9,Xero!$A:$A,Heron!$A$5,Xero!$E:$E,Heron!$A86)</f>
        <v/>
      </c>
      <c r="L86" s="101">
        <f>SUMIFS(Xero!$F:$F,Xero!$B:$B,Heron!L$9,Xero!$A:$A,Heron!$A$4,Xero!$E:$E,Heron!$A86)+SUMIFS(Xero!$F:$F,Xero!$B:$B,Heron!L$9,Xero!$A:$A,Heron!$A$5,Xero!$E:$E,Heron!$A86)</f>
        <v/>
      </c>
      <c r="M86" s="101">
        <f>SUMIFS(Xero!$F:$F,Xero!$B:$B,Heron!M$9,Xero!$A:$A,Heron!$A$4,Xero!$E:$E,Heron!$A86)+SUMIFS(Xero!$F:$F,Xero!$B:$B,Heron!M$9,Xero!$A:$A,Heron!$A$5,Xero!$E:$E,Heron!$A86)</f>
        <v/>
      </c>
      <c r="N86" s="101">
        <f>SUMIFS(Xero!$F:$F,Xero!$B:$B,Heron!N$9,Xero!$A:$A,Heron!$A$4,Xero!$E:$E,Heron!$A86)+SUMIFS(Xero!$F:$F,Xero!$B:$B,Heron!N$9,Xero!$A:$A,Heron!$A$5,Xero!$E:$E,Heron!$A86)</f>
        <v/>
      </c>
      <c r="O86" s="101">
        <f>SUMIFS(Xero!$F:$F,Xero!$B:$B,Heron!O$9,Xero!$A:$A,Heron!$A$4,Xero!$E:$E,Heron!$A86)+SUMIFS(Xero!$F:$F,Xero!$B:$B,Heron!O$9,Xero!$A:$A,Heron!$A$5,Xero!$E:$E,Heron!$A86)</f>
        <v/>
      </c>
      <c r="P86" s="101">
        <f>SUMIFS(Xero!$F:$F,Xero!$B:$B,Heron!P$9,Xero!$A:$A,Heron!$A$4,Xero!$E:$E,Heron!$A86)+SUMIFS(Xero!$F:$F,Xero!$B:$B,Heron!P$9,Xero!$A:$A,Heron!$A$5,Xero!$E:$E,Heron!$A86)</f>
        <v/>
      </c>
      <c r="Q86" s="101">
        <f>SUMIFS(Xero!$F:$F,Xero!$B:$B,Heron!Q$9,Xero!$A:$A,Heron!$A$4,Xero!$E:$E,Heron!$A86)+SUMIFS(Xero!$F:$F,Xero!$B:$B,Heron!Q$9,Xero!$A:$A,Heron!$A$5,Xero!$E:$E,Heron!$A86)</f>
        <v/>
      </c>
      <c r="R86" s="101">
        <f>SUMIFS(Xero!$F:$F,Xero!$B:$B,Heron!R$9,Xero!$A:$A,Heron!$A$4,Xero!$E:$E,Heron!$A86)+SUMIFS(Xero!$F:$F,Xero!$B:$B,Heron!R$9,Xero!$A:$A,Heron!$A$5,Xero!$E:$E,Heron!$A86)</f>
        <v/>
      </c>
      <c r="S86" s="101">
        <f>SUMIFS(Xero!$F:$F,Xero!$B:$B,Heron!S$9,Xero!$A:$A,Heron!$A$4,Xero!$E:$E,Heron!$A86)+SUMIFS(Xero!$F:$F,Xero!$B:$B,Heron!S$9,Xero!$A:$A,Heron!$A$5,Xero!$E:$E,Heron!$A86)</f>
        <v/>
      </c>
      <c r="T86" s="101">
        <f>SUMIFS(Xero!$F:$F,Xero!$B:$B,Heron!T$9,Xero!$A:$A,Heron!$A$4,Xero!$E:$E,Heron!$A86)+SUMIFS(Xero!$F:$F,Xero!$B:$B,Heron!T$9,Xero!$A:$A,Heron!$A$5,Xero!$E:$E,Heron!$A86)</f>
        <v/>
      </c>
      <c r="U86" s="101">
        <f>SUMIFS(Xero!$F:$F,Xero!$B:$B,Heron!U$9,Xero!$A:$A,Heron!$A$4,Xero!$E:$E,Heron!$A86)+SUMIFS(Xero!$F:$F,Xero!$B:$B,Heron!U$9,Xero!$A:$A,Heron!$A$5,Xero!$E:$E,Heron!$A86)</f>
        <v/>
      </c>
      <c r="V86" s="101">
        <f>SUMIFS(Xero!$F:$F,Xero!$B:$B,Heron!V$9,Xero!$A:$A,Heron!$A$4,Xero!$E:$E,Heron!$A86)+SUMIFS(Xero!$F:$F,Xero!$B:$B,Heron!V$9,Xero!$A:$A,Heron!$A$5,Xero!$E:$E,Heron!$A86)</f>
        <v/>
      </c>
      <c r="W86" s="101">
        <f>SUMIFS(Xero!$F:$F,Xero!$B:$B,Heron!W$9,Xero!$A:$A,Heron!$A$4,Xero!$E:$E,Heron!$A86)+SUMIFS(Xero!$F:$F,Xero!$B:$B,Heron!W$9,Xero!$A:$A,Heron!$A$5,Xero!$E:$E,Heron!$A86)</f>
        <v/>
      </c>
      <c r="X86" s="101">
        <f>SUMIFS(Xero!$F:$F,Xero!$B:$B,Heron!X$9,Xero!$A:$A,Heron!$A$4,Xero!$E:$E,Heron!$A86)+SUMIFS(Xero!$F:$F,Xero!$B:$B,Heron!X$9,Xero!$A:$A,Heron!$A$5,Xero!$E:$E,Heron!$A86)</f>
        <v/>
      </c>
      <c r="Y86" s="101">
        <f>SUMIFS(Xero!$F:$F,Xero!$B:$B,Heron!Y$9,Xero!$A:$A,Heron!$A$4,Xero!$E:$E,Heron!$A86)+SUMIFS(Xero!$F:$F,Xero!$B:$B,Heron!Y$9,Xero!$A:$A,Heron!$A$5,Xero!$E:$E,Heron!$A86)</f>
        <v/>
      </c>
      <c r="Z86" s="101">
        <f>SUMIFS(Xero!$F:$F,Xero!$B:$B,Heron!Z$9,Xero!$A:$A,Heron!$A$4,Xero!$E:$E,Heron!$A86)+SUMIFS(Xero!$F:$F,Xero!$B:$B,Heron!Z$9,Xero!$A:$A,Heron!$A$5,Xero!$E:$E,Heron!$A86)</f>
        <v/>
      </c>
      <c r="AA86" s="101">
        <f>SUMIFS(Xero!$F:$F,Xero!$B:$B,Heron!AA$9,Xero!$A:$A,Heron!$A$4,Xero!$E:$E,Heron!$A86)+SUMIFS(Xero!$F:$F,Xero!$B:$B,Heron!AA$9,Xero!$A:$A,Heron!$A$5,Xero!$E:$E,Heron!$A86)</f>
        <v/>
      </c>
      <c r="AB86" s="101">
        <f>SUMIFS(Xero!$F:$F,Xero!$B:$B,Heron!AB$9,Xero!$A:$A,Heron!$A$4,Xero!$E:$E,Heron!$A86)+SUMIFS(Xero!$F:$F,Xero!$B:$B,Heron!AB$9,Xero!$A:$A,Heron!$A$5,Xero!$E:$E,Heron!$A86)</f>
        <v/>
      </c>
      <c r="AC86" s="101">
        <f>SUMIFS(Xero!$F:$F,Xero!$B:$B,Heron!AC$9,Xero!$A:$A,Heron!$A$4,Xero!$E:$E,Heron!$A86)+SUMIFS(Xero!$F:$F,Xero!$B:$B,Heron!AC$9,Xero!$A:$A,Heron!$A$5,Xero!$E:$E,Heron!$A86)</f>
        <v/>
      </c>
      <c r="AD86" s="101">
        <f>SUMIFS(Xero!$F:$F,Xero!$B:$B,Heron!AD$9,Xero!$A:$A,Heron!$A$4,Xero!$E:$E,Heron!$A86)+SUMIFS(Xero!$F:$F,Xero!$B:$B,Heron!AD$9,Xero!$A:$A,Heron!$A$5,Xero!$E:$E,Heron!$A86)</f>
        <v/>
      </c>
      <c r="AE86" s="101">
        <f>SUMIFS(Xero!$F:$F,Xero!$B:$B,Heron!AE$9,Xero!$A:$A,Heron!$A$4,Xero!$E:$E,Heron!$A86)+SUMIFS(Xero!$F:$F,Xero!$B:$B,Heron!AE$9,Xero!$A:$A,Heron!$A$5,Xero!$E:$E,Heron!$A86)</f>
        <v/>
      </c>
      <c r="AF86" s="101">
        <f>SUMIFS(Xero!$F:$F,Xero!$B:$B,Heron!AF$9,Xero!$A:$A,Heron!$A$4,Xero!$E:$E,Heron!$A86)+SUMIFS(Xero!$F:$F,Xero!$B:$B,Heron!AF$9,Xero!$A:$A,Heron!$A$5,Xero!$E:$E,Heron!$A86)</f>
        <v/>
      </c>
      <c r="AG86" s="101">
        <f>SUMIFS(Xero!$F:$F,Xero!$B:$B,Heron!AG$9,Xero!$A:$A,Heron!$A$4,Xero!$E:$E,Heron!$A86)+SUMIFS(Xero!$F:$F,Xero!$B:$B,Heron!AG$9,Xero!$A:$A,Heron!$A$5,Xero!$E:$E,Heron!$A86)</f>
        <v/>
      </c>
      <c r="AH86" s="101">
        <f>SUMIFS(Xero!$F:$F,Xero!$B:$B,Heron!AH$9,Xero!$A:$A,Heron!$A$4,Xero!$E:$E,Heron!$A86)+SUMIFS(Xero!$F:$F,Xero!$B:$B,Heron!AH$9,Xero!$A:$A,Heron!$A$5,Xero!$E:$E,Heron!$A86)</f>
        <v/>
      </c>
      <c r="AI86" s="101">
        <f>SUMIFS(Xero!$F:$F,Xero!$B:$B,Heron!AI$9,Xero!$A:$A,Heron!$A$4,Xero!$E:$E,Heron!$A86)+SUMIFS(Xero!$F:$F,Xero!$B:$B,Heron!AI$9,Xero!$A:$A,Heron!$A$5,Xero!$E:$E,Heron!$A86)</f>
        <v/>
      </c>
      <c r="AJ86" s="101">
        <f>SUMIFS(Xero!$F:$F,Xero!$B:$B,Heron!AJ$9,Xero!$A:$A,Heron!$A$4,Xero!$E:$E,Heron!$A86)+SUMIFS(Xero!$F:$F,Xero!$B:$B,Heron!AJ$9,Xero!$A:$A,Heron!$A$5,Xero!$E:$E,Heron!$A86)</f>
        <v/>
      </c>
      <c r="AK86" s="101">
        <f>SUMIFS(Xero!$F:$F,Xero!$B:$B,Heron!AK$9,Xero!$A:$A,Heron!$A$4,Xero!$E:$E,Heron!$A86)+SUMIFS(Xero!$F:$F,Xero!$B:$B,Heron!AK$9,Xero!$A:$A,Heron!$A$5,Xero!$E:$E,Heron!$A86)</f>
        <v/>
      </c>
      <c r="AL86" s="101">
        <f>SUMIFS(Xero!$F:$F,Xero!$B:$B,Heron!AL$9,Xero!$A:$A,Heron!$A$4,Xero!$E:$E,Heron!$A86)+SUMIFS(Xero!$F:$F,Xero!$B:$B,Heron!AL$9,Xero!$A:$A,Heron!$A$5,Xero!$E:$E,Heron!$A86)</f>
        <v/>
      </c>
      <c r="AM86" s="101">
        <f>SUMIFS(Xero!$F:$F,Xero!$B:$B,Heron!AM$9,Xero!$A:$A,Heron!$A$4,Xero!$E:$E,Heron!$A86)+SUMIFS(Xero!$F:$F,Xero!$B:$B,Heron!AM$9,Xero!$A:$A,Heron!$A$5,Xero!$E:$E,Heron!$A86)</f>
        <v/>
      </c>
      <c r="AN86" s="101">
        <f>SUMIFS(Xero!$F:$F,Xero!$B:$B,Heron!AN$9,Xero!$A:$A,Heron!$A$4,Xero!$E:$E,Heron!$A86)+SUMIFS(Xero!$F:$F,Xero!$B:$B,Heron!AN$9,Xero!$A:$A,Heron!$A$5,Xero!$E:$E,Heron!$A86)</f>
        <v/>
      </c>
      <c r="AO86" s="101">
        <f>SUMIFS(Xero!$F:$F,Xero!$B:$B,Heron!AO$9,Xero!$A:$A,Heron!$A$4,Xero!$E:$E,Heron!$A86)+SUMIFS(Xero!$F:$F,Xero!$B:$B,Heron!AO$9,Xero!$A:$A,Heron!$A$5,Xero!$E:$E,Heron!$A86)</f>
        <v/>
      </c>
      <c r="AP86" s="101">
        <f>SUMIFS(Xero!$F:$F,Xero!$B:$B,Heron!AP$9,Xero!$A:$A,Heron!$A$4,Xero!$E:$E,Heron!$A86)+SUMIFS(Xero!$F:$F,Xero!$B:$B,Heron!AP$9,Xero!$A:$A,Heron!$A$5,Xero!$E:$E,Heron!$A86)</f>
        <v/>
      </c>
      <c r="AQ86" s="101">
        <f>SUMIFS(Xero!$F:$F,Xero!$B:$B,Heron!AQ$9,Xero!$A:$A,Heron!$A$4,Xero!$E:$E,Heron!$A86)+SUMIFS(Xero!$F:$F,Xero!$B:$B,Heron!AQ$9,Xero!$A:$A,Heron!$A$5,Xero!$E:$E,Heron!$A86)</f>
        <v/>
      </c>
      <c r="AR86" s="101">
        <f>SUMIFS(Xero!$F:$F,Xero!$B:$B,Heron!AR$9,Xero!$A:$A,Heron!$A$4,Xero!$E:$E,Heron!$A86)+SUMIFS(Xero!$F:$F,Xero!$B:$B,Heron!AR$9,Xero!$A:$A,Heron!$A$5,Xero!$E:$E,Heron!$A86)</f>
        <v/>
      </c>
      <c r="AS86" s="101">
        <f>SUMIFS(Xero!$F:$F,Xero!$B:$B,Heron!AS$9,Xero!$A:$A,Heron!$A$4,Xero!$E:$E,Heron!$A86)+SUMIFS(Xero!$F:$F,Xero!$B:$B,Heron!AS$9,Xero!$A:$A,Heron!$A$5,Xero!$E:$E,Heron!$A86)</f>
        <v/>
      </c>
      <c r="AT86" s="101">
        <f>SUMIFS(Xero!$F:$F,Xero!$B:$B,Heron!AT$9,Xero!$A:$A,Heron!$A$4,Xero!$E:$E,Heron!$A86)+SUMIFS(Xero!$F:$F,Xero!$B:$B,Heron!AT$9,Xero!$A:$A,Heron!$A$5,Xero!$E:$E,Heron!$A86)</f>
        <v/>
      </c>
      <c r="AU86" s="101">
        <f>SUMIFS(Xero!$F:$F,Xero!$B:$B,Heron!AU$9,Xero!$A:$A,Heron!$A$4,Xero!$E:$E,Heron!$A86)+SUMIFS(Xero!$F:$F,Xero!$B:$B,Heron!AU$9,Xero!$A:$A,Heron!$A$5,Xero!$E:$E,Heron!$A86)</f>
        <v/>
      </c>
      <c r="AV86" s="101">
        <f>SUMIFS(Xero!$F:$F,Xero!$B:$B,Heron!AV$9,Xero!$A:$A,Heron!$A$4,Xero!$E:$E,Heron!$A86)+SUMIFS(Xero!$F:$F,Xero!$B:$B,Heron!AV$9,Xero!$A:$A,Heron!$A$5,Xero!$E:$E,Heron!$A86)</f>
        <v/>
      </c>
      <c r="AW86" s="101">
        <f>SUMIFS(Xero!$F:$F,Xero!$B:$B,Heron!AW$9,Xero!$A:$A,Heron!$A$4,Xero!$E:$E,Heron!$A86)+SUMIFS(Xero!$F:$F,Xero!$B:$B,Heron!AW$9,Xero!$A:$A,Heron!$A$5,Xero!$E:$E,Heron!$A86)</f>
        <v/>
      </c>
      <c r="AX86" s="101">
        <f>SUMIFS(Xero!$F:$F,Xero!$B:$B,Heron!AX$9,Xero!$A:$A,Heron!$A$4,Xero!$E:$E,Heron!$A86)+SUMIFS(Xero!$F:$F,Xero!$B:$B,Heron!AX$9,Xero!$A:$A,Heron!$A$5,Xero!$E:$E,Heron!$A86)</f>
        <v/>
      </c>
      <c r="AY86" s="101">
        <f>SUMIFS(Xero!$F:$F,Xero!$B:$B,Heron!AY$9,Xero!$A:$A,Heron!$A$4,Xero!$E:$E,Heron!$A86)+SUMIFS(Xero!$F:$F,Xero!$B:$B,Heron!AY$9,Xero!$A:$A,Heron!$A$5,Xero!$E:$E,Heron!$A86)</f>
        <v/>
      </c>
      <c r="AZ86" s="101">
        <f>SUMIFS(Xero!$F:$F,Xero!$B:$B,Heron!AZ$9,Xero!$A:$A,Heron!$A$4,Xero!$E:$E,Heron!$A86)+SUMIFS(Xero!$F:$F,Xero!$B:$B,Heron!AZ$9,Xero!$A:$A,Heron!$A$5,Xero!$E:$E,Heron!$A86)</f>
        <v/>
      </c>
      <c r="BA86" s="101">
        <f>SUMIFS(Xero!$F:$F,Xero!$B:$B,Heron!BA$9,Xero!$A:$A,Heron!$A$4,Xero!$E:$E,Heron!$A86)+SUMIFS(Xero!$F:$F,Xero!$B:$B,Heron!BA$9,Xero!$A:$A,Heron!$A$5,Xero!$E:$E,Heron!$A86)</f>
        <v/>
      </c>
      <c r="BB86" s="101">
        <f>SUMIFS(Xero!$F:$F,Xero!$B:$B,Heron!BB$9,Xero!$A:$A,Heron!$A$4,Xero!$E:$E,Heron!$A86)+SUMIFS(Xero!$F:$F,Xero!$B:$B,Heron!BB$9,Xero!$A:$A,Heron!$A$5,Xero!$E:$E,Heron!$A86)</f>
        <v/>
      </c>
      <c r="BC86" s="101">
        <f>SUMIFS(Xero!$F:$F,Xero!$B:$B,Heron!BC$9,Xero!$A:$A,Heron!$A$4,Xero!$E:$E,Heron!$A86)+SUMIFS(Xero!$F:$F,Xero!$B:$B,Heron!BC$9,Xero!$A:$A,Heron!$A$5,Xero!$E:$E,Heron!$A86)</f>
        <v/>
      </c>
      <c r="BD86" s="101">
        <f>SUMIFS(Xero!$F:$F,Xero!$B:$B,Heron!BD$9,Xero!$A:$A,Heron!$A$4,Xero!$E:$E,Heron!$A86)+SUMIFS(Xero!$F:$F,Xero!$B:$B,Heron!BD$9,Xero!$A:$A,Heron!$A$5,Xero!$E:$E,Heron!$A86)</f>
        <v/>
      </c>
      <c r="BE86" s="101">
        <f>SUMIFS(Xero!$F:$F,Xero!$B:$B,Heron!BE$9,Xero!$A:$A,Heron!$A$4,Xero!$E:$E,Heron!$A86)+SUMIFS(Xero!$F:$F,Xero!$B:$B,Heron!BE$9,Xero!$A:$A,Heron!$A$5,Xero!$E:$E,Heron!$A86)</f>
        <v/>
      </c>
      <c r="BF86" s="101">
        <f>SUMIFS(Xero!$F:$F,Xero!$B:$B,Heron!BF$9,Xero!$A:$A,Heron!$A$4,Xero!$E:$E,Heron!$A86)+SUMIFS(Xero!$F:$F,Xero!$B:$B,Heron!BF$9,Xero!$A:$A,Heron!$A$5,Xero!$E:$E,Heron!$A86)</f>
        <v/>
      </c>
      <c r="BG86" s="101">
        <f>SUMIFS(Xero!$F:$F,Xero!$B:$B,Heron!BG$9,Xero!$A:$A,Heron!$A$4,Xero!$E:$E,Heron!$A86)+SUMIFS(Xero!$F:$F,Xero!$B:$B,Heron!BG$9,Xero!$A:$A,Heron!$A$5,Xero!$E:$E,Heron!$A86)</f>
        <v/>
      </c>
      <c r="BH86" s="101">
        <f>SUMIFS(Xero!$F:$F,Xero!$B:$B,Heron!BH$9,Xero!$A:$A,Heron!$A$4,Xero!$E:$E,Heron!$A86)+SUMIFS(Xero!$F:$F,Xero!$B:$B,Heron!BH$9,Xero!$A:$A,Heron!$A$5,Xero!$E:$E,Heron!$A86)</f>
        <v/>
      </c>
      <c r="BI86" s="101">
        <f>SUMIFS(Xero!$F:$F,Xero!$B:$B,Heron!BI$9,Xero!$A:$A,Heron!$A$4,Xero!$E:$E,Heron!$A86)+SUMIFS(Xero!$F:$F,Xero!$B:$B,Heron!BI$9,Xero!$A:$A,Heron!$A$5,Xero!$E:$E,Heron!$A86)</f>
        <v/>
      </c>
      <c r="BJ86" s="101">
        <f>SUMIFS(Xero!$F:$F,Xero!$B:$B,Heron!BJ$9,Xero!$A:$A,Heron!$A$4,Xero!$E:$E,Heron!$A86)+SUMIFS(Xero!$F:$F,Xero!$B:$B,Heron!BJ$9,Xero!$A:$A,Heron!$A$5,Xero!$E:$E,Heron!$A86)</f>
        <v/>
      </c>
      <c r="BK86" s="101">
        <f>sum(D86:BJ86)</f>
        <v/>
      </c>
    </row>
    <row r="87">
      <c r="A87" s="100" t="inlineStr">
        <is>
          <t>Interest Paid - Investors @ 9.75%</t>
        </is>
      </c>
      <c r="D87" s="101">
        <f>SUMIFS(Xero!$F:$F,Xero!$B:$B,Heron!D$9,Xero!$A:$A,Heron!$A$4,Xero!$E:$E,Heron!$A87)+SUMIFS(Xero!$F:$F,Xero!$B:$B,Heron!D$9,Xero!$A:$A,Heron!$A$5,Xero!$E:$E,Heron!$A87)</f>
        <v/>
      </c>
      <c r="E87" s="101">
        <f>SUMIFS(Xero!$F:$F,Xero!$B:$B,Heron!E$9,Xero!$A:$A,Heron!$A$4,Xero!$E:$E,Heron!$A87)+SUMIFS(Xero!$F:$F,Xero!$B:$B,Heron!E$9,Xero!$A:$A,Heron!$A$5,Xero!$E:$E,Heron!$A87)</f>
        <v/>
      </c>
      <c r="F87" s="101">
        <f>SUMIFS(Xero!$F:$F,Xero!$B:$B,Heron!F$9,Xero!$A:$A,Heron!$A$4,Xero!$E:$E,Heron!$A87)+SUMIFS(Xero!$F:$F,Xero!$B:$B,Heron!F$9,Xero!$A:$A,Heron!$A$5,Xero!$E:$E,Heron!$A87)</f>
        <v/>
      </c>
      <c r="G87" s="101">
        <f>SUMIFS(Xero!$F:$F,Xero!$B:$B,Heron!G$9,Xero!$A:$A,Heron!$A$4,Xero!$E:$E,Heron!$A87)+SUMIFS(Xero!$F:$F,Xero!$B:$B,Heron!G$9,Xero!$A:$A,Heron!$A$5,Xero!$E:$E,Heron!$A87)</f>
        <v/>
      </c>
      <c r="H87" s="101">
        <f>SUMIFS(Xero!$F:$F,Xero!$B:$B,Heron!H$9,Xero!$A:$A,Heron!$A$4,Xero!$E:$E,Heron!$A87)+SUMIFS(Xero!$F:$F,Xero!$B:$B,Heron!H$9,Xero!$A:$A,Heron!$A$5,Xero!$E:$E,Heron!$A87)</f>
        <v/>
      </c>
      <c r="I87" s="101">
        <f>SUMIFS(Xero!$F:$F,Xero!$B:$B,Heron!I$9,Xero!$A:$A,Heron!$A$4,Xero!$E:$E,Heron!$A87)+SUMIFS(Xero!$F:$F,Xero!$B:$B,Heron!I$9,Xero!$A:$A,Heron!$A$5,Xero!$E:$E,Heron!$A87)</f>
        <v/>
      </c>
      <c r="J87" s="101">
        <f>SUMIFS(Xero!$F:$F,Xero!$B:$B,Heron!J$9,Xero!$A:$A,Heron!$A$4,Xero!$E:$E,Heron!$A87)+SUMIFS(Xero!$F:$F,Xero!$B:$B,Heron!J$9,Xero!$A:$A,Heron!$A$5,Xero!$E:$E,Heron!$A87)</f>
        <v/>
      </c>
      <c r="K87" s="101">
        <f>SUMIFS(Xero!$F:$F,Xero!$B:$B,Heron!K$9,Xero!$A:$A,Heron!$A$4,Xero!$E:$E,Heron!$A87)+SUMIFS(Xero!$F:$F,Xero!$B:$B,Heron!K$9,Xero!$A:$A,Heron!$A$5,Xero!$E:$E,Heron!$A87)</f>
        <v/>
      </c>
      <c r="L87" s="101">
        <f>SUMIFS(Xero!$F:$F,Xero!$B:$B,Heron!L$9,Xero!$A:$A,Heron!$A$4,Xero!$E:$E,Heron!$A87)+SUMIFS(Xero!$F:$F,Xero!$B:$B,Heron!L$9,Xero!$A:$A,Heron!$A$5,Xero!$E:$E,Heron!$A87)</f>
        <v/>
      </c>
      <c r="M87" s="101">
        <f>SUMIFS(Xero!$F:$F,Xero!$B:$B,Heron!M$9,Xero!$A:$A,Heron!$A$4,Xero!$E:$E,Heron!$A87)+SUMIFS(Xero!$F:$F,Xero!$B:$B,Heron!M$9,Xero!$A:$A,Heron!$A$5,Xero!$E:$E,Heron!$A87)</f>
        <v/>
      </c>
      <c r="N87" s="101">
        <f>SUMIFS(Xero!$F:$F,Xero!$B:$B,Heron!N$9,Xero!$A:$A,Heron!$A$4,Xero!$E:$E,Heron!$A87)+SUMIFS(Xero!$F:$F,Xero!$B:$B,Heron!N$9,Xero!$A:$A,Heron!$A$5,Xero!$E:$E,Heron!$A87)</f>
        <v/>
      </c>
      <c r="O87" s="101">
        <f>SUMIFS(Xero!$F:$F,Xero!$B:$B,Heron!O$9,Xero!$A:$A,Heron!$A$4,Xero!$E:$E,Heron!$A87)+SUMIFS(Xero!$F:$F,Xero!$B:$B,Heron!O$9,Xero!$A:$A,Heron!$A$5,Xero!$E:$E,Heron!$A87)</f>
        <v/>
      </c>
      <c r="P87" s="101">
        <f>SUMIFS(Xero!$F:$F,Xero!$B:$B,Heron!P$9,Xero!$A:$A,Heron!$A$4,Xero!$E:$E,Heron!$A87)+SUMIFS(Xero!$F:$F,Xero!$B:$B,Heron!P$9,Xero!$A:$A,Heron!$A$5,Xero!$E:$E,Heron!$A87)</f>
        <v/>
      </c>
      <c r="Q87" s="101">
        <f>SUMIFS(Xero!$F:$F,Xero!$B:$B,Heron!Q$9,Xero!$A:$A,Heron!$A$4,Xero!$E:$E,Heron!$A87)+SUMIFS(Xero!$F:$F,Xero!$B:$B,Heron!Q$9,Xero!$A:$A,Heron!$A$5,Xero!$E:$E,Heron!$A87)</f>
        <v/>
      </c>
      <c r="R87" s="101">
        <f>SUMIFS(Xero!$F:$F,Xero!$B:$B,Heron!R$9,Xero!$A:$A,Heron!$A$4,Xero!$E:$E,Heron!$A87)+SUMIFS(Xero!$F:$F,Xero!$B:$B,Heron!R$9,Xero!$A:$A,Heron!$A$5,Xero!$E:$E,Heron!$A87)</f>
        <v/>
      </c>
      <c r="S87" s="101">
        <f>SUMIFS(Xero!$F:$F,Xero!$B:$B,Heron!S$9,Xero!$A:$A,Heron!$A$4,Xero!$E:$E,Heron!$A87)+SUMIFS(Xero!$F:$F,Xero!$B:$B,Heron!S$9,Xero!$A:$A,Heron!$A$5,Xero!$E:$E,Heron!$A87)</f>
        <v/>
      </c>
      <c r="T87" s="101">
        <f>SUMIFS(Xero!$F:$F,Xero!$B:$B,Heron!T$9,Xero!$A:$A,Heron!$A$4,Xero!$E:$E,Heron!$A87)+SUMIFS(Xero!$F:$F,Xero!$B:$B,Heron!T$9,Xero!$A:$A,Heron!$A$5,Xero!$E:$E,Heron!$A87)</f>
        <v/>
      </c>
      <c r="U87" s="101">
        <f>SUMIFS(Xero!$F:$F,Xero!$B:$B,Heron!U$9,Xero!$A:$A,Heron!$A$4,Xero!$E:$E,Heron!$A87)+SUMIFS(Xero!$F:$F,Xero!$B:$B,Heron!U$9,Xero!$A:$A,Heron!$A$5,Xero!$E:$E,Heron!$A87)</f>
        <v/>
      </c>
      <c r="V87" s="101">
        <f>SUMIFS(Xero!$F:$F,Xero!$B:$B,Heron!V$9,Xero!$A:$A,Heron!$A$4,Xero!$E:$E,Heron!$A87)+SUMIFS(Xero!$F:$F,Xero!$B:$B,Heron!V$9,Xero!$A:$A,Heron!$A$5,Xero!$E:$E,Heron!$A87)</f>
        <v/>
      </c>
      <c r="W87" s="101">
        <f>SUMIFS(Xero!$F:$F,Xero!$B:$B,Heron!W$9,Xero!$A:$A,Heron!$A$4,Xero!$E:$E,Heron!$A87)+SUMIFS(Xero!$F:$F,Xero!$B:$B,Heron!W$9,Xero!$A:$A,Heron!$A$5,Xero!$E:$E,Heron!$A87)</f>
        <v/>
      </c>
      <c r="X87" s="101">
        <f>SUMIFS(Xero!$F:$F,Xero!$B:$B,Heron!X$9,Xero!$A:$A,Heron!$A$4,Xero!$E:$E,Heron!$A87)+SUMIFS(Xero!$F:$F,Xero!$B:$B,Heron!X$9,Xero!$A:$A,Heron!$A$5,Xero!$E:$E,Heron!$A87)</f>
        <v/>
      </c>
      <c r="Y87" s="101">
        <f>SUMIFS(Xero!$F:$F,Xero!$B:$B,Heron!Y$9,Xero!$A:$A,Heron!$A$4,Xero!$E:$E,Heron!$A87)+SUMIFS(Xero!$F:$F,Xero!$B:$B,Heron!Y$9,Xero!$A:$A,Heron!$A$5,Xero!$E:$E,Heron!$A87)</f>
        <v/>
      </c>
      <c r="Z87" s="101">
        <f>SUMIFS(Xero!$F:$F,Xero!$B:$B,Heron!Z$9,Xero!$A:$A,Heron!$A$4,Xero!$E:$E,Heron!$A87)+SUMIFS(Xero!$F:$F,Xero!$B:$B,Heron!Z$9,Xero!$A:$A,Heron!$A$5,Xero!$E:$E,Heron!$A87)</f>
        <v/>
      </c>
      <c r="AA87" s="101">
        <f>SUMIFS(Xero!$F:$F,Xero!$B:$B,Heron!AA$9,Xero!$A:$A,Heron!$A$4,Xero!$E:$E,Heron!$A87)+SUMIFS(Xero!$F:$F,Xero!$B:$B,Heron!AA$9,Xero!$A:$A,Heron!$A$5,Xero!$E:$E,Heron!$A87)</f>
        <v/>
      </c>
      <c r="AB87" s="101">
        <f>SUMIFS(Xero!$F:$F,Xero!$B:$B,Heron!AB$9,Xero!$A:$A,Heron!$A$4,Xero!$E:$E,Heron!$A87)+SUMIFS(Xero!$F:$F,Xero!$B:$B,Heron!AB$9,Xero!$A:$A,Heron!$A$5,Xero!$E:$E,Heron!$A87)</f>
        <v/>
      </c>
      <c r="AC87" s="101">
        <f>SUMIFS(Xero!$F:$F,Xero!$B:$B,Heron!AC$9,Xero!$A:$A,Heron!$A$4,Xero!$E:$E,Heron!$A87)+SUMIFS(Xero!$F:$F,Xero!$B:$B,Heron!AC$9,Xero!$A:$A,Heron!$A$5,Xero!$E:$E,Heron!$A87)</f>
        <v/>
      </c>
      <c r="AD87" s="101">
        <f>SUMIFS(Xero!$F:$F,Xero!$B:$B,Heron!AD$9,Xero!$A:$A,Heron!$A$4,Xero!$E:$E,Heron!$A87)+SUMIFS(Xero!$F:$F,Xero!$B:$B,Heron!AD$9,Xero!$A:$A,Heron!$A$5,Xero!$E:$E,Heron!$A87)</f>
        <v/>
      </c>
      <c r="AE87" s="101">
        <f>SUMIFS(Xero!$F:$F,Xero!$B:$B,Heron!AE$9,Xero!$A:$A,Heron!$A$4,Xero!$E:$E,Heron!$A87)+SUMIFS(Xero!$F:$F,Xero!$B:$B,Heron!AE$9,Xero!$A:$A,Heron!$A$5,Xero!$E:$E,Heron!$A87)</f>
        <v/>
      </c>
      <c r="AF87" s="101">
        <f>SUMIFS(Xero!$F:$F,Xero!$B:$B,Heron!AF$9,Xero!$A:$A,Heron!$A$4,Xero!$E:$E,Heron!$A87)+SUMIFS(Xero!$F:$F,Xero!$B:$B,Heron!AF$9,Xero!$A:$A,Heron!$A$5,Xero!$E:$E,Heron!$A87)</f>
        <v/>
      </c>
      <c r="AG87" s="101">
        <f>SUMIFS(Xero!$F:$F,Xero!$B:$B,Heron!AG$9,Xero!$A:$A,Heron!$A$4,Xero!$E:$E,Heron!$A87)+SUMIFS(Xero!$F:$F,Xero!$B:$B,Heron!AG$9,Xero!$A:$A,Heron!$A$5,Xero!$E:$E,Heron!$A87)</f>
        <v/>
      </c>
      <c r="AH87" s="101">
        <f>SUMIFS(Xero!$F:$F,Xero!$B:$B,Heron!AH$9,Xero!$A:$A,Heron!$A$4,Xero!$E:$E,Heron!$A87)+SUMIFS(Xero!$F:$F,Xero!$B:$B,Heron!AH$9,Xero!$A:$A,Heron!$A$5,Xero!$E:$E,Heron!$A87)</f>
        <v/>
      </c>
      <c r="AI87" s="101">
        <f>SUMIFS(Xero!$F:$F,Xero!$B:$B,Heron!AI$9,Xero!$A:$A,Heron!$A$4,Xero!$E:$E,Heron!$A87)+SUMIFS(Xero!$F:$F,Xero!$B:$B,Heron!AI$9,Xero!$A:$A,Heron!$A$5,Xero!$E:$E,Heron!$A87)</f>
        <v/>
      </c>
      <c r="AJ87" s="101">
        <f>SUMIFS(Xero!$F:$F,Xero!$B:$B,Heron!AJ$9,Xero!$A:$A,Heron!$A$4,Xero!$E:$E,Heron!$A87)+SUMIFS(Xero!$F:$F,Xero!$B:$B,Heron!AJ$9,Xero!$A:$A,Heron!$A$5,Xero!$E:$E,Heron!$A87)</f>
        <v/>
      </c>
      <c r="AK87" s="101">
        <f>SUMIFS(Xero!$F:$F,Xero!$B:$B,Heron!AK$9,Xero!$A:$A,Heron!$A$4,Xero!$E:$E,Heron!$A87)+SUMIFS(Xero!$F:$F,Xero!$B:$B,Heron!AK$9,Xero!$A:$A,Heron!$A$5,Xero!$E:$E,Heron!$A87)</f>
        <v/>
      </c>
      <c r="AL87" s="101">
        <f>SUMIFS(Xero!$F:$F,Xero!$B:$B,Heron!AL$9,Xero!$A:$A,Heron!$A$4,Xero!$E:$E,Heron!$A87)+SUMIFS(Xero!$F:$F,Xero!$B:$B,Heron!AL$9,Xero!$A:$A,Heron!$A$5,Xero!$E:$E,Heron!$A87)</f>
        <v/>
      </c>
      <c r="AM87" s="101">
        <f>SUMIFS(Xero!$F:$F,Xero!$B:$B,Heron!AM$9,Xero!$A:$A,Heron!$A$4,Xero!$E:$E,Heron!$A87)+SUMIFS(Xero!$F:$F,Xero!$B:$B,Heron!AM$9,Xero!$A:$A,Heron!$A$5,Xero!$E:$E,Heron!$A87)</f>
        <v/>
      </c>
      <c r="AN87" s="101">
        <f>SUMIFS(Xero!$F:$F,Xero!$B:$B,Heron!AN$9,Xero!$A:$A,Heron!$A$4,Xero!$E:$E,Heron!$A87)+SUMIFS(Xero!$F:$F,Xero!$B:$B,Heron!AN$9,Xero!$A:$A,Heron!$A$5,Xero!$E:$E,Heron!$A87)</f>
        <v/>
      </c>
      <c r="AO87" s="101">
        <f>SUMIFS(Xero!$F:$F,Xero!$B:$B,Heron!AO$9,Xero!$A:$A,Heron!$A$4,Xero!$E:$E,Heron!$A87)+SUMIFS(Xero!$F:$F,Xero!$B:$B,Heron!AO$9,Xero!$A:$A,Heron!$A$5,Xero!$E:$E,Heron!$A87)</f>
        <v/>
      </c>
      <c r="AP87" s="101">
        <f>SUMIFS(Xero!$F:$F,Xero!$B:$B,Heron!AP$9,Xero!$A:$A,Heron!$A$4,Xero!$E:$E,Heron!$A87)+SUMIFS(Xero!$F:$F,Xero!$B:$B,Heron!AP$9,Xero!$A:$A,Heron!$A$5,Xero!$E:$E,Heron!$A87)</f>
        <v/>
      </c>
      <c r="AQ87" s="101">
        <f>SUMIFS(Xero!$F:$F,Xero!$B:$B,Heron!AQ$9,Xero!$A:$A,Heron!$A$4,Xero!$E:$E,Heron!$A87)+SUMIFS(Xero!$F:$F,Xero!$B:$B,Heron!AQ$9,Xero!$A:$A,Heron!$A$5,Xero!$E:$E,Heron!$A87)</f>
        <v/>
      </c>
      <c r="AR87" s="101">
        <f>SUMIFS(Xero!$F:$F,Xero!$B:$B,Heron!AR$9,Xero!$A:$A,Heron!$A$4,Xero!$E:$E,Heron!$A87)+SUMIFS(Xero!$F:$F,Xero!$B:$B,Heron!AR$9,Xero!$A:$A,Heron!$A$5,Xero!$E:$E,Heron!$A87)</f>
        <v/>
      </c>
      <c r="AS87" s="101">
        <f>SUMIFS(Xero!$F:$F,Xero!$B:$B,Heron!AS$9,Xero!$A:$A,Heron!$A$4,Xero!$E:$E,Heron!$A87)+SUMIFS(Xero!$F:$F,Xero!$B:$B,Heron!AS$9,Xero!$A:$A,Heron!$A$5,Xero!$E:$E,Heron!$A87)</f>
        <v/>
      </c>
      <c r="AT87" s="101">
        <f>SUMIFS(Xero!$F:$F,Xero!$B:$B,Heron!AT$9,Xero!$A:$A,Heron!$A$4,Xero!$E:$E,Heron!$A87)+SUMIFS(Xero!$F:$F,Xero!$B:$B,Heron!AT$9,Xero!$A:$A,Heron!$A$5,Xero!$E:$E,Heron!$A87)</f>
        <v/>
      </c>
      <c r="AU87" s="101">
        <f>SUMIFS(Xero!$F:$F,Xero!$B:$B,Heron!AU$9,Xero!$A:$A,Heron!$A$4,Xero!$E:$E,Heron!$A87)+SUMIFS(Xero!$F:$F,Xero!$B:$B,Heron!AU$9,Xero!$A:$A,Heron!$A$5,Xero!$E:$E,Heron!$A87)</f>
        <v/>
      </c>
      <c r="AV87" s="101">
        <f>SUMIFS(Xero!$F:$F,Xero!$B:$B,Heron!AV$9,Xero!$A:$A,Heron!$A$4,Xero!$E:$E,Heron!$A87)+SUMIFS(Xero!$F:$F,Xero!$B:$B,Heron!AV$9,Xero!$A:$A,Heron!$A$5,Xero!$E:$E,Heron!$A87)</f>
        <v/>
      </c>
      <c r="AW87" s="101">
        <f>SUMIFS(Xero!$F:$F,Xero!$B:$B,Heron!AW$9,Xero!$A:$A,Heron!$A$4,Xero!$E:$E,Heron!$A87)+SUMIFS(Xero!$F:$F,Xero!$B:$B,Heron!AW$9,Xero!$A:$A,Heron!$A$5,Xero!$E:$E,Heron!$A87)</f>
        <v/>
      </c>
      <c r="AX87" s="101">
        <f>SUMIFS(Xero!$F:$F,Xero!$B:$B,Heron!AX$9,Xero!$A:$A,Heron!$A$4,Xero!$E:$E,Heron!$A87)+SUMIFS(Xero!$F:$F,Xero!$B:$B,Heron!AX$9,Xero!$A:$A,Heron!$A$5,Xero!$E:$E,Heron!$A87)</f>
        <v/>
      </c>
      <c r="AY87" s="101">
        <f>SUMIFS(Xero!$F:$F,Xero!$B:$B,Heron!AY$9,Xero!$A:$A,Heron!$A$4,Xero!$E:$E,Heron!$A87)+SUMIFS(Xero!$F:$F,Xero!$B:$B,Heron!AY$9,Xero!$A:$A,Heron!$A$5,Xero!$E:$E,Heron!$A87)</f>
        <v/>
      </c>
      <c r="AZ87" s="101">
        <f>SUMIFS(Xero!$F:$F,Xero!$B:$B,Heron!AZ$9,Xero!$A:$A,Heron!$A$4,Xero!$E:$E,Heron!$A87)+SUMIFS(Xero!$F:$F,Xero!$B:$B,Heron!AZ$9,Xero!$A:$A,Heron!$A$5,Xero!$E:$E,Heron!$A87)</f>
        <v/>
      </c>
      <c r="BA87" s="101">
        <f>SUMIFS(Xero!$F:$F,Xero!$B:$B,Heron!BA$9,Xero!$A:$A,Heron!$A$4,Xero!$E:$E,Heron!$A87)+SUMIFS(Xero!$F:$F,Xero!$B:$B,Heron!BA$9,Xero!$A:$A,Heron!$A$5,Xero!$E:$E,Heron!$A87)</f>
        <v/>
      </c>
      <c r="BB87" s="101">
        <f>SUMIFS(Xero!$F:$F,Xero!$B:$B,Heron!BB$9,Xero!$A:$A,Heron!$A$4,Xero!$E:$E,Heron!$A87)+SUMIFS(Xero!$F:$F,Xero!$B:$B,Heron!BB$9,Xero!$A:$A,Heron!$A$5,Xero!$E:$E,Heron!$A87)</f>
        <v/>
      </c>
      <c r="BC87" s="101">
        <f>SUMIFS(Xero!$F:$F,Xero!$B:$B,Heron!BC$9,Xero!$A:$A,Heron!$A$4,Xero!$E:$E,Heron!$A87)+SUMIFS(Xero!$F:$F,Xero!$B:$B,Heron!BC$9,Xero!$A:$A,Heron!$A$5,Xero!$E:$E,Heron!$A87)</f>
        <v/>
      </c>
      <c r="BD87" s="101">
        <f>SUMIFS(Xero!$F:$F,Xero!$B:$B,Heron!BD$9,Xero!$A:$A,Heron!$A$4,Xero!$E:$E,Heron!$A87)+SUMIFS(Xero!$F:$F,Xero!$B:$B,Heron!BD$9,Xero!$A:$A,Heron!$A$5,Xero!$E:$E,Heron!$A87)</f>
        <v/>
      </c>
      <c r="BE87" s="101">
        <f>SUMIFS(Xero!$F:$F,Xero!$B:$B,Heron!BE$9,Xero!$A:$A,Heron!$A$4,Xero!$E:$E,Heron!$A87)+SUMIFS(Xero!$F:$F,Xero!$B:$B,Heron!BE$9,Xero!$A:$A,Heron!$A$5,Xero!$E:$E,Heron!$A87)</f>
        <v/>
      </c>
      <c r="BF87" s="101">
        <f>SUMIFS(Xero!$F:$F,Xero!$B:$B,Heron!BF$9,Xero!$A:$A,Heron!$A$4,Xero!$E:$E,Heron!$A87)+SUMIFS(Xero!$F:$F,Xero!$B:$B,Heron!BF$9,Xero!$A:$A,Heron!$A$5,Xero!$E:$E,Heron!$A87)</f>
        <v/>
      </c>
      <c r="BG87" s="101">
        <f>SUMIFS(Xero!$F:$F,Xero!$B:$B,Heron!BG$9,Xero!$A:$A,Heron!$A$4,Xero!$E:$E,Heron!$A87)+SUMIFS(Xero!$F:$F,Xero!$B:$B,Heron!BG$9,Xero!$A:$A,Heron!$A$5,Xero!$E:$E,Heron!$A87)</f>
        <v/>
      </c>
      <c r="BH87" s="101">
        <f>SUMIFS(Xero!$F:$F,Xero!$B:$B,Heron!BH$9,Xero!$A:$A,Heron!$A$4,Xero!$E:$E,Heron!$A87)+SUMIFS(Xero!$F:$F,Xero!$B:$B,Heron!BH$9,Xero!$A:$A,Heron!$A$5,Xero!$E:$E,Heron!$A87)</f>
        <v/>
      </c>
      <c r="BI87" s="101">
        <f>SUMIFS(Xero!$F:$F,Xero!$B:$B,Heron!BI$9,Xero!$A:$A,Heron!$A$4,Xero!$E:$E,Heron!$A87)+SUMIFS(Xero!$F:$F,Xero!$B:$B,Heron!BI$9,Xero!$A:$A,Heron!$A$5,Xero!$E:$E,Heron!$A87)</f>
        <v/>
      </c>
      <c r="BJ87" s="101">
        <f>SUMIFS(Xero!$F:$F,Xero!$B:$B,Heron!BJ$9,Xero!$A:$A,Heron!$A$4,Xero!$E:$E,Heron!$A87)+SUMIFS(Xero!$F:$F,Xero!$B:$B,Heron!BJ$9,Xero!$A:$A,Heron!$A$5,Xero!$E:$E,Heron!$A87)</f>
        <v/>
      </c>
      <c r="BK87" s="101">
        <f>sum(D87:BJ87)</f>
        <v/>
      </c>
    </row>
    <row r="88">
      <c r="A88" s="100" t="inlineStr">
        <is>
          <t>Levies</t>
        </is>
      </c>
      <c r="D88" s="101">
        <f>SUMIFS(Xero!$F:$F,Xero!$B:$B,Heron!D$9,Xero!$A:$A,Heron!$A$4,Xero!$E:$E,Heron!$A88)+SUMIFS(Xero!$F:$F,Xero!$B:$B,Heron!D$9,Xero!$A:$A,Heron!$A$5,Xero!$E:$E,Heron!$A88)</f>
        <v/>
      </c>
      <c r="E88" s="101">
        <f>SUMIFS(Xero!$F:$F,Xero!$B:$B,Heron!E$9,Xero!$A:$A,Heron!$A$4,Xero!$E:$E,Heron!$A88)+SUMIFS(Xero!$F:$F,Xero!$B:$B,Heron!E$9,Xero!$A:$A,Heron!$A$5,Xero!$E:$E,Heron!$A88)</f>
        <v/>
      </c>
      <c r="F88" s="101">
        <f>SUMIFS(Xero!$F:$F,Xero!$B:$B,Heron!F$9,Xero!$A:$A,Heron!$A$4,Xero!$E:$E,Heron!$A88)+SUMIFS(Xero!$F:$F,Xero!$B:$B,Heron!F$9,Xero!$A:$A,Heron!$A$5,Xero!$E:$E,Heron!$A88)</f>
        <v/>
      </c>
      <c r="G88" s="101">
        <f>SUMIFS(Xero!$F:$F,Xero!$B:$B,Heron!G$9,Xero!$A:$A,Heron!$A$4,Xero!$E:$E,Heron!$A88)+SUMIFS(Xero!$F:$F,Xero!$B:$B,Heron!G$9,Xero!$A:$A,Heron!$A$5,Xero!$E:$E,Heron!$A88)</f>
        <v/>
      </c>
      <c r="H88" s="101">
        <f>SUMIFS(Xero!$F:$F,Xero!$B:$B,Heron!H$9,Xero!$A:$A,Heron!$A$4,Xero!$E:$E,Heron!$A88)+SUMIFS(Xero!$F:$F,Xero!$B:$B,Heron!H$9,Xero!$A:$A,Heron!$A$5,Xero!$E:$E,Heron!$A88)</f>
        <v/>
      </c>
      <c r="I88" s="101">
        <f>SUMIFS(Xero!$F:$F,Xero!$B:$B,Heron!I$9,Xero!$A:$A,Heron!$A$4,Xero!$E:$E,Heron!$A88)+SUMIFS(Xero!$F:$F,Xero!$B:$B,Heron!I$9,Xero!$A:$A,Heron!$A$5,Xero!$E:$E,Heron!$A88)</f>
        <v/>
      </c>
      <c r="J88" s="101">
        <f>SUMIFS(Xero!$F:$F,Xero!$B:$B,Heron!J$9,Xero!$A:$A,Heron!$A$4,Xero!$E:$E,Heron!$A88)+SUMIFS(Xero!$F:$F,Xero!$B:$B,Heron!J$9,Xero!$A:$A,Heron!$A$5,Xero!$E:$E,Heron!$A88)</f>
        <v/>
      </c>
      <c r="K88" s="101">
        <f>SUMIFS(Xero!$F:$F,Xero!$B:$B,Heron!K$9,Xero!$A:$A,Heron!$A$4,Xero!$E:$E,Heron!$A88)+SUMIFS(Xero!$F:$F,Xero!$B:$B,Heron!K$9,Xero!$A:$A,Heron!$A$5,Xero!$E:$E,Heron!$A88)</f>
        <v/>
      </c>
      <c r="L88" s="101">
        <f>SUMIFS(Xero!$F:$F,Xero!$B:$B,Heron!L$9,Xero!$A:$A,Heron!$A$4,Xero!$E:$E,Heron!$A88)+SUMIFS(Xero!$F:$F,Xero!$B:$B,Heron!L$9,Xero!$A:$A,Heron!$A$5,Xero!$E:$E,Heron!$A88)</f>
        <v/>
      </c>
      <c r="M88" s="101">
        <f>SUMIFS(Xero!$F:$F,Xero!$B:$B,Heron!M$9,Xero!$A:$A,Heron!$A$4,Xero!$E:$E,Heron!$A88)+SUMIFS(Xero!$F:$F,Xero!$B:$B,Heron!M$9,Xero!$A:$A,Heron!$A$5,Xero!$E:$E,Heron!$A88)</f>
        <v/>
      </c>
      <c r="N88" s="101">
        <f>SUMIFS(Xero!$F:$F,Xero!$B:$B,Heron!N$9,Xero!$A:$A,Heron!$A$4,Xero!$E:$E,Heron!$A88)+SUMIFS(Xero!$F:$F,Xero!$B:$B,Heron!N$9,Xero!$A:$A,Heron!$A$5,Xero!$E:$E,Heron!$A88)</f>
        <v/>
      </c>
      <c r="O88" s="101">
        <f>SUMIFS(Xero!$F:$F,Xero!$B:$B,Heron!O$9,Xero!$A:$A,Heron!$A$4,Xero!$E:$E,Heron!$A88)+SUMIFS(Xero!$F:$F,Xero!$B:$B,Heron!O$9,Xero!$A:$A,Heron!$A$5,Xero!$E:$E,Heron!$A88)</f>
        <v/>
      </c>
      <c r="P88" s="101">
        <f>SUMIFS(Xero!$F:$F,Xero!$B:$B,Heron!P$9,Xero!$A:$A,Heron!$A$4,Xero!$E:$E,Heron!$A88)+SUMIFS(Xero!$F:$F,Xero!$B:$B,Heron!P$9,Xero!$A:$A,Heron!$A$5,Xero!$E:$E,Heron!$A88)</f>
        <v/>
      </c>
      <c r="Q88" s="101">
        <f>SUMIFS(Xero!$F:$F,Xero!$B:$B,Heron!Q$9,Xero!$A:$A,Heron!$A$4,Xero!$E:$E,Heron!$A88)+SUMIFS(Xero!$F:$F,Xero!$B:$B,Heron!Q$9,Xero!$A:$A,Heron!$A$5,Xero!$E:$E,Heron!$A88)</f>
        <v/>
      </c>
      <c r="R88" s="101">
        <f>SUMIFS(Xero!$F:$F,Xero!$B:$B,Heron!R$9,Xero!$A:$A,Heron!$A$4,Xero!$E:$E,Heron!$A88)+SUMIFS(Xero!$F:$F,Xero!$B:$B,Heron!R$9,Xero!$A:$A,Heron!$A$5,Xero!$E:$E,Heron!$A88)</f>
        <v/>
      </c>
      <c r="S88" s="101">
        <f>SUMIFS(Xero!$F:$F,Xero!$B:$B,Heron!S$9,Xero!$A:$A,Heron!$A$4,Xero!$E:$E,Heron!$A88)+SUMIFS(Xero!$F:$F,Xero!$B:$B,Heron!S$9,Xero!$A:$A,Heron!$A$5,Xero!$E:$E,Heron!$A88)</f>
        <v/>
      </c>
      <c r="T88" s="101">
        <f>SUMIFS(Xero!$F:$F,Xero!$B:$B,Heron!T$9,Xero!$A:$A,Heron!$A$4,Xero!$E:$E,Heron!$A88)+SUMIFS(Xero!$F:$F,Xero!$B:$B,Heron!T$9,Xero!$A:$A,Heron!$A$5,Xero!$E:$E,Heron!$A88)</f>
        <v/>
      </c>
      <c r="U88" s="101">
        <f>SUMIFS(Xero!$F:$F,Xero!$B:$B,Heron!U$9,Xero!$A:$A,Heron!$A$4,Xero!$E:$E,Heron!$A88)+SUMIFS(Xero!$F:$F,Xero!$B:$B,Heron!U$9,Xero!$A:$A,Heron!$A$5,Xero!$E:$E,Heron!$A88)</f>
        <v/>
      </c>
      <c r="V88" s="101">
        <f>SUMIFS(Xero!$F:$F,Xero!$B:$B,Heron!V$9,Xero!$A:$A,Heron!$A$4,Xero!$E:$E,Heron!$A88)+SUMIFS(Xero!$F:$F,Xero!$B:$B,Heron!V$9,Xero!$A:$A,Heron!$A$5,Xero!$E:$E,Heron!$A88)</f>
        <v/>
      </c>
      <c r="W88" s="101">
        <f>SUMIFS(Xero!$F:$F,Xero!$B:$B,Heron!W$9,Xero!$A:$A,Heron!$A$4,Xero!$E:$E,Heron!$A88)+SUMIFS(Xero!$F:$F,Xero!$B:$B,Heron!W$9,Xero!$A:$A,Heron!$A$5,Xero!$E:$E,Heron!$A88)</f>
        <v/>
      </c>
      <c r="X88" s="101">
        <f>SUMIFS(Xero!$F:$F,Xero!$B:$B,Heron!X$9,Xero!$A:$A,Heron!$A$4,Xero!$E:$E,Heron!$A88)+SUMIFS(Xero!$F:$F,Xero!$B:$B,Heron!X$9,Xero!$A:$A,Heron!$A$5,Xero!$E:$E,Heron!$A88)</f>
        <v/>
      </c>
      <c r="Y88" s="101">
        <f>SUMIFS(Xero!$F:$F,Xero!$B:$B,Heron!Y$9,Xero!$A:$A,Heron!$A$4,Xero!$E:$E,Heron!$A88)+SUMIFS(Xero!$F:$F,Xero!$B:$B,Heron!Y$9,Xero!$A:$A,Heron!$A$5,Xero!$E:$E,Heron!$A88)</f>
        <v/>
      </c>
      <c r="Z88" s="101">
        <f>SUMIFS(Xero!$F:$F,Xero!$B:$B,Heron!Z$9,Xero!$A:$A,Heron!$A$4,Xero!$E:$E,Heron!$A88)+SUMIFS(Xero!$F:$F,Xero!$B:$B,Heron!Z$9,Xero!$A:$A,Heron!$A$5,Xero!$E:$E,Heron!$A88)</f>
        <v/>
      </c>
      <c r="AA88" s="101">
        <f>SUMIFS(Xero!$F:$F,Xero!$B:$B,Heron!AA$9,Xero!$A:$A,Heron!$A$4,Xero!$E:$E,Heron!$A88)+SUMIFS(Xero!$F:$F,Xero!$B:$B,Heron!AA$9,Xero!$A:$A,Heron!$A$5,Xero!$E:$E,Heron!$A88)</f>
        <v/>
      </c>
      <c r="AB88" s="101">
        <f>SUMIFS(Xero!$F:$F,Xero!$B:$B,Heron!AB$9,Xero!$A:$A,Heron!$A$4,Xero!$E:$E,Heron!$A88)+SUMIFS(Xero!$F:$F,Xero!$B:$B,Heron!AB$9,Xero!$A:$A,Heron!$A$5,Xero!$E:$E,Heron!$A88)</f>
        <v/>
      </c>
      <c r="AC88" s="101">
        <f>SUMIFS(Xero!$F:$F,Xero!$B:$B,Heron!AC$9,Xero!$A:$A,Heron!$A$4,Xero!$E:$E,Heron!$A88)+SUMIFS(Xero!$F:$F,Xero!$B:$B,Heron!AC$9,Xero!$A:$A,Heron!$A$5,Xero!$E:$E,Heron!$A88)</f>
        <v/>
      </c>
      <c r="AD88" s="101">
        <f>SUMIFS(Xero!$F:$F,Xero!$B:$B,Heron!AD$9,Xero!$A:$A,Heron!$A$4,Xero!$E:$E,Heron!$A88)+SUMIFS(Xero!$F:$F,Xero!$B:$B,Heron!AD$9,Xero!$A:$A,Heron!$A$5,Xero!$E:$E,Heron!$A88)</f>
        <v/>
      </c>
      <c r="AE88" s="101">
        <f>SUMIFS(Xero!$F:$F,Xero!$B:$B,Heron!AE$9,Xero!$A:$A,Heron!$A$4,Xero!$E:$E,Heron!$A88)+SUMIFS(Xero!$F:$F,Xero!$B:$B,Heron!AE$9,Xero!$A:$A,Heron!$A$5,Xero!$E:$E,Heron!$A88)</f>
        <v/>
      </c>
      <c r="AF88" s="101">
        <f>SUMIFS(Xero!$F:$F,Xero!$B:$B,Heron!AF$9,Xero!$A:$A,Heron!$A$4,Xero!$E:$E,Heron!$A88)+SUMIFS(Xero!$F:$F,Xero!$B:$B,Heron!AF$9,Xero!$A:$A,Heron!$A$5,Xero!$E:$E,Heron!$A88)</f>
        <v/>
      </c>
      <c r="AG88" s="101">
        <f>SUMIFS(Xero!$F:$F,Xero!$B:$B,Heron!AG$9,Xero!$A:$A,Heron!$A$4,Xero!$E:$E,Heron!$A88)+SUMIFS(Xero!$F:$F,Xero!$B:$B,Heron!AG$9,Xero!$A:$A,Heron!$A$5,Xero!$E:$E,Heron!$A88)</f>
        <v/>
      </c>
      <c r="AH88" s="101">
        <f>SUMIFS(Xero!$F:$F,Xero!$B:$B,Heron!AH$9,Xero!$A:$A,Heron!$A$4,Xero!$E:$E,Heron!$A88)+SUMIFS(Xero!$F:$F,Xero!$B:$B,Heron!AH$9,Xero!$A:$A,Heron!$A$5,Xero!$E:$E,Heron!$A88)</f>
        <v/>
      </c>
      <c r="AI88" s="101">
        <f>SUMIFS(Xero!$F:$F,Xero!$B:$B,Heron!AI$9,Xero!$A:$A,Heron!$A$4,Xero!$E:$E,Heron!$A88)+SUMIFS(Xero!$F:$F,Xero!$B:$B,Heron!AI$9,Xero!$A:$A,Heron!$A$5,Xero!$E:$E,Heron!$A88)</f>
        <v/>
      </c>
      <c r="AJ88" s="101">
        <f>SUMIFS(Xero!$F:$F,Xero!$B:$B,Heron!AJ$9,Xero!$A:$A,Heron!$A$4,Xero!$E:$E,Heron!$A88)+SUMIFS(Xero!$F:$F,Xero!$B:$B,Heron!AJ$9,Xero!$A:$A,Heron!$A$5,Xero!$E:$E,Heron!$A88)</f>
        <v/>
      </c>
      <c r="AK88" s="101">
        <f>SUMIFS(Xero!$F:$F,Xero!$B:$B,Heron!AK$9,Xero!$A:$A,Heron!$A$4,Xero!$E:$E,Heron!$A88)+SUMIFS(Xero!$F:$F,Xero!$B:$B,Heron!AK$9,Xero!$A:$A,Heron!$A$5,Xero!$E:$E,Heron!$A88)</f>
        <v/>
      </c>
      <c r="AL88" s="101">
        <f>SUMIFS(Xero!$F:$F,Xero!$B:$B,Heron!AL$9,Xero!$A:$A,Heron!$A$4,Xero!$E:$E,Heron!$A88)+SUMIFS(Xero!$F:$F,Xero!$B:$B,Heron!AL$9,Xero!$A:$A,Heron!$A$5,Xero!$E:$E,Heron!$A88)</f>
        <v/>
      </c>
      <c r="AM88" s="101">
        <f>SUMIFS(Xero!$F:$F,Xero!$B:$B,Heron!AM$9,Xero!$A:$A,Heron!$A$4,Xero!$E:$E,Heron!$A88)+SUMIFS(Xero!$F:$F,Xero!$B:$B,Heron!AM$9,Xero!$A:$A,Heron!$A$5,Xero!$E:$E,Heron!$A88)</f>
        <v/>
      </c>
      <c r="AN88" s="101">
        <f>SUMIFS(Xero!$F:$F,Xero!$B:$B,Heron!AN$9,Xero!$A:$A,Heron!$A$4,Xero!$E:$E,Heron!$A88)+SUMIFS(Xero!$F:$F,Xero!$B:$B,Heron!AN$9,Xero!$A:$A,Heron!$A$5,Xero!$E:$E,Heron!$A88)</f>
        <v/>
      </c>
      <c r="AO88" s="101">
        <f>SUMIFS(Xero!$F:$F,Xero!$B:$B,Heron!AO$9,Xero!$A:$A,Heron!$A$4,Xero!$E:$E,Heron!$A88)+SUMIFS(Xero!$F:$F,Xero!$B:$B,Heron!AO$9,Xero!$A:$A,Heron!$A$5,Xero!$E:$E,Heron!$A88)</f>
        <v/>
      </c>
      <c r="AP88" s="101">
        <f>SUMIFS(Xero!$F:$F,Xero!$B:$B,Heron!AP$9,Xero!$A:$A,Heron!$A$4,Xero!$E:$E,Heron!$A88)+SUMIFS(Xero!$F:$F,Xero!$B:$B,Heron!AP$9,Xero!$A:$A,Heron!$A$5,Xero!$E:$E,Heron!$A88)</f>
        <v/>
      </c>
      <c r="AQ88" s="101">
        <f>SUMIFS(Xero!$F:$F,Xero!$B:$B,Heron!AQ$9,Xero!$A:$A,Heron!$A$4,Xero!$E:$E,Heron!$A88)+SUMIFS(Xero!$F:$F,Xero!$B:$B,Heron!AQ$9,Xero!$A:$A,Heron!$A$5,Xero!$E:$E,Heron!$A88)</f>
        <v/>
      </c>
      <c r="AR88" s="101">
        <f>SUMIFS(Xero!$F:$F,Xero!$B:$B,Heron!AR$9,Xero!$A:$A,Heron!$A$4,Xero!$E:$E,Heron!$A88)+SUMIFS(Xero!$F:$F,Xero!$B:$B,Heron!AR$9,Xero!$A:$A,Heron!$A$5,Xero!$E:$E,Heron!$A88)</f>
        <v/>
      </c>
      <c r="AS88" s="101">
        <f>SUMIFS(Xero!$F:$F,Xero!$B:$B,Heron!AS$9,Xero!$A:$A,Heron!$A$4,Xero!$E:$E,Heron!$A88)+SUMIFS(Xero!$F:$F,Xero!$B:$B,Heron!AS$9,Xero!$A:$A,Heron!$A$5,Xero!$E:$E,Heron!$A88)</f>
        <v/>
      </c>
      <c r="AT88" s="101">
        <f>SUMIFS(Xero!$F:$F,Xero!$B:$B,Heron!AT$9,Xero!$A:$A,Heron!$A$4,Xero!$E:$E,Heron!$A88)+SUMIFS(Xero!$F:$F,Xero!$B:$B,Heron!AT$9,Xero!$A:$A,Heron!$A$5,Xero!$E:$E,Heron!$A88)</f>
        <v/>
      </c>
      <c r="AU88" s="101">
        <f>SUMIFS(Xero!$F:$F,Xero!$B:$B,Heron!AU$9,Xero!$A:$A,Heron!$A$4,Xero!$E:$E,Heron!$A88)+SUMIFS(Xero!$F:$F,Xero!$B:$B,Heron!AU$9,Xero!$A:$A,Heron!$A$5,Xero!$E:$E,Heron!$A88)</f>
        <v/>
      </c>
      <c r="AV88" s="101">
        <f>SUMIFS(Xero!$F:$F,Xero!$B:$B,Heron!AV$9,Xero!$A:$A,Heron!$A$4,Xero!$E:$E,Heron!$A88)+SUMIFS(Xero!$F:$F,Xero!$B:$B,Heron!AV$9,Xero!$A:$A,Heron!$A$5,Xero!$E:$E,Heron!$A88)</f>
        <v/>
      </c>
      <c r="AW88" s="101">
        <f>SUMIFS(Xero!$F:$F,Xero!$B:$B,Heron!AW$9,Xero!$A:$A,Heron!$A$4,Xero!$E:$E,Heron!$A88)+SUMIFS(Xero!$F:$F,Xero!$B:$B,Heron!AW$9,Xero!$A:$A,Heron!$A$5,Xero!$E:$E,Heron!$A88)</f>
        <v/>
      </c>
      <c r="AX88" s="101">
        <f>SUMIFS(Xero!$F:$F,Xero!$B:$B,Heron!AX$9,Xero!$A:$A,Heron!$A$4,Xero!$E:$E,Heron!$A88)+SUMIFS(Xero!$F:$F,Xero!$B:$B,Heron!AX$9,Xero!$A:$A,Heron!$A$5,Xero!$E:$E,Heron!$A88)</f>
        <v/>
      </c>
      <c r="AY88" s="101">
        <f>SUMIFS(Xero!$F:$F,Xero!$B:$B,Heron!AY$9,Xero!$A:$A,Heron!$A$4,Xero!$E:$E,Heron!$A88)+SUMIFS(Xero!$F:$F,Xero!$B:$B,Heron!AY$9,Xero!$A:$A,Heron!$A$5,Xero!$E:$E,Heron!$A88)</f>
        <v/>
      </c>
      <c r="AZ88" s="101">
        <f>SUMIFS(Xero!$F:$F,Xero!$B:$B,Heron!AZ$9,Xero!$A:$A,Heron!$A$4,Xero!$E:$E,Heron!$A88)+SUMIFS(Xero!$F:$F,Xero!$B:$B,Heron!AZ$9,Xero!$A:$A,Heron!$A$5,Xero!$E:$E,Heron!$A88)</f>
        <v/>
      </c>
      <c r="BA88" s="101">
        <f>SUMIFS(Xero!$F:$F,Xero!$B:$B,Heron!BA$9,Xero!$A:$A,Heron!$A$4,Xero!$E:$E,Heron!$A88)+SUMIFS(Xero!$F:$F,Xero!$B:$B,Heron!BA$9,Xero!$A:$A,Heron!$A$5,Xero!$E:$E,Heron!$A88)</f>
        <v/>
      </c>
      <c r="BB88" s="101">
        <f>SUMIFS(Xero!$F:$F,Xero!$B:$B,Heron!BB$9,Xero!$A:$A,Heron!$A$4,Xero!$E:$E,Heron!$A88)+SUMIFS(Xero!$F:$F,Xero!$B:$B,Heron!BB$9,Xero!$A:$A,Heron!$A$5,Xero!$E:$E,Heron!$A88)</f>
        <v/>
      </c>
      <c r="BC88" s="101">
        <f>SUMIFS(Xero!$F:$F,Xero!$B:$B,Heron!BC$9,Xero!$A:$A,Heron!$A$4,Xero!$E:$E,Heron!$A88)+SUMIFS(Xero!$F:$F,Xero!$B:$B,Heron!BC$9,Xero!$A:$A,Heron!$A$5,Xero!$E:$E,Heron!$A88)</f>
        <v/>
      </c>
      <c r="BD88" s="101">
        <f>SUMIFS(Xero!$F:$F,Xero!$B:$B,Heron!BD$9,Xero!$A:$A,Heron!$A$4,Xero!$E:$E,Heron!$A88)+SUMIFS(Xero!$F:$F,Xero!$B:$B,Heron!BD$9,Xero!$A:$A,Heron!$A$5,Xero!$E:$E,Heron!$A88)</f>
        <v/>
      </c>
      <c r="BE88" s="101">
        <f>SUMIFS(Xero!$F:$F,Xero!$B:$B,Heron!BE$9,Xero!$A:$A,Heron!$A$4,Xero!$E:$E,Heron!$A88)+SUMIFS(Xero!$F:$F,Xero!$B:$B,Heron!BE$9,Xero!$A:$A,Heron!$A$5,Xero!$E:$E,Heron!$A88)</f>
        <v/>
      </c>
      <c r="BF88" s="101">
        <f>SUMIFS(Xero!$F:$F,Xero!$B:$B,Heron!BF$9,Xero!$A:$A,Heron!$A$4,Xero!$E:$E,Heron!$A88)+SUMIFS(Xero!$F:$F,Xero!$B:$B,Heron!BF$9,Xero!$A:$A,Heron!$A$5,Xero!$E:$E,Heron!$A88)</f>
        <v/>
      </c>
      <c r="BG88" s="101">
        <f>SUMIFS(Xero!$F:$F,Xero!$B:$B,Heron!BG$9,Xero!$A:$A,Heron!$A$4,Xero!$E:$E,Heron!$A88)+SUMIFS(Xero!$F:$F,Xero!$B:$B,Heron!BG$9,Xero!$A:$A,Heron!$A$5,Xero!$E:$E,Heron!$A88)</f>
        <v/>
      </c>
      <c r="BH88" s="101">
        <f>SUMIFS(Xero!$F:$F,Xero!$B:$B,Heron!BH$9,Xero!$A:$A,Heron!$A$4,Xero!$E:$E,Heron!$A88)+SUMIFS(Xero!$F:$F,Xero!$B:$B,Heron!BH$9,Xero!$A:$A,Heron!$A$5,Xero!$E:$E,Heron!$A88)</f>
        <v/>
      </c>
      <c r="BI88" s="101">
        <f>SUMIFS(Xero!$F:$F,Xero!$B:$B,Heron!BI$9,Xero!$A:$A,Heron!$A$4,Xero!$E:$E,Heron!$A88)+SUMIFS(Xero!$F:$F,Xero!$B:$B,Heron!BI$9,Xero!$A:$A,Heron!$A$5,Xero!$E:$E,Heron!$A88)</f>
        <v/>
      </c>
      <c r="BJ88" s="101">
        <f>SUMIFS(Xero!$F:$F,Xero!$B:$B,Heron!BJ$9,Xero!$A:$A,Heron!$A$4,Xero!$E:$E,Heron!$A88)+SUMIFS(Xero!$F:$F,Xero!$B:$B,Heron!BJ$9,Xero!$A:$A,Heron!$A$5,Xero!$E:$E,Heron!$A88)</f>
        <v/>
      </c>
      <c r="BK88" s="101">
        <f>sum(D88:BJ88)</f>
        <v/>
      </c>
    </row>
    <row r="89">
      <c r="A89" s="100" t="inlineStr">
        <is>
          <t>Levies - Amari</t>
        </is>
      </c>
      <c r="D89" s="101">
        <f>SUMIFS(Xero!$F:$F,Xero!$B:$B,Heron!D$9,Xero!$A:$A,Heron!$A$4,Xero!$E:$E,Heron!$A89)+SUMIFS(Xero!$F:$F,Xero!$B:$B,Heron!D$9,Xero!$A:$A,Heron!$A$5,Xero!$E:$E,Heron!$A89)</f>
        <v/>
      </c>
      <c r="E89" s="101">
        <f>SUMIFS(Xero!$F:$F,Xero!$B:$B,Heron!E$9,Xero!$A:$A,Heron!$A$4,Xero!$E:$E,Heron!$A89)+SUMIFS(Xero!$F:$F,Xero!$B:$B,Heron!E$9,Xero!$A:$A,Heron!$A$5,Xero!$E:$E,Heron!$A89)</f>
        <v/>
      </c>
      <c r="F89" s="101">
        <f>SUMIFS(Xero!$F:$F,Xero!$B:$B,Heron!F$9,Xero!$A:$A,Heron!$A$4,Xero!$E:$E,Heron!$A89)+SUMIFS(Xero!$F:$F,Xero!$B:$B,Heron!F$9,Xero!$A:$A,Heron!$A$5,Xero!$E:$E,Heron!$A89)</f>
        <v/>
      </c>
      <c r="G89" s="101">
        <f>SUMIFS(Xero!$F:$F,Xero!$B:$B,Heron!G$9,Xero!$A:$A,Heron!$A$4,Xero!$E:$E,Heron!$A89)+SUMIFS(Xero!$F:$F,Xero!$B:$B,Heron!G$9,Xero!$A:$A,Heron!$A$5,Xero!$E:$E,Heron!$A89)</f>
        <v/>
      </c>
      <c r="H89" s="101">
        <f>SUMIFS(Xero!$F:$F,Xero!$B:$B,Heron!H$9,Xero!$A:$A,Heron!$A$4,Xero!$E:$E,Heron!$A89)+SUMIFS(Xero!$F:$F,Xero!$B:$B,Heron!H$9,Xero!$A:$A,Heron!$A$5,Xero!$E:$E,Heron!$A89)</f>
        <v/>
      </c>
      <c r="I89" s="101">
        <f>SUMIFS(Xero!$F:$F,Xero!$B:$B,Heron!I$9,Xero!$A:$A,Heron!$A$4,Xero!$E:$E,Heron!$A89)+SUMIFS(Xero!$F:$F,Xero!$B:$B,Heron!I$9,Xero!$A:$A,Heron!$A$5,Xero!$E:$E,Heron!$A89)</f>
        <v/>
      </c>
      <c r="J89" s="101">
        <f>SUMIFS(Xero!$F:$F,Xero!$B:$B,Heron!J$9,Xero!$A:$A,Heron!$A$4,Xero!$E:$E,Heron!$A89)+SUMIFS(Xero!$F:$F,Xero!$B:$B,Heron!J$9,Xero!$A:$A,Heron!$A$5,Xero!$E:$E,Heron!$A89)</f>
        <v/>
      </c>
      <c r="K89" s="101">
        <f>SUMIFS(Xero!$F:$F,Xero!$B:$B,Heron!K$9,Xero!$A:$A,Heron!$A$4,Xero!$E:$E,Heron!$A89)+SUMIFS(Xero!$F:$F,Xero!$B:$B,Heron!K$9,Xero!$A:$A,Heron!$A$5,Xero!$E:$E,Heron!$A89)</f>
        <v/>
      </c>
      <c r="L89" s="101">
        <f>SUMIFS(Xero!$F:$F,Xero!$B:$B,Heron!L$9,Xero!$A:$A,Heron!$A$4,Xero!$E:$E,Heron!$A89)+SUMIFS(Xero!$F:$F,Xero!$B:$B,Heron!L$9,Xero!$A:$A,Heron!$A$5,Xero!$E:$E,Heron!$A89)</f>
        <v/>
      </c>
      <c r="M89" s="101">
        <f>SUMIFS(Xero!$F:$F,Xero!$B:$B,Heron!M$9,Xero!$A:$A,Heron!$A$4,Xero!$E:$E,Heron!$A89)+SUMIFS(Xero!$F:$F,Xero!$B:$B,Heron!M$9,Xero!$A:$A,Heron!$A$5,Xero!$E:$E,Heron!$A89)</f>
        <v/>
      </c>
      <c r="N89" s="101">
        <f>SUMIFS(Xero!$F:$F,Xero!$B:$B,Heron!N$9,Xero!$A:$A,Heron!$A$4,Xero!$E:$E,Heron!$A89)+SUMIFS(Xero!$F:$F,Xero!$B:$B,Heron!N$9,Xero!$A:$A,Heron!$A$5,Xero!$E:$E,Heron!$A89)</f>
        <v/>
      </c>
      <c r="O89" s="101">
        <f>SUMIFS(Xero!$F:$F,Xero!$B:$B,Heron!O$9,Xero!$A:$A,Heron!$A$4,Xero!$E:$E,Heron!$A89)+SUMIFS(Xero!$F:$F,Xero!$B:$B,Heron!O$9,Xero!$A:$A,Heron!$A$5,Xero!$E:$E,Heron!$A89)</f>
        <v/>
      </c>
      <c r="P89" s="101">
        <f>SUMIFS(Xero!$F:$F,Xero!$B:$B,Heron!P$9,Xero!$A:$A,Heron!$A$4,Xero!$E:$E,Heron!$A89)+SUMIFS(Xero!$F:$F,Xero!$B:$B,Heron!P$9,Xero!$A:$A,Heron!$A$5,Xero!$E:$E,Heron!$A89)</f>
        <v/>
      </c>
      <c r="Q89" s="101">
        <f>SUMIFS(Xero!$F:$F,Xero!$B:$B,Heron!Q$9,Xero!$A:$A,Heron!$A$4,Xero!$E:$E,Heron!$A89)+SUMIFS(Xero!$F:$F,Xero!$B:$B,Heron!Q$9,Xero!$A:$A,Heron!$A$5,Xero!$E:$E,Heron!$A89)</f>
        <v/>
      </c>
      <c r="R89" s="101">
        <f>SUMIFS(Xero!$F:$F,Xero!$B:$B,Heron!R$9,Xero!$A:$A,Heron!$A$4,Xero!$E:$E,Heron!$A89)+SUMIFS(Xero!$F:$F,Xero!$B:$B,Heron!R$9,Xero!$A:$A,Heron!$A$5,Xero!$E:$E,Heron!$A89)</f>
        <v/>
      </c>
      <c r="S89" s="101">
        <f>SUMIFS(Xero!$F:$F,Xero!$B:$B,Heron!S$9,Xero!$A:$A,Heron!$A$4,Xero!$E:$E,Heron!$A89)+SUMIFS(Xero!$F:$F,Xero!$B:$B,Heron!S$9,Xero!$A:$A,Heron!$A$5,Xero!$E:$E,Heron!$A89)</f>
        <v/>
      </c>
      <c r="T89" s="101">
        <f>SUMIFS(Xero!$F:$F,Xero!$B:$B,Heron!T$9,Xero!$A:$A,Heron!$A$4,Xero!$E:$E,Heron!$A89)+SUMIFS(Xero!$F:$F,Xero!$B:$B,Heron!T$9,Xero!$A:$A,Heron!$A$5,Xero!$E:$E,Heron!$A89)</f>
        <v/>
      </c>
      <c r="U89" s="101">
        <f>SUMIFS(Xero!$F:$F,Xero!$B:$B,Heron!U$9,Xero!$A:$A,Heron!$A$4,Xero!$E:$E,Heron!$A89)+SUMIFS(Xero!$F:$F,Xero!$B:$B,Heron!U$9,Xero!$A:$A,Heron!$A$5,Xero!$E:$E,Heron!$A89)</f>
        <v/>
      </c>
      <c r="V89" s="101">
        <f>SUMIFS(Xero!$F:$F,Xero!$B:$B,Heron!V$9,Xero!$A:$A,Heron!$A$4,Xero!$E:$E,Heron!$A89)+SUMIFS(Xero!$F:$F,Xero!$B:$B,Heron!V$9,Xero!$A:$A,Heron!$A$5,Xero!$E:$E,Heron!$A89)</f>
        <v/>
      </c>
      <c r="W89" s="101">
        <f>SUMIFS(Xero!$F:$F,Xero!$B:$B,Heron!W$9,Xero!$A:$A,Heron!$A$4,Xero!$E:$E,Heron!$A89)+SUMIFS(Xero!$F:$F,Xero!$B:$B,Heron!W$9,Xero!$A:$A,Heron!$A$5,Xero!$E:$E,Heron!$A89)</f>
        <v/>
      </c>
      <c r="X89" s="101">
        <f>SUMIFS(Xero!$F:$F,Xero!$B:$B,Heron!X$9,Xero!$A:$A,Heron!$A$4,Xero!$E:$E,Heron!$A89)+SUMIFS(Xero!$F:$F,Xero!$B:$B,Heron!X$9,Xero!$A:$A,Heron!$A$5,Xero!$E:$E,Heron!$A89)</f>
        <v/>
      </c>
      <c r="Y89" s="101">
        <f>SUMIFS(Xero!$F:$F,Xero!$B:$B,Heron!Y$9,Xero!$A:$A,Heron!$A$4,Xero!$E:$E,Heron!$A89)+SUMIFS(Xero!$F:$F,Xero!$B:$B,Heron!Y$9,Xero!$A:$A,Heron!$A$5,Xero!$E:$E,Heron!$A89)</f>
        <v/>
      </c>
      <c r="Z89" s="101">
        <f>SUMIFS(Xero!$F:$F,Xero!$B:$B,Heron!Z$9,Xero!$A:$A,Heron!$A$4,Xero!$E:$E,Heron!$A89)+SUMIFS(Xero!$F:$F,Xero!$B:$B,Heron!Z$9,Xero!$A:$A,Heron!$A$5,Xero!$E:$E,Heron!$A89)</f>
        <v/>
      </c>
      <c r="AA89" s="101">
        <f>SUMIFS(Xero!$F:$F,Xero!$B:$B,Heron!AA$9,Xero!$A:$A,Heron!$A$4,Xero!$E:$E,Heron!$A89)+SUMIFS(Xero!$F:$F,Xero!$B:$B,Heron!AA$9,Xero!$A:$A,Heron!$A$5,Xero!$E:$E,Heron!$A89)</f>
        <v/>
      </c>
      <c r="AB89" s="101">
        <f>SUMIFS(Xero!$F:$F,Xero!$B:$B,Heron!AB$9,Xero!$A:$A,Heron!$A$4,Xero!$E:$E,Heron!$A89)+SUMIFS(Xero!$F:$F,Xero!$B:$B,Heron!AB$9,Xero!$A:$A,Heron!$A$5,Xero!$E:$E,Heron!$A89)</f>
        <v/>
      </c>
      <c r="AC89" s="101">
        <f>SUMIFS(Xero!$F:$F,Xero!$B:$B,Heron!AC$9,Xero!$A:$A,Heron!$A$4,Xero!$E:$E,Heron!$A89)+SUMIFS(Xero!$F:$F,Xero!$B:$B,Heron!AC$9,Xero!$A:$A,Heron!$A$5,Xero!$E:$E,Heron!$A89)</f>
        <v/>
      </c>
      <c r="AD89" s="101">
        <f>SUMIFS(Xero!$F:$F,Xero!$B:$B,Heron!AD$9,Xero!$A:$A,Heron!$A$4,Xero!$E:$E,Heron!$A89)+SUMIFS(Xero!$F:$F,Xero!$B:$B,Heron!AD$9,Xero!$A:$A,Heron!$A$5,Xero!$E:$E,Heron!$A89)</f>
        <v/>
      </c>
      <c r="AE89" s="101">
        <f>SUMIFS(Xero!$F:$F,Xero!$B:$B,Heron!AE$9,Xero!$A:$A,Heron!$A$4,Xero!$E:$E,Heron!$A89)+SUMIFS(Xero!$F:$F,Xero!$B:$B,Heron!AE$9,Xero!$A:$A,Heron!$A$5,Xero!$E:$E,Heron!$A89)</f>
        <v/>
      </c>
      <c r="AF89" s="101">
        <f>SUMIFS(Xero!$F:$F,Xero!$B:$B,Heron!AF$9,Xero!$A:$A,Heron!$A$4,Xero!$E:$E,Heron!$A89)+SUMIFS(Xero!$F:$F,Xero!$B:$B,Heron!AF$9,Xero!$A:$A,Heron!$A$5,Xero!$E:$E,Heron!$A89)</f>
        <v/>
      </c>
      <c r="AG89" s="101">
        <f>SUMIFS(Xero!$F:$F,Xero!$B:$B,Heron!AG$9,Xero!$A:$A,Heron!$A$4,Xero!$E:$E,Heron!$A89)+SUMIFS(Xero!$F:$F,Xero!$B:$B,Heron!AG$9,Xero!$A:$A,Heron!$A$5,Xero!$E:$E,Heron!$A89)</f>
        <v/>
      </c>
      <c r="AH89" s="101">
        <f>SUMIFS(Xero!$F:$F,Xero!$B:$B,Heron!AH$9,Xero!$A:$A,Heron!$A$4,Xero!$E:$E,Heron!$A89)+SUMIFS(Xero!$F:$F,Xero!$B:$B,Heron!AH$9,Xero!$A:$A,Heron!$A$5,Xero!$E:$E,Heron!$A89)</f>
        <v/>
      </c>
      <c r="AI89" s="101">
        <f>SUMIFS(Xero!$F:$F,Xero!$B:$B,Heron!AI$9,Xero!$A:$A,Heron!$A$4,Xero!$E:$E,Heron!$A89)+SUMIFS(Xero!$F:$F,Xero!$B:$B,Heron!AI$9,Xero!$A:$A,Heron!$A$5,Xero!$E:$E,Heron!$A89)</f>
        <v/>
      </c>
      <c r="AJ89" s="101">
        <f>SUMIFS(Xero!$F:$F,Xero!$B:$B,Heron!AJ$9,Xero!$A:$A,Heron!$A$4,Xero!$E:$E,Heron!$A89)+SUMIFS(Xero!$F:$F,Xero!$B:$B,Heron!AJ$9,Xero!$A:$A,Heron!$A$5,Xero!$E:$E,Heron!$A89)</f>
        <v/>
      </c>
      <c r="AK89" s="101">
        <f>SUMIFS(Xero!$F:$F,Xero!$B:$B,Heron!AK$9,Xero!$A:$A,Heron!$A$4,Xero!$E:$E,Heron!$A89)+SUMIFS(Xero!$F:$F,Xero!$B:$B,Heron!AK$9,Xero!$A:$A,Heron!$A$5,Xero!$E:$E,Heron!$A89)</f>
        <v/>
      </c>
      <c r="AL89" s="101">
        <f>SUMIFS(Xero!$F:$F,Xero!$B:$B,Heron!AL$9,Xero!$A:$A,Heron!$A$4,Xero!$E:$E,Heron!$A89)+SUMIFS(Xero!$F:$F,Xero!$B:$B,Heron!AL$9,Xero!$A:$A,Heron!$A$5,Xero!$E:$E,Heron!$A89)</f>
        <v/>
      </c>
      <c r="AM89" s="101">
        <f>SUMIFS(Xero!$F:$F,Xero!$B:$B,Heron!AM$9,Xero!$A:$A,Heron!$A$4,Xero!$E:$E,Heron!$A89)+SUMIFS(Xero!$F:$F,Xero!$B:$B,Heron!AM$9,Xero!$A:$A,Heron!$A$5,Xero!$E:$E,Heron!$A89)</f>
        <v/>
      </c>
      <c r="AN89" s="101">
        <f>SUMIFS(Xero!$F:$F,Xero!$B:$B,Heron!AN$9,Xero!$A:$A,Heron!$A$4,Xero!$E:$E,Heron!$A89)+SUMIFS(Xero!$F:$F,Xero!$B:$B,Heron!AN$9,Xero!$A:$A,Heron!$A$5,Xero!$E:$E,Heron!$A89)</f>
        <v/>
      </c>
      <c r="AO89" s="101">
        <f>SUMIFS(Xero!$F:$F,Xero!$B:$B,Heron!AO$9,Xero!$A:$A,Heron!$A$4,Xero!$E:$E,Heron!$A89)+SUMIFS(Xero!$F:$F,Xero!$B:$B,Heron!AO$9,Xero!$A:$A,Heron!$A$5,Xero!$E:$E,Heron!$A89)</f>
        <v/>
      </c>
      <c r="AP89" s="101">
        <f>SUMIFS(Xero!$F:$F,Xero!$B:$B,Heron!AP$9,Xero!$A:$A,Heron!$A$4,Xero!$E:$E,Heron!$A89)+SUMIFS(Xero!$F:$F,Xero!$B:$B,Heron!AP$9,Xero!$A:$A,Heron!$A$5,Xero!$E:$E,Heron!$A89)</f>
        <v/>
      </c>
      <c r="AQ89" s="101">
        <f>SUMIFS(Xero!$F:$F,Xero!$B:$B,Heron!AQ$9,Xero!$A:$A,Heron!$A$4,Xero!$E:$E,Heron!$A89)+SUMIFS(Xero!$F:$F,Xero!$B:$B,Heron!AQ$9,Xero!$A:$A,Heron!$A$5,Xero!$E:$E,Heron!$A89)</f>
        <v/>
      </c>
      <c r="AR89" s="101">
        <f>SUMIFS(Xero!$F:$F,Xero!$B:$B,Heron!AR$9,Xero!$A:$A,Heron!$A$4,Xero!$E:$E,Heron!$A89)+SUMIFS(Xero!$F:$F,Xero!$B:$B,Heron!AR$9,Xero!$A:$A,Heron!$A$5,Xero!$E:$E,Heron!$A89)</f>
        <v/>
      </c>
      <c r="AS89" s="101">
        <f>SUMIFS(Xero!$F:$F,Xero!$B:$B,Heron!AS$9,Xero!$A:$A,Heron!$A$4,Xero!$E:$E,Heron!$A89)+SUMIFS(Xero!$F:$F,Xero!$B:$B,Heron!AS$9,Xero!$A:$A,Heron!$A$5,Xero!$E:$E,Heron!$A89)</f>
        <v/>
      </c>
      <c r="AT89" s="101">
        <f>SUMIFS(Xero!$F:$F,Xero!$B:$B,Heron!AT$9,Xero!$A:$A,Heron!$A$4,Xero!$E:$E,Heron!$A89)+SUMIFS(Xero!$F:$F,Xero!$B:$B,Heron!AT$9,Xero!$A:$A,Heron!$A$5,Xero!$E:$E,Heron!$A89)</f>
        <v/>
      </c>
      <c r="AU89" s="101">
        <f>SUMIFS(Xero!$F:$F,Xero!$B:$B,Heron!AU$9,Xero!$A:$A,Heron!$A$4,Xero!$E:$E,Heron!$A89)+SUMIFS(Xero!$F:$F,Xero!$B:$B,Heron!AU$9,Xero!$A:$A,Heron!$A$5,Xero!$E:$E,Heron!$A89)</f>
        <v/>
      </c>
      <c r="AV89" s="101">
        <f>SUMIFS(Xero!$F:$F,Xero!$B:$B,Heron!AV$9,Xero!$A:$A,Heron!$A$4,Xero!$E:$E,Heron!$A89)+SUMIFS(Xero!$F:$F,Xero!$B:$B,Heron!AV$9,Xero!$A:$A,Heron!$A$5,Xero!$E:$E,Heron!$A89)</f>
        <v/>
      </c>
      <c r="AW89" s="101">
        <f>SUMIFS(Xero!$F:$F,Xero!$B:$B,Heron!AW$9,Xero!$A:$A,Heron!$A$4,Xero!$E:$E,Heron!$A89)+SUMIFS(Xero!$F:$F,Xero!$B:$B,Heron!AW$9,Xero!$A:$A,Heron!$A$5,Xero!$E:$E,Heron!$A89)</f>
        <v/>
      </c>
      <c r="AX89" s="101">
        <f>SUMIFS(Xero!$F:$F,Xero!$B:$B,Heron!AX$9,Xero!$A:$A,Heron!$A$4,Xero!$E:$E,Heron!$A89)+SUMIFS(Xero!$F:$F,Xero!$B:$B,Heron!AX$9,Xero!$A:$A,Heron!$A$5,Xero!$E:$E,Heron!$A89)</f>
        <v/>
      </c>
      <c r="AY89" s="101">
        <f>SUMIFS(Xero!$F:$F,Xero!$B:$B,Heron!AY$9,Xero!$A:$A,Heron!$A$4,Xero!$E:$E,Heron!$A89)+SUMIFS(Xero!$F:$F,Xero!$B:$B,Heron!AY$9,Xero!$A:$A,Heron!$A$5,Xero!$E:$E,Heron!$A89)</f>
        <v/>
      </c>
      <c r="AZ89" s="101">
        <f>SUMIFS(Xero!$F:$F,Xero!$B:$B,Heron!AZ$9,Xero!$A:$A,Heron!$A$4,Xero!$E:$E,Heron!$A89)+SUMIFS(Xero!$F:$F,Xero!$B:$B,Heron!AZ$9,Xero!$A:$A,Heron!$A$5,Xero!$E:$E,Heron!$A89)</f>
        <v/>
      </c>
      <c r="BA89" s="101">
        <f>SUMIFS(Xero!$F:$F,Xero!$B:$B,Heron!BA$9,Xero!$A:$A,Heron!$A$4,Xero!$E:$E,Heron!$A89)+SUMIFS(Xero!$F:$F,Xero!$B:$B,Heron!BA$9,Xero!$A:$A,Heron!$A$5,Xero!$E:$E,Heron!$A89)</f>
        <v/>
      </c>
      <c r="BB89" s="101">
        <f>SUMIFS(Xero!$F:$F,Xero!$B:$B,Heron!BB$9,Xero!$A:$A,Heron!$A$4,Xero!$E:$E,Heron!$A89)+SUMIFS(Xero!$F:$F,Xero!$B:$B,Heron!BB$9,Xero!$A:$A,Heron!$A$5,Xero!$E:$E,Heron!$A89)</f>
        <v/>
      </c>
      <c r="BC89" s="101">
        <f>SUMIFS(Xero!$F:$F,Xero!$B:$B,Heron!BC$9,Xero!$A:$A,Heron!$A$4,Xero!$E:$E,Heron!$A89)+SUMIFS(Xero!$F:$F,Xero!$B:$B,Heron!BC$9,Xero!$A:$A,Heron!$A$5,Xero!$E:$E,Heron!$A89)</f>
        <v/>
      </c>
      <c r="BD89" s="101">
        <f>SUMIFS(Xero!$F:$F,Xero!$B:$B,Heron!BD$9,Xero!$A:$A,Heron!$A$4,Xero!$E:$E,Heron!$A89)+SUMIFS(Xero!$F:$F,Xero!$B:$B,Heron!BD$9,Xero!$A:$A,Heron!$A$5,Xero!$E:$E,Heron!$A89)</f>
        <v/>
      </c>
      <c r="BE89" s="101">
        <f>SUMIFS(Xero!$F:$F,Xero!$B:$B,Heron!BE$9,Xero!$A:$A,Heron!$A$4,Xero!$E:$E,Heron!$A89)+SUMIFS(Xero!$F:$F,Xero!$B:$B,Heron!BE$9,Xero!$A:$A,Heron!$A$5,Xero!$E:$E,Heron!$A89)</f>
        <v/>
      </c>
      <c r="BF89" s="101">
        <f>SUMIFS(Xero!$F:$F,Xero!$B:$B,Heron!BF$9,Xero!$A:$A,Heron!$A$4,Xero!$E:$E,Heron!$A89)+SUMIFS(Xero!$F:$F,Xero!$B:$B,Heron!BF$9,Xero!$A:$A,Heron!$A$5,Xero!$E:$E,Heron!$A89)</f>
        <v/>
      </c>
      <c r="BG89" s="101">
        <f>SUMIFS(Xero!$F:$F,Xero!$B:$B,Heron!BG$9,Xero!$A:$A,Heron!$A$4,Xero!$E:$E,Heron!$A89)+SUMIFS(Xero!$F:$F,Xero!$B:$B,Heron!BG$9,Xero!$A:$A,Heron!$A$5,Xero!$E:$E,Heron!$A89)</f>
        <v/>
      </c>
      <c r="BH89" s="101">
        <f>SUMIFS(Xero!$F:$F,Xero!$B:$B,Heron!BH$9,Xero!$A:$A,Heron!$A$4,Xero!$E:$E,Heron!$A89)+SUMIFS(Xero!$F:$F,Xero!$B:$B,Heron!BH$9,Xero!$A:$A,Heron!$A$5,Xero!$E:$E,Heron!$A89)</f>
        <v/>
      </c>
      <c r="BI89" s="101">
        <f>SUMIFS(Xero!$F:$F,Xero!$B:$B,Heron!BI$9,Xero!$A:$A,Heron!$A$4,Xero!$E:$E,Heron!$A89)+SUMIFS(Xero!$F:$F,Xero!$B:$B,Heron!BI$9,Xero!$A:$A,Heron!$A$5,Xero!$E:$E,Heron!$A89)</f>
        <v/>
      </c>
      <c r="BJ89" s="101">
        <f>SUMIFS(Xero!$F:$F,Xero!$B:$B,Heron!BJ$9,Xero!$A:$A,Heron!$A$4,Xero!$E:$E,Heron!$A89)+SUMIFS(Xero!$F:$F,Xero!$B:$B,Heron!BJ$9,Xero!$A:$A,Heron!$A$5,Xero!$E:$E,Heron!$A89)</f>
        <v/>
      </c>
      <c r="BK89" s="101">
        <f>sum(D89:BJ89)</f>
        <v/>
      </c>
    </row>
    <row r="90">
      <c r="A90" s="100" t="inlineStr">
        <is>
          <t>Levies - Developer</t>
        </is>
      </c>
      <c r="D90" s="101">
        <f>SUMIFS(Xero!$F:$F,Xero!$B:$B,Heron!D$9,Xero!$A:$A,Heron!$A$4,Xero!$E:$E,Heron!$A90)+SUMIFS(Xero!$F:$F,Xero!$B:$B,Heron!D$9,Xero!$A:$A,Heron!$A$5,Xero!$E:$E,Heron!$A90)</f>
        <v/>
      </c>
      <c r="E90" s="101">
        <f>SUMIFS(Xero!$F:$F,Xero!$B:$B,Heron!E$9,Xero!$A:$A,Heron!$A$4,Xero!$E:$E,Heron!$A90)+SUMIFS(Xero!$F:$F,Xero!$B:$B,Heron!E$9,Xero!$A:$A,Heron!$A$5,Xero!$E:$E,Heron!$A90)</f>
        <v/>
      </c>
      <c r="F90" s="101">
        <f>SUMIFS(Xero!$F:$F,Xero!$B:$B,Heron!F$9,Xero!$A:$A,Heron!$A$4,Xero!$E:$E,Heron!$A90)+SUMIFS(Xero!$F:$F,Xero!$B:$B,Heron!F$9,Xero!$A:$A,Heron!$A$5,Xero!$E:$E,Heron!$A90)</f>
        <v/>
      </c>
      <c r="G90" s="101">
        <f>SUMIFS(Xero!$F:$F,Xero!$B:$B,Heron!G$9,Xero!$A:$A,Heron!$A$4,Xero!$E:$E,Heron!$A90)+SUMIFS(Xero!$F:$F,Xero!$B:$B,Heron!G$9,Xero!$A:$A,Heron!$A$5,Xero!$E:$E,Heron!$A90)</f>
        <v/>
      </c>
      <c r="H90" s="101">
        <f>SUMIFS(Xero!$F:$F,Xero!$B:$B,Heron!H$9,Xero!$A:$A,Heron!$A$4,Xero!$E:$E,Heron!$A90)+SUMIFS(Xero!$F:$F,Xero!$B:$B,Heron!H$9,Xero!$A:$A,Heron!$A$5,Xero!$E:$E,Heron!$A90)</f>
        <v/>
      </c>
      <c r="I90" s="101">
        <f>SUMIFS(Xero!$F:$F,Xero!$B:$B,Heron!I$9,Xero!$A:$A,Heron!$A$4,Xero!$E:$E,Heron!$A90)+SUMIFS(Xero!$F:$F,Xero!$B:$B,Heron!I$9,Xero!$A:$A,Heron!$A$5,Xero!$E:$E,Heron!$A90)</f>
        <v/>
      </c>
      <c r="J90" s="101">
        <f>SUMIFS(Xero!$F:$F,Xero!$B:$B,Heron!J$9,Xero!$A:$A,Heron!$A$4,Xero!$E:$E,Heron!$A90)+SUMIFS(Xero!$F:$F,Xero!$B:$B,Heron!J$9,Xero!$A:$A,Heron!$A$5,Xero!$E:$E,Heron!$A90)</f>
        <v/>
      </c>
      <c r="K90" s="101">
        <f>SUMIFS(Xero!$F:$F,Xero!$B:$B,Heron!K$9,Xero!$A:$A,Heron!$A$4,Xero!$E:$E,Heron!$A90)+SUMIFS(Xero!$F:$F,Xero!$B:$B,Heron!K$9,Xero!$A:$A,Heron!$A$5,Xero!$E:$E,Heron!$A90)</f>
        <v/>
      </c>
      <c r="L90" s="101">
        <f>SUMIFS(Xero!$F:$F,Xero!$B:$B,Heron!L$9,Xero!$A:$A,Heron!$A$4,Xero!$E:$E,Heron!$A90)+SUMIFS(Xero!$F:$F,Xero!$B:$B,Heron!L$9,Xero!$A:$A,Heron!$A$5,Xero!$E:$E,Heron!$A90)</f>
        <v/>
      </c>
      <c r="M90" s="101">
        <f>SUMIFS(Xero!$F:$F,Xero!$B:$B,Heron!M$9,Xero!$A:$A,Heron!$A$4,Xero!$E:$E,Heron!$A90)+SUMIFS(Xero!$F:$F,Xero!$B:$B,Heron!M$9,Xero!$A:$A,Heron!$A$5,Xero!$E:$E,Heron!$A90)</f>
        <v/>
      </c>
      <c r="N90" s="101">
        <f>SUMIFS(Xero!$F:$F,Xero!$B:$B,Heron!N$9,Xero!$A:$A,Heron!$A$4,Xero!$E:$E,Heron!$A90)+SUMIFS(Xero!$F:$F,Xero!$B:$B,Heron!N$9,Xero!$A:$A,Heron!$A$5,Xero!$E:$E,Heron!$A90)</f>
        <v/>
      </c>
      <c r="O90" s="101">
        <f>SUMIFS(Xero!$F:$F,Xero!$B:$B,Heron!O$9,Xero!$A:$A,Heron!$A$4,Xero!$E:$E,Heron!$A90)+SUMIFS(Xero!$F:$F,Xero!$B:$B,Heron!O$9,Xero!$A:$A,Heron!$A$5,Xero!$E:$E,Heron!$A90)</f>
        <v/>
      </c>
      <c r="P90" s="101">
        <f>SUMIFS(Xero!$F:$F,Xero!$B:$B,Heron!P$9,Xero!$A:$A,Heron!$A$4,Xero!$E:$E,Heron!$A90)+SUMIFS(Xero!$F:$F,Xero!$B:$B,Heron!P$9,Xero!$A:$A,Heron!$A$5,Xero!$E:$E,Heron!$A90)</f>
        <v/>
      </c>
      <c r="Q90" s="101">
        <f>SUMIFS(Xero!$F:$F,Xero!$B:$B,Heron!Q$9,Xero!$A:$A,Heron!$A$4,Xero!$E:$E,Heron!$A90)+SUMIFS(Xero!$F:$F,Xero!$B:$B,Heron!Q$9,Xero!$A:$A,Heron!$A$5,Xero!$E:$E,Heron!$A90)</f>
        <v/>
      </c>
      <c r="R90" s="101">
        <f>SUMIFS(Xero!$F:$F,Xero!$B:$B,Heron!R$9,Xero!$A:$A,Heron!$A$4,Xero!$E:$E,Heron!$A90)+SUMIFS(Xero!$F:$F,Xero!$B:$B,Heron!R$9,Xero!$A:$A,Heron!$A$5,Xero!$E:$E,Heron!$A90)</f>
        <v/>
      </c>
      <c r="S90" s="101">
        <f>SUMIFS(Xero!$F:$F,Xero!$B:$B,Heron!S$9,Xero!$A:$A,Heron!$A$4,Xero!$E:$E,Heron!$A90)+SUMIFS(Xero!$F:$F,Xero!$B:$B,Heron!S$9,Xero!$A:$A,Heron!$A$5,Xero!$E:$E,Heron!$A90)</f>
        <v/>
      </c>
      <c r="T90" s="101">
        <f>SUMIFS(Xero!$F:$F,Xero!$B:$B,Heron!T$9,Xero!$A:$A,Heron!$A$4,Xero!$E:$E,Heron!$A90)+SUMIFS(Xero!$F:$F,Xero!$B:$B,Heron!T$9,Xero!$A:$A,Heron!$A$5,Xero!$E:$E,Heron!$A90)</f>
        <v/>
      </c>
      <c r="U90" s="101">
        <f>SUMIFS(Xero!$F:$F,Xero!$B:$B,Heron!U$9,Xero!$A:$A,Heron!$A$4,Xero!$E:$E,Heron!$A90)+SUMIFS(Xero!$F:$F,Xero!$B:$B,Heron!U$9,Xero!$A:$A,Heron!$A$5,Xero!$E:$E,Heron!$A90)</f>
        <v/>
      </c>
      <c r="V90" s="101">
        <f>SUMIFS(Xero!$F:$F,Xero!$B:$B,Heron!V$9,Xero!$A:$A,Heron!$A$4,Xero!$E:$E,Heron!$A90)+SUMIFS(Xero!$F:$F,Xero!$B:$B,Heron!V$9,Xero!$A:$A,Heron!$A$5,Xero!$E:$E,Heron!$A90)</f>
        <v/>
      </c>
      <c r="W90" s="101">
        <f>SUMIFS(Xero!$F:$F,Xero!$B:$B,Heron!W$9,Xero!$A:$A,Heron!$A$4,Xero!$E:$E,Heron!$A90)+SUMIFS(Xero!$F:$F,Xero!$B:$B,Heron!W$9,Xero!$A:$A,Heron!$A$5,Xero!$E:$E,Heron!$A90)</f>
        <v/>
      </c>
      <c r="X90" s="101">
        <f>SUMIFS(Xero!$F:$F,Xero!$B:$B,Heron!X$9,Xero!$A:$A,Heron!$A$4,Xero!$E:$E,Heron!$A90)+SUMIFS(Xero!$F:$F,Xero!$B:$B,Heron!X$9,Xero!$A:$A,Heron!$A$5,Xero!$E:$E,Heron!$A90)</f>
        <v/>
      </c>
      <c r="Y90" s="101">
        <f>SUMIFS(Xero!$F:$F,Xero!$B:$B,Heron!Y$9,Xero!$A:$A,Heron!$A$4,Xero!$E:$E,Heron!$A90)+SUMIFS(Xero!$F:$F,Xero!$B:$B,Heron!Y$9,Xero!$A:$A,Heron!$A$5,Xero!$E:$E,Heron!$A90)</f>
        <v/>
      </c>
      <c r="Z90" s="101">
        <f>SUMIFS(Xero!$F:$F,Xero!$B:$B,Heron!Z$9,Xero!$A:$A,Heron!$A$4,Xero!$E:$E,Heron!$A90)+SUMIFS(Xero!$F:$F,Xero!$B:$B,Heron!Z$9,Xero!$A:$A,Heron!$A$5,Xero!$E:$E,Heron!$A90)</f>
        <v/>
      </c>
      <c r="AA90" s="101">
        <f>SUMIFS(Xero!$F:$F,Xero!$B:$B,Heron!AA$9,Xero!$A:$A,Heron!$A$4,Xero!$E:$E,Heron!$A90)+SUMIFS(Xero!$F:$F,Xero!$B:$B,Heron!AA$9,Xero!$A:$A,Heron!$A$5,Xero!$E:$E,Heron!$A90)</f>
        <v/>
      </c>
      <c r="AB90" s="101">
        <f>SUMIFS(Xero!$F:$F,Xero!$B:$B,Heron!AB$9,Xero!$A:$A,Heron!$A$4,Xero!$E:$E,Heron!$A90)+SUMIFS(Xero!$F:$F,Xero!$B:$B,Heron!AB$9,Xero!$A:$A,Heron!$A$5,Xero!$E:$E,Heron!$A90)</f>
        <v/>
      </c>
      <c r="AC90" s="101">
        <f>SUMIFS(Xero!$F:$F,Xero!$B:$B,Heron!AC$9,Xero!$A:$A,Heron!$A$4,Xero!$E:$E,Heron!$A90)+SUMIFS(Xero!$F:$F,Xero!$B:$B,Heron!AC$9,Xero!$A:$A,Heron!$A$5,Xero!$E:$E,Heron!$A90)</f>
        <v/>
      </c>
      <c r="AD90" s="101">
        <f>SUMIFS(Xero!$F:$F,Xero!$B:$B,Heron!AD$9,Xero!$A:$A,Heron!$A$4,Xero!$E:$E,Heron!$A90)+SUMIFS(Xero!$F:$F,Xero!$B:$B,Heron!AD$9,Xero!$A:$A,Heron!$A$5,Xero!$E:$E,Heron!$A90)</f>
        <v/>
      </c>
      <c r="AE90" s="101">
        <f>SUMIFS(Xero!$F:$F,Xero!$B:$B,Heron!AE$9,Xero!$A:$A,Heron!$A$4,Xero!$E:$E,Heron!$A90)+SUMIFS(Xero!$F:$F,Xero!$B:$B,Heron!AE$9,Xero!$A:$A,Heron!$A$5,Xero!$E:$E,Heron!$A90)</f>
        <v/>
      </c>
      <c r="AF90" s="101">
        <f>SUMIFS(Xero!$F:$F,Xero!$B:$B,Heron!AF$9,Xero!$A:$A,Heron!$A$4,Xero!$E:$E,Heron!$A90)+SUMIFS(Xero!$F:$F,Xero!$B:$B,Heron!AF$9,Xero!$A:$A,Heron!$A$5,Xero!$E:$E,Heron!$A90)</f>
        <v/>
      </c>
      <c r="AG90" s="101">
        <f>SUMIFS(Xero!$F:$F,Xero!$B:$B,Heron!AG$9,Xero!$A:$A,Heron!$A$4,Xero!$E:$E,Heron!$A90)+SUMIFS(Xero!$F:$F,Xero!$B:$B,Heron!AG$9,Xero!$A:$A,Heron!$A$5,Xero!$E:$E,Heron!$A90)</f>
        <v/>
      </c>
      <c r="AH90" s="101">
        <f>SUMIFS(Xero!$F:$F,Xero!$B:$B,Heron!AH$9,Xero!$A:$A,Heron!$A$4,Xero!$E:$E,Heron!$A90)+SUMIFS(Xero!$F:$F,Xero!$B:$B,Heron!AH$9,Xero!$A:$A,Heron!$A$5,Xero!$E:$E,Heron!$A90)</f>
        <v/>
      </c>
      <c r="AI90" s="101">
        <f>SUMIFS(Xero!$F:$F,Xero!$B:$B,Heron!AI$9,Xero!$A:$A,Heron!$A$4,Xero!$E:$E,Heron!$A90)+SUMIFS(Xero!$F:$F,Xero!$B:$B,Heron!AI$9,Xero!$A:$A,Heron!$A$5,Xero!$E:$E,Heron!$A90)</f>
        <v/>
      </c>
      <c r="AJ90" s="101">
        <f>SUMIFS(Xero!$F:$F,Xero!$B:$B,Heron!AJ$9,Xero!$A:$A,Heron!$A$4,Xero!$E:$E,Heron!$A90)+SUMIFS(Xero!$F:$F,Xero!$B:$B,Heron!AJ$9,Xero!$A:$A,Heron!$A$5,Xero!$E:$E,Heron!$A90)</f>
        <v/>
      </c>
      <c r="AK90" s="101">
        <f>SUMIFS(Xero!$F:$F,Xero!$B:$B,Heron!AK$9,Xero!$A:$A,Heron!$A$4,Xero!$E:$E,Heron!$A90)+SUMIFS(Xero!$F:$F,Xero!$B:$B,Heron!AK$9,Xero!$A:$A,Heron!$A$5,Xero!$E:$E,Heron!$A90)</f>
        <v/>
      </c>
      <c r="AL90" s="101">
        <f>SUMIFS(Xero!$F:$F,Xero!$B:$B,Heron!AL$9,Xero!$A:$A,Heron!$A$4,Xero!$E:$E,Heron!$A90)+SUMIFS(Xero!$F:$F,Xero!$B:$B,Heron!AL$9,Xero!$A:$A,Heron!$A$5,Xero!$E:$E,Heron!$A90)</f>
        <v/>
      </c>
      <c r="AM90" s="101">
        <f>SUMIFS(Xero!$F:$F,Xero!$B:$B,Heron!AM$9,Xero!$A:$A,Heron!$A$4,Xero!$E:$E,Heron!$A90)+SUMIFS(Xero!$F:$F,Xero!$B:$B,Heron!AM$9,Xero!$A:$A,Heron!$A$5,Xero!$E:$E,Heron!$A90)</f>
        <v/>
      </c>
      <c r="AN90" s="101">
        <f>SUMIFS(Xero!$F:$F,Xero!$B:$B,Heron!AN$9,Xero!$A:$A,Heron!$A$4,Xero!$E:$E,Heron!$A90)+SUMIFS(Xero!$F:$F,Xero!$B:$B,Heron!AN$9,Xero!$A:$A,Heron!$A$5,Xero!$E:$E,Heron!$A90)</f>
        <v/>
      </c>
      <c r="AO90" s="101">
        <f>SUMIFS(Xero!$F:$F,Xero!$B:$B,Heron!AO$9,Xero!$A:$A,Heron!$A$4,Xero!$E:$E,Heron!$A90)+SUMIFS(Xero!$F:$F,Xero!$B:$B,Heron!AO$9,Xero!$A:$A,Heron!$A$5,Xero!$E:$E,Heron!$A90)</f>
        <v/>
      </c>
      <c r="AP90" s="101">
        <f>SUMIFS(Xero!$F:$F,Xero!$B:$B,Heron!AP$9,Xero!$A:$A,Heron!$A$4,Xero!$E:$E,Heron!$A90)+SUMIFS(Xero!$F:$F,Xero!$B:$B,Heron!AP$9,Xero!$A:$A,Heron!$A$5,Xero!$E:$E,Heron!$A90)</f>
        <v/>
      </c>
      <c r="AQ90" s="101">
        <f>SUMIFS(Xero!$F:$F,Xero!$B:$B,Heron!AQ$9,Xero!$A:$A,Heron!$A$4,Xero!$E:$E,Heron!$A90)+SUMIFS(Xero!$F:$F,Xero!$B:$B,Heron!AQ$9,Xero!$A:$A,Heron!$A$5,Xero!$E:$E,Heron!$A90)</f>
        <v/>
      </c>
      <c r="AR90" s="101">
        <f>SUMIFS(Xero!$F:$F,Xero!$B:$B,Heron!AR$9,Xero!$A:$A,Heron!$A$4,Xero!$E:$E,Heron!$A90)+SUMIFS(Xero!$F:$F,Xero!$B:$B,Heron!AR$9,Xero!$A:$A,Heron!$A$5,Xero!$E:$E,Heron!$A90)</f>
        <v/>
      </c>
      <c r="AS90" s="101">
        <f>SUMIFS(Xero!$F:$F,Xero!$B:$B,Heron!AS$9,Xero!$A:$A,Heron!$A$4,Xero!$E:$E,Heron!$A90)+SUMIFS(Xero!$F:$F,Xero!$B:$B,Heron!AS$9,Xero!$A:$A,Heron!$A$5,Xero!$E:$E,Heron!$A90)</f>
        <v/>
      </c>
      <c r="AT90" s="101">
        <f>SUMIFS(Xero!$F:$F,Xero!$B:$B,Heron!AT$9,Xero!$A:$A,Heron!$A$4,Xero!$E:$E,Heron!$A90)+SUMIFS(Xero!$F:$F,Xero!$B:$B,Heron!AT$9,Xero!$A:$A,Heron!$A$5,Xero!$E:$E,Heron!$A90)</f>
        <v/>
      </c>
      <c r="AU90" s="101">
        <f>SUMIFS(Xero!$F:$F,Xero!$B:$B,Heron!AU$9,Xero!$A:$A,Heron!$A$4,Xero!$E:$E,Heron!$A90)+SUMIFS(Xero!$F:$F,Xero!$B:$B,Heron!AU$9,Xero!$A:$A,Heron!$A$5,Xero!$E:$E,Heron!$A90)</f>
        <v/>
      </c>
      <c r="AV90" s="101">
        <f>SUMIFS(Xero!$F:$F,Xero!$B:$B,Heron!AV$9,Xero!$A:$A,Heron!$A$4,Xero!$E:$E,Heron!$A90)+SUMIFS(Xero!$F:$F,Xero!$B:$B,Heron!AV$9,Xero!$A:$A,Heron!$A$5,Xero!$E:$E,Heron!$A90)</f>
        <v/>
      </c>
      <c r="AW90" s="101">
        <f>SUMIFS(Xero!$F:$F,Xero!$B:$B,Heron!AW$9,Xero!$A:$A,Heron!$A$4,Xero!$E:$E,Heron!$A90)+SUMIFS(Xero!$F:$F,Xero!$B:$B,Heron!AW$9,Xero!$A:$A,Heron!$A$5,Xero!$E:$E,Heron!$A90)</f>
        <v/>
      </c>
      <c r="AX90" s="101">
        <f>SUMIFS(Xero!$F:$F,Xero!$B:$B,Heron!AX$9,Xero!$A:$A,Heron!$A$4,Xero!$E:$E,Heron!$A90)+SUMIFS(Xero!$F:$F,Xero!$B:$B,Heron!AX$9,Xero!$A:$A,Heron!$A$5,Xero!$E:$E,Heron!$A90)</f>
        <v/>
      </c>
      <c r="AY90" s="101">
        <f>SUMIFS(Xero!$F:$F,Xero!$B:$B,Heron!AY$9,Xero!$A:$A,Heron!$A$4,Xero!$E:$E,Heron!$A90)+SUMIFS(Xero!$F:$F,Xero!$B:$B,Heron!AY$9,Xero!$A:$A,Heron!$A$5,Xero!$E:$E,Heron!$A90)</f>
        <v/>
      </c>
      <c r="AZ90" s="101">
        <f>SUMIFS(Xero!$F:$F,Xero!$B:$B,Heron!AZ$9,Xero!$A:$A,Heron!$A$4,Xero!$E:$E,Heron!$A90)+SUMIFS(Xero!$F:$F,Xero!$B:$B,Heron!AZ$9,Xero!$A:$A,Heron!$A$5,Xero!$E:$E,Heron!$A90)</f>
        <v/>
      </c>
      <c r="BA90" s="101">
        <f>SUMIFS(Xero!$F:$F,Xero!$B:$B,Heron!BA$9,Xero!$A:$A,Heron!$A$4,Xero!$E:$E,Heron!$A90)+SUMIFS(Xero!$F:$F,Xero!$B:$B,Heron!BA$9,Xero!$A:$A,Heron!$A$5,Xero!$E:$E,Heron!$A90)</f>
        <v/>
      </c>
      <c r="BB90" s="101">
        <f>SUMIFS(Xero!$F:$F,Xero!$B:$B,Heron!BB$9,Xero!$A:$A,Heron!$A$4,Xero!$E:$E,Heron!$A90)+SUMIFS(Xero!$F:$F,Xero!$B:$B,Heron!BB$9,Xero!$A:$A,Heron!$A$5,Xero!$E:$E,Heron!$A90)</f>
        <v/>
      </c>
      <c r="BC90" s="101">
        <f>SUMIFS(Xero!$F:$F,Xero!$B:$B,Heron!BC$9,Xero!$A:$A,Heron!$A$4,Xero!$E:$E,Heron!$A90)+SUMIFS(Xero!$F:$F,Xero!$B:$B,Heron!BC$9,Xero!$A:$A,Heron!$A$5,Xero!$E:$E,Heron!$A90)</f>
        <v/>
      </c>
      <c r="BD90" s="101">
        <f>SUMIFS(Xero!$F:$F,Xero!$B:$B,Heron!BD$9,Xero!$A:$A,Heron!$A$4,Xero!$E:$E,Heron!$A90)+SUMIFS(Xero!$F:$F,Xero!$B:$B,Heron!BD$9,Xero!$A:$A,Heron!$A$5,Xero!$E:$E,Heron!$A90)</f>
        <v/>
      </c>
      <c r="BE90" s="101">
        <f>SUMIFS(Xero!$F:$F,Xero!$B:$B,Heron!BE$9,Xero!$A:$A,Heron!$A$4,Xero!$E:$E,Heron!$A90)+SUMIFS(Xero!$F:$F,Xero!$B:$B,Heron!BE$9,Xero!$A:$A,Heron!$A$5,Xero!$E:$E,Heron!$A90)</f>
        <v/>
      </c>
      <c r="BF90" s="101">
        <f>SUMIFS(Xero!$F:$F,Xero!$B:$B,Heron!BF$9,Xero!$A:$A,Heron!$A$4,Xero!$E:$E,Heron!$A90)+SUMIFS(Xero!$F:$F,Xero!$B:$B,Heron!BF$9,Xero!$A:$A,Heron!$A$5,Xero!$E:$E,Heron!$A90)</f>
        <v/>
      </c>
      <c r="BG90" s="101">
        <f>SUMIFS(Xero!$F:$F,Xero!$B:$B,Heron!BG$9,Xero!$A:$A,Heron!$A$4,Xero!$E:$E,Heron!$A90)+SUMIFS(Xero!$F:$F,Xero!$B:$B,Heron!BG$9,Xero!$A:$A,Heron!$A$5,Xero!$E:$E,Heron!$A90)</f>
        <v/>
      </c>
      <c r="BH90" s="101">
        <f>SUMIFS(Xero!$F:$F,Xero!$B:$B,Heron!BH$9,Xero!$A:$A,Heron!$A$4,Xero!$E:$E,Heron!$A90)+SUMIFS(Xero!$F:$F,Xero!$B:$B,Heron!BH$9,Xero!$A:$A,Heron!$A$5,Xero!$E:$E,Heron!$A90)</f>
        <v/>
      </c>
      <c r="BI90" s="101">
        <f>SUMIFS(Xero!$F:$F,Xero!$B:$B,Heron!BI$9,Xero!$A:$A,Heron!$A$4,Xero!$E:$E,Heron!$A90)+SUMIFS(Xero!$F:$F,Xero!$B:$B,Heron!BI$9,Xero!$A:$A,Heron!$A$5,Xero!$E:$E,Heron!$A90)</f>
        <v/>
      </c>
      <c r="BJ90" s="101">
        <f>SUMIFS(Xero!$F:$F,Xero!$B:$B,Heron!BJ$9,Xero!$A:$A,Heron!$A$4,Xero!$E:$E,Heron!$A90)+SUMIFS(Xero!$F:$F,Xero!$B:$B,Heron!BJ$9,Xero!$A:$A,Heron!$A$5,Xero!$E:$E,Heron!$A90)</f>
        <v/>
      </c>
      <c r="BK90" s="101">
        <f>sum(D90:BJ90)</f>
        <v/>
      </c>
    </row>
    <row r="91">
      <c r="A91" s="100" t="inlineStr">
        <is>
          <t>Levies - Special Levies</t>
        </is>
      </c>
      <c r="D91" s="101">
        <f>SUMIFS(Xero!$F:$F,Xero!$B:$B,Heron!D$9,Xero!$A:$A,Heron!$A$4,Xero!$E:$E,Heron!$A91)+SUMIFS(Xero!$F:$F,Xero!$B:$B,Heron!D$9,Xero!$A:$A,Heron!$A$5,Xero!$E:$E,Heron!$A91)</f>
        <v/>
      </c>
      <c r="E91" s="101">
        <f>SUMIFS(Xero!$F:$F,Xero!$B:$B,Heron!E$9,Xero!$A:$A,Heron!$A$4,Xero!$E:$E,Heron!$A91)+SUMIFS(Xero!$F:$F,Xero!$B:$B,Heron!E$9,Xero!$A:$A,Heron!$A$5,Xero!$E:$E,Heron!$A91)</f>
        <v/>
      </c>
      <c r="F91" s="101">
        <f>SUMIFS(Xero!$F:$F,Xero!$B:$B,Heron!F$9,Xero!$A:$A,Heron!$A$4,Xero!$E:$E,Heron!$A91)+SUMIFS(Xero!$F:$F,Xero!$B:$B,Heron!F$9,Xero!$A:$A,Heron!$A$5,Xero!$E:$E,Heron!$A91)</f>
        <v/>
      </c>
      <c r="G91" s="101">
        <f>SUMIFS(Xero!$F:$F,Xero!$B:$B,Heron!G$9,Xero!$A:$A,Heron!$A$4,Xero!$E:$E,Heron!$A91)+SUMIFS(Xero!$F:$F,Xero!$B:$B,Heron!G$9,Xero!$A:$A,Heron!$A$5,Xero!$E:$E,Heron!$A91)</f>
        <v/>
      </c>
      <c r="H91" s="101">
        <f>SUMIFS(Xero!$F:$F,Xero!$B:$B,Heron!H$9,Xero!$A:$A,Heron!$A$4,Xero!$E:$E,Heron!$A91)+SUMIFS(Xero!$F:$F,Xero!$B:$B,Heron!H$9,Xero!$A:$A,Heron!$A$5,Xero!$E:$E,Heron!$A91)</f>
        <v/>
      </c>
      <c r="I91" s="101">
        <f>SUMIFS(Xero!$F:$F,Xero!$B:$B,Heron!I$9,Xero!$A:$A,Heron!$A$4,Xero!$E:$E,Heron!$A91)+SUMIFS(Xero!$F:$F,Xero!$B:$B,Heron!I$9,Xero!$A:$A,Heron!$A$5,Xero!$E:$E,Heron!$A91)</f>
        <v/>
      </c>
      <c r="J91" s="101">
        <f>SUMIFS(Xero!$F:$F,Xero!$B:$B,Heron!J$9,Xero!$A:$A,Heron!$A$4,Xero!$E:$E,Heron!$A91)+SUMIFS(Xero!$F:$F,Xero!$B:$B,Heron!J$9,Xero!$A:$A,Heron!$A$5,Xero!$E:$E,Heron!$A91)</f>
        <v/>
      </c>
      <c r="K91" s="101">
        <f>SUMIFS(Xero!$F:$F,Xero!$B:$B,Heron!K$9,Xero!$A:$A,Heron!$A$4,Xero!$E:$E,Heron!$A91)+SUMIFS(Xero!$F:$F,Xero!$B:$B,Heron!K$9,Xero!$A:$A,Heron!$A$5,Xero!$E:$E,Heron!$A91)</f>
        <v/>
      </c>
      <c r="L91" s="101">
        <f>SUMIFS(Xero!$F:$F,Xero!$B:$B,Heron!L$9,Xero!$A:$A,Heron!$A$4,Xero!$E:$E,Heron!$A91)+SUMIFS(Xero!$F:$F,Xero!$B:$B,Heron!L$9,Xero!$A:$A,Heron!$A$5,Xero!$E:$E,Heron!$A91)</f>
        <v/>
      </c>
      <c r="M91" s="101">
        <f>SUMIFS(Xero!$F:$F,Xero!$B:$B,Heron!M$9,Xero!$A:$A,Heron!$A$4,Xero!$E:$E,Heron!$A91)+SUMIFS(Xero!$F:$F,Xero!$B:$B,Heron!M$9,Xero!$A:$A,Heron!$A$5,Xero!$E:$E,Heron!$A91)</f>
        <v/>
      </c>
      <c r="N91" s="101">
        <f>SUMIFS(Xero!$F:$F,Xero!$B:$B,Heron!N$9,Xero!$A:$A,Heron!$A$4,Xero!$E:$E,Heron!$A91)+SUMIFS(Xero!$F:$F,Xero!$B:$B,Heron!N$9,Xero!$A:$A,Heron!$A$5,Xero!$E:$E,Heron!$A91)</f>
        <v/>
      </c>
      <c r="O91" s="101">
        <f>SUMIFS(Xero!$F:$F,Xero!$B:$B,Heron!O$9,Xero!$A:$A,Heron!$A$4,Xero!$E:$E,Heron!$A91)+SUMIFS(Xero!$F:$F,Xero!$B:$B,Heron!O$9,Xero!$A:$A,Heron!$A$5,Xero!$E:$E,Heron!$A91)</f>
        <v/>
      </c>
      <c r="P91" s="101">
        <f>SUMIFS(Xero!$F:$F,Xero!$B:$B,Heron!P$9,Xero!$A:$A,Heron!$A$4,Xero!$E:$E,Heron!$A91)+SUMIFS(Xero!$F:$F,Xero!$B:$B,Heron!P$9,Xero!$A:$A,Heron!$A$5,Xero!$E:$E,Heron!$A91)</f>
        <v/>
      </c>
      <c r="Q91" s="101">
        <f>SUMIFS(Xero!$F:$F,Xero!$B:$B,Heron!Q$9,Xero!$A:$A,Heron!$A$4,Xero!$E:$E,Heron!$A91)+SUMIFS(Xero!$F:$F,Xero!$B:$B,Heron!Q$9,Xero!$A:$A,Heron!$A$5,Xero!$E:$E,Heron!$A91)</f>
        <v/>
      </c>
      <c r="R91" s="101">
        <f>SUMIFS(Xero!$F:$F,Xero!$B:$B,Heron!R$9,Xero!$A:$A,Heron!$A$4,Xero!$E:$E,Heron!$A91)+SUMIFS(Xero!$F:$F,Xero!$B:$B,Heron!R$9,Xero!$A:$A,Heron!$A$5,Xero!$E:$E,Heron!$A91)</f>
        <v/>
      </c>
      <c r="S91" s="101">
        <f>SUMIFS(Xero!$F:$F,Xero!$B:$B,Heron!S$9,Xero!$A:$A,Heron!$A$4,Xero!$E:$E,Heron!$A91)+SUMIFS(Xero!$F:$F,Xero!$B:$B,Heron!S$9,Xero!$A:$A,Heron!$A$5,Xero!$E:$E,Heron!$A91)</f>
        <v/>
      </c>
      <c r="T91" s="101">
        <f>SUMIFS(Xero!$F:$F,Xero!$B:$B,Heron!T$9,Xero!$A:$A,Heron!$A$4,Xero!$E:$E,Heron!$A91)+SUMIFS(Xero!$F:$F,Xero!$B:$B,Heron!T$9,Xero!$A:$A,Heron!$A$5,Xero!$E:$E,Heron!$A91)</f>
        <v/>
      </c>
      <c r="U91" s="101">
        <f>SUMIFS(Xero!$F:$F,Xero!$B:$B,Heron!U$9,Xero!$A:$A,Heron!$A$4,Xero!$E:$E,Heron!$A91)+SUMIFS(Xero!$F:$F,Xero!$B:$B,Heron!U$9,Xero!$A:$A,Heron!$A$5,Xero!$E:$E,Heron!$A91)</f>
        <v/>
      </c>
      <c r="V91" s="101">
        <f>SUMIFS(Xero!$F:$F,Xero!$B:$B,Heron!V$9,Xero!$A:$A,Heron!$A$4,Xero!$E:$E,Heron!$A91)+SUMIFS(Xero!$F:$F,Xero!$B:$B,Heron!V$9,Xero!$A:$A,Heron!$A$5,Xero!$E:$E,Heron!$A91)</f>
        <v/>
      </c>
      <c r="W91" s="101">
        <f>SUMIFS(Xero!$F:$F,Xero!$B:$B,Heron!W$9,Xero!$A:$A,Heron!$A$4,Xero!$E:$E,Heron!$A91)+SUMIFS(Xero!$F:$F,Xero!$B:$B,Heron!W$9,Xero!$A:$A,Heron!$A$5,Xero!$E:$E,Heron!$A91)</f>
        <v/>
      </c>
      <c r="X91" s="101">
        <f>SUMIFS(Xero!$F:$F,Xero!$B:$B,Heron!X$9,Xero!$A:$A,Heron!$A$4,Xero!$E:$E,Heron!$A91)+SUMIFS(Xero!$F:$F,Xero!$B:$B,Heron!X$9,Xero!$A:$A,Heron!$A$5,Xero!$E:$E,Heron!$A91)</f>
        <v/>
      </c>
      <c r="Y91" s="101">
        <f>SUMIFS(Xero!$F:$F,Xero!$B:$B,Heron!Y$9,Xero!$A:$A,Heron!$A$4,Xero!$E:$E,Heron!$A91)+SUMIFS(Xero!$F:$F,Xero!$B:$B,Heron!Y$9,Xero!$A:$A,Heron!$A$5,Xero!$E:$E,Heron!$A91)</f>
        <v/>
      </c>
      <c r="Z91" s="101">
        <f>SUMIFS(Xero!$F:$F,Xero!$B:$B,Heron!Z$9,Xero!$A:$A,Heron!$A$4,Xero!$E:$E,Heron!$A91)+SUMIFS(Xero!$F:$F,Xero!$B:$B,Heron!Z$9,Xero!$A:$A,Heron!$A$5,Xero!$E:$E,Heron!$A91)</f>
        <v/>
      </c>
      <c r="AA91" s="101">
        <f>SUMIFS(Xero!$F:$F,Xero!$B:$B,Heron!AA$9,Xero!$A:$A,Heron!$A$4,Xero!$E:$E,Heron!$A91)+SUMIFS(Xero!$F:$F,Xero!$B:$B,Heron!AA$9,Xero!$A:$A,Heron!$A$5,Xero!$E:$E,Heron!$A91)</f>
        <v/>
      </c>
      <c r="AB91" s="101">
        <f>SUMIFS(Xero!$F:$F,Xero!$B:$B,Heron!AB$9,Xero!$A:$A,Heron!$A$4,Xero!$E:$E,Heron!$A91)+SUMIFS(Xero!$F:$F,Xero!$B:$B,Heron!AB$9,Xero!$A:$A,Heron!$A$5,Xero!$E:$E,Heron!$A91)</f>
        <v/>
      </c>
      <c r="AC91" s="101">
        <f>SUMIFS(Xero!$F:$F,Xero!$B:$B,Heron!AC$9,Xero!$A:$A,Heron!$A$4,Xero!$E:$E,Heron!$A91)+SUMIFS(Xero!$F:$F,Xero!$B:$B,Heron!AC$9,Xero!$A:$A,Heron!$A$5,Xero!$E:$E,Heron!$A91)</f>
        <v/>
      </c>
      <c r="AD91" s="101">
        <f>SUMIFS(Xero!$F:$F,Xero!$B:$B,Heron!AD$9,Xero!$A:$A,Heron!$A$4,Xero!$E:$E,Heron!$A91)+SUMIFS(Xero!$F:$F,Xero!$B:$B,Heron!AD$9,Xero!$A:$A,Heron!$A$5,Xero!$E:$E,Heron!$A91)</f>
        <v/>
      </c>
      <c r="AE91" s="101">
        <f>SUMIFS(Xero!$F:$F,Xero!$B:$B,Heron!AE$9,Xero!$A:$A,Heron!$A$4,Xero!$E:$E,Heron!$A91)+SUMIFS(Xero!$F:$F,Xero!$B:$B,Heron!AE$9,Xero!$A:$A,Heron!$A$5,Xero!$E:$E,Heron!$A91)</f>
        <v/>
      </c>
      <c r="AF91" s="101">
        <f>SUMIFS(Xero!$F:$F,Xero!$B:$B,Heron!AF$9,Xero!$A:$A,Heron!$A$4,Xero!$E:$E,Heron!$A91)+SUMIFS(Xero!$F:$F,Xero!$B:$B,Heron!AF$9,Xero!$A:$A,Heron!$A$5,Xero!$E:$E,Heron!$A91)</f>
        <v/>
      </c>
      <c r="AG91" s="101">
        <f>SUMIFS(Xero!$F:$F,Xero!$B:$B,Heron!AG$9,Xero!$A:$A,Heron!$A$4,Xero!$E:$E,Heron!$A91)+SUMIFS(Xero!$F:$F,Xero!$B:$B,Heron!AG$9,Xero!$A:$A,Heron!$A$5,Xero!$E:$E,Heron!$A91)</f>
        <v/>
      </c>
      <c r="AH91" s="101">
        <f>SUMIFS(Xero!$F:$F,Xero!$B:$B,Heron!AH$9,Xero!$A:$A,Heron!$A$4,Xero!$E:$E,Heron!$A91)+SUMIFS(Xero!$F:$F,Xero!$B:$B,Heron!AH$9,Xero!$A:$A,Heron!$A$5,Xero!$E:$E,Heron!$A91)</f>
        <v/>
      </c>
      <c r="AI91" s="101">
        <f>SUMIFS(Xero!$F:$F,Xero!$B:$B,Heron!AI$9,Xero!$A:$A,Heron!$A$4,Xero!$E:$E,Heron!$A91)+SUMIFS(Xero!$F:$F,Xero!$B:$B,Heron!AI$9,Xero!$A:$A,Heron!$A$5,Xero!$E:$E,Heron!$A91)</f>
        <v/>
      </c>
      <c r="AJ91" s="101">
        <f>SUMIFS(Xero!$F:$F,Xero!$B:$B,Heron!AJ$9,Xero!$A:$A,Heron!$A$4,Xero!$E:$E,Heron!$A91)+SUMIFS(Xero!$F:$F,Xero!$B:$B,Heron!AJ$9,Xero!$A:$A,Heron!$A$5,Xero!$E:$E,Heron!$A91)</f>
        <v/>
      </c>
      <c r="AK91" s="101">
        <f>SUMIFS(Xero!$F:$F,Xero!$B:$B,Heron!AK$9,Xero!$A:$A,Heron!$A$4,Xero!$E:$E,Heron!$A91)+SUMIFS(Xero!$F:$F,Xero!$B:$B,Heron!AK$9,Xero!$A:$A,Heron!$A$5,Xero!$E:$E,Heron!$A91)</f>
        <v/>
      </c>
      <c r="AL91" s="101">
        <f>SUMIFS(Xero!$F:$F,Xero!$B:$B,Heron!AL$9,Xero!$A:$A,Heron!$A$4,Xero!$E:$E,Heron!$A91)+SUMIFS(Xero!$F:$F,Xero!$B:$B,Heron!AL$9,Xero!$A:$A,Heron!$A$5,Xero!$E:$E,Heron!$A91)</f>
        <v/>
      </c>
      <c r="AM91" s="101">
        <f>SUMIFS(Xero!$F:$F,Xero!$B:$B,Heron!AM$9,Xero!$A:$A,Heron!$A$4,Xero!$E:$E,Heron!$A91)+SUMIFS(Xero!$F:$F,Xero!$B:$B,Heron!AM$9,Xero!$A:$A,Heron!$A$5,Xero!$E:$E,Heron!$A91)</f>
        <v/>
      </c>
      <c r="AN91" s="101">
        <f>SUMIFS(Xero!$F:$F,Xero!$B:$B,Heron!AN$9,Xero!$A:$A,Heron!$A$4,Xero!$E:$E,Heron!$A91)+SUMIFS(Xero!$F:$F,Xero!$B:$B,Heron!AN$9,Xero!$A:$A,Heron!$A$5,Xero!$E:$E,Heron!$A91)</f>
        <v/>
      </c>
      <c r="AO91" s="101">
        <f>SUMIFS(Xero!$F:$F,Xero!$B:$B,Heron!AO$9,Xero!$A:$A,Heron!$A$4,Xero!$E:$E,Heron!$A91)+SUMIFS(Xero!$F:$F,Xero!$B:$B,Heron!AO$9,Xero!$A:$A,Heron!$A$5,Xero!$E:$E,Heron!$A91)</f>
        <v/>
      </c>
      <c r="AP91" s="101">
        <f>SUMIFS(Xero!$F:$F,Xero!$B:$B,Heron!AP$9,Xero!$A:$A,Heron!$A$4,Xero!$E:$E,Heron!$A91)+SUMIFS(Xero!$F:$F,Xero!$B:$B,Heron!AP$9,Xero!$A:$A,Heron!$A$5,Xero!$E:$E,Heron!$A91)</f>
        <v/>
      </c>
      <c r="AQ91" s="101">
        <f>SUMIFS(Xero!$F:$F,Xero!$B:$B,Heron!AQ$9,Xero!$A:$A,Heron!$A$4,Xero!$E:$E,Heron!$A91)+SUMIFS(Xero!$F:$F,Xero!$B:$B,Heron!AQ$9,Xero!$A:$A,Heron!$A$5,Xero!$E:$E,Heron!$A91)</f>
        <v/>
      </c>
      <c r="AR91" s="101">
        <f>SUMIFS(Xero!$F:$F,Xero!$B:$B,Heron!AR$9,Xero!$A:$A,Heron!$A$4,Xero!$E:$E,Heron!$A91)+SUMIFS(Xero!$F:$F,Xero!$B:$B,Heron!AR$9,Xero!$A:$A,Heron!$A$5,Xero!$E:$E,Heron!$A91)</f>
        <v/>
      </c>
      <c r="AS91" s="101">
        <f>SUMIFS(Xero!$F:$F,Xero!$B:$B,Heron!AS$9,Xero!$A:$A,Heron!$A$4,Xero!$E:$E,Heron!$A91)+SUMIFS(Xero!$F:$F,Xero!$B:$B,Heron!AS$9,Xero!$A:$A,Heron!$A$5,Xero!$E:$E,Heron!$A91)</f>
        <v/>
      </c>
      <c r="AT91" s="101">
        <f>SUMIFS(Xero!$F:$F,Xero!$B:$B,Heron!AT$9,Xero!$A:$A,Heron!$A$4,Xero!$E:$E,Heron!$A91)+SUMIFS(Xero!$F:$F,Xero!$B:$B,Heron!AT$9,Xero!$A:$A,Heron!$A$5,Xero!$E:$E,Heron!$A91)</f>
        <v/>
      </c>
      <c r="AU91" s="101">
        <f>SUMIFS(Xero!$F:$F,Xero!$B:$B,Heron!AU$9,Xero!$A:$A,Heron!$A$4,Xero!$E:$E,Heron!$A91)+SUMIFS(Xero!$F:$F,Xero!$B:$B,Heron!AU$9,Xero!$A:$A,Heron!$A$5,Xero!$E:$E,Heron!$A91)</f>
        <v/>
      </c>
      <c r="AV91" s="101">
        <f>SUMIFS(Xero!$F:$F,Xero!$B:$B,Heron!AV$9,Xero!$A:$A,Heron!$A$4,Xero!$E:$E,Heron!$A91)+SUMIFS(Xero!$F:$F,Xero!$B:$B,Heron!AV$9,Xero!$A:$A,Heron!$A$5,Xero!$E:$E,Heron!$A91)</f>
        <v/>
      </c>
      <c r="AW91" s="101">
        <f>SUMIFS(Xero!$F:$F,Xero!$B:$B,Heron!AW$9,Xero!$A:$A,Heron!$A$4,Xero!$E:$E,Heron!$A91)+SUMIFS(Xero!$F:$F,Xero!$B:$B,Heron!AW$9,Xero!$A:$A,Heron!$A$5,Xero!$E:$E,Heron!$A91)</f>
        <v/>
      </c>
      <c r="AX91" s="101">
        <f>SUMIFS(Xero!$F:$F,Xero!$B:$B,Heron!AX$9,Xero!$A:$A,Heron!$A$4,Xero!$E:$E,Heron!$A91)+SUMIFS(Xero!$F:$F,Xero!$B:$B,Heron!AX$9,Xero!$A:$A,Heron!$A$5,Xero!$E:$E,Heron!$A91)</f>
        <v/>
      </c>
      <c r="AY91" s="101">
        <f>SUMIFS(Xero!$F:$F,Xero!$B:$B,Heron!AY$9,Xero!$A:$A,Heron!$A$4,Xero!$E:$E,Heron!$A91)+SUMIFS(Xero!$F:$F,Xero!$B:$B,Heron!AY$9,Xero!$A:$A,Heron!$A$5,Xero!$E:$E,Heron!$A91)</f>
        <v/>
      </c>
      <c r="AZ91" s="101">
        <f>SUMIFS(Xero!$F:$F,Xero!$B:$B,Heron!AZ$9,Xero!$A:$A,Heron!$A$4,Xero!$E:$E,Heron!$A91)+SUMIFS(Xero!$F:$F,Xero!$B:$B,Heron!AZ$9,Xero!$A:$A,Heron!$A$5,Xero!$E:$E,Heron!$A91)</f>
        <v/>
      </c>
      <c r="BA91" s="101">
        <f>SUMIFS(Xero!$F:$F,Xero!$B:$B,Heron!BA$9,Xero!$A:$A,Heron!$A$4,Xero!$E:$E,Heron!$A91)+SUMIFS(Xero!$F:$F,Xero!$B:$B,Heron!BA$9,Xero!$A:$A,Heron!$A$5,Xero!$E:$E,Heron!$A91)</f>
        <v/>
      </c>
      <c r="BB91" s="101">
        <f>SUMIFS(Xero!$F:$F,Xero!$B:$B,Heron!BB$9,Xero!$A:$A,Heron!$A$4,Xero!$E:$E,Heron!$A91)+SUMIFS(Xero!$F:$F,Xero!$B:$B,Heron!BB$9,Xero!$A:$A,Heron!$A$5,Xero!$E:$E,Heron!$A91)</f>
        <v/>
      </c>
      <c r="BC91" s="101">
        <f>SUMIFS(Xero!$F:$F,Xero!$B:$B,Heron!BC$9,Xero!$A:$A,Heron!$A$4,Xero!$E:$E,Heron!$A91)+SUMIFS(Xero!$F:$F,Xero!$B:$B,Heron!BC$9,Xero!$A:$A,Heron!$A$5,Xero!$E:$E,Heron!$A91)</f>
        <v/>
      </c>
      <c r="BD91" s="101">
        <f>SUMIFS(Xero!$F:$F,Xero!$B:$B,Heron!BD$9,Xero!$A:$A,Heron!$A$4,Xero!$E:$E,Heron!$A91)+SUMIFS(Xero!$F:$F,Xero!$B:$B,Heron!BD$9,Xero!$A:$A,Heron!$A$5,Xero!$E:$E,Heron!$A91)</f>
        <v/>
      </c>
      <c r="BE91" s="101">
        <f>SUMIFS(Xero!$F:$F,Xero!$B:$B,Heron!BE$9,Xero!$A:$A,Heron!$A$4,Xero!$E:$E,Heron!$A91)+SUMIFS(Xero!$F:$F,Xero!$B:$B,Heron!BE$9,Xero!$A:$A,Heron!$A$5,Xero!$E:$E,Heron!$A91)</f>
        <v/>
      </c>
      <c r="BF91" s="101">
        <f>SUMIFS(Xero!$F:$F,Xero!$B:$B,Heron!BF$9,Xero!$A:$A,Heron!$A$4,Xero!$E:$E,Heron!$A91)+SUMIFS(Xero!$F:$F,Xero!$B:$B,Heron!BF$9,Xero!$A:$A,Heron!$A$5,Xero!$E:$E,Heron!$A91)</f>
        <v/>
      </c>
      <c r="BG91" s="101">
        <f>SUMIFS(Xero!$F:$F,Xero!$B:$B,Heron!BG$9,Xero!$A:$A,Heron!$A$4,Xero!$E:$E,Heron!$A91)+SUMIFS(Xero!$F:$F,Xero!$B:$B,Heron!BG$9,Xero!$A:$A,Heron!$A$5,Xero!$E:$E,Heron!$A91)</f>
        <v/>
      </c>
      <c r="BH91" s="101">
        <f>SUMIFS(Xero!$F:$F,Xero!$B:$B,Heron!BH$9,Xero!$A:$A,Heron!$A$4,Xero!$E:$E,Heron!$A91)+SUMIFS(Xero!$F:$F,Xero!$B:$B,Heron!BH$9,Xero!$A:$A,Heron!$A$5,Xero!$E:$E,Heron!$A91)</f>
        <v/>
      </c>
      <c r="BI91" s="101">
        <f>SUMIFS(Xero!$F:$F,Xero!$B:$B,Heron!BI$9,Xero!$A:$A,Heron!$A$4,Xero!$E:$E,Heron!$A91)+SUMIFS(Xero!$F:$F,Xero!$B:$B,Heron!BI$9,Xero!$A:$A,Heron!$A$5,Xero!$E:$E,Heron!$A91)</f>
        <v/>
      </c>
      <c r="BJ91" s="101">
        <f>SUMIFS(Xero!$F:$F,Xero!$B:$B,Heron!BJ$9,Xero!$A:$A,Heron!$A$4,Xero!$E:$E,Heron!$A91)+SUMIFS(Xero!$F:$F,Xero!$B:$B,Heron!BJ$9,Xero!$A:$A,Heron!$A$5,Xero!$E:$E,Heron!$A91)</f>
        <v/>
      </c>
      <c r="BK91" s="101">
        <f>sum(D91:BJ91)</f>
        <v/>
      </c>
    </row>
    <row r="92">
      <c r="A92" s="100" t="inlineStr">
        <is>
          <t>Management fees - OMH</t>
        </is>
      </c>
      <c r="D92" s="101">
        <f>SUMIFS(Xero!$F:$F,Xero!$B:$B,Heron!D$9,Xero!$A:$A,Heron!$A$4,Xero!$E:$E,Heron!$A92)+SUMIFS(Xero!$F:$F,Xero!$B:$B,Heron!D$9,Xero!$A:$A,Heron!$A$5,Xero!$E:$E,Heron!$A92)</f>
        <v/>
      </c>
      <c r="E92" s="101">
        <f>SUMIFS(Xero!$F:$F,Xero!$B:$B,Heron!E$9,Xero!$A:$A,Heron!$A$4,Xero!$E:$E,Heron!$A92)+SUMIFS(Xero!$F:$F,Xero!$B:$B,Heron!E$9,Xero!$A:$A,Heron!$A$5,Xero!$E:$E,Heron!$A92)</f>
        <v/>
      </c>
      <c r="F92" s="101">
        <f>SUMIFS(Xero!$F:$F,Xero!$B:$B,Heron!F$9,Xero!$A:$A,Heron!$A$4,Xero!$E:$E,Heron!$A92)+SUMIFS(Xero!$F:$F,Xero!$B:$B,Heron!F$9,Xero!$A:$A,Heron!$A$5,Xero!$E:$E,Heron!$A92)</f>
        <v/>
      </c>
      <c r="G92" s="101">
        <f>SUMIFS(Xero!$F:$F,Xero!$B:$B,Heron!G$9,Xero!$A:$A,Heron!$A$4,Xero!$E:$E,Heron!$A92)+SUMIFS(Xero!$F:$F,Xero!$B:$B,Heron!G$9,Xero!$A:$A,Heron!$A$5,Xero!$E:$E,Heron!$A92)</f>
        <v/>
      </c>
      <c r="H92" s="101">
        <f>SUMIFS(Xero!$F:$F,Xero!$B:$B,Heron!H$9,Xero!$A:$A,Heron!$A$4,Xero!$E:$E,Heron!$A92)+SUMIFS(Xero!$F:$F,Xero!$B:$B,Heron!H$9,Xero!$A:$A,Heron!$A$5,Xero!$E:$E,Heron!$A92)</f>
        <v/>
      </c>
      <c r="I92" s="101">
        <f>SUMIFS(Xero!$F:$F,Xero!$B:$B,Heron!I$9,Xero!$A:$A,Heron!$A$4,Xero!$E:$E,Heron!$A92)+SUMIFS(Xero!$F:$F,Xero!$B:$B,Heron!I$9,Xero!$A:$A,Heron!$A$5,Xero!$E:$E,Heron!$A92)</f>
        <v/>
      </c>
      <c r="J92" s="101">
        <f>SUMIFS(Xero!$F:$F,Xero!$B:$B,Heron!J$9,Xero!$A:$A,Heron!$A$4,Xero!$E:$E,Heron!$A92)+SUMIFS(Xero!$F:$F,Xero!$B:$B,Heron!J$9,Xero!$A:$A,Heron!$A$5,Xero!$E:$E,Heron!$A92)</f>
        <v/>
      </c>
      <c r="K92" s="101">
        <f>SUMIFS(Xero!$F:$F,Xero!$B:$B,Heron!K$9,Xero!$A:$A,Heron!$A$4,Xero!$E:$E,Heron!$A92)+SUMIFS(Xero!$F:$F,Xero!$B:$B,Heron!K$9,Xero!$A:$A,Heron!$A$5,Xero!$E:$E,Heron!$A92)</f>
        <v/>
      </c>
      <c r="L92" s="101">
        <f>SUMIFS(Xero!$F:$F,Xero!$B:$B,Heron!L$9,Xero!$A:$A,Heron!$A$4,Xero!$E:$E,Heron!$A92)+SUMIFS(Xero!$F:$F,Xero!$B:$B,Heron!L$9,Xero!$A:$A,Heron!$A$5,Xero!$E:$E,Heron!$A92)</f>
        <v/>
      </c>
      <c r="M92" s="101">
        <f>SUMIFS(Xero!$F:$F,Xero!$B:$B,Heron!M$9,Xero!$A:$A,Heron!$A$4,Xero!$E:$E,Heron!$A92)+SUMIFS(Xero!$F:$F,Xero!$B:$B,Heron!M$9,Xero!$A:$A,Heron!$A$5,Xero!$E:$E,Heron!$A92)</f>
        <v/>
      </c>
      <c r="N92" s="101">
        <f>SUMIFS(Xero!$F:$F,Xero!$B:$B,Heron!N$9,Xero!$A:$A,Heron!$A$4,Xero!$E:$E,Heron!$A92)+SUMIFS(Xero!$F:$F,Xero!$B:$B,Heron!N$9,Xero!$A:$A,Heron!$A$5,Xero!$E:$E,Heron!$A92)</f>
        <v/>
      </c>
      <c r="O92" s="101">
        <f>SUMIFS(Xero!$F:$F,Xero!$B:$B,Heron!O$9,Xero!$A:$A,Heron!$A$4,Xero!$E:$E,Heron!$A92)+SUMIFS(Xero!$F:$F,Xero!$B:$B,Heron!O$9,Xero!$A:$A,Heron!$A$5,Xero!$E:$E,Heron!$A92)</f>
        <v/>
      </c>
      <c r="P92" s="101">
        <f>SUMIFS(Xero!$F:$F,Xero!$B:$B,Heron!P$9,Xero!$A:$A,Heron!$A$4,Xero!$E:$E,Heron!$A92)+SUMIFS(Xero!$F:$F,Xero!$B:$B,Heron!P$9,Xero!$A:$A,Heron!$A$5,Xero!$E:$E,Heron!$A92)</f>
        <v/>
      </c>
      <c r="Q92" s="101">
        <f>SUMIFS(Xero!$F:$F,Xero!$B:$B,Heron!Q$9,Xero!$A:$A,Heron!$A$4,Xero!$E:$E,Heron!$A92)+SUMIFS(Xero!$F:$F,Xero!$B:$B,Heron!Q$9,Xero!$A:$A,Heron!$A$5,Xero!$E:$E,Heron!$A92)</f>
        <v/>
      </c>
      <c r="R92" s="101">
        <f>SUMIFS(Xero!$F:$F,Xero!$B:$B,Heron!R$9,Xero!$A:$A,Heron!$A$4,Xero!$E:$E,Heron!$A92)+SUMIFS(Xero!$F:$F,Xero!$B:$B,Heron!R$9,Xero!$A:$A,Heron!$A$5,Xero!$E:$E,Heron!$A92)</f>
        <v/>
      </c>
      <c r="S92" s="101">
        <f>SUMIFS(Xero!$F:$F,Xero!$B:$B,Heron!S$9,Xero!$A:$A,Heron!$A$4,Xero!$E:$E,Heron!$A92)+SUMIFS(Xero!$F:$F,Xero!$B:$B,Heron!S$9,Xero!$A:$A,Heron!$A$5,Xero!$E:$E,Heron!$A92)</f>
        <v/>
      </c>
      <c r="T92" s="101">
        <f>SUMIFS(Xero!$F:$F,Xero!$B:$B,Heron!T$9,Xero!$A:$A,Heron!$A$4,Xero!$E:$E,Heron!$A92)+SUMIFS(Xero!$F:$F,Xero!$B:$B,Heron!T$9,Xero!$A:$A,Heron!$A$5,Xero!$E:$E,Heron!$A92)</f>
        <v/>
      </c>
      <c r="U92" s="101">
        <f>SUMIFS(Xero!$F:$F,Xero!$B:$B,Heron!U$9,Xero!$A:$A,Heron!$A$4,Xero!$E:$E,Heron!$A92)+SUMIFS(Xero!$F:$F,Xero!$B:$B,Heron!U$9,Xero!$A:$A,Heron!$A$5,Xero!$E:$E,Heron!$A92)</f>
        <v/>
      </c>
      <c r="V92" s="101">
        <f>SUMIFS(Xero!$F:$F,Xero!$B:$B,Heron!V$9,Xero!$A:$A,Heron!$A$4,Xero!$E:$E,Heron!$A92)+SUMIFS(Xero!$F:$F,Xero!$B:$B,Heron!V$9,Xero!$A:$A,Heron!$A$5,Xero!$E:$E,Heron!$A92)</f>
        <v/>
      </c>
      <c r="W92" s="101">
        <f>SUMIFS(Xero!$F:$F,Xero!$B:$B,Heron!W$9,Xero!$A:$A,Heron!$A$4,Xero!$E:$E,Heron!$A92)+SUMIFS(Xero!$F:$F,Xero!$B:$B,Heron!W$9,Xero!$A:$A,Heron!$A$5,Xero!$E:$E,Heron!$A92)</f>
        <v/>
      </c>
      <c r="X92" s="101">
        <f>SUMIFS(Xero!$F:$F,Xero!$B:$B,Heron!X$9,Xero!$A:$A,Heron!$A$4,Xero!$E:$E,Heron!$A92)+SUMIFS(Xero!$F:$F,Xero!$B:$B,Heron!X$9,Xero!$A:$A,Heron!$A$5,Xero!$E:$E,Heron!$A92)</f>
        <v/>
      </c>
      <c r="Y92" s="101">
        <f>SUMIFS(Xero!$F:$F,Xero!$B:$B,Heron!Y$9,Xero!$A:$A,Heron!$A$4,Xero!$E:$E,Heron!$A92)+SUMIFS(Xero!$F:$F,Xero!$B:$B,Heron!Y$9,Xero!$A:$A,Heron!$A$5,Xero!$E:$E,Heron!$A92)</f>
        <v/>
      </c>
      <c r="Z92" s="101">
        <f>SUMIFS(Xero!$F:$F,Xero!$B:$B,Heron!Z$9,Xero!$A:$A,Heron!$A$4,Xero!$E:$E,Heron!$A92)+SUMIFS(Xero!$F:$F,Xero!$B:$B,Heron!Z$9,Xero!$A:$A,Heron!$A$5,Xero!$E:$E,Heron!$A92)</f>
        <v/>
      </c>
      <c r="AA92" s="101">
        <f>SUMIFS(Xero!$F:$F,Xero!$B:$B,Heron!AA$9,Xero!$A:$A,Heron!$A$4,Xero!$E:$E,Heron!$A92)+SUMIFS(Xero!$F:$F,Xero!$B:$B,Heron!AA$9,Xero!$A:$A,Heron!$A$5,Xero!$E:$E,Heron!$A92)</f>
        <v/>
      </c>
      <c r="AB92" s="101">
        <f>SUMIFS(Xero!$F:$F,Xero!$B:$B,Heron!AB$9,Xero!$A:$A,Heron!$A$4,Xero!$E:$E,Heron!$A92)+SUMIFS(Xero!$F:$F,Xero!$B:$B,Heron!AB$9,Xero!$A:$A,Heron!$A$5,Xero!$E:$E,Heron!$A92)</f>
        <v/>
      </c>
      <c r="AC92" s="101">
        <f>SUMIFS(Xero!$F:$F,Xero!$B:$B,Heron!AC$9,Xero!$A:$A,Heron!$A$4,Xero!$E:$E,Heron!$A92)+SUMIFS(Xero!$F:$F,Xero!$B:$B,Heron!AC$9,Xero!$A:$A,Heron!$A$5,Xero!$E:$E,Heron!$A92)</f>
        <v/>
      </c>
      <c r="AD92" s="101">
        <f>SUMIFS(Xero!$F:$F,Xero!$B:$B,Heron!AD$9,Xero!$A:$A,Heron!$A$4,Xero!$E:$E,Heron!$A92)+SUMIFS(Xero!$F:$F,Xero!$B:$B,Heron!AD$9,Xero!$A:$A,Heron!$A$5,Xero!$E:$E,Heron!$A92)</f>
        <v/>
      </c>
      <c r="AE92" s="101">
        <f>SUMIFS(Xero!$F:$F,Xero!$B:$B,Heron!AE$9,Xero!$A:$A,Heron!$A$4,Xero!$E:$E,Heron!$A92)+SUMIFS(Xero!$F:$F,Xero!$B:$B,Heron!AE$9,Xero!$A:$A,Heron!$A$5,Xero!$E:$E,Heron!$A92)</f>
        <v/>
      </c>
      <c r="AF92" s="101">
        <f>SUMIFS(Xero!$F:$F,Xero!$B:$B,Heron!AF$9,Xero!$A:$A,Heron!$A$4,Xero!$E:$E,Heron!$A92)+SUMIFS(Xero!$F:$F,Xero!$B:$B,Heron!AF$9,Xero!$A:$A,Heron!$A$5,Xero!$E:$E,Heron!$A92)</f>
        <v/>
      </c>
      <c r="AG92" s="101">
        <f>SUMIFS(Xero!$F:$F,Xero!$B:$B,Heron!AG$9,Xero!$A:$A,Heron!$A$4,Xero!$E:$E,Heron!$A92)+SUMIFS(Xero!$F:$F,Xero!$B:$B,Heron!AG$9,Xero!$A:$A,Heron!$A$5,Xero!$E:$E,Heron!$A92)</f>
        <v/>
      </c>
      <c r="AH92" s="101">
        <f>SUMIFS(Xero!$F:$F,Xero!$B:$B,Heron!AH$9,Xero!$A:$A,Heron!$A$4,Xero!$E:$E,Heron!$A92)+SUMIFS(Xero!$F:$F,Xero!$B:$B,Heron!AH$9,Xero!$A:$A,Heron!$A$5,Xero!$E:$E,Heron!$A92)</f>
        <v/>
      </c>
      <c r="AI92" s="101">
        <f>SUMIFS(Xero!$F:$F,Xero!$B:$B,Heron!AI$9,Xero!$A:$A,Heron!$A$4,Xero!$E:$E,Heron!$A92)+SUMIFS(Xero!$F:$F,Xero!$B:$B,Heron!AI$9,Xero!$A:$A,Heron!$A$5,Xero!$E:$E,Heron!$A92)</f>
        <v/>
      </c>
      <c r="AJ92" s="101">
        <f>SUMIFS(Xero!$F:$F,Xero!$B:$B,Heron!AJ$9,Xero!$A:$A,Heron!$A$4,Xero!$E:$E,Heron!$A92)+SUMIFS(Xero!$F:$F,Xero!$B:$B,Heron!AJ$9,Xero!$A:$A,Heron!$A$5,Xero!$E:$E,Heron!$A92)</f>
        <v/>
      </c>
      <c r="AK92" s="101">
        <f>SUMIFS(Xero!$F:$F,Xero!$B:$B,Heron!AK$9,Xero!$A:$A,Heron!$A$4,Xero!$E:$E,Heron!$A92)+SUMIFS(Xero!$F:$F,Xero!$B:$B,Heron!AK$9,Xero!$A:$A,Heron!$A$5,Xero!$E:$E,Heron!$A92)</f>
        <v/>
      </c>
      <c r="AL92" s="101">
        <f>SUMIFS(Xero!$F:$F,Xero!$B:$B,Heron!AL$9,Xero!$A:$A,Heron!$A$4,Xero!$E:$E,Heron!$A92)+SUMIFS(Xero!$F:$F,Xero!$B:$B,Heron!AL$9,Xero!$A:$A,Heron!$A$5,Xero!$E:$E,Heron!$A92)</f>
        <v/>
      </c>
      <c r="AM92" s="101">
        <f>SUMIFS(Xero!$F:$F,Xero!$B:$B,Heron!AM$9,Xero!$A:$A,Heron!$A$4,Xero!$E:$E,Heron!$A92)+SUMIFS(Xero!$F:$F,Xero!$B:$B,Heron!AM$9,Xero!$A:$A,Heron!$A$5,Xero!$E:$E,Heron!$A92)</f>
        <v/>
      </c>
      <c r="AN92" s="101">
        <f>SUMIFS(Xero!$F:$F,Xero!$B:$B,Heron!AN$9,Xero!$A:$A,Heron!$A$4,Xero!$E:$E,Heron!$A92)+SUMIFS(Xero!$F:$F,Xero!$B:$B,Heron!AN$9,Xero!$A:$A,Heron!$A$5,Xero!$E:$E,Heron!$A92)</f>
        <v/>
      </c>
      <c r="AO92" s="101">
        <f>SUMIFS(Xero!$F:$F,Xero!$B:$B,Heron!AO$9,Xero!$A:$A,Heron!$A$4,Xero!$E:$E,Heron!$A92)+SUMIFS(Xero!$F:$F,Xero!$B:$B,Heron!AO$9,Xero!$A:$A,Heron!$A$5,Xero!$E:$E,Heron!$A92)</f>
        <v/>
      </c>
      <c r="AP92" s="101">
        <f>SUMIFS(Xero!$F:$F,Xero!$B:$B,Heron!AP$9,Xero!$A:$A,Heron!$A$4,Xero!$E:$E,Heron!$A92)+SUMIFS(Xero!$F:$F,Xero!$B:$B,Heron!AP$9,Xero!$A:$A,Heron!$A$5,Xero!$E:$E,Heron!$A92)</f>
        <v/>
      </c>
      <c r="AQ92" s="101">
        <f>SUMIFS(Xero!$F:$F,Xero!$B:$B,Heron!AQ$9,Xero!$A:$A,Heron!$A$4,Xero!$E:$E,Heron!$A92)+SUMIFS(Xero!$F:$F,Xero!$B:$B,Heron!AQ$9,Xero!$A:$A,Heron!$A$5,Xero!$E:$E,Heron!$A92)</f>
        <v/>
      </c>
      <c r="AR92" s="101">
        <f>SUMIFS(Xero!$F:$F,Xero!$B:$B,Heron!AR$9,Xero!$A:$A,Heron!$A$4,Xero!$E:$E,Heron!$A92)+SUMIFS(Xero!$F:$F,Xero!$B:$B,Heron!AR$9,Xero!$A:$A,Heron!$A$5,Xero!$E:$E,Heron!$A92)</f>
        <v/>
      </c>
      <c r="AS92" s="101">
        <f>SUMIFS(Xero!$F:$F,Xero!$B:$B,Heron!AS$9,Xero!$A:$A,Heron!$A$4,Xero!$E:$E,Heron!$A92)+SUMIFS(Xero!$F:$F,Xero!$B:$B,Heron!AS$9,Xero!$A:$A,Heron!$A$5,Xero!$E:$E,Heron!$A92)</f>
        <v/>
      </c>
      <c r="AT92" s="101">
        <f>SUMIFS(Xero!$F:$F,Xero!$B:$B,Heron!AT$9,Xero!$A:$A,Heron!$A$4,Xero!$E:$E,Heron!$A92)+SUMIFS(Xero!$F:$F,Xero!$B:$B,Heron!AT$9,Xero!$A:$A,Heron!$A$5,Xero!$E:$E,Heron!$A92)</f>
        <v/>
      </c>
      <c r="AU92" s="101">
        <f>SUMIFS(Xero!$F:$F,Xero!$B:$B,Heron!AU$9,Xero!$A:$A,Heron!$A$4,Xero!$E:$E,Heron!$A92)+SUMIFS(Xero!$F:$F,Xero!$B:$B,Heron!AU$9,Xero!$A:$A,Heron!$A$5,Xero!$E:$E,Heron!$A92)</f>
        <v/>
      </c>
      <c r="AV92" s="101">
        <f>SUMIFS(Xero!$F:$F,Xero!$B:$B,Heron!AV$9,Xero!$A:$A,Heron!$A$4,Xero!$E:$E,Heron!$A92)+SUMIFS(Xero!$F:$F,Xero!$B:$B,Heron!AV$9,Xero!$A:$A,Heron!$A$5,Xero!$E:$E,Heron!$A92)</f>
        <v/>
      </c>
      <c r="AW92" s="101">
        <f>SUMIFS(Xero!$F:$F,Xero!$B:$B,Heron!AW$9,Xero!$A:$A,Heron!$A$4,Xero!$E:$E,Heron!$A92)+SUMIFS(Xero!$F:$F,Xero!$B:$B,Heron!AW$9,Xero!$A:$A,Heron!$A$5,Xero!$E:$E,Heron!$A92)</f>
        <v/>
      </c>
      <c r="AX92" s="101">
        <f>SUMIFS(Xero!$F:$F,Xero!$B:$B,Heron!AX$9,Xero!$A:$A,Heron!$A$4,Xero!$E:$E,Heron!$A92)+SUMIFS(Xero!$F:$F,Xero!$B:$B,Heron!AX$9,Xero!$A:$A,Heron!$A$5,Xero!$E:$E,Heron!$A92)</f>
        <v/>
      </c>
      <c r="AY92" s="101">
        <f>SUMIFS(Xero!$F:$F,Xero!$B:$B,Heron!AY$9,Xero!$A:$A,Heron!$A$4,Xero!$E:$E,Heron!$A92)+SUMIFS(Xero!$F:$F,Xero!$B:$B,Heron!AY$9,Xero!$A:$A,Heron!$A$5,Xero!$E:$E,Heron!$A92)</f>
        <v/>
      </c>
      <c r="AZ92" s="101">
        <f>SUMIFS(Xero!$F:$F,Xero!$B:$B,Heron!AZ$9,Xero!$A:$A,Heron!$A$4,Xero!$E:$E,Heron!$A92)+SUMIFS(Xero!$F:$F,Xero!$B:$B,Heron!AZ$9,Xero!$A:$A,Heron!$A$5,Xero!$E:$E,Heron!$A92)</f>
        <v/>
      </c>
      <c r="BA92" s="101">
        <f>SUMIFS(Xero!$F:$F,Xero!$B:$B,Heron!BA$9,Xero!$A:$A,Heron!$A$4,Xero!$E:$E,Heron!$A92)+SUMIFS(Xero!$F:$F,Xero!$B:$B,Heron!BA$9,Xero!$A:$A,Heron!$A$5,Xero!$E:$E,Heron!$A92)</f>
        <v/>
      </c>
      <c r="BB92" s="101">
        <f>SUMIFS(Xero!$F:$F,Xero!$B:$B,Heron!BB$9,Xero!$A:$A,Heron!$A$4,Xero!$E:$E,Heron!$A92)+SUMIFS(Xero!$F:$F,Xero!$B:$B,Heron!BB$9,Xero!$A:$A,Heron!$A$5,Xero!$E:$E,Heron!$A92)</f>
        <v/>
      </c>
      <c r="BC92" s="101">
        <f>SUMIFS(Xero!$F:$F,Xero!$B:$B,Heron!BC$9,Xero!$A:$A,Heron!$A$4,Xero!$E:$E,Heron!$A92)+SUMIFS(Xero!$F:$F,Xero!$B:$B,Heron!BC$9,Xero!$A:$A,Heron!$A$5,Xero!$E:$E,Heron!$A92)</f>
        <v/>
      </c>
      <c r="BD92" s="101">
        <f>SUMIFS(Xero!$F:$F,Xero!$B:$B,Heron!BD$9,Xero!$A:$A,Heron!$A$4,Xero!$E:$E,Heron!$A92)+SUMIFS(Xero!$F:$F,Xero!$B:$B,Heron!BD$9,Xero!$A:$A,Heron!$A$5,Xero!$E:$E,Heron!$A92)</f>
        <v/>
      </c>
      <c r="BE92" s="101">
        <f>SUMIFS(Xero!$F:$F,Xero!$B:$B,Heron!BE$9,Xero!$A:$A,Heron!$A$4,Xero!$E:$E,Heron!$A92)+SUMIFS(Xero!$F:$F,Xero!$B:$B,Heron!BE$9,Xero!$A:$A,Heron!$A$5,Xero!$E:$E,Heron!$A92)</f>
        <v/>
      </c>
      <c r="BF92" s="101">
        <f>SUMIFS(Xero!$F:$F,Xero!$B:$B,Heron!BF$9,Xero!$A:$A,Heron!$A$4,Xero!$E:$E,Heron!$A92)+SUMIFS(Xero!$F:$F,Xero!$B:$B,Heron!BF$9,Xero!$A:$A,Heron!$A$5,Xero!$E:$E,Heron!$A92)</f>
        <v/>
      </c>
      <c r="BG92" s="101">
        <f>SUMIFS(Xero!$F:$F,Xero!$B:$B,Heron!BG$9,Xero!$A:$A,Heron!$A$4,Xero!$E:$E,Heron!$A92)+SUMIFS(Xero!$F:$F,Xero!$B:$B,Heron!BG$9,Xero!$A:$A,Heron!$A$5,Xero!$E:$E,Heron!$A92)</f>
        <v/>
      </c>
      <c r="BH92" s="101">
        <f>SUMIFS(Xero!$F:$F,Xero!$B:$B,Heron!BH$9,Xero!$A:$A,Heron!$A$4,Xero!$E:$E,Heron!$A92)+SUMIFS(Xero!$F:$F,Xero!$B:$B,Heron!BH$9,Xero!$A:$A,Heron!$A$5,Xero!$E:$E,Heron!$A92)</f>
        <v/>
      </c>
      <c r="BI92" s="101">
        <f>SUMIFS(Xero!$F:$F,Xero!$B:$B,Heron!BI$9,Xero!$A:$A,Heron!$A$4,Xero!$E:$E,Heron!$A92)+SUMIFS(Xero!$F:$F,Xero!$B:$B,Heron!BI$9,Xero!$A:$A,Heron!$A$5,Xero!$E:$E,Heron!$A92)</f>
        <v/>
      </c>
      <c r="BJ92" s="101">
        <f>SUMIFS(Xero!$F:$F,Xero!$B:$B,Heron!BJ$9,Xero!$A:$A,Heron!$A$4,Xero!$E:$E,Heron!$A92)+SUMIFS(Xero!$F:$F,Xero!$B:$B,Heron!BJ$9,Xero!$A:$A,Heron!$A$5,Xero!$E:$E,Heron!$A92)</f>
        <v/>
      </c>
      <c r="BK92" s="101">
        <f>sum(D92:BJ92)</f>
        <v/>
      </c>
    </row>
    <row r="93">
      <c r="A93" s="100" t="inlineStr">
        <is>
          <t>Momentum Admin Fee</t>
        </is>
      </c>
      <c r="D93" s="101">
        <f>SUMIFS(Xero!$F:$F,Xero!$B:$B,Heron!D$9,Xero!$A:$A,Heron!$A$4,Xero!$E:$E,Heron!$A93)+SUMIFS(Xero!$F:$F,Xero!$B:$B,Heron!D$9,Xero!$A:$A,Heron!$A$5,Xero!$E:$E,Heron!$A93)</f>
        <v/>
      </c>
      <c r="E93" s="101">
        <f>SUMIFS(Xero!$F:$F,Xero!$B:$B,Heron!E$9,Xero!$A:$A,Heron!$A$4,Xero!$E:$E,Heron!$A93)+SUMIFS(Xero!$F:$F,Xero!$B:$B,Heron!E$9,Xero!$A:$A,Heron!$A$5,Xero!$E:$E,Heron!$A93)</f>
        <v/>
      </c>
      <c r="F93" s="101">
        <f>SUMIFS(Xero!$F:$F,Xero!$B:$B,Heron!F$9,Xero!$A:$A,Heron!$A$4,Xero!$E:$E,Heron!$A93)+SUMIFS(Xero!$F:$F,Xero!$B:$B,Heron!F$9,Xero!$A:$A,Heron!$A$5,Xero!$E:$E,Heron!$A93)</f>
        <v/>
      </c>
      <c r="G93" s="101">
        <f>SUMIFS(Xero!$F:$F,Xero!$B:$B,Heron!G$9,Xero!$A:$A,Heron!$A$4,Xero!$E:$E,Heron!$A93)+SUMIFS(Xero!$F:$F,Xero!$B:$B,Heron!G$9,Xero!$A:$A,Heron!$A$5,Xero!$E:$E,Heron!$A93)</f>
        <v/>
      </c>
      <c r="H93" s="101">
        <f>SUMIFS(Xero!$F:$F,Xero!$B:$B,Heron!H$9,Xero!$A:$A,Heron!$A$4,Xero!$E:$E,Heron!$A93)+SUMIFS(Xero!$F:$F,Xero!$B:$B,Heron!H$9,Xero!$A:$A,Heron!$A$5,Xero!$E:$E,Heron!$A93)</f>
        <v/>
      </c>
      <c r="I93" s="101">
        <f>SUMIFS(Xero!$F:$F,Xero!$B:$B,Heron!I$9,Xero!$A:$A,Heron!$A$4,Xero!$E:$E,Heron!$A93)+SUMIFS(Xero!$F:$F,Xero!$B:$B,Heron!I$9,Xero!$A:$A,Heron!$A$5,Xero!$E:$E,Heron!$A93)</f>
        <v/>
      </c>
      <c r="J93" s="101">
        <f>SUMIFS(Xero!$F:$F,Xero!$B:$B,Heron!J$9,Xero!$A:$A,Heron!$A$4,Xero!$E:$E,Heron!$A93)+SUMIFS(Xero!$F:$F,Xero!$B:$B,Heron!J$9,Xero!$A:$A,Heron!$A$5,Xero!$E:$E,Heron!$A93)</f>
        <v/>
      </c>
      <c r="K93" s="101">
        <f>SUMIFS(Xero!$F:$F,Xero!$B:$B,Heron!K$9,Xero!$A:$A,Heron!$A$4,Xero!$E:$E,Heron!$A93)+SUMIFS(Xero!$F:$F,Xero!$B:$B,Heron!K$9,Xero!$A:$A,Heron!$A$5,Xero!$E:$E,Heron!$A93)</f>
        <v/>
      </c>
      <c r="L93" s="101">
        <f>SUMIFS(Xero!$F:$F,Xero!$B:$B,Heron!L$9,Xero!$A:$A,Heron!$A$4,Xero!$E:$E,Heron!$A93)+SUMIFS(Xero!$F:$F,Xero!$B:$B,Heron!L$9,Xero!$A:$A,Heron!$A$5,Xero!$E:$E,Heron!$A93)</f>
        <v/>
      </c>
      <c r="M93" s="101">
        <f>SUMIFS(Xero!$F:$F,Xero!$B:$B,Heron!M$9,Xero!$A:$A,Heron!$A$4,Xero!$E:$E,Heron!$A93)+SUMIFS(Xero!$F:$F,Xero!$B:$B,Heron!M$9,Xero!$A:$A,Heron!$A$5,Xero!$E:$E,Heron!$A93)</f>
        <v/>
      </c>
      <c r="N93" s="101">
        <f>SUMIFS(Xero!$F:$F,Xero!$B:$B,Heron!N$9,Xero!$A:$A,Heron!$A$4,Xero!$E:$E,Heron!$A93)+SUMIFS(Xero!$F:$F,Xero!$B:$B,Heron!N$9,Xero!$A:$A,Heron!$A$5,Xero!$E:$E,Heron!$A93)</f>
        <v/>
      </c>
      <c r="O93" s="101">
        <f>SUMIFS(Xero!$F:$F,Xero!$B:$B,Heron!O$9,Xero!$A:$A,Heron!$A$4,Xero!$E:$E,Heron!$A93)+SUMIFS(Xero!$F:$F,Xero!$B:$B,Heron!O$9,Xero!$A:$A,Heron!$A$5,Xero!$E:$E,Heron!$A93)</f>
        <v/>
      </c>
      <c r="P93" s="101">
        <f>SUMIFS(Xero!$F:$F,Xero!$B:$B,Heron!P$9,Xero!$A:$A,Heron!$A$4,Xero!$E:$E,Heron!$A93)+SUMIFS(Xero!$F:$F,Xero!$B:$B,Heron!P$9,Xero!$A:$A,Heron!$A$5,Xero!$E:$E,Heron!$A93)</f>
        <v/>
      </c>
      <c r="Q93" s="101">
        <f>SUMIFS(Xero!$F:$F,Xero!$B:$B,Heron!Q$9,Xero!$A:$A,Heron!$A$4,Xero!$E:$E,Heron!$A93)+SUMIFS(Xero!$F:$F,Xero!$B:$B,Heron!Q$9,Xero!$A:$A,Heron!$A$5,Xero!$E:$E,Heron!$A93)</f>
        <v/>
      </c>
      <c r="R93" s="101">
        <f>SUMIFS(Xero!$F:$F,Xero!$B:$B,Heron!R$9,Xero!$A:$A,Heron!$A$4,Xero!$E:$E,Heron!$A93)+SUMIFS(Xero!$F:$F,Xero!$B:$B,Heron!R$9,Xero!$A:$A,Heron!$A$5,Xero!$E:$E,Heron!$A93)</f>
        <v/>
      </c>
      <c r="S93" s="101">
        <f>SUMIFS(Xero!$F:$F,Xero!$B:$B,Heron!S$9,Xero!$A:$A,Heron!$A$4,Xero!$E:$E,Heron!$A93)+SUMIFS(Xero!$F:$F,Xero!$B:$B,Heron!S$9,Xero!$A:$A,Heron!$A$5,Xero!$E:$E,Heron!$A93)</f>
        <v/>
      </c>
      <c r="T93" s="101">
        <f>SUMIFS(Xero!$F:$F,Xero!$B:$B,Heron!T$9,Xero!$A:$A,Heron!$A$4,Xero!$E:$E,Heron!$A93)+SUMIFS(Xero!$F:$F,Xero!$B:$B,Heron!T$9,Xero!$A:$A,Heron!$A$5,Xero!$E:$E,Heron!$A93)</f>
        <v/>
      </c>
      <c r="U93" s="101">
        <f>SUMIFS(Xero!$F:$F,Xero!$B:$B,Heron!U$9,Xero!$A:$A,Heron!$A$4,Xero!$E:$E,Heron!$A93)+SUMIFS(Xero!$F:$F,Xero!$B:$B,Heron!U$9,Xero!$A:$A,Heron!$A$5,Xero!$E:$E,Heron!$A93)</f>
        <v/>
      </c>
      <c r="V93" s="101">
        <f>SUMIFS(Xero!$F:$F,Xero!$B:$B,Heron!V$9,Xero!$A:$A,Heron!$A$4,Xero!$E:$E,Heron!$A93)+SUMIFS(Xero!$F:$F,Xero!$B:$B,Heron!V$9,Xero!$A:$A,Heron!$A$5,Xero!$E:$E,Heron!$A93)</f>
        <v/>
      </c>
      <c r="W93" s="101">
        <f>SUMIFS(Xero!$F:$F,Xero!$B:$B,Heron!W$9,Xero!$A:$A,Heron!$A$4,Xero!$E:$E,Heron!$A93)+SUMIFS(Xero!$F:$F,Xero!$B:$B,Heron!W$9,Xero!$A:$A,Heron!$A$5,Xero!$E:$E,Heron!$A93)</f>
        <v/>
      </c>
      <c r="X93" s="101">
        <f>SUMIFS(Xero!$F:$F,Xero!$B:$B,Heron!X$9,Xero!$A:$A,Heron!$A$4,Xero!$E:$E,Heron!$A93)+SUMIFS(Xero!$F:$F,Xero!$B:$B,Heron!X$9,Xero!$A:$A,Heron!$A$5,Xero!$E:$E,Heron!$A93)</f>
        <v/>
      </c>
      <c r="Y93" s="101">
        <f>SUMIFS(Xero!$F:$F,Xero!$B:$B,Heron!Y$9,Xero!$A:$A,Heron!$A$4,Xero!$E:$E,Heron!$A93)+SUMIFS(Xero!$F:$F,Xero!$B:$B,Heron!Y$9,Xero!$A:$A,Heron!$A$5,Xero!$E:$E,Heron!$A93)</f>
        <v/>
      </c>
      <c r="Z93" s="101">
        <f>SUMIFS(Xero!$F:$F,Xero!$B:$B,Heron!Z$9,Xero!$A:$A,Heron!$A$4,Xero!$E:$E,Heron!$A93)+SUMIFS(Xero!$F:$F,Xero!$B:$B,Heron!Z$9,Xero!$A:$A,Heron!$A$5,Xero!$E:$E,Heron!$A93)</f>
        <v/>
      </c>
      <c r="AA93" s="101">
        <f>SUMIFS(Xero!$F:$F,Xero!$B:$B,Heron!AA$9,Xero!$A:$A,Heron!$A$4,Xero!$E:$E,Heron!$A93)+SUMIFS(Xero!$F:$F,Xero!$B:$B,Heron!AA$9,Xero!$A:$A,Heron!$A$5,Xero!$E:$E,Heron!$A93)</f>
        <v/>
      </c>
      <c r="AB93" s="101">
        <f>SUMIFS(Xero!$F:$F,Xero!$B:$B,Heron!AB$9,Xero!$A:$A,Heron!$A$4,Xero!$E:$E,Heron!$A93)+SUMIFS(Xero!$F:$F,Xero!$B:$B,Heron!AB$9,Xero!$A:$A,Heron!$A$5,Xero!$E:$E,Heron!$A93)</f>
        <v/>
      </c>
      <c r="AC93" s="101">
        <f>SUMIFS(Xero!$F:$F,Xero!$B:$B,Heron!AC$9,Xero!$A:$A,Heron!$A$4,Xero!$E:$E,Heron!$A93)+SUMIFS(Xero!$F:$F,Xero!$B:$B,Heron!AC$9,Xero!$A:$A,Heron!$A$5,Xero!$E:$E,Heron!$A93)</f>
        <v/>
      </c>
      <c r="AD93" s="101">
        <f>SUMIFS(Xero!$F:$F,Xero!$B:$B,Heron!AD$9,Xero!$A:$A,Heron!$A$4,Xero!$E:$E,Heron!$A93)+SUMIFS(Xero!$F:$F,Xero!$B:$B,Heron!AD$9,Xero!$A:$A,Heron!$A$5,Xero!$E:$E,Heron!$A93)</f>
        <v/>
      </c>
      <c r="AE93" s="101">
        <f>SUMIFS(Xero!$F:$F,Xero!$B:$B,Heron!AE$9,Xero!$A:$A,Heron!$A$4,Xero!$E:$E,Heron!$A93)+SUMIFS(Xero!$F:$F,Xero!$B:$B,Heron!AE$9,Xero!$A:$A,Heron!$A$5,Xero!$E:$E,Heron!$A93)</f>
        <v/>
      </c>
      <c r="AF93" s="101">
        <f>SUMIFS(Xero!$F:$F,Xero!$B:$B,Heron!AF$9,Xero!$A:$A,Heron!$A$4,Xero!$E:$E,Heron!$A93)+SUMIFS(Xero!$F:$F,Xero!$B:$B,Heron!AF$9,Xero!$A:$A,Heron!$A$5,Xero!$E:$E,Heron!$A93)</f>
        <v/>
      </c>
      <c r="AG93" s="101">
        <f>SUMIFS(Xero!$F:$F,Xero!$B:$B,Heron!AG$9,Xero!$A:$A,Heron!$A$4,Xero!$E:$E,Heron!$A93)+SUMIFS(Xero!$F:$F,Xero!$B:$B,Heron!AG$9,Xero!$A:$A,Heron!$A$5,Xero!$E:$E,Heron!$A93)</f>
        <v/>
      </c>
      <c r="AH93" s="101">
        <f>SUMIFS(Xero!$F:$F,Xero!$B:$B,Heron!AH$9,Xero!$A:$A,Heron!$A$4,Xero!$E:$E,Heron!$A93)+SUMIFS(Xero!$F:$F,Xero!$B:$B,Heron!AH$9,Xero!$A:$A,Heron!$A$5,Xero!$E:$E,Heron!$A93)</f>
        <v/>
      </c>
      <c r="AI93" s="101">
        <f>SUMIFS(Xero!$F:$F,Xero!$B:$B,Heron!AI$9,Xero!$A:$A,Heron!$A$4,Xero!$E:$E,Heron!$A93)+SUMIFS(Xero!$F:$F,Xero!$B:$B,Heron!AI$9,Xero!$A:$A,Heron!$A$5,Xero!$E:$E,Heron!$A93)</f>
        <v/>
      </c>
      <c r="AJ93" s="101">
        <f>SUMIFS(Xero!$F:$F,Xero!$B:$B,Heron!AJ$9,Xero!$A:$A,Heron!$A$4,Xero!$E:$E,Heron!$A93)+SUMIFS(Xero!$F:$F,Xero!$B:$B,Heron!AJ$9,Xero!$A:$A,Heron!$A$5,Xero!$E:$E,Heron!$A93)</f>
        <v/>
      </c>
      <c r="AK93" s="101">
        <f>SUMIFS(Xero!$F:$F,Xero!$B:$B,Heron!AK$9,Xero!$A:$A,Heron!$A$4,Xero!$E:$E,Heron!$A93)+SUMIFS(Xero!$F:$F,Xero!$B:$B,Heron!AK$9,Xero!$A:$A,Heron!$A$5,Xero!$E:$E,Heron!$A93)</f>
        <v/>
      </c>
      <c r="AL93" s="101">
        <f>SUMIFS(Xero!$F:$F,Xero!$B:$B,Heron!AL$9,Xero!$A:$A,Heron!$A$4,Xero!$E:$E,Heron!$A93)+SUMIFS(Xero!$F:$F,Xero!$B:$B,Heron!AL$9,Xero!$A:$A,Heron!$A$5,Xero!$E:$E,Heron!$A93)</f>
        <v/>
      </c>
      <c r="AM93" s="101">
        <f>SUMIFS(Xero!$F:$F,Xero!$B:$B,Heron!AM$9,Xero!$A:$A,Heron!$A$4,Xero!$E:$E,Heron!$A93)+SUMIFS(Xero!$F:$F,Xero!$B:$B,Heron!AM$9,Xero!$A:$A,Heron!$A$5,Xero!$E:$E,Heron!$A93)</f>
        <v/>
      </c>
      <c r="AN93" s="101">
        <f>SUMIFS(Xero!$F:$F,Xero!$B:$B,Heron!AN$9,Xero!$A:$A,Heron!$A$4,Xero!$E:$E,Heron!$A93)+SUMIFS(Xero!$F:$F,Xero!$B:$B,Heron!AN$9,Xero!$A:$A,Heron!$A$5,Xero!$E:$E,Heron!$A93)</f>
        <v/>
      </c>
      <c r="AO93" s="101">
        <f>SUMIFS(Xero!$F:$F,Xero!$B:$B,Heron!AO$9,Xero!$A:$A,Heron!$A$4,Xero!$E:$E,Heron!$A93)+SUMIFS(Xero!$F:$F,Xero!$B:$B,Heron!AO$9,Xero!$A:$A,Heron!$A$5,Xero!$E:$E,Heron!$A93)</f>
        <v/>
      </c>
      <c r="AP93" s="101">
        <f>SUMIFS(Xero!$F:$F,Xero!$B:$B,Heron!AP$9,Xero!$A:$A,Heron!$A$4,Xero!$E:$E,Heron!$A93)+SUMIFS(Xero!$F:$F,Xero!$B:$B,Heron!AP$9,Xero!$A:$A,Heron!$A$5,Xero!$E:$E,Heron!$A93)</f>
        <v/>
      </c>
      <c r="AQ93" s="101">
        <f>SUMIFS(Xero!$F:$F,Xero!$B:$B,Heron!AQ$9,Xero!$A:$A,Heron!$A$4,Xero!$E:$E,Heron!$A93)+SUMIFS(Xero!$F:$F,Xero!$B:$B,Heron!AQ$9,Xero!$A:$A,Heron!$A$5,Xero!$E:$E,Heron!$A93)</f>
        <v/>
      </c>
      <c r="AR93" s="101">
        <f>SUMIFS(Xero!$F:$F,Xero!$B:$B,Heron!AR$9,Xero!$A:$A,Heron!$A$4,Xero!$E:$E,Heron!$A93)+SUMIFS(Xero!$F:$F,Xero!$B:$B,Heron!AR$9,Xero!$A:$A,Heron!$A$5,Xero!$E:$E,Heron!$A93)</f>
        <v/>
      </c>
      <c r="AS93" s="101">
        <f>SUMIFS(Xero!$F:$F,Xero!$B:$B,Heron!AS$9,Xero!$A:$A,Heron!$A$4,Xero!$E:$E,Heron!$A93)+SUMIFS(Xero!$F:$F,Xero!$B:$B,Heron!AS$9,Xero!$A:$A,Heron!$A$5,Xero!$E:$E,Heron!$A93)</f>
        <v/>
      </c>
      <c r="AT93" s="101">
        <f>SUMIFS(Xero!$F:$F,Xero!$B:$B,Heron!AT$9,Xero!$A:$A,Heron!$A$4,Xero!$E:$E,Heron!$A93)+SUMIFS(Xero!$F:$F,Xero!$B:$B,Heron!AT$9,Xero!$A:$A,Heron!$A$5,Xero!$E:$E,Heron!$A93)</f>
        <v/>
      </c>
      <c r="AU93" s="101">
        <f>SUMIFS(Xero!$F:$F,Xero!$B:$B,Heron!AU$9,Xero!$A:$A,Heron!$A$4,Xero!$E:$E,Heron!$A93)+SUMIFS(Xero!$F:$F,Xero!$B:$B,Heron!AU$9,Xero!$A:$A,Heron!$A$5,Xero!$E:$E,Heron!$A93)</f>
        <v/>
      </c>
      <c r="AV93" s="101">
        <f>SUMIFS(Xero!$F:$F,Xero!$B:$B,Heron!AV$9,Xero!$A:$A,Heron!$A$4,Xero!$E:$E,Heron!$A93)+SUMIFS(Xero!$F:$F,Xero!$B:$B,Heron!AV$9,Xero!$A:$A,Heron!$A$5,Xero!$E:$E,Heron!$A93)</f>
        <v/>
      </c>
      <c r="AW93" s="101">
        <f>SUMIFS(Xero!$F:$F,Xero!$B:$B,Heron!AW$9,Xero!$A:$A,Heron!$A$4,Xero!$E:$E,Heron!$A93)+SUMIFS(Xero!$F:$F,Xero!$B:$B,Heron!AW$9,Xero!$A:$A,Heron!$A$5,Xero!$E:$E,Heron!$A93)</f>
        <v/>
      </c>
      <c r="AX93" s="101">
        <f>SUMIFS(Xero!$F:$F,Xero!$B:$B,Heron!AX$9,Xero!$A:$A,Heron!$A$4,Xero!$E:$E,Heron!$A93)+SUMIFS(Xero!$F:$F,Xero!$B:$B,Heron!AX$9,Xero!$A:$A,Heron!$A$5,Xero!$E:$E,Heron!$A93)</f>
        <v/>
      </c>
      <c r="AY93" s="101">
        <f>SUMIFS(Xero!$F:$F,Xero!$B:$B,Heron!AY$9,Xero!$A:$A,Heron!$A$4,Xero!$E:$E,Heron!$A93)+SUMIFS(Xero!$F:$F,Xero!$B:$B,Heron!AY$9,Xero!$A:$A,Heron!$A$5,Xero!$E:$E,Heron!$A93)</f>
        <v/>
      </c>
      <c r="AZ93" s="101">
        <f>SUMIFS(Xero!$F:$F,Xero!$B:$B,Heron!AZ$9,Xero!$A:$A,Heron!$A$4,Xero!$E:$E,Heron!$A93)+SUMIFS(Xero!$F:$F,Xero!$B:$B,Heron!AZ$9,Xero!$A:$A,Heron!$A$5,Xero!$E:$E,Heron!$A93)</f>
        <v/>
      </c>
      <c r="BA93" s="101">
        <f>SUMIFS(Xero!$F:$F,Xero!$B:$B,Heron!BA$9,Xero!$A:$A,Heron!$A$4,Xero!$E:$E,Heron!$A93)+SUMIFS(Xero!$F:$F,Xero!$B:$B,Heron!BA$9,Xero!$A:$A,Heron!$A$5,Xero!$E:$E,Heron!$A93)</f>
        <v/>
      </c>
      <c r="BB93" s="101">
        <f>SUMIFS(Xero!$F:$F,Xero!$B:$B,Heron!BB$9,Xero!$A:$A,Heron!$A$4,Xero!$E:$E,Heron!$A93)+SUMIFS(Xero!$F:$F,Xero!$B:$B,Heron!BB$9,Xero!$A:$A,Heron!$A$5,Xero!$E:$E,Heron!$A93)</f>
        <v/>
      </c>
      <c r="BC93" s="101">
        <f>SUMIFS(Xero!$F:$F,Xero!$B:$B,Heron!BC$9,Xero!$A:$A,Heron!$A$4,Xero!$E:$E,Heron!$A93)+SUMIFS(Xero!$F:$F,Xero!$B:$B,Heron!BC$9,Xero!$A:$A,Heron!$A$5,Xero!$E:$E,Heron!$A93)</f>
        <v/>
      </c>
      <c r="BD93" s="101">
        <f>SUMIFS(Xero!$F:$F,Xero!$B:$B,Heron!BD$9,Xero!$A:$A,Heron!$A$4,Xero!$E:$E,Heron!$A93)+SUMIFS(Xero!$F:$F,Xero!$B:$B,Heron!BD$9,Xero!$A:$A,Heron!$A$5,Xero!$E:$E,Heron!$A93)</f>
        <v/>
      </c>
      <c r="BE93" s="101">
        <f>SUMIFS(Xero!$F:$F,Xero!$B:$B,Heron!BE$9,Xero!$A:$A,Heron!$A$4,Xero!$E:$E,Heron!$A93)+SUMIFS(Xero!$F:$F,Xero!$B:$B,Heron!BE$9,Xero!$A:$A,Heron!$A$5,Xero!$E:$E,Heron!$A93)</f>
        <v/>
      </c>
      <c r="BF93" s="101">
        <f>SUMIFS(Xero!$F:$F,Xero!$B:$B,Heron!BF$9,Xero!$A:$A,Heron!$A$4,Xero!$E:$E,Heron!$A93)+SUMIFS(Xero!$F:$F,Xero!$B:$B,Heron!BF$9,Xero!$A:$A,Heron!$A$5,Xero!$E:$E,Heron!$A93)</f>
        <v/>
      </c>
      <c r="BG93" s="101">
        <f>SUMIFS(Xero!$F:$F,Xero!$B:$B,Heron!BG$9,Xero!$A:$A,Heron!$A$4,Xero!$E:$E,Heron!$A93)+SUMIFS(Xero!$F:$F,Xero!$B:$B,Heron!BG$9,Xero!$A:$A,Heron!$A$5,Xero!$E:$E,Heron!$A93)</f>
        <v/>
      </c>
      <c r="BH93" s="101">
        <f>SUMIFS(Xero!$F:$F,Xero!$B:$B,Heron!BH$9,Xero!$A:$A,Heron!$A$4,Xero!$E:$E,Heron!$A93)+SUMIFS(Xero!$F:$F,Xero!$B:$B,Heron!BH$9,Xero!$A:$A,Heron!$A$5,Xero!$E:$E,Heron!$A93)</f>
        <v/>
      </c>
      <c r="BI93" s="101">
        <f>SUMIFS(Xero!$F:$F,Xero!$B:$B,Heron!BI$9,Xero!$A:$A,Heron!$A$4,Xero!$E:$E,Heron!$A93)+SUMIFS(Xero!$F:$F,Xero!$B:$B,Heron!BI$9,Xero!$A:$A,Heron!$A$5,Xero!$E:$E,Heron!$A93)</f>
        <v/>
      </c>
      <c r="BJ93" s="101">
        <f>SUMIFS(Xero!$F:$F,Xero!$B:$B,Heron!BJ$9,Xero!$A:$A,Heron!$A$4,Xero!$E:$E,Heron!$A93)+SUMIFS(Xero!$F:$F,Xero!$B:$B,Heron!BJ$9,Xero!$A:$A,Heron!$A$5,Xero!$E:$E,Heron!$A93)</f>
        <v/>
      </c>
      <c r="BK93" s="101">
        <f>sum(D93:BJ93)</f>
        <v/>
      </c>
    </row>
    <row r="94">
      <c r="A94" s="100" t="inlineStr">
        <is>
          <t>Motor Vehicle Expenses</t>
        </is>
      </c>
      <c r="D94" s="101">
        <f>SUMIFS(Xero!$F:$F,Xero!$B:$B,Heron!D$9,Xero!$A:$A,Heron!$A$4,Xero!$E:$E,Heron!$A94)+SUMIFS(Xero!$F:$F,Xero!$B:$B,Heron!D$9,Xero!$A:$A,Heron!$A$5,Xero!$E:$E,Heron!$A94)</f>
        <v/>
      </c>
      <c r="E94" s="101">
        <f>SUMIFS(Xero!$F:$F,Xero!$B:$B,Heron!E$9,Xero!$A:$A,Heron!$A$4,Xero!$E:$E,Heron!$A94)+SUMIFS(Xero!$F:$F,Xero!$B:$B,Heron!E$9,Xero!$A:$A,Heron!$A$5,Xero!$E:$E,Heron!$A94)</f>
        <v/>
      </c>
      <c r="F94" s="101">
        <f>SUMIFS(Xero!$F:$F,Xero!$B:$B,Heron!F$9,Xero!$A:$A,Heron!$A$4,Xero!$E:$E,Heron!$A94)+SUMIFS(Xero!$F:$F,Xero!$B:$B,Heron!F$9,Xero!$A:$A,Heron!$A$5,Xero!$E:$E,Heron!$A94)</f>
        <v/>
      </c>
      <c r="G94" s="101">
        <f>SUMIFS(Xero!$F:$F,Xero!$B:$B,Heron!G$9,Xero!$A:$A,Heron!$A$4,Xero!$E:$E,Heron!$A94)+SUMIFS(Xero!$F:$F,Xero!$B:$B,Heron!G$9,Xero!$A:$A,Heron!$A$5,Xero!$E:$E,Heron!$A94)</f>
        <v/>
      </c>
      <c r="H94" s="101">
        <f>SUMIFS(Xero!$F:$F,Xero!$B:$B,Heron!H$9,Xero!$A:$A,Heron!$A$4,Xero!$E:$E,Heron!$A94)+SUMIFS(Xero!$F:$F,Xero!$B:$B,Heron!H$9,Xero!$A:$A,Heron!$A$5,Xero!$E:$E,Heron!$A94)</f>
        <v/>
      </c>
      <c r="I94" s="101">
        <f>SUMIFS(Xero!$F:$F,Xero!$B:$B,Heron!I$9,Xero!$A:$A,Heron!$A$4,Xero!$E:$E,Heron!$A94)+SUMIFS(Xero!$F:$F,Xero!$B:$B,Heron!I$9,Xero!$A:$A,Heron!$A$5,Xero!$E:$E,Heron!$A94)</f>
        <v/>
      </c>
      <c r="J94" s="101">
        <f>SUMIFS(Xero!$F:$F,Xero!$B:$B,Heron!J$9,Xero!$A:$A,Heron!$A$4,Xero!$E:$E,Heron!$A94)+SUMIFS(Xero!$F:$F,Xero!$B:$B,Heron!J$9,Xero!$A:$A,Heron!$A$5,Xero!$E:$E,Heron!$A94)</f>
        <v/>
      </c>
      <c r="K94" s="101">
        <f>SUMIFS(Xero!$F:$F,Xero!$B:$B,Heron!K$9,Xero!$A:$A,Heron!$A$4,Xero!$E:$E,Heron!$A94)+SUMIFS(Xero!$F:$F,Xero!$B:$B,Heron!K$9,Xero!$A:$A,Heron!$A$5,Xero!$E:$E,Heron!$A94)</f>
        <v/>
      </c>
      <c r="L94" s="101">
        <f>SUMIFS(Xero!$F:$F,Xero!$B:$B,Heron!L$9,Xero!$A:$A,Heron!$A$4,Xero!$E:$E,Heron!$A94)+SUMIFS(Xero!$F:$F,Xero!$B:$B,Heron!L$9,Xero!$A:$A,Heron!$A$5,Xero!$E:$E,Heron!$A94)</f>
        <v/>
      </c>
      <c r="M94" s="101">
        <f>SUMIFS(Xero!$F:$F,Xero!$B:$B,Heron!M$9,Xero!$A:$A,Heron!$A$4,Xero!$E:$E,Heron!$A94)+SUMIFS(Xero!$F:$F,Xero!$B:$B,Heron!M$9,Xero!$A:$A,Heron!$A$5,Xero!$E:$E,Heron!$A94)</f>
        <v/>
      </c>
      <c r="N94" s="101">
        <f>SUMIFS(Xero!$F:$F,Xero!$B:$B,Heron!N$9,Xero!$A:$A,Heron!$A$4,Xero!$E:$E,Heron!$A94)+SUMIFS(Xero!$F:$F,Xero!$B:$B,Heron!N$9,Xero!$A:$A,Heron!$A$5,Xero!$E:$E,Heron!$A94)</f>
        <v/>
      </c>
      <c r="O94" s="101">
        <f>SUMIFS(Xero!$F:$F,Xero!$B:$B,Heron!O$9,Xero!$A:$A,Heron!$A$4,Xero!$E:$E,Heron!$A94)+SUMIFS(Xero!$F:$F,Xero!$B:$B,Heron!O$9,Xero!$A:$A,Heron!$A$5,Xero!$E:$E,Heron!$A94)</f>
        <v/>
      </c>
      <c r="P94" s="101">
        <f>SUMIFS(Xero!$F:$F,Xero!$B:$B,Heron!P$9,Xero!$A:$A,Heron!$A$4,Xero!$E:$E,Heron!$A94)+SUMIFS(Xero!$F:$F,Xero!$B:$B,Heron!P$9,Xero!$A:$A,Heron!$A$5,Xero!$E:$E,Heron!$A94)</f>
        <v/>
      </c>
      <c r="Q94" s="101">
        <f>SUMIFS(Xero!$F:$F,Xero!$B:$B,Heron!Q$9,Xero!$A:$A,Heron!$A$4,Xero!$E:$E,Heron!$A94)+SUMIFS(Xero!$F:$F,Xero!$B:$B,Heron!Q$9,Xero!$A:$A,Heron!$A$5,Xero!$E:$E,Heron!$A94)</f>
        <v/>
      </c>
      <c r="R94" s="101">
        <f>SUMIFS(Xero!$F:$F,Xero!$B:$B,Heron!R$9,Xero!$A:$A,Heron!$A$4,Xero!$E:$E,Heron!$A94)+SUMIFS(Xero!$F:$F,Xero!$B:$B,Heron!R$9,Xero!$A:$A,Heron!$A$5,Xero!$E:$E,Heron!$A94)</f>
        <v/>
      </c>
      <c r="S94" s="101">
        <f>SUMIFS(Xero!$F:$F,Xero!$B:$B,Heron!S$9,Xero!$A:$A,Heron!$A$4,Xero!$E:$E,Heron!$A94)+SUMIFS(Xero!$F:$F,Xero!$B:$B,Heron!S$9,Xero!$A:$A,Heron!$A$5,Xero!$E:$E,Heron!$A94)</f>
        <v/>
      </c>
      <c r="T94" s="101">
        <f>SUMIFS(Xero!$F:$F,Xero!$B:$B,Heron!T$9,Xero!$A:$A,Heron!$A$4,Xero!$E:$E,Heron!$A94)+SUMIFS(Xero!$F:$F,Xero!$B:$B,Heron!T$9,Xero!$A:$A,Heron!$A$5,Xero!$E:$E,Heron!$A94)</f>
        <v/>
      </c>
      <c r="U94" s="101">
        <f>SUMIFS(Xero!$F:$F,Xero!$B:$B,Heron!U$9,Xero!$A:$A,Heron!$A$4,Xero!$E:$E,Heron!$A94)+SUMIFS(Xero!$F:$F,Xero!$B:$B,Heron!U$9,Xero!$A:$A,Heron!$A$5,Xero!$E:$E,Heron!$A94)</f>
        <v/>
      </c>
      <c r="V94" s="101">
        <f>SUMIFS(Xero!$F:$F,Xero!$B:$B,Heron!V$9,Xero!$A:$A,Heron!$A$4,Xero!$E:$E,Heron!$A94)+SUMIFS(Xero!$F:$F,Xero!$B:$B,Heron!V$9,Xero!$A:$A,Heron!$A$5,Xero!$E:$E,Heron!$A94)</f>
        <v/>
      </c>
      <c r="W94" s="101">
        <f>SUMIFS(Xero!$F:$F,Xero!$B:$B,Heron!W$9,Xero!$A:$A,Heron!$A$4,Xero!$E:$E,Heron!$A94)+SUMIFS(Xero!$F:$F,Xero!$B:$B,Heron!W$9,Xero!$A:$A,Heron!$A$5,Xero!$E:$E,Heron!$A94)</f>
        <v/>
      </c>
      <c r="X94" s="101">
        <f>SUMIFS(Xero!$F:$F,Xero!$B:$B,Heron!X$9,Xero!$A:$A,Heron!$A$4,Xero!$E:$E,Heron!$A94)+SUMIFS(Xero!$F:$F,Xero!$B:$B,Heron!X$9,Xero!$A:$A,Heron!$A$5,Xero!$E:$E,Heron!$A94)</f>
        <v/>
      </c>
      <c r="Y94" s="101">
        <f>SUMIFS(Xero!$F:$F,Xero!$B:$B,Heron!Y$9,Xero!$A:$A,Heron!$A$4,Xero!$E:$E,Heron!$A94)+SUMIFS(Xero!$F:$F,Xero!$B:$B,Heron!Y$9,Xero!$A:$A,Heron!$A$5,Xero!$E:$E,Heron!$A94)</f>
        <v/>
      </c>
      <c r="Z94" s="101">
        <f>SUMIFS(Xero!$F:$F,Xero!$B:$B,Heron!Z$9,Xero!$A:$A,Heron!$A$4,Xero!$E:$E,Heron!$A94)+SUMIFS(Xero!$F:$F,Xero!$B:$B,Heron!Z$9,Xero!$A:$A,Heron!$A$5,Xero!$E:$E,Heron!$A94)</f>
        <v/>
      </c>
      <c r="AA94" s="101">
        <f>SUMIFS(Xero!$F:$F,Xero!$B:$B,Heron!AA$9,Xero!$A:$A,Heron!$A$4,Xero!$E:$E,Heron!$A94)+SUMIFS(Xero!$F:$F,Xero!$B:$B,Heron!AA$9,Xero!$A:$A,Heron!$A$5,Xero!$E:$E,Heron!$A94)</f>
        <v/>
      </c>
      <c r="AB94" s="101">
        <f>SUMIFS(Xero!$F:$F,Xero!$B:$B,Heron!AB$9,Xero!$A:$A,Heron!$A$4,Xero!$E:$E,Heron!$A94)+SUMIFS(Xero!$F:$F,Xero!$B:$B,Heron!AB$9,Xero!$A:$A,Heron!$A$5,Xero!$E:$E,Heron!$A94)</f>
        <v/>
      </c>
      <c r="AC94" s="101">
        <f>SUMIFS(Xero!$F:$F,Xero!$B:$B,Heron!AC$9,Xero!$A:$A,Heron!$A$4,Xero!$E:$E,Heron!$A94)+SUMIFS(Xero!$F:$F,Xero!$B:$B,Heron!AC$9,Xero!$A:$A,Heron!$A$5,Xero!$E:$E,Heron!$A94)</f>
        <v/>
      </c>
      <c r="AD94" s="101">
        <f>SUMIFS(Xero!$F:$F,Xero!$B:$B,Heron!AD$9,Xero!$A:$A,Heron!$A$4,Xero!$E:$E,Heron!$A94)+SUMIFS(Xero!$F:$F,Xero!$B:$B,Heron!AD$9,Xero!$A:$A,Heron!$A$5,Xero!$E:$E,Heron!$A94)</f>
        <v/>
      </c>
      <c r="AE94" s="101">
        <f>SUMIFS(Xero!$F:$F,Xero!$B:$B,Heron!AE$9,Xero!$A:$A,Heron!$A$4,Xero!$E:$E,Heron!$A94)+SUMIFS(Xero!$F:$F,Xero!$B:$B,Heron!AE$9,Xero!$A:$A,Heron!$A$5,Xero!$E:$E,Heron!$A94)</f>
        <v/>
      </c>
      <c r="AF94" s="101">
        <f>SUMIFS(Xero!$F:$F,Xero!$B:$B,Heron!AF$9,Xero!$A:$A,Heron!$A$4,Xero!$E:$E,Heron!$A94)+SUMIFS(Xero!$F:$F,Xero!$B:$B,Heron!AF$9,Xero!$A:$A,Heron!$A$5,Xero!$E:$E,Heron!$A94)</f>
        <v/>
      </c>
      <c r="AG94" s="101">
        <f>SUMIFS(Xero!$F:$F,Xero!$B:$B,Heron!AG$9,Xero!$A:$A,Heron!$A$4,Xero!$E:$E,Heron!$A94)+SUMIFS(Xero!$F:$F,Xero!$B:$B,Heron!AG$9,Xero!$A:$A,Heron!$A$5,Xero!$E:$E,Heron!$A94)</f>
        <v/>
      </c>
      <c r="AH94" s="101">
        <f>SUMIFS(Xero!$F:$F,Xero!$B:$B,Heron!AH$9,Xero!$A:$A,Heron!$A$4,Xero!$E:$E,Heron!$A94)+SUMIFS(Xero!$F:$F,Xero!$B:$B,Heron!AH$9,Xero!$A:$A,Heron!$A$5,Xero!$E:$E,Heron!$A94)</f>
        <v/>
      </c>
      <c r="AI94" s="101">
        <f>SUMIFS(Xero!$F:$F,Xero!$B:$B,Heron!AI$9,Xero!$A:$A,Heron!$A$4,Xero!$E:$E,Heron!$A94)+SUMIFS(Xero!$F:$F,Xero!$B:$B,Heron!AI$9,Xero!$A:$A,Heron!$A$5,Xero!$E:$E,Heron!$A94)</f>
        <v/>
      </c>
      <c r="AJ94" s="101">
        <f>SUMIFS(Xero!$F:$F,Xero!$B:$B,Heron!AJ$9,Xero!$A:$A,Heron!$A$4,Xero!$E:$E,Heron!$A94)+SUMIFS(Xero!$F:$F,Xero!$B:$B,Heron!AJ$9,Xero!$A:$A,Heron!$A$5,Xero!$E:$E,Heron!$A94)</f>
        <v/>
      </c>
      <c r="AK94" s="101">
        <f>SUMIFS(Xero!$F:$F,Xero!$B:$B,Heron!AK$9,Xero!$A:$A,Heron!$A$4,Xero!$E:$E,Heron!$A94)+SUMIFS(Xero!$F:$F,Xero!$B:$B,Heron!AK$9,Xero!$A:$A,Heron!$A$5,Xero!$E:$E,Heron!$A94)</f>
        <v/>
      </c>
      <c r="AL94" s="101">
        <f>SUMIFS(Xero!$F:$F,Xero!$B:$B,Heron!AL$9,Xero!$A:$A,Heron!$A$4,Xero!$E:$E,Heron!$A94)+SUMIFS(Xero!$F:$F,Xero!$B:$B,Heron!AL$9,Xero!$A:$A,Heron!$A$5,Xero!$E:$E,Heron!$A94)</f>
        <v/>
      </c>
      <c r="AM94" s="101">
        <f>SUMIFS(Xero!$F:$F,Xero!$B:$B,Heron!AM$9,Xero!$A:$A,Heron!$A$4,Xero!$E:$E,Heron!$A94)+SUMIFS(Xero!$F:$F,Xero!$B:$B,Heron!AM$9,Xero!$A:$A,Heron!$A$5,Xero!$E:$E,Heron!$A94)</f>
        <v/>
      </c>
      <c r="AN94" s="101">
        <f>SUMIFS(Xero!$F:$F,Xero!$B:$B,Heron!AN$9,Xero!$A:$A,Heron!$A$4,Xero!$E:$E,Heron!$A94)+SUMIFS(Xero!$F:$F,Xero!$B:$B,Heron!AN$9,Xero!$A:$A,Heron!$A$5,Xero!$E:$E,Heron!$A94)</f>
        <v/>
      </c>
      <c r="AO94" s="101">
        <f>SUMIFS(Xero!$F:$F,Xero!$B:$B,Heron!AO$9,Xero!$A:$A,Heron!$A$4,Xero!$E:$E,Heron!$A94)+SUMIFS(Xero!$F:$F,Xero!$B:$B,Heron!AO$9,Xero!$A:$A,Heron!$A$5,Xero!$E:$E,Heron!$A94)</f>
        <v/>
      </c>
      <c r="AP94" s="101">
        <f>SUMIFS(Xero!$F:$F,Xero!$B:$B,Heron!AP$9,Xero!$A:$A,Heron!$A$4,Xero!$E:$E,Heron!$A94)+SUMIFS(Xero!$F:$F,Xero!$B:$B,Heron!AP$9,Xero!$A:$A,Heron!$A$5,Xero!$E:$E,Heron!$A94)</f>
        <v/>
      </c>
      <c r="AQ94" s="101">
        <f>SUMIFS(Xero!$F:$F,Xero!$B:$B,Heron!AQ$9,Xero!$A:$A,Heron!$A$4,Xero!$E:$E,Heron!$A94)+SUMIFS(Xero!$F:$F,Xero!$B:$B,Heron!AQ$9,Xero!$A:$A,Heron!$A$5,Xero!$E:$E,Heron!$A94)</f>
        <v/>
      </c>
      <c r="AR94" s="101">
        <f>SUMIFS(Xero!$F:$F,Xero!$B:$B,Heron!AR$9,Xero!$A:$A,Heron!$A$4,Xero!$E:$E,Heron!$A94)+SUMIFS(Xero!$F:$F,Xero!$B:$B,Heron!AR$9,Xero!$A:$A,Heron!$A$5,Xero!$E:$E,Heron!$A94)</f>
        <v/>
      </c>
      <c r="AS94" s="101">
        <f>SUMIFS(Xero!$F:$F,Xero!$B:$B,Heron!AS$9,Xero!$A:$A,Heron!$A$4,Xero!$E:$E,Heron!$A94)+SUMIFS(Xero!$F:$F,Xero!$B:$B,Heron!AS$9,Xero!$A:$A,Heron!$A$5,Xero!$E:$E,Heron!$A94)</f>
        <v/>
      </c>
      <c r="AT94" s="101">
        <f>SUMIFS(Xero!$F:$F,Xero!$B:$B,Heron!AT$9,Xero!$A:$A,Heron!$A$4,Xero!$E:$E,Heron!$A94)+SUMIFS(Xero!$F:$F,Xero!$B:$B,Heron!AT$9,Xero!$A:$A,Heron!$A$5,Xero!$E:$E,Heron!$A94)</f>
        <v/>
      </c>
      <c r="AU94" s="101">
        <f>SUMIFS(Xero!$F:$F,Xero!$B:$B,Heron!AU$9,Xero!$A:$A,Heron!$A$4,Xero!$E:$E,Heron!$A94)+SUMIFS(Xero!$F:$F,Xero!$B:$B,Heron!AU$9,Xero!$A:$A,Heron!$A$5,Xero!$E:$E,Heron!$A94)</f>
        <v/>
      </c>
      <c r="AV94" s="101">
        <f>SUMIFS(Xero!$F:$F,Xero!$B:$B,Heron!AV$9,Xero!$A:$A,Heron!$A$4,Xero!$E:$E,Heron!$A94)+SUMIFS(Xero!$F:$F,Xero!$B:$B,Heron!AV$9,Xero!$A:$A,Heron!$A$5,Xero!$E:$E,Heron!$A94)</f>
        <v/>
      </c>
      <c r="AW94" s="101">
        <f>SUMIFS(Xero!$F:$F,Xero!$B:$B,Heron!AW$9,Xero!$A:$A,Heron!$A$4,Xero!$E:$E,Heron!$A94)+SUMIFS(Xero!$F:$F,Xero!$B:$B,Heron!AW$9,Xero!$A:$A,Heron!$A$5,Xero!$E:$E,Heron!$A94)</f>
        <v/>
      </c>
      <c r="AX94" s="101">
        <f>SUMIFS(Xero!$F:$F,Xero!$B:$B,Heron!AX$9,Xero!$A:$A,Heron!$A$4,Xero!$E:$E,Heron!$A94)+SUMIFS(Xero!$F:$F,Xero!$B:$B,Heron!AX$9,Xero!$A:$A,Heron!$A$5,Xero!$E:$E,Heron!$A94)</f>
        <v/>
      </c>
      <c r="AY94" s="101">
        <f>SUMIFS(Xero!$F:$F,Xero!$B:$B,Heron!AY$9,Xero!$A:$A,Heron!$A$4,Xero!$E:$E,Heron!$A94)+SUMIFS(Xero!$F:$F,Xero!$B:$B,Heron!AY$9,Xero!$A:$A,Heron!$A$5,Xero!$E:$E,Heron!$A94)</f>
        <v/>
      </c>
      <c r="AZ94" s="101">
        <f>SUMIFS(Xero!$F:$F,Xero!$B:$B,Heron!AZ$9,Xero!$A:$A,Heron!$A$4,Xero!$E:$E,Heron!$A94)+SUMIFS(Xero!$F:$F,Xero!$B:$B,Heron!AZ$9,Xero!$A:$A,Heron!$A$5,Xero!$E:$E,Heron!$A94)</f>
        <v/>
      </c>
      <c r="BA94" s="101">
        <f>SUMIFS(Xero!$F:$F,Xero!$B:$B,Heron!BA$9,Xero!$A:$A,Heron!$A$4,Xero!$E:$E,Heron!$A94)+SUMIFS(Xero!$F:$F,Xero!$B:$B,Heron!BA$9,Xero!$A:$A,Heron!$A$5,Xero!$E:$E,Heron!$A94)</f>
        <v/>
      </c>
      <c r="BB94" s="101">
        <f>SUMIFS(Xero!$F:$F,Xero!$B:$B,Heron!BB$9,Xero!$A:$A,Heron!$A$4,Xero!$E:$E,Heron!$A94)+SUMIFS(Xero!$F:$F,Xero!$B:$B,Heron!BB$9,Xero!$A:$A,Heron!$A$5,Xero!$E:$E,Heron!$A94)</f>
        <v/>
      </c>
      <c r="BC94" s="101">
        <f>SUMIFS(Xero!$F:$F,Xero!$B:$B,Heron!BC$9,Xero!$A:$A,Heron!$A$4,Xero!$E:$E,Heron!$A94)+SUMIFS(Xero!$F:$F,Xero!$B:$B,Heron!BC$9,Xero!$A:$A,Heron!$A$5,Xero!$E:$E,Heron!$A94)</f>
        <v/>
      </c>
      <c r="BD94" s="101">
        <f>SUMIFS(Xero!$F:$F,Xero!$B:$B,Heron!BD$9,Xero!$A:$A,Heron!$A$4,Xero!$E:$E,Heron!$A94)+SUMIFS(Xero!$F:$F,Xero!$B:$B,Heron!BD$9,Xero!$A:$A,Heron!$A$5,Xero!$E:$E,Heron!$A94)</f>
        <v/>
      </c>
      <c r="BE94" s="101">
        <f>SUMIFS(Xero!$F:$F,Xero!$B:$B,Heron!BE$9,Xero!$A:$A,Heron!$A$4,Xero!$E:$E,Heron!$A94)+SUMIFS(Xero!$F:$F,Xero!$B:$B,Heron!BE$9,Xero!$A:$A,Heron!$A$5,Xero!$E:$E,Heron!$A94)</f>
        <v/>
      </c>
      <c r="BF94" s="101">
        <f>SUMIFS(Xero!$F:$F,Xero!$B:$B,Heron!BF$9,Xero!$A:$A,Heron!$A$4,Xero!$E:$E,Heron!$A94)+SUMIFS(Xero!$F:$F,Xero!$B:$B,Heron!BF$9,Xero!$A:$A,Heron!$A$5,Xero!$E:$E,Heron!$A94)</f>
        <v/>
      </c>
      <c r="BG94" s="101">
        <f>SUMIFS(Xero!$F:$F,Xero!$B:$B,Heron!BG$9,Xero!$A:$A,Heron!$A$4,Xero!$E:$E,Heron!$A94)+SUMIFS(Xero!$F:$F,Xero!$B:$B,Heron!BG$9,Xero!$A:$A,Heron!$A$5,Xero!$E:$E,Heron!$A94)</f>
        <v/>
      </c>
      <c r="BH94" s="101">
        <f>SUMIFS(Xero!$F:$F,Xero!$B:$B,Heron!BH$9,Xero!$A:$A,Heron!$A$4,Xero!$E:$E,Heron!$A94)+SUMIFS(Xero!$F:$F,Xero!$B:$B,Heron!BH$9,Xero!$A:$A,Heron!$A$5,Xero!$E:$E,Heron!$A94)</f>
        <v/>
      </c>
      <c r="BI94" s="101">
        <f>SUMIFS(Xero!$F:$F,Xero!$B:$B,Heron!BI$9,Xero!$A:$A,Heron!$A$4,Xero!$E:$E,Heron!$A94)+SUMIFS(Xero!$F:$F,Xero!$B:$B,Heron!BI$9,Xero!$A:$A,Heron!$A$5,Xero!$E:$E,Heron!$A94)</f>
        <v/>
      </c>
      <c r="BJ94" s="101">
        <f>SUMIFS(Xero!$F:$F,Xero!$B:$B,Heron!BJ$9,Xero!$A:$A,Heron!$A$4,Xero!$E:$E,Heron!$A94)+SUMIFS(Xero!$F:$F,Xero!$B:$B,Heron!BJ$9,Xero!$A:$A,Heron!$A$5,Xero!$E:$E,Heron!$A94)</f>
        <v/>
      </c>
      <c r="BK94" s="101">
        <f>sum(D94:BJ94)</f>
        <v/>
      </c>
    </row>
    <row r="95">
      <c r="A95" s="100" t="inlineStr">
        <is>
          <t>Printing _AND_ Stationery</t>
        </is>
      </c>
      <c r="D95" s="101">
        <f>SUMIFS(Xero!$F:$F,Xero!$B:$B,Heron!D$9,Xero!$A:$A,Heron!$A$4,Xero!$E:$E,Heron!$A95)+SUMIFS(Xero!$F:$F,Xero!$B:$B,Heron!D$9,Xero!$A:$A,Heron!$A$5,Xero!$E:$E,Heron!$A95)</f>
        <v/>
      </c>
      <c r="E95" s="101">
        <f>SUMIFS(Xero!$F:$F,Xero!$B:$B,Heron!E$9,Xero!$A:$A,Heron!$A$4,Xero!$E:$E,Heron!$A95)+SUMIFS(Xero!$F:$F,Xero!$B:$B,Heron!E$9,Xero!$A:$A,Heron!$A$5,Xero!$E:$E,Heron!$A95)</f>
        <v/>
      </c>
      <c r="F95" s="101">
        <f>SUMIFS(Xero!$F:$F,Xero!$B:$B,Heron!F$9,Xero!$A:$A,Heron!$A$4,Xero!$E:$E,Heron!$A95)+SUMIFS(Xero!$F:$F,Xero!$B:$B,Heron!F$9,Xero!$A:$A,Heron!$A$5,Xero!$E:$E,Heron!$A95)</f>
        <v/>
      </c>
      <c r="G95" s="101">
        <f>SUMIFS(Xero!$F:$F,Xero!$B:$B,Heron!G$9,Xero!$A:$A,Heron!$A$4,Xero!$E:$E,Heron!$A95)+SUMIFS(Xero!$F:$F,Xero!$B:$B,Heron!G$9,Xero!$A:$A,Heron!$A$5,Xero!$E:$E,Heron!$A95)</f>
        <v/>
      </c>
      <c r="H95" s="101">
        <f>SUMIFS(Xero!$F:$F,Xero!$B:$B,Heron!H$9,Xero!$A:$A,Heron!$A$4,Xero!$E:$E,Heron!$A95)+SUMIFS(Xero!$F:$F,Xero!$B:$B,Heron!H$9,Xero!$A:$A,Heron!$A$5,Xero!$E:$E,Heron!$A95)</f>
        <v/>
      </c>
      <c r="I95" s="101">
        <f>SUMIFS(Xero!$F:$F,Xero!$B:$B,Heron!I$9,Xero!$A:$A,Heron!$A$4,Xero!$E:$E,Heron!$A95)+SUMIFS(Xero!$F:$F,Xero!$B:$B,Heron!I$9,Xero!$A:$A,Heron!$A$5,Xero!$E:$E,Heron!$A95)</f>
        <v/>
      </c>
      <c r="J95" s="101">
        <f>SUMIFS(Xero!$F:$F,Xero!$B:$B,Heron!J$9,Xero!$A:$A,Heron!$A$4,Xero!$E:$E,Heron!$A95)+SUMIFS(Xero!$F:$F,Xero!$B:$B,Heron!J$9,Xero!$A:$A,Heron!$A$5,Xero!$E:$E,Heron!$A95)</f>
        <v/>
      </c>
      <c r="K95" s="101">
        <f>SUMIFS(Xero!$F:$F,Xero!$B:$B,Heron!K$9,Xero!$A:$A,Heron!$A$4,Xero!$E:$E,Heron!$A95)+SUMIFS(Xero!$F:$F,Xero!$B:$B,Heron!K$9,Xero!$A:$A,Heron!$A$5,Xero!$E:$E,Heron!$A95)</f>
        <v/>
      </c>
      <c r="L95" s="101">
        <f>SUMIFS(Xero!$F:$F,Xero!$B:$B,Heron!L$9,Xero!$A:$A,Heron!$A$4,Xero!$E:$E,Heron!$A95)+SUMIFS(Xero!$F:$F,Xero!$B:$B,Heron!L$9,Xero!$A:$A,Heron!$A$5,Xero!$E:$E,Heron!$A95)</f>
        <v/>
      </c>
      <c r="M95" s="101">
        <f>SUMIFS(Xero!$F:$F,Xero!$B:$B,Heron!M$9,Xero!$A:$A,Heron!$A$4,Xero!$E:$E,Heron!$A95)+SUMIFS(Xero!$F:$F,Xero!$B:$B,Heron!M$9,Xero!$A:$A,Heron!$A$5,Xero!$E:$E,Heron!$A95)</f>
        <v/>
      </c>
      <c r="N95" s="101">
        <f>SUMIFS(Xero!$F:$F,Xero!$B:$B,Heron!N$9,Xero!$A:$A,Heron!$A$4,Xero!$E:$E,Heron!$A95)+SUMIFS(Xero!$F:$F,Xero!$B:$B,Heron!N$9,Xero!$A:$A,Heron!$A$5,Xero!$E:$E,Heron!$A95)</f>
        <v/>
      </c>
      <c r="O95" s="101">
        <f>SUMIFS(Xero!$F:$F,Xero!$B:$B,Heron!O$9,Xero!$A:$A,Heron!$A$4,Xero!$E:$E,Heron!$A95)+SUMIFS(Xero!$F:$F,Xero!$B:$B,Heron!O$9,Xero!$A:$A,Heron!$A$5,Xero!$E:$E,Heron!$A95)</f>
        <v/>
      </c>
      <c r="P95" s="101">
        <f>SUMIFS(Xero!$F:$F,Xero!$B:$B,Heron!P$9,Xero!$A:$A,Heron!$A$4,Xero!$E:$E,Heron!$A95)+SUMIFS(Xero!$F:$F,Xero!$B:$B,Heron!P$9,Xero!$A:$A,Heron!$A$5,Xero!$E:$E,Heron!$A95)</f>
        <v/>
      </c>
      <c r="Q95" s="101">
        <f>SUMIFS(Xero!$F:$F,Xero!$B:$B,Heron!Q$9,Xero!$A:$A,Heron!$A$4,Xero!$E:$E,Heron!$A95)+SUMIFS(Xero!$F:$F,Xero!$B:$B,Heron!Q$9,Xero!$A:$A,Heron!$A$5,Xero!$E:$E,Heron!$A95)</f>
        <v/>
      </c>
      <c r="R95" s="101">
        <f>SUMIFS(Xero!$F:$F,Xero!$B:$B,Heron!R$9,Xero!$A:$A,Heron!$A$4,Xero!$E:$E,Heron!$A95)+SUMIFS(Xero!$F:$F,Xero!$B:$B,Heron!R$9,Xero!$A:$A,Heron!$A$5,Xero!$E:$E,Heron!$A95)</f>
        <v/>
      </c>
      <c r="S95" s="101">
        <f>SUMIFS(Xero!$F:$F,Xero!$B:$B,Heron!S$9,Xero!$A:$A,Heron!$A$4,Xero!$E:$E,Heron!$A95)+SUMIFS(Xero!$F:$F,Xero!$B:$B,Heron!S$9,Xero!$A:$A,Heron!$A$5,Xero!$E:$E,Heron!$A95)</f>
        <v/>
      </c>
      <c r="T95" s="101">
        <f>SUMIFS(Xero!$F:$F,Xero!$B:$B,Heron!T$9,Xero!$A:$A,Heron!$A$4,Xero!$E:$E,Heron!$A95)+SUMIFS(Xero!$F:$F,Xero!$B:$B,Heron!T$9,Xero!$A:$A,Heron!$A$5,Xero!$E:$E,Heron!$A95)</f>
        <v/>
      </c>
      <c r="U95" s="101">
        <f>SUMIFS(Xero!$F:$F,Xero!$B:$B,Heron!U$9,Xero!$A:$A,Heron!$A$4,Xero!$E:$E,Heron!$A95)+SUMIFS(Xero!$F:$F,Xero!$B:$B,Heron!U$9,Xero!$A:$A,Heron!$A$5,Xero!$E:$E,Heron!$A95)</f>
        <v/>
      </c>
      <c r="V95" s="101">
        <f>SUMIFS(Xero!$F:$F,Xero!$B:$B,Heron!V$9,Xero!$A:$A,Heron!$A$4,Xero!$E:$E,Heron!$A95)+SUMIFS(Xero!$F:$F,Xero!$B:$B,Heron!V$9,Xero!$A:$A,Heron!$A$5,Xero!$E:$E,Heron!$A95)</f>
        <v/>
      </c>
      <c r="W95" s="101">
        <f>SUMIFS(Xero!$F:$F,Xero!$B:$B,Heron!W$9,Xero!$A:$A,Heron!$A$4,Xero!$E:$E,Heron!$A95)+SUMIFS(Xero!$F:$F,Xero!$B:$B,Heron!W$9,Xero!$A:$A,Heron!$A$5,Xero!$E:$E,Heron!$A95)</f>
        <v/>
      </c>
      <c r="X95" s="101">
        <f>SUMIFS(Xero!$F:$F,Xero!$B:$B,Heron!X$9,Xero!$A:$A,Heron!$A$4,Xero!$E:$E,Heron!$A95)+SUMIFS(Xero!$F:$F,Xero!$B:$B,Heron!X$9,Xero!$A:$A,Heron!$A$5,Xero!$E:$E,Heron!$A95)</f>
        <v/>
      </c>
      <c r="Y95" s="101">
        <f>SUMIFS(Xero!$F:$F,Xero!$B:$B,Heron!Y$9,Xero!$A:$A,Heron!$A$4,Xero!$E:$E,Heron!$A95)+SUMIFS(Xero!$F:$F,Xero!$B:$B,Heron!Y$9,Xero!$A:$A,Heron!$A$5,Xero!$E:$E,Heron!$A95)</f>
        <v/>
      </c>
      <c r="Z95" s="101">
        <f>SUMIFS(Xero!$F:$F,Xero!$B:$B,Heron!Z$9,Xero!$A:$A,Heron!$A$4,Xero!$E:$E,Heron!$A95)+SUMIFS(Xero!$F:$F,Xero!$B:$B,Heron!Z$9,Xero!$A:$A,Heron!$A$5,Xero!$E:$E,Heron!$A95)</f>
        <v/>
      </c>
      <c r="AA95" s="101">
        <f>SUMIFS(Xero!$F:$F,Xero!$B:$B,Heron!AA$9,Xero!$A:$A,Heron!$A$4,Xero!$E:$E,Heron!$A95)+SUMIFS(Xero!$F:$F,Xero!$B:$B,Heron!AA$9,Xero!$A:$A,Heron!$A$5,Xero!$E:$E,Heron!$A95)</f>
        <v/>
      </c>
      <c r="AB95" s="101">
        <f>SUMIFS(Xero!$F:$F,Xero!$B:$B,Heron!AB$9,Xero!$A:$A,Heron!$A$4,Xero!$E:$E,Heron!$A95)+SUMIFS(Xero!$F:$F,Xero!$B:$B,Heron!AB$9,Xero!$A:$A,Heron!$A$5,Xero!$E:$E,Heron!$A95)</f>
        <v/>
      </c>
      <c r="AC95" s="101">
        <f>SUMIFS(Xero!$F:$F,Xero!$B:$B,Heron!AC$9,Xero!$A:$A,Heron!$A$4,Xero!$E:$E,Heron!$A95)+SUMIFS(Xero!$F:$F,Xero!$B:$B,Heron!AC$9,Xero!$A:$A,Heron!$A$5,Xero!$E:$E,Heron!$A95)</f>
        <v/>
      </c>
      <c r="AD95" s="101">
        <f>SUMIFS(Xero!$F:$F,Xero!$B:$B,Heron!AD$9,Xero!$A:$A,Heron!$A$4,Xero!$E:$E,Heron!$A95)+SUMIFS(Xero!$F:$F,Xero!$B:$B,Heron!AD$9,Xero!$A:$A,Heron!$A$5,Xero!$E:$E,Heron!$A95)</f>
        <v/>
      </c>
      <c r="AE95" s="101">
        <f>SUMIFS(Xero!$F:$F,Xero!$B:$B,Heron!AE$9,Xero!$A:$A,Heron!$A$4,Xero!$E:$E,Heron!$A95)+SUMIFS(Xero!$F:$F,Xero!$B:$B,Heron!AE$9,Xero!$A:$A,Heron!$A$5,Xero!$E:$E,Heron!$A95)</f>
        <v/>
      </c>
      <c r="AF95" s="101">
        <f>SUMIFS(Xero!$F:$F,Xero!$B:$B,Heron!AF$9,Xero!$A:$A,Heron!$A$4,Xero!$E:$E,Heron!$A95)+SUMIFS(Xero!$F:$F,Xero!$B:$B,Heron!AF$9,Xero!$A:$A,Heron!$A$5,Xero!$E:$E,Heron!$A95)</f>
        <v/>
      </c>
      <c r="AG95" s="101">
        <f>SUMIFS(Xero!$F:$F,Xero!$B:$B,Heron!AG$9,Xero!$A:$A,Heron!$A$4,Xero!$E:$E,Heron!$A95)+SUMIFS(Xero!$F:$F,Xero!$B:$B,Heron!AG$9,Xero!$A:$A,Heron!$A$5,Xero!$E:$E,Heron!$A95)</f>
        <v/>
      </c>
      <c r="AH95" s="101">
        <f>SUMIFS(Xero!$F:$F,Xero!$B:$B,Heron!AH$9,Xero!$A:$A,Heron!$A$4,Xero!$E:$E,Heron!$A95)+SUMIFS(Xero!$F:$F,Xero!$B:$B,Heron!AH$9,Xero!$A:$A,Heron!$A$5,Xero!$E:$E,Heron!$A95)</f>
        <v/>
      </c>
      <c r="AI95" s="101">
        <f>SUMIFS(Xero!$F:$F,Xero!$B:$B,Heron!AI$9,Xero!$A:$A,Heron!$A$4,Xero!$E:$E,Heron!$A95)+SUMIFS(Xero!$F:$F,Xero!$B:$B,Heron!AI$9,Xero!$A:$A,Heron!$A$5,Xero!$E:$E,Heron!$A95)</f>
        <v/>
      </c>
      <c r="AJ95" s="101">
        <f>SUMIFS(Xero!$F:$F,Xero!$B:$B,Heron!AJ$9,Xero!$A:$A,Heron!$A$4,Xero!$E:$E,Heron!$A95)+SUMIFS(Xero!$F:$F,Xero!$B:$B,Heron!AJ$9,Xero!$A:$A,Heron!$A$5,Xero!$E:$E,Heron!$A95)</f>
        <v/>
      </c>
      <c r="AK95" s="101">
        <f>SUMIFS(Xero!$F:$F,Xero!$B:$B,Heron!AK$9,Xero!$A:$A,Heron!$A$4,Xero!$E:$E,Heron!$A95)+SUMIFS(Xero!$F:$F,Xero!$B:$B,Heron!AK$9,Xero!$A:$A,Heron!$A$5,Xero!$E:$E,Heron!$A95)</f>
        <v/>
      </c>
      <c r="AL95" s="101">
        <f>SUMIFS(Xero!$F:$F,Xero!$B:$B,Heron!AL$9,Xero!$A:$A,Heron!$A$4,Xero!$E:$E,Heron!$A95)+SUMIFS(Xero!$F:$F,Xero!$B:$B,Heron!AL$9,Xero!$A:$A,Heron!$A$5,Xero!$E:$E,Heron!$A95)</f>
        <v/>
      </c>
      <c r="AM95" s="101">
        <f>SUMIFS(Xero!$F:$F,Xero!$B:$B,Heron!AM$9,Xero!$A:$A,Heron!$A$4,Xero!$E:$E,Heron!$A95)+SUMIFS(Xero!$F:$F,Xero!$B:$B,Heron!AM$9,Xero!$A:$A,Heron!$A$5,Xero!$E:$E,Heron!$A95)</f>
        <v/>
      </c>
      <c r="AN95" s="101">
        <f>SUMIFS(Xero!$F:$F,Xero!$B:$B,Heron!AN$9,Xero!$A:$A,Heron!$A$4,Xero!$E:$E,Heron!$A95)+SUMIFS(Xero!$F:$F,Xero!$B:$B,Heron!AN$9,Xero!$A:$A,Heron!$A$5,Xero!$E:$E,Heron!$A95)</f>
        <v/>
      </c>
      <c r="AO95" s="101">
        <f>SUMIFS(Xero!$F:$F,Xero!$B:$B,Heron!AO$9,Xero!$A:$A,Heron!$A$4,Xero!$E:$E,Heron!$A95)+SUMIFS(Xero!$F:$F,Xero!$B:$B,Heron!AO$9,Xero!$A:$A,Heron!$A$5,Xero!$E:$E,Heron!$A95)</f>
        <v/>
      </c>
      <c r="AP95" s="101">
        <f>SUMIFS(Xero!$F:$F,Xero!$B:$B,Heron!AP$9,Xero!$A:$A,Heron!$A$4,Xero!$E:$E,Heron!$A95)+SUMIFS(Xero!$F:$F,Xero!$B:$B,Heron!AP$9,Xero!$A:$A,Heron!$A$5,Xero!$E:$E,Heron!$A95)</f>
        <v/>
      </c>
      <c r="AQ95" s="101">
        <f>SUMIFS(Xero!$F:$F,Xero!$B:$B,Heron!AQ$9,Xero!$A:$A,Heron!$A$4,Xero!$E:$E,Heron!$A95)+SUMIFS(Xero!$F:$F,Xero!$B:$B,Heron!AQ$9,Xero!$A:$A,Heron!$A$5,Xero!$E:$E,Heron!$A95)</f>
        <v/>
      </c>
      <c r="AR95" s="101">
        <f>SUMIFS(Xero!$F:$F,Xero!$B:$B,Heron!AR$9,Xero!$A:$A,Heron!$A$4,Xero!$E:$E,Heron!$A95)+SUMIFS(Xero!$F:$F,Xero!$B:$B,Heron!AR$9,Xero!$A:$A,Heron!$A$5,Xero!$E:$E,Heron!$A95)</f>
        <v/>
      </c>
      <c r="AS95" s="101">
        <f>SUMIFS(Xero!$F:$F,Xero!$B:$B,Heron!AS$9,Xero!$A:$A,Heron!$A$4,Xero!$E:$E,Heron!$A95)+SUMIFS(Xero!$F:$F,Xero!$B:$B,Heron!AS$9,Xero!$A:$A,Heron!$A$5,Xero!$E:$E,Heron!$A95)</f>
        <v/>
      </c>
      <c r="AT95" s="101">
        <f>SUMIFS(Xero!$F:$F,Xero!$B:$B,Heron!AT$9,Xero!$A:$A,Heron!$A$4,Xero!$E:$E,Heron!$A95)+SUMIFS(Xero!$F:$F,Xero!$B:$B,Heron!AT$9,Xero!$A:$A,Heron!$A$5,Xero!$E:$E,Heron!$A95)</f>
        <v/>
      </c>
      <c r="AU95" s="101">
        <f>SUMIFS(Xero!$F:$F,Xero!$B:$B,Heron!AU$9,Xero!$A:$A,Heron!$A$4,Xero!$E:$E,Heron!$A95)+SUMIFS(Xero!$F:$F,Xero!$B:$B,Heron!AU$9,Xero!$A:$A,Heron!$A$5,Xero!$E:$E,Heron!$A95)</f>
        <v/>
      </c>
      <c r="AV95" s="101">
        <f>SUMIFS(Xero!$F:$F,Xero!$B:$B,Heron!AV$9,Xero!$A:$A,Heron!$A$4,Xero!$E:$E,Heron!$A95)+SUMIFS(Xero!$F:$F,Xero!$B:$B,Heron!AV$9,Xero!$A:$A,Heron!$A$5,Xero!$E:$E,Heron!$A95)</f>
        <v/>
      </c>
      <c r="AW95" s="101">
        <f>SUMIFS(Xero!$F:$F,Xero!$B:$B,Heron!AW$9,Xero!$A:$A,Heron!$A$4,Xero!$E:$E,Heron!$A95)+SUMIFS(Xero!$F:$F,Xero!$B:$B,Heron!AW$9,Xero!$A:$A,Heron!$A$5,Xero!$E:$E,Heron!$A95)</f>
        <v/>
      </c>
      <c r="AX95" s="101">
        <f>SUMIFS(Xero!$F:$F,Xero!$B:$B,Heron!AX$9,Xero!$A:$A,Heron!$A$4,Xero!$E:$E,Heron!$A95)+SUMIFS(Xero!$F:$F,Xero!$B:$B,Heron!AX$9,Xero!$A:$A,Heron!$A$5,Xero!$E:$E,Heron!$A95)</f>
        <v/>
      </c>
      <c r="AY95" s="101">
        <f>SUMIFS(Xero!$F:$F,Xero!$B:$B,Heron!AY$9,Xero!$A:$A,Heron!$A$4,Xero!$E:$E,Heron!$A95)+SUMIFS(Xero!$F:$F,Xero!$B:$B,Heron!AY$9,Xero!$A:$A,Heron!$A$5,Xero!$E:$E,Heron!$A95)</f>
        <v/>
      </c>
      <c r="AZ95" s="101">
        <f>SUMIFS(Xero!$F:$F,Xero!$B:$B,Heron!AZ$9,Xero!$A:$A,Heron!$A$4,Xero!$E:$E,Heron!$A95)+SUMIFS(Xero!$F:$F,Xero!$B:$B,Heron!AZ$9,Xero!$A:$A,Heron!$A$5,Xero!$E:$E,Heron!$A95)</f>
        <v/>
      </c>
      <c r="BA95" s="101">
        <f>SUMIFS(Xero!$F:$F,Xero!$B:$B,Heron!BA$9,Xero!$A:$A,Heron!$A$4,Xero!$E:$E,Heron!$A95)+SUMIFS(Xero!$F:$F,Xero!$B:$B,Heron!BA$9,Xero!$A:$A,Heron!$A$5,Xero!$E:$E,Heron!$A95)</f>
        <v/>
      </c>
      <c r="BB95" s="101">
        <f>SUMIFS(Xero!$F:$F,Xero!$B:$B,Heron!BB$9,Xero!$A:$A,Heron!$A$4,Xero!$E:$E,Heron!$A95)+SUMIFS(Xero!$F:$F,Xero!$B:$B,Heron!BB$9,Xero!$A:$A,Heron!$A$5,Xero!$E:$E,Heron!$A95)</f>
        <v/>
      </c>
      <c r="BC95" s="101">
        <f>SUMIFS(Xero!$F:$F,Xero!$B:$B,Heron!BC$9,Xero!$A:$A,Heron!$A$4,Xero!$E:$E,Heron!$A95)+SUMIFS(Xero!$F:$F,Xero!$B:$B,Heron!BC$9,Xero!$A:$A,Heron!$A$5,Xero!$E:$E,Heron!$A95)</f>
        <v/>
      </c>
      <c r="BD95" s="101">
        <f>SUMIFS(Xero!$F:$F,Xero!$B:$B,Heron!BD$9,Xero!$A:$A,Heron!$A$4,Xero!$E:$E,Heron!$A95)+SUMIFS(Xero!$F:$F,Xero!$B:$B,Heron!BD$9,Xero!$A:$A,Heron!$A$5,Xero!$E:$E,Heron!$A95)</f>
        <v/>
      </c>
      <c r="BE95" s="101">
        <f>SUMIFS(Xero!$F:$F,Xero!$B:$B,Heron!BE$9,Xero!$A:$A,Heron!$A$4,Xero!$E:$E,Heron!$A95)+SUMIFS(Xero!$F:$F,Xero!$B:$B,Heron!BE$9,Xero!$A:$A,Heron!$A$5,Xero!$E:$E,Heron!$A95)</f>
        <v/>
      </c>
      <c r="BF95" s="101">
        <f>SUMIFS(Xero!$F:$F,Xero!$B:$B,Heron!BF$9,Xero!$A:$A,Heron!$A$4,Xero!$E:$E,Heron!$A95)+SUMIFS(Xero!$F:$F,Xero!$B:$B,Heron!BF$9,Xero!$A:$A,Heron!$A$5,Xero!$E:$E,Heron!$A95)</f>
        <v/>
      </c>
      <c r="BG95" s="101">
        <f>SUMIFS(Xero!$F:$F,Xero!$B:$B,Heron!BG$9,Xero!$A:$A,Heron!$A$4,Xero!$E:$E,Heron!$A95)+SUMIFS(Xero!$F:$F,Xero!$B:$B,Heron!BG$9,Xero!$A:$A,Heron!$A$5,Xero!$E:$E,Heron!$A95)</f>
        <v/>
      </c>
      <c r="BH95" s="101">
        <f>SUMIFS(Xero!$F:$F,Xero!$B:$B,Heron!BH$9,Xero!$A:$A,Heron!$A$4,Xero!$E:$E,Heron!$A95)+SUMIFS(Xero!$F:$F,Xero!$B:$B,Heron!BH$9,Xero!$A:$A,Heron!$A$5,Xero!$E:$E,Heron!$A95)</f>
        <v/>
      </c>
      <c r="BI95" s="101">
        <f>SUMIFS(Xero!$F:$F,Xero!$B:$B,Heron!BI$9,Xero!$A:$A,Heron!$A$4,Xero!$E:$E,Heron!$A95)+SUMIFS(Xero!$F:$F,Xero!$B:$B,Heron!BI$9,Xero!$A:$A,Heron!$A$5,Xero!$E:$E,Heron!$A95)</f>
        <v/>
      </c>
      <c r="BJ95" s="101">
        <f>SUMIFS(Xero!$F:$F,Xero!$B:$B,Heron!BJ$9,Xero!$A:$A,Heron!$A$4,Xero!$E:$E,Heron!$A95)+SUMIFS(Xero!$F:$F,Xero!$B:$B,Heron!BJ$9,Xero!$A:$A,Heron!$A$5,Xero!$E:$E,Heron!$A95)</f>
        <v/>
      </c>
      <c r="BK95" s="101">
        <f>sum(D95:BJ95)</f>
        <v/>
      </c>
    </row>
    <row r="96">
      <c r="A96" s="100" t="inlineStr">
        <is>
          <t>Rates - Heron</t>
        </is>
      </c>
      <c r="D96" s="101">
        <f>SUMIFS(Xero!$F:$F,Xero!$B:$B,Heron!D$9,Xero!$A:$A,Heron!$A$4,Xero!$E:$E,Heron!$A96)+SUMIFS(Xero!$F:$F,Xero!$B:$B,Heron!D$9,Xero!$A:$A,Heron!$A$5,Xero!$E:$E,Heron!$A96)</f>
        <v/>
      </c>
      <c r="E96" s="101">
        <f>SUMIFS(Xero!$F:$F,Xero!$B:$B,Heron!E$9,Xero!$A:$A,Heron!$A$4,Xero!$E:$E,Heron!$A96)+SUMIFS(Xero!$F:$F,Xero!$B:$B,Heron!E$9,Xero!$A:$A,Heron!$A$5,Xero!$E:$E,Heron!$A96)</f>
        <v/>
      </c>
      <c r="F96" s="101">
        <f>SUMIFS(Xero!$F:$F,Xero!$B:$B,Heron!F$9,Xero!$A:$A,Heron!$A$4,Xero!$E:$E,Heron!$A96)+SUMIFS(Xero!$F:$F,Xero!$B:$B,Heron!F$9,Xero!$A:$A,Heron!$A$5,Xero!$E:$E,Heron!$A96)</f>
        <v/>
      </c>
      <c r="G96" s="101">
        <f>SUMIFS(Xero!$F:$F,Xero!$B:$B,Heron!G$9,Xero!$A:$A,Heron!$A$4,Xero!$E:$E,Heron!$A96)+SUMIFS(Xero!$F:$F,Xero!$B:$B,Heron!G$9,Xero!$A:$A,Heron!$A$5,Xero!$E:$E,Heron!$A96)</f>
        <v/>
      </c>
      <c r="H96" s="101">
        <f>SUMIFS(Xero!$F:$F,Xero!$B:$B,Heron!H$9,Xero!$A:$A,Heron!$A$4,Xero!$E:$E,Heron!$A96)+SUMIFS(Xero!$F:$F,Xero!$B:$B,Heron!H$9,Xero!$A:$A,Heron!$A$5,Xero!$E:$E,Heron!$A96)</f>
        <v/>
      </c>
      <c r="I96" s="101">
        <f>SUMIFS(Xero!$F:$F,Xero!$B:$B,Heron!I$9,Xero!$A:$A,Heron!$A$4,Xero!$E:$E,Heron!$A96)+SUMIFS(Xero!$F:$F,Xero!$B:$B,Heron!I$9,Xero!$A:$A,Heron!$A$5,Xero!$E:$E,Heron!$A96)</f>
        <v/>
      </c>
      <c r="J96" s="101">
        <f>SUMIFS(Xero!$F:$F,Xero!$B:$B,Heron!J$9,Xero!$A:$A,Heron!$A$4,Xero!$E:$E,Heron!$A96)+SUMIFS(Xero!$F:$F,Xero!$B:$B,Heron!J$9,Xero!$A:$A,Heron!$A$5,Xero!$E:$E,Heron!$A96)</f>
        <v/>
      </c>
      <c r="K96" s="101">
        <f>SUMIFS(Xero!$F:$F,Xero!$B:$B,Heron!K$9,Xero!$A:$A,Heron!$A$4,Xero!$E:$E,Heron!$A96)+SUMIFS(Xero!$F:$F,Xero!$B:$B,Heron!K$9,Xero!$A:$A,Heron!$A$5,Xero!$E:$E,Heron!$A96)</f>
        <v/>
      </c>
      <c r="L96" s="101">
        <f>SUMIFS(Xero!$F:$F,Xero!$B:$B,Heron!L$9,Xero!$A:$A,Heron!$A$4,Xero!$E:$E,Heron!$A96)+SUMIFS(Xero!$F:$F,Xero!$B:$B,Heron!L$9,Xero!$A:$A,Heron!$A$5,Xero!$E:$E,Heron!$A96)</f>
        <v/>
      </c>
      <c r="M96" s="101">
        <f>SUMIFS(Xero!$F:$F,Xero!$B:$B,Heron!M$9,Xero!$A:$A,Heron!$A$4,Xero!$E:$E,Heron!$A96)+SUMIFS(Xero!$F:$F,Xero!$B:$B,Heron!M$9,Xero!$A:$A,Heron!$A$5,Xero!$E:$E,Heron!$A96)</f>
        <v/>
      </c>
      <c r="N96" s="101">
        <f>SUMIFS(Xero!$F:$F,Xero!$B:$B,Heron!N$9,Xero!$A:$A,Heron!$A$4,Xero!$E:$E,Heron!$A96)+SUMIFS(Xero!$F:$F,Xero!$B:$B,Heron!N$9,Xero!$A:$A,Heron!$A$5,Xero!$E:$E,Heron!$A96)</f>
        <v/>
      </c>
      <c r="O96" s="101">
        <f>SUMIFS(Xero!$F:$F,Xero!$B:$B,Heron!O$9,Xero!$A:$A,Heron!$A$4,Xero!$E:$E,Heron!$A96)+SUMIFS(Xero!$F:$F,Xero!$B:$B,Heron!O$9,Xero!$A:$A,Heron!$A$5,Xero!$E:$E,Heron!$A96)</f>
        <v/>
      </c>
      <c r="P96" s="101">
        <f>SUMIFS(Xero!$F:$F,Xero!$B:$B,Heron!P$9,Xero!$A:$A,Heron!$A$4,Xero!$E:$E,Heron!$A96)+SUMIFS(Xero!$F:$F,Xero!$B:$B,Heron!P$9,Xero!$A:$A,Heron!$A$5,Xero!$E:$E,Heron!$A96)</f>
        <v/>
      </c>
      <c r="Q96" s="101">
        <f>SUMIFS(Xero!$F:$F,Xero!$B:$B,Heron!Q$9,Xero!$A:$A,Heron!$A$4,Xero!$E:$E,Heron!$A96)+SUMIFS(Xero!$F:$F,Xero!$B:$B,Heron!Q$9,Xero!$A:$A,Heron!$A$5,Xero!$E:$E,Heron!$A96)</f>
        <v/>
      </c>
      <c r="R96" s="101">
        <f>SUMIFS(Xero!$F:$F,Xero!$B:$B,Heron!R$9,Xero!$A:$A,Heron!$A$4,Xero!$E:$E,Heron!$A96)+SUMIFS(Xero!$F:$F,Xero!$B:$B,Heron!R$9,Xero!$A:$A,Heron!$A$5,Xero!$E:$E,Heron!$A96)</f>
        <v/>
      </c>
      <c r="S96" s="101">
        <f>SUMIFS(Xero!$F:$F,Xero!$B:$B,Heron!S$9,Xero!$A:$A,Heron!$A$4,Xero!$E:$E,Heron!$A96)+SUMIFS(Xero!$F:$F,Xero!$B:$B,Heron!S$9,Xero!$A:$A,Heron!$A$5,Xero!$E:$E,Heron!$A96)</f>
        <v/>
      </c>
      <c r="T96" s="101">
        <f>SUMIFS(Xero!$F:$F,Xero!$B:$B,Heron!T$9,Xero!$A:$A,Heron!$A$4,Xero!$E:$E,Heron!$A96)+SUMIFS(Xero!$F:$F,Xero!$B:$B,Heron!T$9,Xero!$A:$A,Heron!$A$5,Xero!$E:$E,Heron!$A96)</f>
        <v/>
      </c>
      <c r="U96" s="101">
        <f>SUMIFS(Xero!$F:$F,Xero!$B:$B,Heron!U$9,Xero!$A:$A,Heron!$A$4,Xero!$E:$E,Heron!$A96)+SUMIFS(Xero!$F:$F,Xero!$B:$B,Heron!U$9,Xero!$A:$A,Heron!$A$5,Xero!$E:$E,Heron!$A96)</f>
        <v/>
      </c>
      <c r="V96" s="101">
        <f>SUMIFS(Xero!$F:$F,Xero!$B:$B,Heron!V$9,Xero!$A:$A,Heron!$A$4,Xero!$E:$E,Heron!$A96)+SUMIFS(Xero!$F:$F,Xero!$B:$B,Heron!V$9,Xero!$A:$A,Heron!$A$5,Xero!$E:$E,Heron!$A96)</f>
        <v/>
      </c>
      <c r="W96" s="101">
        <f>SUMIFS(Xero!$F:$F,Xero!$B:$B,Heron!W$9,Xero!$A:$A,Heron!$A$4,Xero!$E:$E,Heron!$A96)+SUMIFS(Xero!$F:$F,Xero!$B:$B,Heron!W$9,Xero!$A:$A,Heron!$A$5,Xero!$E:$E,Heron!$A96)</f>
        <v/>
      </c>
      <c r="X96" s="101">
        <f>SUMIFS(Xero!$F:$F,Xero!$B:$B,Heron!X$9,Xero!$A:$A,Heron!$A$4,Xero!$E:$E,Heron!$A96)+SUMIFS(Xero!$F:$F,Xero!$B:$B,Heron!X$9,Xero!$A:$A,Heron!$A$5,Xero!$E:$E,Heron!$A96)</f>
        <v/>
      </c>
      <c r="Y96" s="101">
        <f>SUMIFS(Xero!$F:$F,Xero!$B:$B,Heron!Y$9,Xero!$A:$A,Heron!$A$4,Xero!$E:$E,Heron!$A96)+SUMIFS(Xero!$F:$F,Xero!$B:$B,Heron!Y$9,Xero!$A:$A,Heron!$A$5,Xero!$E:$E,Heron!$A96)</f>
        <v/>
      </c>
      <c r="Z96" s="101">
        <f>SUMIFS(Xero!$F:$F,Xero!$B:$B,Heron!Z$9,Xero!$A:$A,Heron!$A$4,Xero!$E:$E,Heron!$A96)+SUMIFS(Xero!$F:$F,Xero!$B:$B,Heron!Z$9,Xero!$A:$A,Heron!$A$5,Xero!$E:$E,Heron!$A96)</f>
        <v/>
      </c>
      <c r="AA96" s="101">
        <f>SUMIFS(Xero!$F:$F,Xero!$B:$B,Heron!AA$9,Xero!$A:$A,Heron!$A$4,Xero!$E:$E,Heron!$A96)+SUMIFS(Xero!$F:$F,Xero!$B:$B,Heron!AA$9,Xero!$A:$A,Heron!$A$5,Xero!$E:$E,Heron!$A96)</f>
        <v/>
      </c>
      <c r="AB96" s="101">
        <f>SUMIFS(Xero!$F:$F,Xero!$B:$B,Heron!AB$9,Xero!$A:$A,Heron!$A$4,Xero!$E:$E,Heron!$A96)+SUMIFS(Xero!$F:$F,Xero!$B:$B,Heron!AB$9,Xero!$A:$A,Heron!$A$5,Xero!$E:$E,Heron!$A96)</f>
        <v/>
      </c>
      <c r="AC96" s="101">
        <f>SUMIFS(Xero!$F:$F,Xero!$B:$B,Heron!AC$9,Xero!$A:$A,Heron!$A$4,Xero!$E:$E,Heron!$A96)+SUMIFS(Xero!$F:$F,Xero!$B:$B,Heron!AC$9,Xero!$A:$A,Heron!$A$5,Xero!$E:$E,Heron!$A96)</f>
        <v/>
      </c>
      <c r="AD96" s="101">
        <f>SUMIFS(Xero!$F:$F,Xero!$B:$B,Heron!AD$9,Xero!$A:$A,Heron!$A$4,Xero!$E:$E,Heron!$A96)+SUMIFS(Xero!$F:$F,Xero!$B:$B,Heron!AD$9,Xero!$A:$A,Heron!$A$5,Xero!$E:$E,Heron!$A96)</f>
        <v/>
      </c>
      <c r="AE96" s="101">
        <f>SUMIFS(Xero!$F:$F,Xero!$B:$B,Heron!AE$9,Xero!$A:$A,Heron!$A$4,Xero!$E:$E,Heron!$A96)+SUMIFS(Xero!$F:$F,Xero!$B:$B,Heron!AE$9,Xero!$A:$A,Heron!$A$5,Xero!$E:$E,Heron!$A96)</f>
        <v/>
      </c>
      <c r="AF96" s="101">
        <f>SUMIFS(Xero!$F:$F,Xero!$B:$B,Heron!AF$9,Xero!$A:$A,Heron!$A$4,Xero!$E:$E,Heron!$A96)+SUMIFS(Xero!$F:$F,Xero!$B:$B,Heron!AF$9,Xero!$A:$A,Heron!$A$5,Xero!$E:$E,Heron!$A96)</f>
        <v/>
      </c>
      <c r="AG96" s="101">
        <f>SUMIFS(Xero!$F:$F,Xero!$B:$B,Heron!AG$9,Xero!$A:$A,Heron!$A$4,Xero!$E:$E,Heron!$A96)+SUMIFS(Xero!$F:$F,Xero!$B:$B,Heron!AG$9,Xero!$A:$A,Heron!$A$5,Xero!$E:$E,Heron!$A96)</f>
        <v/>
      </c>
      <c r="AH96" s="101">
        <f>SUMIFS(Xero!$F:$F,Xero!$B:$B,Heron!AH$9,Xero!$A:$A,Heron!$A$4,Xero!$E:$E,Heron!$A96)+SUMIFS(Xero!$F:$F,Xero!$B:$B,Heron!AH$9,Xero!$A:$A,Heron!$A$5,Xero!$E:$E,Heron!$A96)</f>
        <v/>
      </c>
      <c r="AI96" s="101">
        <f>SUMIFS(Xero!$F:$F,Xero!$B:$B,Heron!AI$9,Xero!$A:$A,Heron!$A$4,Xero!$E:$E,Heron!$A96)+SUMIFS(Xero!$F:$F,Xero!$B:$B,Heron!AI$9,Xero!$A:$A,Heron!$A$5,Xero!$E:$E,Heron!$A96)</f>
        <v/>
      </c>
      <c r="AJ96" s="101">
        <f>SUMIFS(Xero!$F:$F,Xero!$B:$B,Heron!AJ$9,Xero!$A:$A,Heron!$A$4,Xero!$E:$E,Heron!$A96)+SUMIFS(Xero!$F:$F,Xero!$B:$B,Heron!AJ$9,Xero!$A:$A,Heron!$A$5,Xero!$E:$E,Heron!$A96)</f>
        <v/>
      </c>
      <c r="AK96" s="101">
        <f>SUMIFS(Xero!$F:$F,Xero!$B:$B,Heron!AK$9,Xero!$A:$A,Heron!$A$4,Xero!$E:$E,Heron!$A96)+SUMIFS(Xero!$F:$F,Xero!$B:$B,Heron!AK$9,Xero!$A:$A,Heron!$A$5,Xero!$E:$E,Heron!$A96)</f>
        <v/>
      </c>
      <c r="AL96" s="101">
        <f>SUMIFS(Xero!$F:$F,Xero!$B:$B,Heron!AL$9,Xero!$A:$A,Heron!$A$4,Xero!$E:$E,Heron!$A96)+SUMIFS(Xero!$F:$F,Xero!$B:$B,Heron!AL$9,Xero!$A:$A,Heron!$A$5,Xero!$E:$E,Heron!$A96)</f>
        <v/>
      </c>
      <c r="AM96" s="101">
        <f>SUMIFS(Xero!$F:$F,Xero!$B:$B,Heron!AM$9,Xero!$A:$A,Heron!$A$4,Xero!$E:$E,Heron!$A96)+SUMIFS(Xero!$F:$F,Xero!$B:$B,Heron!AM$9,Xero!$A:$A,Heron!$A$5,Xero!$E:$E,Heron!$A96)</f>
        <v/>
      </c>
      <c r="AN96" s="101">
        <f>SUMIFS(Xero!$F:$F,Xero!$B:$B,Heron!AN$9,Xero!$A:$A,Heron!$A$4,Xero!$E:$E,Heron!$A96)+SUMIFS(Xero!$F:$F,Xero!$B:$B,Heron!AN$9,Xero!$A:$A,Heron!$A$5,Xero!$E:$E,Heron!$A96)</f>
        <v/>
      </c>
      <c r="AO96" s="101">
        <f>SUMIFS(Xero!$F:$F,Xero!$B:$B,Heron!AO$9,Xero!$A:$A,Heron!$A$4,Xero!$E:$E,Heron!$A96)+SUMIFS(Xero!$F:$F,Xero!$B:$B,Heron!AO$9,Xero!$A:$A,Heron!$A$5,Xero!$E:$E,Heron!$A96)</f>
        <v/>
      </c>
      <c r="AP96" s="101">
        <f>SUMIFS(Xero!$F:$F,Xero!$B:$B,Heron!AP$9,Xero!$A:$A,Heron!$A$4,Xero!$E:$E,Heron!$A96)+SUMIFS(Xero!$F:$F,Xero!$B:$B,Heron!AP$9,Xero!$A:$A,Heron!$A$5,Xero!$E:$E,Heron!$A96)</f>
        <v/>
      </c>
      <c r="AQ96" s="101">
        <f>SUMIFS(Xero!$F:$F,Xero!$B:$B,Heron!AQ$9,Xero!$A:$A,Heron!$A$4,Xero!$E:$E,Heron!$A96)+SUMIFS(Xero!$F:$F,Xero!$B:$B,Heron!AQ$9,Xero!$A:$A,Heron!$A$5,Xero!$E:$E,Heron!$A96)</f>
        <v/>
      </c>
      <c r="AR96" s="101">
        <f>SUMIFS(Xero!$F:$F,Xero!$B:$B,Heron!AR$9,Xero!$A:$A,Heron!$A$4,Xero!$E:$E,Heron!$A96)+SUMIFS(Xero!$F:$F,Xero!$B:$B,Heron!AR$9,Xero!$A:$A,Heron!$A$5,Xero!$E:$E,Heron!$A96)</f>
        <v/>
      </c>
      <c r="AS96" s="101">
        <f>SUMIFS(Xero!$F:$F,Xero!$B:$B,Heron!AS$9,Xero!$A:$A,Heron!$A$4,Xero!$E:$E,Heron!$A96)+SUMIFS(Xero!$F:$F,Xero!$B:$B,Heron!AS$9,Xero!$A:$A,Heron!$A$5,Xero!$E:$E,Heron!$A96)</f>
        <v/>
      </c>
      <c r="AT96" s="101">
        <f>SUMIFS(Xero!$F:$F,Xero!$B:$B,Heron!AT$9,Xero!$A:$A,Heron!$A$4,Xero!$E:$E,Heron!$A96)+SUMIFS(Xero!$F:$F,Xero!$B:$B,Heron!AT$9,Xero!$A:$A,Heron!$A$5,Xero!$E:$E,Heron!$A96)</f>
        <v/>
      </c>
      <c r="AU96" s="101">
        <f>SUMIFS(Xero!$F:$F,Xero!$B:$B,Heron!AU$9,Xero!$A:$A,Heron!$A$4,Xero!$E:$E,Heron!$A96)+SUMIFS(Xero!$F:$F,Xero!$B:$B,Heron!AU$9,Xero!$A:$A,Heron!$A$5,Xero!$E:$E,Heron!$A96)</f>
        <v/>
      </c>
      <c r="AV96" s="101">
        <f>SUMIFS(Xero!$F:$F,Xero!$B:$B,Heron!AV$9,Xero!$A:$A,Heron!$A$4,Xero!$E:$E,Heron!$A96)+SUMIFS(Xero!$F:$F,Xero!$B:$B,Heron!AV$9,Xero!$A:$A,Heron!$A$5,Xero!$E:$E,Heron!$A96)</f>
        <v/>
      </c>
      <c r="AW96" s="101">
        <f>SUMIFS(Xero!$F:$F,Xero!$B:$B,Heron!AW$9,Xero!$A:$A,Heron!$A$4,Xero!$E:$E,Heron!$A96)+SUMIFS(Xero!$F:$F,Xero!$B:$B,Heron!AW$9,Xero!$A:$A,Heron!$A$5,Xero!$E:$E,Heron!$A96)</f>
        <v/>
      </c>
      <c r="AX96" s="101">
        <f>SUMIFS(Xero!$F:$F,Xero!$B:$B,Heron!AX$9,Xero!$A:$A,Heron!$A$4,Xero!$E:$E,Heron!$A96)+SUMIFS(Xero!$F:$F,Xero!$B:$B,Heron!AX$9,Xero!$A:$A,Heron!$A$5,Xero!$E:$E,Heron!$A96)</f>
        <v/>
      </c>
      <c r="AY96" s="101">
        <f>SUMIFS(Xero!$F:$F,Xero!$B:$B,Heron!AY$9,Xero!$A:$A,Heron!$A$4,Xero!$E:$E,Heron!$A96)+SUMIFS(Xero!$F:$F,Xero!$B:$B,Heron!AY$9,Xero!$A:$A,Heron!$A$5,Xero!$E:$E,Heron!$A96)</f>
        <v/>
      </c>
      <c r="AZ96" s="101">
        <f>SUMIFS(Xero!$F:$F,Xero!$B:$B,Heron!AZ$9,Xero!$A:$A,Heron!$A$4,Xero!$E:$E,Heron!$A96)+SUMIFS(Xero!$F:$F,Xero!$B:$B,Heron!AZ$9,Xero!$A:$A,Heron!$A$5,Xero!$E:$E,Heron!$A96)</f>
        <v/>
      </c>
      <c r="BA96" s="101">
        <f>SUMIFS(Xero!$F:$F,Xero!$B:$B,Heron!BA$9,Xero!$A:$A,Heron!$A$4,Xero!$E:$E,Heron!$A96)+SUMIFS(Xero!$F:$F,Xero!$B:$B,Heron!BA$9,Xero!$A:$A,Heron!$A$5,Xero!$E:$E,Heron!$A96)</f>
        <v/>
      </c>
      <c r="BB96" s="101">
        <f>SUMIFS(Xero!$F:$F,Xero!$B:$B,Heron!BB$9,Xero!$A:$A,Heron!$A$4,Xero!$E:$E,Heron!$A96)+SUMIFS(Xero!$F:$F,Xero!$B:$B,Heron!BB$9,Xero!$A:$A,Heron!$A$5,Xero!$E:$E,Heron!$A96)</f>
        <v/>
      </c>
      <c r="BC96" s="101">
        <f>SUMIFS(Xero!$F:$F,Xero!$B:$B,Heron!BC$9,Xero!$A:$A,Heron!$A$4,Xero!$E:$E,Heron!$A96)+SUMIFS(Xero!$F:$F,Xero!$B:$B,Heron!BC$9,Xero!$A:$A,Heron!$A$5,Xero!$E:$E,Heron!$A96)</f>
        <v/>
      </c>
      <c r="BD96" s="101">
        <f>SUMIFS(Xero!$F:$F,Xero!$B:$B,Heron!BD$9,Xero!$A:$A,Heron!$A$4,Xero!$E:$E,Heron!$A96)+SUMIFS(Xero!$F:$F,Xero!$B:$B,Heron!BD$9,Xero!$A:$A,Heron!$A$5,Xero!$E:$E,Heron!$A96)</f>
        <v/>
      </c>
      <c r="BE96" s="101">
        <f>SUMIFS(Xero!$F:$F,Xero!$B:$B,Heron!BE$9,Xero!$A:$A,Heron!$A$4,Xero!$E:$E,Heron!$A96)+SUMIFS(Xero!$F:$F,Xero!$B:$B,Heron!BE$9,Xero!$A:$A,Heron!$A$5,Xero!$E:$E,Heron!$A96)</f>
        <v/>
      </c>
      <c r="BF96" s="101">
        <f>SUMIFS(Xero!$F:$F,Xero!$B:$B,Heron!BF$9,Xero!$A:$A,Heron!$A$4,Xero!$E:$E,Heron!$A96)+SUMIFS(Xero!$F:$F,Xero!$B:$B,Heron!BF$9,Xero!$A:$A,Heron!$A$5,Xero!$E:$E,Heron!$A96)</f>
        <v/>
      </c>
      <c r="BG96" s="101">
        <f>SUMIFS(Xero!$F:$F,Xero!$B:$B,Heron!BG$9,Xero!$A:$A,Heron!$A$4,Xero!$E:$E,Heron!$A96)+SUMIFS(Xero!$F:$F,Xero!$B:$B,Heron!BG$9,Xero!$A:$A,Heron!$A$5,Xero!$E:$E,Heron!$A96)</f>
        <v/>
      </c>
      <c r="BH96" s="101">
        <f>SUMIFS(Xero!$F:$F,Xero!$B:$B,Heron!BH$9,Xero!$A:$A,Heron!$A$4,Xero!$E:$E,Heron!$A96)+SUMIFS(Xero!$F:$F,Xero!$B:$B,Heron!BH$9,Xero!$A:$A,Heron!$A$5,Xero!$E:$E,Heron!$A96)</f>
        <v/>
      </c>
      <c r="BI96" s="101">
        <f>SUMIFS(Xero!$F:$F,Xero!$B:$B,Heron!BI$9,Xero!$A:$A,Heron!$A$4,Xero!$E:$E,Heron!$A96)+SUMIFS(Xero!$F:$F,Xero!$B:$B,Heron!BI$9,Xero!$A:$A,Heron!$A$5,Xero!$E:$E,Heron!$A96)</f>
        <v/>
      </c>
      <c r="BJ96" s="101">
        <f>SUMIFS(Xero!$F:$F,Xero!$B:$B,Heron!BJ$9,Xero!$A:$A,Heron!$A$4,Xero!$E:$E,Heron!$A96)+SUMIFS(Xero!$F:$F,Xero!$B:$B,Heron!BJ$9,Xero!$A:$A,Heron!$A$5,Xero!$E:$E,Heron!$A96)</f>
        <v/>
      </c>
      <c r="BK96" s="101">
        <f>sum(D96:BJ96)</f>
        <v/>
      </c>
    </row>
    <row r="97">
      <c r="A97" s="100" t="inlineStr">
        <is>
          <t>Repairs _AND_ Maintenance</t>
        </is>
      </c>
      <c r="D97" s="101">
        <f>SUMIFS(Xero!$F:$F,Xero!$B:$B,Heron!D$9,Xero!$A:$A,Heron!$A$4,Xero!$E:$E,Heron!$A97)+SUMIFS(Xero!$F:$F,Xero!$B:$B,Heron!D$9,Xero!$A:$A,Heron!$A$5,Xero!$E:$E,Heron!$A97)</f>
        <v/>
      </c>
      <c r="E97" s="101">
        <f>SUMIFS(Xero!$F:$F,Xero!$B:$B,Heron!E$9,Xero!$A:$A,Heron!$A$4,Xero!$E:$E,Heron!$A97)+SUMIFS(Xero!$F:$F,Xero!$B:$B,Heron!E$9,Xero!$A:$A,Heron!$A$5,Xero!$E:$E,Heron!$A97)</f>
        <v/>
      </c>
      <c r="F97" s="101">
        <f>SUMIFS(Xero!$F:$F,Xero!$B:$B,Heron!F$9,Xero!$A:$A,Heron!$A$4,Xero!$E:$E,Heron!$A97)+SUMIFS(Xero!$F:$F,Xero!$B:$B,Heron!F$9,Xero!$A:$A,Heron!$A$5,Xero!$E:$E,Heron!$A97)</f>
        <v/>
      </c>
      <c r="G97" s="101">
        <f>SUMIFS(Xero!$F:$F,Xero!$B:$B,Heron!G$9,Xero!$A:$A,Heron!$A$4,Xero!$E:$E,Heron!$A97)+SUMIFS(Xero!$F:$F,Xero!$B:$B,Heron!G$9,Xero!$A:$A,Heron!$A$5,Xero!$E:$E,Heron!$A97)</f>
        <v/>
      </c>
      <c r="H97" s="101">
        <f>SUMIFS(Xero!$F:$F,Xero!$B:$B,Heron!H$9,Xero!$A:$A,Heron!$A$4,Xero!$E:$E,Heron!$A97)+SUMIFS(Xero!$F:$F,Xero!$B:$B,Heron!H$9,Xero!$A:$A,Heron!$A$5,Xero!$E:$E,Heron!$A97)</f>
        <v/>
      </c>
      <c r="I97" s="101">
        <f>SUMIFS(Xero!$F:$F,Xero!$B:$B,Heron!I$9,Xero!$A:$A,Heron!$A$4,Xero!$E:$E,Heron!$A97)+SUMIFS(Xero!$F:$F,Xero!$B:$B,Heron!I$9,Xero!$A:$A,Heron!$A$5,Xero!$E:$E,Heron!$A97)</f>
        <v/>
      </c>
      <c r="J97" s="101">
        <f>SUMIFS(Xero!$F:$F,Xero!$B:$B,Heron!J$9,Xero!$A:$A,Heron!$A$4,Xero!$E:$E,Heron!$A97)+SUMIFS(Xero!$F:$F,Xero!$B:$B,Heron!J$9,Xero!$A:$A,Heron!$A$5,Xero!$E:$E,Heron!$A97)</f>
        <v/>
      </c>
      <c r="K97" s="101">
        <f>SUMIFS(Xero!$F:$F,Xero!$B:$B,Heron!K$9,Xero!$A:$A,Heron!$A$4,Xero!$E:$E,Heron!$A97)+SUMIFS(Xero!$F:$F,Xero!$B:$B,Heron!K$9,Xero!$A:$A,Heron!$A$5,Xero!$E:$E,Heron!$A97)</f>
        <v/>
      </c>
      <c r="L97" s="101">
        <f>SUMIFS(Xero!$F:$F,Xero!$B:$B,Heron!L$9,Xero!$A:$A,Heron!$A$4,Xero!$E:$E,Heron!$A97)+SUMIFS(Xero!$F:$F,Xero!$B:$B,Heron!L$9,Xero!$A:$A,Heron!$A$5,Xero!$E:$E,Heron!$A97)</f>
        <v/>
      </c>
      <c r="M97" s="101">
        <f>SUMIFS(Xero!$F:$F,Xero!$B:$B,Heron!M$9,Xero!$A:$A,Heron!$A$4,Xero!$E:$E,Heron!$A97)+SUMIFS(Xero!$F:$F,Xero!$B:$B,Heron!M$9,Xero!$A:$A,Heron!$A$5,Xero!$E:$E,Heron!$A97)</f>
        <v/>
      </c>
      <c r="N97" s="101">
        <f>SUMIFS(Xero!$F:$F,Xero!$B:$B,Heron!N$9,Xero!$A:$A,Heron!$A$4,Xero!$E:$E,Heron!$A97)+SUMIFS(Xero!$F:$F,Xero!$B:$B,Heron!N$9,Xero!$A:$A,Heron!$A$5,Xero!$E:$E,Heron!$A97)</f>
        <v/>
      </c>
      <c r="O97" s="101">
        <f>SUMIFS(Xero!$F:$F,Xero!$B:$B,Heron!O$9,Xero!$A:$A,Heron!$A$4,Xero!$E:$E,Heron!$A97)+SUMIFS(Xero!$F:$F,Xero!$B:$B,Heron!O$9,Xero!$A:$A,Heron!$A$5,Xero!$E:$E,Heron!$A97)</f>
        <v/>
      </c>
      <c r="P97" s="101">
        <f>SUMIFS(Xero!$F:$F,Xero!$B:$B,Heron!P$9,Xero!$A:$A,Heron!$A$4,Xero!$E:$E,Heron!$A97)+SUMIFS(Xero!$F:$F,Xero!$B:$B,Heron!P$9,Xero!$A:$A,Heron!$A$5,Xero!$E:$E,Heron!$A97)</f>
        <v/>
      </c>
      <c r="Q97" s="101">
        <f>SUMIFS(Xero!$F:$F,Xero!$B:$B,Heron!Q$9,Xero!$A:$A,Heron!$A$4,Xero!$E:$E,Heron!$A97)+SUMIFS(Xero!$F:$F,Xero!$B:$B,Heron!Q$9,Xero!$A:$A,Heron!$A$5,Xero!$E:$E,Heron!$A97)</f>
        <v/>
      </c>
      <c r="R97" s="101">
        <f>SUMIFS(Xero!$F:$F,Xero!$B:$B,Heron!R$9,Xero!$A:$A,Heron!$A$4,Xero!$E:$E,Heron!$A97)+SUMIFS(Xero!$F:$F,Xero!$B:$B,Heron!R$9,Xero!$A:$A,Heron!$A$5,Xero!$E:$E,Heron!$A97)</f>
        <v/>
      </c>
      <c r="S97" s="101">
        <f>SUMIFS(Xero!$F:$F,Xero!$B:$B,Heron!S$9,Xero!$A:$A,Heron!$A$4,Xero!$E:$E,Heron!$A97)+SUMIFS(Xero!$F:$F,Xero!$B:$B,Heron!S$9,Xero!$A:$A,Heron!$A$5,Xero!$E:$E,Heron!$A97)</f>
        <v/>
      </c>
      <c r="T97" s="101">
        <f>SUMIFS(Xero!$F:$F,Xero!$B:$B,Heron!T$9,Xero!$A:$A,Heron!$A$4,Xero!$E:$E,Heron!$A97)+SUMIFS(Xero!$F:$F,Xero!$B:$B,Heron!T$9,Xero!$A:$A,Heron!$A$5,Xero!$E:$E,Heron!$A97)</f>
        <v/>
      </c>
      <c r="U97" s="101">
        <f>SUMIFS(Xero!$F:$F,Xero!$B:$B,Heron!U$9,Xero!$A:$A,Heron!$A$4,Xero!$E:$E,Heron!$A97)+SUMIFS(Xero!$F:$F,Xero!$B:$B,Heron!U$9,Xero!$A:$A,Heron!$A$5,Xero!$E:$E,Heron!$A97)</f>
        <v/>
      </c>
      <c r="V97" s="101">
        <f>SUMIFS(Xero!$F:$F,Xero!$B:$B,Heron!V$9,Xero!$A:$A,Heron!$A$4,Xero!$E:$E,Heron!$A97)+SUMIFS(Xero!$F:$F,Xero!$B:$B,Heron!V$9,Xero!$A:$A,Heron!$A$5,Xero!$E:$E,Heron!$A97)</f>
        <v/>
      </c>
      <c r="W97" s="101">
        <f>SUMIFS(Xero!$F:$F,Xero!$B:$B,Heron!W$9,Xero!$A:$A,Heron!$A$4,Xero!$E:$E,Heron!$A97)+SUMIFS(Xero!$F:$F,Xero!$B:$B,Heron!W$9,Xero!$A:$A,Heron!$A$5,Xero!$E:$E,Heron!$A97)</f>
        <v/>
      </c>
      <c r="X97" s="101">
        <f>SUMIFS(Xero!$F:$F,Xero!$B:$B,Heron!X$9,Xero!$A:$A,Heron!$A$4,Xero!$E:$E,Heron!$A97)+SUMIFS(Xero!$F:$F,Xero!$B:$B,Heron!X$9,Xero!$A:$A,Heron!$A$5,Xero!$E:$E,Heron!$A97)</f>
        <v/>
      </c>
      <c r="Y97" s="101">
        <f>SUMIFS(Xero!$F:$F,Xero!$B:$B,Heron!Y$9,Xero!$A:$A,Heron!$A$4,Xero!$E:$E,Heron!$A97)+SUMIFS(Xero!$F:$F,Xero!$B:$B,Heron!Y$9,Xero!$A:$A,Heron!$A$5,Xero!$E:$E,Heron!$A97)</f>
        <v/>
      </c>
      <c r="Z97" s="101">
        <f>SUMIFS(Xero!$F:$F,Xero!$B:$B,Heron!Z$9,Xero!$A:$A,Heron!$A$4,Xero!$E:$E,Heron!$A97)+SUMIFS(Xero!$F:$F,Xero!$B:$B,Heron!Z$9,Xero!$A:$A,Heron!$A$5,Xero!$E:$E,Heron!$A97)</f>
        <v/>
      </c>
      <c r="AA97" s="101">
        <f>SUMIFS(Xero!$F:$F,Xero!$B:$B,Heron!AA$9,Xero!$A:$A,Heron!$A$4,Xero!$E:$E,Heron!$A97)+SUMIFS(Xero!$F:$F,Xero!$B:$B,Heron!AA$9,Xero!$A:$A,Heron!$A$5,Xero!$E:$E,Heron!$A97)</f>
        <v/>
      </c>
      <c r="AB97" s="101">
        <f>SUMIFS(Xero!$F:$F,Xero!$B:$B,Heron!AB$9,Xero!$A:$A,Heron!$A$4,Xero!$E:$E,Heron!$A97)+SUMIFS(Xero!$F:$F,Xero!$B:$B,Heron!AB$9,Xero!$A:$A,Heron!$A$5,Xero!$E:$E,Heron!$A97)</f>
        <v/>
      </c>
      <c r="AC97" s="101">
        <f>SUMIFS(Xero!$F:$F,Xero!$B:$B,Heron!AC$9,Xero!$A:$A,Heron!$A$4,Xero!$E:$E,Heron!$A97)+SUMIFS(Xero!$F:$F,Xero!$B:$B,Heron!AC$9,Xero!$A:$A,Heron!$A$5,Xero!$E:$E,Heron!$A97)</f>
        <v/>
      </c>
      <c r="AD97" s="101">
        <f>SUMIFS(Xero!$F:$F,Xero!$B:$B,Heron!AD$9,Xero!$A:$A,Heron!$A$4,Xero!$E:$E,Heron!$A97)+SUMIFS(Xero!$F:$F,Xero!$B:$B,Heron!AD$9,Xero!$A:$A,Heron!$A$5,Xero!$E:$E,Heron!$A97)</f>
        <v/>
      </c>
      <c r="AE97" s="101">
        <f>SUMIFS(Xero!$F:$F,Xero!$B:$B,Heron!AE$9,Xero!$A:$A,Heron!$A$4,Xero!$E:$E,Heron!$A97)+SUMIFS(Xero!$F:$F,Xero!$B:$B,Heron!AE$9,Xero!$A:$A,Heron!$A$5,Xero!$E:$E,Heron!$A97)</f>
        <v/>
      </c>
      <c r="AF97" s="101">
        <f>SUMIFS(Xero!$F:$F,Xero!$B:$B,Heron!AF$9,Xero!$A:$A,Heron!$A$4,Xero!$E:$E,Heron!$A97)+SUMIFS(Xero!$F:$F,Xero!$B:$B,Heron!AF$9,Xero!$A:$A,Heron!$A$5,Xero!$E:$E,Heron!$A97)</f>
        <v/>
      </c>
      <c r="AG97" s="101">
        <f>SUMIFS(Xero!$F:$F,Xero!$B:$B,Heron!AG$9,Xero!$A:$A,Heron!$A$4,Xero!$E:$E,Heron!$A97)+SUMIFS(Xero!$F:$F,Xero!$B:$B,Heron!AG$9,Xero!$A:$A,Heron!$A$5,Xero!$E:$E,Heron!$A97)</f>
        <v/>
      </c>
      <c r="AH97" s="101">
        <f>SUMIFS(Xero!$F:$F,Xero!$B:$B,Heron!AH$9,Xero!$A:$A,Heron!$A$4,Xero!$E:$E,Heron!$A97)+SUMIFS(Xero!$F:$F,Xero!$B:$B,Heron!AH$9,Xero!$A:$A,Heron!$A$5,Xero!$E:$E,Heron!$A97)</f>
        <v/>
      </c>
      <c r="AI97" s="101">
        <f>SUMIFS(Xero!$F:$F,Xero!$B:$B,Heron!AI$9,Xero!$A:$A,Heron!$A$4,Xero!$E:$E,Heron!$A97)+SUMIFS(Xero!$F:$F,Xero!$B:$B,Heron!AI$9,Xero!$A:$A,Heron!$A$5,Xero!$E:$E,Heron!$A97)</f>
        <v/>
      </c>
      <c r="AJ97" s="101">
        <f>SUMIFS(Xero!$F:$F,Xero!$B:$B,Heron!AJ$9,Xero!$A:$A,Heron!$A$4,Xero!$E:$E,Heron!$A97)+SUMIFS(Xero!$F:$F,Xero!$B:$B,Heron!AJ$9,Xero!$A:$A,Heron!$A$5,Xero!$E:$E,Heron!$A97)</f>
        <v/>
      </c>
      <c r="AK97" s="101">
        <f>SUMIFS(Xero!$F:$F,Xero!$B:$B,Heron!AK$9,Xero!$A:$A,Heron!$A$4,Xero!$E:$E,Heron!$A97)+SUMIFS(Xero!$F:$F,Xero!$B:$B,Heron!AK$9,Xero!$A:$A,Heron!$A$5,Xero!$E:$E,Heron!$A97)</f>
        <v/>
      </c>
      <c r="AL97" s="101">
        <f>SUMIFS(Xero!$F:$F,Xero!$B:$B,Heron!AL$9,Xero!$A:$A,Heron!$A$4,Xero!$E:$E,Heron!$A97)+SUMIFS(Xero!$F:$F,Xero!$B:$B,Heron!AL$9,Xero!$A:$A,Heron!$A$5,Xero!$E:$E,Heron!$A97)</f>
        <v/>
      </c>
      <c r="AM97" s="101">
        <f>SUMIFS(Xero!$F:$F,Xero!$B:$B,Heron!AM$9,Xero!$A:$A,Heron!$A$4,Xero!$E:$E,Heron!$A97)+SUMIFS(Xero!$F:$F,Xero!$B:$B,Heron!AM$9,Xero!$A:$A,Heron!$A$5,Xero!$E:$E,Heron!$A97)</f>
        <v/>
      </c>
      <c r="AN97" s="101">
        <f>SUMIFS(Xero!$F:$F,Xero!$B:$B,Heron!AN$9,Xero!$A:$A,Heron!$A$4,Xero!$E:$E,Heron!$A97)+SUMIFS(Xero!$F:$F,Xero!$B:$B,Heron!AN$9,Xero!$A:$A,Heron!$A$5,Xero!$E:$E,Heron!$A97)</f>
        <v/>
      </c>
      <c r="AO97" s="101">
        <f>SUMIFS(Xero!$F:$F,Xero!$B:$B,Heron!AO$9,Xero!$A:$A,Heron!$A$4,Xero!$E:$E,Heron!$A97)+SUMIFS(Xero!$F:$F,Xero!$B:$B,Heron!AO$9,Xero!$A:$A,Heron!$A$5,Xero!$E:$E,Heron!$A97)</f>
        <v/>
      </c>
      <c r="AP97" s="101">
        <f>SUMIFS(Xero!$F:$F,Xero!$B:$B,Heron!AP$9,Xero!$A:$A,Heron!$A$4,Xero!$E:$E,Heron!$A97)+SUMIFS(Xero!$F:$F,Xero!$B:$B,Heron!AP$9,Xero!$A:$A,Heron!$A$5,Xero!$E:$E,Heron!$A97)</f>
        <v/>
      </c>
      <c r="AQ97" s="101">
        <f>SUMIFS(Xero!$F:$F,Xero!$B:$B,Heron!AQ$9,Xero!$A:$A,Heron!$A$4,Xero!$E:$E,Heron!$A97)+SUMIFS(Xero!$F:$F,Xero!$B:$B,Heron!AQ$9,Xero!$A:$A,Heron!$A$5,Xero!$E:$E,Heron!$A97)</f>
        <v/>
      </c>
      <c r="AR97" s="101">
        <f>SUMIFS(Xero!$F:$F,Xero!$B:$B,Heron!AR$9,Xero!$A:$A,Heron!$A$4,Xero!$E:$E,Heron!$A97)+SUMIFS(Xero!$F:$F,Xero!$B:$B,Heron!AR$9,Xero!$A:$A,Heron!$A$5,Xero!$E:$E,Heron!$A97)</f>
        <v/>
      </c>
      <c r="AS97" s="101">
        <f>SUMIFS(Xero!$F:$F,Xero!$B:$B,Heron!AS$9,Xero!$A:$A,Heron!$A$4,Xero!$E:$E,Heron!$A97)+SUMIFS(Xero!$F:$F,Xero!$B:$B,Heron!AS$9,Xero!$A:$A,Heron!$A$5,Xero!$E:$E,Heron!$A97)</f>
        <v/>
      </c>
      <c r="AT97" s="101">
        <f>SUMIFS(Xero!$F:$F,Xero!$B:$B,Heron!AT$9,Xero!$A:$A,Heron!$A$4,Xero!$E:$E,Heron!$A97)+SUMIFS(Xero!$F:$F,Xero!$B:$B,Heron!AT$9,Xero!$A:$A,Heron!$A$5,Xero!$E:$E,Heron!$A97)</f>
        <v/>
      </c>
      <c r="AU97" s="101">
        <f>SUMIFS(Xero!$F:$F,Xero!$B:$B,Heron!AU$9,Xero!$A:$A,Heron!$A$4,Xero!$E:$E,Heron!$A97)+SUMIFS(Xero!$F:$F,Xero!$B:$B,Heron!AU$9,Xero!$A:$A,Heron!$A$5,Xero!$E:$E,Heron!$A97)</f>
        <v/>
      </c>
      <c r="AV97" s="101">
        <f>SUMIFS(Xero!$F:$F,Xero!$B:$B,Heron!AV$9,Xero!$A:$A,Heron!$A$4,Xero!$E:$E,Heron!$A97)+SUMIFS(Xero!$F:$F,Xero!$B:$B,Heron!AV$9,Xero!$A:$A,Heron!$A$5,Xero!$E:$E,Heron!$A97)</f>
        <v/>
      </c>
      <c r="AW97" s="101">
        <f>SUMIFS(Xero!$F:$F,Xero!$B:$B,Heron!AW$9,Xero!$A:$A,Heron!$A$4,Xero!$E:$E,Heron!$A97)+SUMIFS(Xero!$F:$F,Xero!$B:$B,Heron!AW$9,Xero!$A:$A,Heron!$A$5,Xero!$E:$E,Heron!$A97)</f>
        <v/>
      </c>
      <c r="AX97" s="101">
        <f>SUMIFS(Xero!$F:$F,Xero!$B:$B,Heron!AX$9,Xero!$A:$A,Heron!$A$4,Xero!$E:$E,Heron!$A97)+SUMIFS(Xero!$F:$F,Xero!$B:$B,Heron!AX$9,Xero!$A:$A,Heron!$A$5,Xero!$E:$E,Heron!$A97)</f>
        <v/>
      </c>
      <c r="AY97" s="101">
        <f>SUMIFS(Xero!$F:$F,Xero!$B:$B,Heron!AY$9,Xero!$A:$A,Heron!$A$4,Xero!$E:$E,Heron!$A97)+SUMIFS(Xero!$F:$F,Xero!$B:$B,Heron!AY$9,Xero!$A:$A,Heron!$A$5,Xero!$E:$E,Heron!$A97)</f>
        <v/>
      </c>
      <c r="AZ97" s="101">
        <f>SUMIFS(Xero!$F:$F,Xero!$B:$B,Heron!AZ$9,Xero!$A:$A,Heron!$A$4,Xero!$E:$E,Heron!$A97)+SUMIFS(Xero!$F:$F,Xero!$B:$B,Heron!AZ$9,Xero!$A:$A,Heron!$A$5,Xero!$E:$E,Heron!$A97)</f>
        <v/>
      </c>
      <c r="BA97" s="101">
        <f>SUMIFS(Xero!$F:$F,Xero!$B:$B,Heron!BA$9,Xero!$A:$A,Heron!$A$4,Xero!$E:$E,Heron!$A97)+SUMIFS(Xero!$F:$F,Xero!$B:$B,Heron!BA$9,Xero!$A:$A,Heron!$A$5,Xero!$E:$E,Heron!$A97)</f>
        <v/>
      </c>
      <c r="BB97" s="101">
        <f>SUMIFS(Xero!$F:$F,Xero!$B:$B,Heron!BB$9,Xero!$A:$A,Heron!$A$4,Xero!$E:$E,Heron!$A97)+SUMIFS(Xero!$F:$F,Xero!$B:$B,Heron!BB$9,Xero!$A:$A,Heron!$A$5,Xero!$E:$E,Heron!$A97)</f>
        <v/>
      </c>
      <c r="BC97" s="101">
        <f>SUMIFS(Xero!$F:$F,Xero!$B:$B,Heron!BC$9,Xero!$A:$A,Heron!$A$4,Xero!$E:$E,Heron!$A97)+SUMIFS(Xero!$F:$F,Xero!$B:$B,Heron!BC$9,Xero!$A:$A,Heron!$A$5,Xero!$E:$E,Heron!$A97)</f>
        <v/>
      </c>
      <c r="BD97" s="101">
        <f>SUMIFS(Xero!$F:$F,Xero!$B:$B,Heron!BD$9,Xero!$A:$A,Heron!$A$4,Xero!$E:$E,Heron!$A97)+SUMIFS(Xero!$F:$F,Xero!$B:$B,Heron!BD$9,Xero!$A:$A,Heron!$A$5,Xero!$E:$E,Heron!$A97)</f>
        <v/>
      </c>
      <c r="BE97" s="101">
        <f>SUMIFS(Xero!$F:$F,Xero!$B:$B,Heron!BE$9,Xero!$A:$A,Heron!$A$4,Xero!$E:$E,Heron!$A97)+SUMIFS(Xero!$F:$F,Xero!$B:$B,Heron!BE$9,Xero!$A:$A,Heron!$A$5,Xero!$E:$E,Heron!$A97)</f>
        <v/>
      </c>
      <c r="BF97" s="101">
        <f>SUMIFS(Xero!$F:$F,Xero!$B:$B,Heron!BF$9,Xero!$A:$A,Heron!$A$4,Xero!$E:$E,Heron!$A97)+SUMIFS(Xero!$F:$F,Xero!$B:$B,Heron!BF$9,Xero!$A:$A,Heron!$A$5,Xero!$E:$E,Heron!$A97)</f>
        <v/>
      </c>
      <c r="BG97" s="101">
        <f>SUMIFS(Xero!$F:$F,Xero!$B:$B,Heron!BG$9,Xero!$A:$A,Heron!$A$4,Xero!$E:$E,Heron!$A97)+SUMIFS(Xero!$F:$F,Xero!$B:$B,Heron!BG$9,Xero!$A:$A,Heron!$A$5,Xero!$E:$E,Heron!$A97)</f>
        <v/>
      </c>
      <c r="BH97" s="101">
        <f>SUMIFS(Xero!$F:$F,Xero!$B:$B,Heron!BH$9,Xero!$A:$A,Heron!$A$4,Xero!$E:$E,Heron!$A97)+SUMIFS(Xero!$F:$F,Xero!$B:$B,Heron!BH$9,Xero!$A:$A,Heron!$A$5,Xero!$E:$E,Heron!$A97)</f>
        <v/>
      </c>
      <c r="BI97" s="101">
        <f>SUMIFS(Xero!$F:$F,Xero!$B:$B,Heron!BI$9,Xero!$A:$A,Heron!$A$4,Xero!$E:$E,Heron!$A97)+SUMIFS(Xero!$F:$F,Xero!$B:$B,Heron!BI$9,Xero!$A:$A,Heron!$A$5,Xero!$E:$E,Heron!$A97)</f>
        <v/>
      </c>
      <c r="BJ97" s="101">
        <f>SUMIFS(Xero!$F:$F,Xero!$B:$B,Heron!BJ$9,Xero!$A:$A,Heron!$A$4,Xero!$E:$E,Heron!$A97)+SUMIFS(Xero!$F:$F,Xero!$B:$B,Heron!BJ$9,Xero!$A:$A,Heron!$A$5,Xero!$E:$E,Heron!$A97)</f>
        <v/>
      </c>
      <c r="BK97" s="101">
        <f>sum(D97:BJ97)</f>
        <v/>
      </c>
    </row>
    <row r="98">
      <c r="A98" s="100" t="inlineStr">
        <is>
          <t>Secretarial fees</t>
        </is>
      </c>
      <c r="D98" s="101">
        <f>SUMIFS(Xero!$F:$F,Xero!$B:$B,Heron!D$9,Xero!$A:$A,Heron!$A$4,Xero!$E:$E,Heron!$A98)+SUMIFS(Xero!$F:$F,Xero!$B:$B,Heron!D$9,Xero!$A:$A,Heron!$A$5,Xero!$E:$E,Heron!$A98)</f>
        <v/>
      </c>
      <c r="E98" s="101">
        <f>SUMIFS(Xero!$F:$F,Xero!$B:$B,Heron!E$9,Xero!$A:$A,Heron!$A$4,Xero!$E:$E,Heron!$A98)+SUMIFS(Xero!$F:$F,Xero!$B:$B,Heron!E$9,Xero!$A:$A,Heron!$A$5,Xero!$E:$E,Heron!$A98)</f>
        <v/>
      </c>
      <c r="F98" s="101">
        <f>SUMIFS(Xero!$F:$F,Xero!$B:$B,Heron!F$9,Xero!$A:$A,Heron!$A$4,Xero!$E:$E,Heron!$A98)+SUMIFS(Xero!$F:$F,Xero!$B:$B,Heron!F$9,Xero!$A:$A,Heron!$A$5,Xero!$E:$E,Heron!$A98)</f>
        <v/>
      </c>
      <c r="G98" s="101">
        <f>SUMIFS(Xero!$F:$F,Xero!$B:$B,Heron!G$9,Xero!$A:$A,Heron!$A$4,Xero!$E:$E,Heron!$A98)+SUMIFS(Xero!$F:$F,Xero!$B:$B,Heron!G$9,Xero!$A:$A,Heron!$A$5,Xero!$E:$E,Heron!$A98)</f>
        <v/>
      </c>
      <c r="H98" s="101">
        <f>SUMIFS(Xero!$F:$F,Xero!$B:$B,Heron!H$9,Xero!$A:$A,Heron!$A$4,Xero!$E:$E,Heron!$A98)+SUMIFS(Xero!$F:$F,Xero!$B:$B,Heron!H$9,Xero!$A:$A,Heron!$A$5,Xero!$E:$E,Heron!$A98)</f>
        <v/>
      </c>
      <c r="I98" s="101">
        <f>SUMIFS(Xero!$F:$F,Xero!$B:$B,Heron!I$9,Xero!$A:$A,Heron!$A$4,Xero!$E:$E,Heron!$A98)+SUMIFS(Xero!$F:$F,Xero!$B:$B,Heron!I$9,Xero!$A:$A,Heron!$A$5,Xero!$E:$E,Heron!$A98)</f>
        <v/>
      </c>
      <c r="J98" s="101">
        <f>SUMIFS(Xero!$F:$F,Xero!$B:$B,Heron!J$9,Xero!$A:$A,Heron!$A$4,Xero!$E:$E,Heron!$A98)+SUMIFS(Xero!$F:$F,Xero!$B:$B,Heron!J$9,Xero!$A:$A,Heron!$A$5,Xero!$E:$E,Heron!$A98)</f>
        <v/>
      </c>
      <c r="K98" s="101">
        <f>SUMIFS(Xero!$F:$F,Xero!$B:$B,Heron!K$9,Xero!$A:$A,Heron!$A$4,Xero!$E:$E,Heron!$A98)+SUMIFS(Xero!$F:$F,Xero!$B:$B,Heron!K$9,Xero!$A:$A,Heron!$A$5,Xero!$E:$E,Heron!$A98)</f>
        <v/>
      </c>
      <c r="L98" s="101">
        <f>SUMIFS(Xero!$F:$F,Xero!$B:$B,Heron!L$9,Xero!$A:$A,Heron!$A$4,Xero!$E:$E,Heron!$A98)+SUMIFS(Xero!$F:$F,Xero!$B:$B,Heron!L$9,Xero!$A:$A,Heron!$A$5,Xero!$E:$E,Heron!$A98)</f>
        <v/>
      </c>
      <c r="M98" s="101">
        <f>SUMIFS(Xero!$F:$F,Xero!$B:$B,Heron!M$9,Xero!$A:$A,Heron!$A$4,Xero!$E:$E,Heron!$A98)+SUMIFS(Xero!$F:$F,Xero!$B:$B,Heron!M$9,Xero!$A:$A,Heron!$A$5,Xero!$E:$E,Heron!$A98)</f>
        <v/>
      </c>
      <c r="N98" s="101">
        <f>SUMIFS(Xero!$F:$F,Xero!$B:$B,Heron!N$9,Xero!$A:$A,Heron!$A$4,Xero!$E:$E,Heron!$A98)+SUMIFS(Xero!$F:$F,Xero!$B:$B,Heron!N$9,Xero!$A:$A,Heron!$A$5,Xero!$E:$E,Heron!$A98)</f>
        <v/>
      </c>
      <c r="O98" s="101">
        <f>SUMIFS(Xero!$F:$F,Xero!$B:$B,Heron!O$9,Xero!$A:$A,Heron!$A$4,Xero!$E:$E,Heron!$A98)+SUMIFS(Xero!$F:$F,Xero!$B:$B,Heron!O$9,Xero!$A:$A,Heron!$A$5,Xero!$E:$E,Heron!$A98)</f>
        <v/>
      </c>
      <c r="P98" s="101">
        <f>SUMIFS(Xero!$F:$F,Xero!$B:$B,Heron!P$9,Xero!$A:$A,Heron!$A$4,Xero!$E:$E,Heron!$A98)+SUMIFS(Xero!$F:$F,Xero!$B:$B,Heron!P$9,Xero!$A:$A,Heron!$A$5,Xero!$E:$E,Heron!$A98)</f>
        <v/>
      </c>
      <c r="Q98" s="101">
        <f>SUMIFS(Xero!$F:$F,Xero!$B:$B,Heron!Q$9,Xero!$A:$A,Heron!$A$4,Xero!$E:$E,Heron!$A98)+SUMIFS(Xero!$F:$F,Xero!$B:$B,Heron!Q$9,Xero!$A:$A,Heron!$A$5,Xero!$E:$E,Heron!$A98)</f>
        <v/>
      </c>
      <c r="R98" s="101">
        <f>SUMIFS(Xero!$F:$F,Xero!$B:$B,Heron!R$9,Xero!$A:$A,Heron!$A$4,Xero!$E:$E,Heron!$A98)+SUMIFS(Xero!$F:$F,Xero!$B:$B,Heron!R$9,Xero!$A:$A,Heron!$A$5,Xero!$E:$E,Heron!$A98)</f>
        <v/>
      </c>
      <c r="S98" s="101">
        <f>SUMIFS(Xero!$F:$F,Xero!$B:$B,Heron!S$9,Xero!$A:$A,Heron!$A$4,Xero!$E:$E,Heron!$A98)+SUMIFS(Xero!$F:$F,Xero!$B:$B,Heron!S$9,Xero!$A:$A,Heron!$A$5,Xero!$E:$E,Heron!$A98)</f>
        <v/>
      </c>
      <c r="T98" s="101">
        <f>SUMIFS(Xero!$F:$F,Xero!$B:$B,Heron!T$9,Xero!$A:$A,Heron!$A$4,Xero!$E:$E,Heron!$A98)+SUMIFS(Xero!$F:$F,Xero!$B:$B,Heron!T$9,Xero!$A:$A,Heron!$A$5,Xero!$E:$E,Heron!$A98)</f>
        <v/>
      </c>
      <c r="U98" s="101">
        <f>SUMIFS(Xero!$F:$F,Xero!$B:$B,Heron!U$9,Xero!$A:$A,Heron!$A$4,Xero!$E:$E,Heron!$A98)+SUMIFS(Xero!$F:$F,Xero!$B:$B,Heron!U$9,Xero!$A:$A,Heron!$A$5,Xero!$E:$E,Heron!$A98)</f>
        <v/>
      </c>
      <c r="V98" s="101">
        <f>SUMIFS(Xero!$F:$F,Xero!$B:$B,Heron!V$9,Xero!$A:$A,Heron!$A$4,Xero!$E:$E,Heron!$A98)+SUMIFS(Xero!$F:$F,Xero!$B:$B,Heron!V$9,Xero!$A:$A,Heron!$A$5,Xero!$E:$E,Heron!$A98)</f>
        <v/>
      </c>
      <c r="W98" s="101">
        <f>SUMIFS(Xero!$F:$F,Xero!$B:$B,Heron!W$9,Xero!$A:$A,Heron!$A$4,Xero!$E:$E,Heron!$A98)+SUMIFS(Xero!$F:$F,Xero!$B:$B,Heron!W$9,Xero!$A:$A,Heron!$A$5,Xero!$E:$E,Heron!$A98)</f>
        <v/>
      </c>
      <c r="X98" s="101">
        <f>SUMIFS(Xero!$F:$F,Xero!$B:$B,Heron!X$9,Xero!$A:$A,Heron!$A$4,Xero!$E:$E,Heron!$A98)+SUMIFS(Xero!$F:$F,Xero!$B:$B,Heron!X$9,Xero!$A:$A,Heron!$A$5,Xero!$E:$E,Heron!$A98)</f>
        <v/>
      </c>
      <c r="Y98" s="101">
        <f>SUMIFS(Xero!$F:$F,Xero!$B:$B,Heron!Y$9,Xero!$A:$A,Heron!$A$4,Xero!$E:$E,Heron!$A98)+SUMIFS(Xero!$F:$F,Xero!$B:$B,Heron!Y$9,Xero!$A:$A,Heron!$A$5,Xero!$E:$E,Heron!$A98)</f>
        <v/>
      </c>
      <c r="Z98" s="101">
        <f>SUMIFS(Xero!$F:$F,Xero!$B:$B,Heron!Z$9,Xero!$A:$A,Heron!$A$4,Xero!$E:$E,Heron!$A98)+SUMIFS(Xero!$F:$F,Xero!$B:$B,Heron!Z$9,Xero!$A:$A,Heron!$A$5,Xero!$E:$E,Heron!$A98)</f>
        <v/>
      </c>
      <c r="AA98" s="101">
        <f>SUMIFS(Xero!$F:$F,Xero!$B:$B,Heron!AA$9,Xero!$A:$A,Heron!$A$4,Xero!$E:$E,Heron!$A98)+SUMIFS(Xero!$F:$F,Xero!$B:$B,Heron!AA$9,Xero!$A:$A,Heron!$A$5,Xero!$E:$E,Heron!$A98)</f>
        <v/>
      </c>
      <c r="AB98" s="101">
        <f>SUMIFS(Xero!$F:$F,Xero!$B:$B,Heron!AB$9,Xero!$A:$A,Heron!$A$4,Xero!$E:$E,Heron!$A98)+SUMIFS(Xero!$F:$F,Xero!$B:$B,Heron!AB$9,Xero!$A:$A,Heron!$A$5,Xero!$E:$E,Heron!$A98)</f>
        <v/>
      </c>
      <c r="AC98" s="101">
        <f>SUMIFS(Xero!$F:$F,Xero!$B:$B,Heron!AC$9,Xero!$A:$A,Heron!$A$4,Xero!$E:$E,Heron!$A98)+SUMIFS(Xero!$F:$F,Xero!$B:$B,Heron!AC$9,Xero!$A:$A,Heron!$A$5,Xero!$E:$E,Heron!$A98)</f>
        <v/>
      </c>
      <c r="AD98" s="101">
        <f>SUMIFS(Xero!$F:$F,Xero!$B:$B,Heron!AD$9,Xero!$A:$A,Heron!$A$4,Xero!$E:$E,Heron!$A98)+SUMIFS(Xero!$F:$F,Xero!$B:$B,Heron!AD$9,Xero!$A:$A,Heron!$A$5,Xero!$E:$E,Heron!$A98)</f>
        <v/>
      </c>
      <c r="AE98" s="101">
        <f>SUMIFS(Xero!$F:$F,Xero!$B:$B,Heron!AE$9,Xero!$A:$A,Heron!$A$4,Xero!$E:$E,Heron!$A98)+SUMIFS(Xero!$F:$F,Xero!$B:$B,Heron!AE$9,Xero!$A:$A,Heron!$A$5,Xero!$E:$E,Heron!$A98)</f>
        <v/>
      </c>
      <c r="AF98" s="101">
        <f>SUMIFS(Xero!$F:$F,Xero!$B:$B,Heron!AF$9,Xero!$A:$A,Heron!$A$4,Xero!$E:$E,Heron!$A98)+SUMIFS(Xero!$F:$F,Xero!$B:$B,Heron!AF$9,Xero!$A:$A,Heron!$A$5,Xero!$E:$E,Heron!$A98)</f>
        <v/>
      </c>
      <c r="AG98" s="101">
        <f>SUMIFS(Xero!$F:$F,Xero!$B:$B,Heron!AG$9,Xero!$A:$A,Heron!$A$4,Xero!$E:$E,Heron!$A98)+SUMIFS(Xero!$F:$F,Xero!$B:$B,Heron!AG$9,Xero!$A:$A,Heron!$A$5,Xero!$E:$E,Heron!$A98)</f>
        <v/>
      </c>
      <c r="AH98" s="101">
        <f>SUMIFS(Xero!$F:$F,Xero!$B:$B,Heron!AH$9,Xero!$A:$A,Heron!$A$4,Xero!$E:$E,Heron!$A98)+SUMIFS(Xero!$F:$F,Xero!$B:$B,Heron!AH$9,Xero!$A:$A,Heron!$A$5,Xero!$E:$E,Heron!$A98)</f>
        <v/>
      </c>
      <c r="AI98" s="101">
        <f>SUMIFS(Xero!$F:$F,Xero!$B:$B,Heron!AI$9,Xero!$A:$A,Heron!$A$4,Xero!$E:$E,Heron!$A98)+SUMIFS(Xero!$F:$F,Xero!$B:$B,Heron!AI$9,Xero!$A:$A,Heron!$A$5,Xero!$E:$E,Heron!$A98)</f>
        <v/>
      </c>
      <c r="AJ98" s="101">
        <f>SUMIFS(Xero!$F:$F,Xero!$B:$B,Heron!AJ$9,Xero!$A:$A,Heron!$A$4,Xero!$E:$E,Heron!$A98)+SUMIFS(Xero!$F:$F,Xero!$B:$B,Heron!AJ$9,Xero!$A:$A,Heron!$A$5,Xero!$E:$E,Heron!$A98)</f>
        <v/>
      </c>
      <c r="AK98" s="101">
        <f>SUMIFS(Xero!$F:$F,Xero!$B:$B,Heron!AK$9,Xero!$A:$A,Heron!$A$4,Xero!$E:$E,Heron!$A98)+SUMIFS(Xero!$F:$F,Xero!$B:$B,Heron!AK$9,Xero!$A:$A,Heron!$A$5,Xero!$E:$E,Heron!$A98)</f>
        <v/>
      </c>
      <c r="AL98" s="101">
        <f>SUMIFS(Xero!$F:$F,Xero!$B:$B,Heron!AL$9,Xero!$A:$A,Heron!$A$4,Xero!$E:$E,Heron!$A98)+SUMIFS(Xero!$F:$F,Xero!$B:$B,Heron!AL$9,Xero!$A:$A,Heron!$A$5,Xero!$E:$E,Heron!$A98)</f>
        <v/>
      </c>
      <c r="AM98" s="101">
        <f>SUMIFS(Xero!$F:$F,Xero!$B:$B,Heron!AM$9,Xero!$A:$A,Heron!$A$4,Xero!$E:$E,Heron!$A98)+SUMIFS(Xero!$F:$F,Xero!$B:$B,Heron!AM$9,Xero!$A:$A,Heron!$A$5,Xero!$E:$E,Heron!$A98)</f>
        <v/>
      </c>
      <c r="AN98" s="101">
        <f>SUMIFS(Xero!$F:$F,Xero!$B:$B,Heron!AN$9,Xero!$A:$A,Heron!$A$4,Xero!$E:$E,Heron!$A98)+SUMIFS(Xero!$F:$F,Xero!$B:$B,Heron!AN$9,Xero!$A:$A,Heron!$A$5,Xero!$E:$E,Heron!$A98)</f>
        <v/>
      </c>
      <c r="AO98" s="101">
        <f>SUMIFS(Xero!$F:$F,Xero!$B:$B,Heron!AO$9,Xero!$A:$A,Heron!$A$4,Xero!$E:$E,Heron!$A98)+SUMIFS(Xero!$F:$F,Xero!$B:$B,Heron!AO$9,Xero!$A:$A,Heron!$A$5,Xero!$E:$E,Heron!$A98)</f>
        <v/>
      </c>
      <c r="AP98" s="101">
        <f>SUMIFS(Xero!$F:$F,Xero!$B:$B,Heron!AP$9,Xero!$A:$A,Heron!$A$4,Xero!$E:$E,Heron!$A98)+SUMIFS(Xero!$F:$F,Xero!$B:$B,Heron!AP$9,Xero!$A:$A,Heron!$A$5,Xero!$E:$E,Heron!$A98)</f>
        <v/>
      </c>
      <c r="AQ98" s="101">
        <f>SUMIFS(Xero!$F:$F,Xero!$B:$B,Heron!AQ$9,Xero!$A:$A,Heron!$A$4,Xero!$E:$E,Heron!$A98)+SUMIFS(Xero!$F:$F,Xero!$B:$B,Heron!AQ$9,Xero!$A:$A,Heron!$A$5,Xero!$E:$E,Heron!$A98)</f>
        <v/>
      </c>
      <c r="AR98" s="101">
        <f>SUMIFS(Xero!$F:$F,Xero!$B:$B,Heron!AR$9,Xero!$A:$A,Heron!$A$4,Xero!$E:$E,Heron!$A98)+SUMIFS(Xero!$F:$F,Xero!$B:$B,Heron!AR$9,Xero!$A:$A,Heron!$A$5,Xero!$E:$E,Heron!$A98)</f>
        <v/>
      </c>
      <c r="AS98" s="101">
        <f>SUMIFS(Xero!$F:$F,Xero!$B:$B,Heron!AS$9,Xero!$A:$A,Heron!$A$4,Xero!$E:$E,Heron!$A98)+SUMIFS(Xero!$F:$F,Xero!$B:$B,Heron!AS$9,Xero!$A:$A,Heron!$A$5,Xero!$E:$E,Heron!$A98)</f>
        <v/>
      </c>
      <c r="AT98" s="101">
        <f>SUMIFS(Xero!$F:$F,Xero!$B:$B,Heron!AT$9,Xero!$A:$A,Heron!$A$4,Xero!$E:$E,Heron!$A98)+SUMIFS(Xero!$F:$F,Xero!$B:$B,Heron!AT$9,Xero!$A:$A,Heron!$A$5,Xero!$E:$E,Heron!$A98)</f>
        <v/>
      </c>
      <c r="AU98" s="101">
        <f>SUMIFS(Xero!$F:$F,Xero!$B:$B,Heron!AU$9,Xero!$A:$A,Heron!$A$4,Xero!$E:$E,Heron!$A98)+SUMIFS(Xero!$F:$F,Xero!$B:$B,Heron!AU$9,Xero!$A:$A,Heron!$A$5,Xero!$E:$E,Heron!$A98)</f>
        <v/>
      </c>
      <c r="AV98" s="101">
        <f>SUMIFS(Xero!$F:$F,Xero!$B:$B,Heron!AV$9,Xero!$A:$A,Heron!$A$4,Xero!$E:$E,Heron!$A98)+SUMIFS(Xero!$F:$F,Xero!$B:$B,Heron!AV$9,Xero!$A:$A,Heron!$A$5,Xero!$E:$E,Heron!$A98)</f>
        <v/>
      </c>
      <c r="AW98" s="101">
        <f>SUMIFS(Xero!$F:$F,Xero!$B:$B,Heron!AW$9,Xero!$A:$A,Heron!$A$4,Xero!$E:$E,Heron!$A98)+SUMIFS(Xero!$F:$F,Xero!$B:$B,Heron!AW$9,Xero!$A:$A,Heron!$A$5,Xero!$E:$E,Heron!$A98)</f>
        <v/>
      </c>
      <c r="AX98" s="101">
        <f>SUMIFS(Xero!$F:$F,Xero!$B:$B,Heron!AX$9,Xero!$A:$A,Heron!$A$4,Xero!$E:$E,Heron!$A98)+SUMIFS(Xero!$F:$F,Xero!$B:$B,Heron!AX$9,Xero!$A:$A,Heron!$A$5,Xero!$E:$E,Heron!$A98)</f>
        <v/>
      </c>
      <c r="AY98" s="101">
        <f>SUMIFS(Xero!$F:$F,Xero!$B:$B,Heron!AY$9,Xero!$A:$A,Heron!$A$4,Xero!$E:$E,Heron!$A98)+SUMIFS(Xero!$F:$F,Xero!$B:$B,Heron!AY$9,Xero!$A:$A,Heron!$A$5,Xero!$E:$E,Heron!$A98)</f>
        <v/>
      </c>
      <c r="AZ98" s="101">
        <f>SUMIFS(Xero!$F:$F,Xero!$B:$B,Heron!AZ$9,Xero!$A:$A,Heron!$A$4,Xero!$E:$E,Heron!$A98)+SUMIFS(Xero!$F:$F,Xero!$B:$B,Heron!AZ$9,Xero!$A:$A,Heron!$A$5,Xero!$E:$E,Heron!$A98)</f>
        <v/>
      </c>
      <c r="BA98" s="101">
        <f>SUMIFS(Xero!$F:$F,Xero!$B:$B,Heron!BA$9,Xero!$A:$A,Heron!$A$4,Xero!$E:$E,Heron!$A98)+SUMIFS(Xero!$F:$F,Xero!$B:$B,Heron!BA$9,Xero!$A:$A,Heron!$A$5,Xero!$E:$E,Heron!$A98)</f>
        <v/>
      </c>
      <c r="BB98" s="101">
        <f>SUMIFS(Xero!$F:$F,Xero!$B:$B,Heron!BB$9,Xero!$A:$A,Heron!$A$4,Xero!$E:$E,Heron!$A98)+SUMIFS(Xero!$F:$F,Xero!$B:$B,Heron!BB$9,Xero!$A:$A,Heron!$A$5,Xero!$E:$E,Heron!$A98)</f>
        <v/>
      </c>
      <c r="BC98" s="101">
        <f>SUMIFS(Xero!$F:$F,Xero!$B:$B,Heron!BC$9,Xero!$A:$A,Heron!$A$4,Xero!$E:$E,Heron!$A98)+SUMIFS(Xero!$F:$F,Xero!$B:$B,Heron!BC$9,Xero!$A:$A,Heron!$A$5,Xero!$E:$E,Heron!$A98)</f>
        <v/>
      </c>
      <c r="BD98" s="101">
        <f>SUMIFS(Xero!$F:$F,Xero!$B:$B,Heron!BD$9,Xero!$A:$A,Heron!$A$4,Xero!$E:$E,Heron!$A98)+SUMIFS(Xero!$F:$F,Xero!$B:$B,Heron!BD$9,Xero!$A:$A,Heron!$A$5,Xero!$E:$E,Heron!$A98)</f>
        <v/>
      </c>
      <c r="BE98" s="101">
        <f>SUMIFS(Xero!$F:$F,Xero!$B:$B,Heron!BE$9,Xero!$A:$A,Heron!$A$4,Xero!$E:$E,Heron!$A98)+SUMIFS(Xero!$F:$F,Xero!$B:$B,Heron!BE$9,Xero!$A:$A,Heron!$A$5,Xero!$E:$E,Heron!$A98)</f>
        <v/>
      </c>
      <c r="BF98" s="101">
        <f>SUMIFS(Xero!$F:$F,Xero!$B:$B,Heron!BF$9,Xero!$A:$A,Heron!$A$4,Xero!$E:$E,Heron!$A98)+SUMIFS(Xero!$F:$F,Xero!$B:$B,Heron!BF$9,Xero!$A:$A,Heron!$A$5,Xero!$E:$E,Heron!$A98)</f>
        <v/>
      </c>
      <c r="BG98" s="101">
        <f>SUMIFS(Xero!$F:$F,Xero!$B:$B,Heron!BG$9,Xero!$A:$A,Heron!$A$4,Xero!$E:$E,Heron!$A98)+SUMIFS(Xero!$F:$F,Xero!$B:$B,Heron!BG$9,Xero!$A:$A,Heron!$A$5,Xero!$E:$E,Heron!$A98)</f>
        <v/>
      </c>
      <c r="BH98" s="101">
        <f>SUMIFS(Xero!$F:$F,Xero!$B:$B,Heron!BH$9,Xero!$A:$A,Heron!$A$4,Xero!$E:$E,Heron!$A98)+SUMIFS(Xero!$F:$F,Xero!$B:$B,Heron!BH$9,Xero!$A:$A,Heron!$A$5,Xero!$E:$E,Heron!$A98)</f>
        <v/>
      </c>
      <c r="BI98" s="101">
        <f>SUMIFS(Xero!$F:$F,Xero!$B:$B,Heron!BI$9,Xero!$A:$A,Heron!$A$4,Xero!$E:$E,Heron!$A98)+SUMIFS(Xero!$F:$F,Xero!$B:$B,Heron!BI$9,Xero!$A:$A,Heron!$A$5,Xero!$E:$E,Heron!$A98)</f>
        <v/>
      </c>
      <c r="BJ98" s="101">
        <f>SUMIFS(Xero!$F:$F,Xero!$B:$B,Heron!BJ$9,Xero!$A:$A,Heron!$A$4,Xero!$E:$E,Heron!$A98)+SUMIFS(Xero!$F:$F,Xero!$B:$B,Heron!BJ$9,Xero!$A:$A,Heron!$A$5,Xero!$E:$E,Heron!$A98)</f>
        <v/>
      </c>
      <c r="BK98" s="101">
        <f>sum(D98:BJ98)</f>
        <v/>
      </c>
    </row>
    <row r="99">
      <c r="A99" s="100" t="inlineStr">
        <is>
          <t>Security</t>
        </is>
      </c>
      <c r="D99" s="101">
        <f>SUMIFS(Xero!$F:$F,Xero!$B:$B,Heron!D$9,Xero!$A:$A,Heron!$A$4,Xero!$E:$E,Heron!$A99)+SUMIFS(Xero!$F:$F,Xero!$B:$B,Heron!D$9,Xero!$A:$A,Heron!$A$5,Xero!$E:$E,Heron!$A99)</f>
        <v/>
      </c>
      <c r="E99" s="101">
        <f>SUMIFS(Xero!$F:$F,Xero!$B:$B,Heron!E$9,Xero!$A:$A,Heron!$A$4,Xero!$E:$E,Heron!$A99)+SUMIFS(Xero!$F:$F,Xero!$B:$B,Heron!E$9,Xero!$A:$A,Heron!$A$5,Xero!$E:$E,Heron!$A99)</f>
        <v/>
      </c>
      <c r="F99" s="101">
        <f>SUMIFS(Xero!$F:$F,Xero!$B:$B,Heron!F$9,Xero!$A:$A,Heron!$A$4,Xero!$E:$E,Heron!$A99)+SUMIFS(Xero!$F:$F,Xero!$B:$B,Heron!F$9,Xero!$A:$A,Heron!$A$5,Xero!$E:$E,Heron!$A99)</f>
        <v/>
      </c>
      <c r="G99" s="101">
        <f>SUMIFS(Xero!$F:$F,Xero!$B:$B,Heron!G$9,Xero!$A:$A,Heron!$A$4,Xero!$E:$E,Heron!$A99)+SUMIFS(Xero!$F:$F,Xero!$B:$B,Heron!G$9,Xero!$A:$A,Heron!$A$5,Xero!$E:$E,Heron!$A99)</f>
        <v/>
      </c>
      <c r="H99" s="101">
        <f>SUMIFS(Xero!$F:$F,Xero!$B:$B,Heron!H$9,Xero!$A:$A,Heron!$A$4,Xero!$E:$E,Heron!$A99)+SUMIFS(Xero!$F:$F,Xero!$B:$B,Heron!H$9,Xero!$A:$A,Heron!$A$5,Xero!$E:$E,Heron!$A99)</f>
        <v/>
      </c>
      <c r="I99" s="101">
        <f>SUMIFS(Xero!$F:$F,Xero!$B:$B,Heron!I$9,Xero!$A:$A,Heron!$A$4,Xero!$E:$E,Heron!$A99)+SUMIFS(Xero!$F:$F,Xero!$B:$B,Heron!I$9,Xero!$A:$A,Heron!$A$5,Xero!$E:$E,Heron!$A99)</f>
        <v/>
      </c>
      <c r="J99" s="101">
        <f>SUMIFS(Xero!$F:$F,Xero!$B:$B,Heron!J$9,Xero!$A:$A,Heron!$A$4,Xero!$E:$E,Heron!$A99)+SUMIFS(Xero!$F:$F,Xero!$B:$B,Heron!J$9,Xero!$A:$A,Heron!$A$5,Xero!$E:$E,Heron!$A99)</f>
        <v/>
      </c>
      <c r="K99" s="101">
        <f>SUMIFS(Xero!$F:$F,Xero!$B:$B,Heron!K$9,Xero!$A:$A,Heron!$A$4,Xero!$E:$E,Heron!$A99)+SUMIFS(Xero!$F:$F,Xero!$B:$B,Heron!K$9,Xero!$A:$A,Heron!$A$5,Xero!$E:$E,Heron!$A99)</f>
        <v/>
      </c>
      <c r="L99" s="101">
        <f>SUMIFS(Xero!$F:$F,Xero!$B:$B,Heron!L$9,Xero!$A:$A,Heron!$A$4,Xero!$E:$E,Heron!$A99)+SUMIFS(Xero!$F:$F,Xero!$B:$B,Heron!L$9,Xero!$A:$A,Heron!$A$5,Xero!$E:$E,Heron!$A99)</f>
        <v/>
      </c>
      <c r="M99" s="101">
        <f>SUMIFS(Xero!$F:$F,Xero!$B:$B,Heron!M$9,Xero!$A:$A,Heron!$A$4,Xero!$E:$E,Heron!$A99)+SUMIFS(Xero!$F:$F,Xero!$B:$B,Heron!M$9,Xero!$A:$A,Heron!$A$5,Xero!$E:$E,Heron!$A99)</f>
        <v/>
      </c>
      <c r="N99" s="101">
        <f>SUMIFS(Xero!$F:$F,Xero!$B:$B,Heron!N$9,Xero!$A:$A,Heron!$A$4,Xero!$E:$E,Heron!$A99)+SUMIFS(Xero!$F:$F,Xero!$B:$B,Heron!N$9,Xero!$A:$A,Heron!$A$5,Xero!$E:$E,Heron!$A99)</f>
        <v/>
      </c>
      <c r="O99" s="101">
        <f>SUMIFS(Xero!$F:$F,Xero!$B:$B,Heron!O$9,Xero!$A:$A,Heron!$A$4,Xero!$E:$E,Heron!$A99)+SUMIFS(Xero!$F:$F,Xero!$B:$B,Heron!O$9,Xero!$A:$A,Heron!$A$5,Xero!$E:$E,Heron!$A99)</f>
        <v/>
      </c>
      <c r="P99" s="101">
        <f>SUMIFS(Xero!$F:$F,Xero!$B:$B,Heron!P$9,Xero!$A:$A,Heron!$A$4,Xero!$E:$E,Heron!$A99)+SUMIFS(Xero!$F:$F,Xero!$B:$B,Heron!P$9,Xero!$A:$A,Heron!$A$5,Xero!$E:$E,Heron!$A99)</f>
        <v/>
      </c>
      <c r="Q99" s="101">
        <f>SUMIFS(Xero!$F:$F,Xero!$B:$B,Heron!Q$9,Xero!$A:$A,Heron!$A$4,Xero!$E:$E,Heron!$A99)+SUMIFS(Xero!$F:$F,Xero!$B:$B,Heron!Q$9,Xero!$A:$A,Heron!$A$5,Xero!$E:$E,Heron!$A99)</f>
        <v/>
      </c>
      <c r="R99" s="101">
        <f>SUMIFS(Xero!$F:$F,Xero!$B:$B,Heron!R$9,Xero!$A:$A,Heron!$A$4,Xero!$E:$E,Heron!$A99)+SUMIFS(Xero!$F:$F,Xero!$B:$B,Heron!R$9,Xero!$A:$A,Heron!$A$5,Xero!$E:$E,Heron!$A99)</f>
        <v/>
      </c>
      <c r="S99" s="101">
        <f>SUMIFS(Xero!$F:$F,Xero!$B:$B,Heron!S$9,Xero!$A:$A,Heron!$A$4,Xero!$E:$E,Heron!$A99)+SUMIFS(Xero!$F:$F,Xero!$B:$B,Heron!S$9,Xero!$A:$A,Heron!$A$5,Xero!$E:$E,Heron!$A99)</f>
        <v/>
      </c>
      <c r="T99" s="101">
        <f>SUMIFS(Xero!$F:$F,Xero!$B:$B,Heron!T$9,Xero!$A:$A,Heron!$A$4,Xero!$E:$E,Heron!$A99)+SUMIFS(Xero!$F:$F,Xero!$B:$B,Heron!T$9,Xero!$A:$A,Heron!$A$5,Xero!$E:$E,Heron!$A99)</f>
        <v/>
      </c>
      <c r="U99" s="101">
        <f>SUMIFS(Xero!$F:$F,Xero!$B:$B,Heron!U$9,Xero!$A:$A,Heron!$A$4,Xero!$E:$E,Heron!$A99)+SUMIFS(Xero!$F:$F,Xero!$B:$B,Heron!U$9,Xero!$A:$A,Heron!$A$5,Xero!$E:$E,Heron!$A99)</f>
        <v/>
      </c>
      <c r="V99" s="101">
        <f>SUMIFS(Xero!$F:$F,Xero!$B:$B,Heron!V$9,Xero!$A:$A,Heron!$A$4,Xero!$E:$E,Heron!$A99)+SUMIFS(Xero!$F:$F,Xero!$B:$B,Heron!V$9,Xero!$A:$A,Heron!$A$5,Xero!$E:$E,Heron!$A99)</f>
        <v/>
      </c>
      <c r="W99" s="101">
        <f>SUMIFS(Xero!$F:$F,Xero!$B:$B,Heron!W$9,Xero!$A:$A,Heron!$A$4,Xero!$E:$E,Heron!$A99)+SUMIFS(Xero!$F:$F,Xero!$B:$B,Heron!W$9,Xero!$A:$A,Heron!$A$5,Xero!$E:$E,Heron!$A99)</f>
        <v/>
      </c>
      <c r="X99" s="101">
        <f>SUMIFS(Xero!$F:$F,Xero!$B:$B,Heron!X$9,Xero!$A:$A,Heron!$A$4,Xero!$E:$E,Heron!$A99)+SUMIFS(Xero!$F:$F,Xero!$B:$B,Heron!X$9,Xero!$A:$A,Heron!$A$5,Xero!$E:$E,Heron!$A99)</f>
        <v/>
      </c>
      <c r="Y99" s="101">
        <f>SUMIFS(Xero!$F:$F,Xero!$B:$B,Heron!Y$9,Xero!$A:$A,Heron!$A$4,Xero!$E:$E,Heron!$A99)+SUMIFS(Xero!$F:$F,Xero!$B:$B,Heron!Y$9,Xero!$A:$A,Heron!$A$5,Xero!$E:$E,Heron!$A99)</f>
        <v/>
      </c>
      <c r="Z99" s="101">
        <f>SUMIFS(Xero!$F:$F,Xero!$B:$B,Heron!Z$9,Xero!$A:$A,Heron!$A$4,Xero!$E:$E,Heron!$A99)+SUMIFS(Xero!$F:$F,Xero!$B:$B,Heron!Z$9,Xero!$A:$A,Heron!$A$5,Xero!$E:$E,Heron!$A99)</f>
        <v/>
      </c>
      <c r="AA99" s="101">
        <f>SUMIFS(Xero!$F:$F,Xero!$B:$B,Heron!AA$9,Xero!$A:$A,Heron!$A$4,Xero!$E:$E,Heron!$A99)+SUMIFS(Xero!$F:$F,Xero!$B:$B,Heron!AA$9,Xero!$A:$A,Heron!$A$5,Xero!$E:$E,Heron!$A99)</f>
        <v/>
      </c>
      <c r="AB99" s="101">
        <f>SUMIFS(Xero!$F:$F,Xero!$B:$B,Heron!AB$9,Xero!$A:$A,Heron!$A$4,Xero!$E:$E,Heron!$A99)+SUMIFS(Xero!$F:$F,Xero!$B:$B,Heron!AB$9,Xero!$A:$A,Heron!$A$5,Xero!$E:$E,Heron!$A99)</f>
        <v/>
      </c>
      <c r="AC99" s="101">
        <f>SUMIFS(Xero!$F:$F,Xero!$B:$B,Heron!AC$9,Xero!$A:$A,Heron!$A$4,Xero!$E:$E,Heron!$A99)+SUMIFS(Xero!$F:$F,Xero!$B:$B,Heron!AC$9,Xero!$A:$A,Heron!$A$5,Xero!$E:$E,Heron!$A99)</f>
        <v/>
      </c>
      <c r="AD99" s="101">
        <f>SUMIFS(Xero!$F:$F,Xero!$B:$B,Heron!AD$9,Xero!$A:$A,Heron!$A$4,Xero!$E:$E,Heron!$A99)+SUMIFS(Xero!$F:$F,Xero!$B:$B,Heron!AD$9,Xero!$A:$A,Heron!$A$5,Xero!$E:$E,Heron!$A99)</f>
        <v/>
      </c>
      <c r="AE99" s="101">
        <f>SUMIFS(Xero!$F:$F,Xero!$B:$B,Heron!AE$9,Xero!$A:$A,Heron!$A$4,Xero!$E:$E,Heron!$A99)+SUMIFS(Xero!$F:$F,Xero!$B:$B,Heron!AE$9,Xero!$A:$A,Heron!$A$5,Xero!$E:$E,Heron!$A99)</f>
        <v/>
      </c>
      <c r="AF99" s="101">
        <f>SUMIFS(Xero!$F:$F,Xero!$B:$B,Heron!AF$9,Xero!$A:$A,Heron!$A$4,Xero!$E:$E,Heron!$A99)+SUMIFS(Xero!$F:$F,Xero!$B:$B,Heron!AF$9,Xero!$A:$A,Heron!$A$5,Xero!$E:$E,Heron!$A99)</f>
        <v/>
      </c>
      <c r="AG99" s="101">
        <f>SUMIFS(Xero!$F:$F,Xero!$B:$B,Heron!AG$9,Xero!$A:$A,Heron!$A$4,Xero!$E:$E,Heron!$A99)+SUMIFS(Xero!$F:$F,Xero!$B:$B,Heron!AG$9,Xero!$A:$A,Heron!$A$5,Xero!$E:$E,Heron!$A99)</f>
        <v/>
      </c>
      <c r="AH99" s="101">
        <f>SUMIFS(Xero!$F:$F,Xero!$B:$B,Heron!AH$9,Xero!$A:$A,Heron!$A$4,Xero!$E:$E,Heron!$A99)+SUMIFS(Xero!$F:$F,Xero!$B:$B,Heron!AH$9,Xero!$A:$A,Heron!$A$5,Xero!$E:$E,Heron!$A99)</f>
        <v/>
      </c>
      <c r="AI99" s="101">
        <f>SUMIFS(Xero!$F:$F,Xero!$B:$B,Heron!AI$9,Xero!$A:$A,Heron!$A$4,Xero!$E:$E,Heron!$A99)+SUMIFS(Xero!$F:$F,Xero!$B:$B,Heron!AI$9,Xero!$A:$A,Heron!$A$5,Xero!$E:$E,Heron!$A99)</f>
        <v/>
      </c>
      <c r="AJ99" s="101">
        <f>SUMIFS(Xero!$F:$F,Xero!$B:$B,Heron!AJ$9,Xero!$A:$A,Heron!$A$4,Xero!$E:$E,Heron!$A99)+SUMIFS(Xero!$F:$F,Xero!$B:$B,Heron!AJ$9,Xero!$A:$A,Heron!$A$5,Xero!$E:$E,Heron!$A99)</f>
        <v/>
      </c>
      <c r="AK99" s="101">
        <f>SUMIFS(Xero!$F:$F,Xero!$B:$B,Heron!AK$9,Xero!$A:$A,Heron!$A$4,Xero!$E:$E,Heron!$A99)+SUMIFS(Xero!$F:$F,Xero!$B:$B,Heron!AK$9,Xero!$A:$A,Heron!$A$5,Xero!$E:$E,Heron!$A99)</f>
        <v/>
      </c>
      <c r="AL99" s="101">
        <f>SUMIFS(Xero!$F:$F,Xero!$B:$B,Heron!AL$9,Xero!$A:$A,Heron!$A$4,Xero!$E:$E,Heron!$A99)+SUMIFS(Xero!$F:$F,Xero!$B:$B,Heron!AL$9,Xero!$A:$A,Heron!$A$5,Xero!$E:$E,Heron!$A99)</f>
        <v/>
      </c>
      <c r="AM99" s="101">
        <f>SUMIFS(Xero!$F:$F,Xero!$B:$B,Heron!AM$9,Xero!$A:$A,Heron!$A$4,Xero!$E:$E,Heron!$A99)+SUMIFS(Xero!$F:$F,Xero!$B:$B,Heron!AM$9,Xero!$A:$A,Heron!$A$5,Xero!$E:$E,Heron!$A99)</f>
        <v/>
      </c>
      <c r="AN99" s="101">
        <f>SUMIFS(Xero!$F:$F,Xero!$B:$B,Heron!AN$9,Xero!$A:$A,Heron!$A$4,Xero!$E:$E,Heron!$A99)+SUMIFS(Xero!$F:$F,Xero!$B:$B,Heron!AN$9,Xero!$A:$A,Heron!$A$5,Xero!$E:$E,Heron!$A99)</f>
        <v/>
      </c>
      <c r="AO99" s="101">
        <f>SUMIFS(Xero!$F:$F,Xero!$B:$B,Heron!AO$9,Xero!$A:$A,Heron!$A$4,Xero!$E:$E,Heron!$A99)+SUMIFS(Xero!$F:$F,Xero!$B:$B,Heron!AO$9,Xero!$A:$A,Heron!$A$5,Xero!$E:$E,Heron!$A99)</f>
        <v/>
      </c>
      <c r="AP99" s="101">
        <f>SUMIFS(Xero!$F:$F,Xero!$B:$B,Heron!AP$9,Xero!$A:$A,Heron!$A$4,Xero!$E:$E,Heron!$A99)+SUMIFS(Xero!$F:$F,Xero!$B:$B,Heron!AP$9,Xero!$A:$A,Heron!$A$5,Xero!$E:$E,Heron!$A99)</f>
        <v/>
      </c>
      <c r="AQ99" s="101">
        <f>SUMIFS(Xero!$F:$F,Xero!$B:$B,Heron!AQ$9,Xero!$A:$A,Heron!$A$4,Xero!$E:$E,Heron!$A99)+SUMIFS(Xero!$F:$F,Xero!$B:$B,Heron!AQ$9,Xero!$A:$A,Heron!$A$5,Xero!$E:$E,Heron!$A99)</f>
        <v/>
      </c>
      <c r="AR99" s="101">
        <f>SUMIFS(Xero!$F:$F,Xero!$B:$B,Heron!AR$9,Xero!$A:$A,Heron!$A$4,Xero!$E:$E,Heron!$A99)+SUMIFS(Xero!$F:$F,Xero!$B:$B,Heron!AR$9,Xero!$A:$A,Heron!$A$5,Xero!$E:$E,Heron!$A99)</f>
        <v/>
      </c>
      <c r="AS99" s="101">
        <f>SUMIFS(Xero!$F:$F,Xero!$B:$B,Heron!AS$9,Xero!$A:$A,Heron!$A$4,Xero!$E:$E,Heron!$A99)+SUMIFS(Xero!$F:$F,Xero!$B:$B,Heron!AS$9,Xero!$A:$A,Heron!$A$5,Xero!$E:$E,Heron!$A99)</f>
        <v/>
      </c>
      <c r="AT99" s="101">
        <f>SUMIFS(Xero!$F:$F,Xero!$B:$B,Heron!AT$9,Xero!$A:$A,Heron!$A$4,Xero!$E:$E,Heron!$A99)+SUMIFS(Xero!$F:$F,Xero!$B:$B,Heron!AT$9,Xero!$A:$A,Heron!$A$5,Xero!$E:$E,Heron!$A99)</f>
        <v/>
      </c>
      <c r="AU99" s="101">
        <f>SUMIFS(Xero!$F:$F,Xero!$B:$B,Heron!AU$9,Xero!$A:$A,Heron!$A$4,Xero!$E:$E,Heron!$A99)+SUMIFS(Xero!$F:$F,Xero!$B:$B,Heron!AU$9,Xero!$A:$A,Heron!$A$5,Xero!$E:$E,Heron!$A99)</f>
        <v/>
      </c>
      <c r="AV99" s="101">
        <f>SUMIFS(Xero!$F:$F,Xero!$B:$B,Heron!AV$9,Xero!$A:$A,Heron!$A$4,Xero!$E:$E,Heron!$A99)+SUMIFS(Xero!$F:$F,Xero!$B:$B,Heron!AV$9,Xero!$A:$A,Heron!$A$5,Xero!$E:$E,Heron!$A99)</f>
        <v/>
      </c>
      <c r="AW99" s="101">
        <f>SUMIFS(Xero!$F:$F,Xero!$B:$B,Heron!AW$9,Xero!$A:$A,Heron!$A$4,Xero!$E:$E,Heron!$A99)+SUMIFS(Xero!$F:$F,Xero!$B:$B,Heron!AW$9,Xero!$A:$A,Heron!$A$5,Xero!$E:$E,Heron!$A99)</f>
        <v/>
      </c>
      <c r="AX99" s="101">
        <f>SUMIFS(Xero!$F:$F,Xero!$B:$B,Heron!AX$9,Xero!$A:$A,Heron!$A$4,Xero!$E:$E,Heron!$A99)+SUMIFS(Xero!$F:$F,Xero!$B:$B,Heron!AX$9,Xero!$A:$A,Heron!$A$5,Xero!$E:$E,Heron!$A99)</f>
        <v/>
      </c>
      <c r="AY99" s="101">
        <f>SUMIFS(Xero!$F:$F,Xero!$B:$B,Heron!AY$9,Xero!$A:$A,Heron!$A$4,Xero!$E:$E,Heron!$A99)+SUMIFS(Xero!$F:$F,Xero!$B:$B,Heron!AY$9,Xero!$A:$A,Heron!$A$5,Xero!$E:$E,Heron!$A99)</f>
        <v/>
      </c>
      <c r="AZ99" s="101">
        <f>SUMIFS(Xero!$F:$F,Xero!$B:$B,Heron!AZ$9,Xero!$A:$A,Heron!$A$4,Xero!$E:$E,Heron!$A99)+SUMIFS(Xero!$F:$F,Xero!$B:$B,Heron!AZ$9,Xero!$A:$A,Heron!$A$5,Xero!$E:$E,Heron!$A99)</f>
        <v/>
      </c>
      <c r="BA99" s="101">
        <f>SUMIFS(Xero!$F:$F,Xero!$B:$B,Heron!BA$9,Xero!$A:$A,Heron!$A$4,Xero!$E:$E,Heron!$A99)+SUMIFS(Xero!$F:$F,Xero!$B:$B,Heron!BA$9,Xero!$A:$A,Heron!$A$5,Xero!$E:$E,Heron!$A99)</f>
        <v/>
      </c>
      <c r="BB99" s="101">
        <f>SUMIFS(Xero!$F:$F,Xero!$B:$B,Heron!BB$9,Xero!$A:$A,Heron!$A$4,Xero!$E:$E,Heron!$A99)+SUMIFS(Xero!$F:$F,Xero!$B:$B,Heron!BB$9,Xero!$A:$A,Heron!$A$5,Xero!$E:$E,Heron!$A99)</f>
        <v/>
      </c>
      <c r="BC99" s="101">
        <f>SUMIFS(Xero!$F:$F,Xero!$B:$B,Heron!BC$9,Xero!$A:$A,Heron!$A$4,Xero!$E:$E,Heron!$A99)+SUMIFS(Xero!$F:$F,Xero!$B:$B,Heron!BC$9,Xero!$A:$A,Heron!$A$5,Xero!$E:$E,Heron!$A99)</f>
        <v/>
      </c>
      <c r="BD99" s="101">
        <f>SUMIFS(Xero!$F:$F,Xero!$B:$B,Heron!BD$9,Xero!$A:$A,Heron!$A$4,Xero!$E:$E,Heron!$A99)+SUMIFS(Xero!$F:$F,Xero!$B:$B,Heron!BD$9,Xero!$A:$A,Heron!$A$5,Xero!$E:$E,Heron!$A99)</f>
        <v/>
      </c>
      <c r="BE99" s="101">
        <f>SUMIFS(Xero!$F:$F,Xero!$B:$B,Heron!BE$9,Xero!$A:$A,Heron!$A$4,Xero!$E:$E,Heron!$A99)+SUMIFS(Xero!$F:$F,Xero!$B:$B,Heron!BE$9,Xero!$A:$A,Heron!$A$5,Xero!$E:$E,Heron!$A99)</f>
        <v/>
      </c>
      <c r="BF99" s="101">
        <f>SUMIFS(Xero!$F:$F,Xero!$B:$B,Heron!BF$9,Xero!$A:$A,Heron!$A$4,Xero!$E:$E,Heron!$A99)+SUMIFS(Xero!$F:$F,Xero!$B:$B,Heron!BF$9,Xero!$A:$A,Heron!$A$5,Xero!$E:$E,Heron!$A99)</f>
        <v/>
      </c>
      <c r="BG99" s="101">
        <f>SUMIFS(Xero!$F:$F,Xero!$B:$B,Heron!BG$9,Xero!$A:$A,Heron!$A$4,Xero!$E:$E,Heron!$A99)+SUMIFS(Xero!$F:$F,Xero!$B:$B,Heron!BG$9,Xero!$A:$A,Heron!$A$5,Xero!$E:$E,Heron!$A99)</f>
        <v/>
      </c>
      <c r="BH99" s="101">
        <f>SUMIFS(Xero!$F:$F,Xero!$B:$B,Heron!BH$9,Xero!$A:$A,Heron!$A$4,Xero!$E:$E,Heron!$A99)+SUMIFS(Xero!$F:$F,Xero!$B:$B,Heron!BH$9,Xero!$A:$A,Heron!$A$5,Xero!$E:$E,Heron!$A99)</f>
        <v/>
      </c>
      <c r="BI99" s="101">
        <f>SUMIFS(Xero!$F:$F,Xero!$B:$B,Heron!BI$9,Xero!$A:$A,Heron!$A$4,Xero!$E:$E,Heron!$A99)+SUMIFS(Xero!$F:$F,Xero!$B:$B,Heron!BI$9,Xero!$A:$A,Heron!$A$5,Xero!$E:$E,Heron!$A99)</f>
        <v/>
      </c>
      <c r="BJ99" s="101">
        <f>SUMIFS(Xero!$F:$F,Xero!$B:$B,Heron!BJ$9,Xero!$A:$A,Heron!$A$4,Xero!$E:$E,Heron!$A99)+SUMIFS(Xero!$F:$F,Xero!$B:$B,Heron!BJ$9,Xero!$A:$A,Heron!$A$5,Xero!$E:$E,Heron!$A99)</f>
        <v/>
      </c>
      <c r="BK99" s="101">
        <f>sum(D99:BJ99)</f>
        <v/>
      </c>
    </row>
    <row r="100">
      <c r="A100" s="100" t="inlineStr">
        <is>
          <t>Security - ADT</t>
        </is>
      </c>
      <c r="D100" s="101">
        <f>SUMIFS(Xero!$F:$F,Xero!$B:$B,Heron!D$9,Xero!$A:$A,Heron!$A$4,Xero!$E:$E,Heron!$A100)+SUMIFS(Xero!$F:$F,Xero!$B:$B,Heron!D$9,Xero!$A:$A,Heron!$A$5,Xero!$E:$E,Heron!$A100)</f>
        <v/>
      </c>
      <c r="E100" s="101">
        <f>SUMIFS(Xero!$F:$F,Xero!$B:$B,Heron!E$9,Xero!$A:$A,Heron!$A$4,Xero!$E:$E,Heron!$A100)+SUMIFS(Xero!$F:$F,Xero!$B:$B,Heron!E$9,Xero!$A:$A,Heron!$A$5,Xero!$E:$E,Heron!$A100)</f>
        <v/>
      </c>
      <c r="F100" s="101">
        <f>SUMIFS(Xero!$F:$F,Xero!$B:$B,Heron!F$9,Xero!$A:$A,Heron!$A$4,Xero!$E:$E,Heron!$A100)+SUMIFS(Xero!$F:$F,Xero!$B:$B,Heron!F$9,Xero!$A:$A,Heron!$A$5,Xero!$E:$E,Heron!$A100)</f>
        <v/>
      </c>
      <c r="G100" s="101">
        <f>SUMIFS(Xero!$F:$F,Xero!$B:$B,Heron!G$9,Xero!$A:$A,Heron!$A$4,Xero!$E:$E,Heron!$A100)+SUMIFS(Xero!$F:$F,Xero!$B:$B,Heron!G$9,Xero!$A:$A,Heron!$A$5,Xero!$E:$E,Heron!$A100)</f>
        <v/>
      </c>
      <c r="H100" s="101">
        <f>SUMIFS(Xero!$F:$F,Xero!$B:$B,Heron!H$9,Xero!$A:$A,Heron!$A$4,Xero!$E:$E,Heron!$A100)+SUMIFS(Xero!$F:$F,Xero!$B:$B,Heron!H$9,Xero!$A:$A,Heron!$A$5,Xero!$E:$E,Heron!$A100)</f>
        <v/>
      </c>
      <c r="I100" s="101">
        <f>SUMIFS(Xero!$F:$F,Xero!$B:$B,Heron!I$9,Xero!$A:$A,Heron!$A$4,Xero!$E:$E,Heron!$A100)+SUMIFS(Xero!$F:$F,Xero!$B:$B,Heron!I$9,Xero!$A:$A,Heron!$A$5,Xero!$E:$E,Heron!$A100)</f>
        <v/>
      </c>
      <c r="J100" s="101">
        <f>SUMIFS(Xero!$F:$F,Xero!$B:$B,Heron!J$9,Xero!$A:$A,Heron!$A$4,Xero!$E:$E,Heron!$A100)+SUMIFS(Xero!$F:$F,Xero!$B:$B,Heron!J$9,Xero!$A:$A,Heron!$A$5,Xero!$E:$E,Heron!$A100)</f>
        <v/>
      </c>
      <c r="K100" s="101">
        <f>SUMIFS(Xero!$F:$F,Xero!$B:$B,Heron!K$9,Xero!$A:$A,Heron!$A$4,Xero!$E:$E,Heron!$A100)+SUMIFS(Xero!$F:$F,Xero!$B:$B,Heron!K$9,Xero!$A:$A,Heron!$A$5,Xero!$E:$E,Heron!$A100)</f>
        <v/>
      </c>
      <c r="L100" s="101">
        <f>SUMIFS(Xero!$F:$F,Xero!$B:$B,Heron!L$9,Xero!$A:$A,Heron!$A$4,Xero!$E:$E,Heron!$A100)+SUMIFS(Xero!$F:$F,Xero!$B:$B,Heron!L$9,Xero!$A:$A,Heron!$A$5,Xero!$E:$E,Heron!$A100)</f>
        <v/>
      </c>
      <c r="M100" s="101">
        <f>SUMIFS(Xero!$F:$F,Xero!$B:$B,Heron!M$9,Xero!$A:$A,Heron!$A$4,Xero!$E:$E,Heron!$A100)+SUMIFS(Xero!$F:$F,Xero!$B:$B,Heron!M$9,Xero!$A:$A,Heron!$A$5,Xero!$E:$E,Heron!$A100)</f>
        <v/>
      </c>
      <c r="N100" s="101">
        <f>SUMIFS(Xero!$F:$F,Xero!$B:$B,Heron!N$9,Xero!$A:$A,Heron!$A$4,Xero!$E:$E,Heron!$A100)+SUMIFS(Xero!$F:$F,Xero!$B:$B,Heron!N$9,Xero!$A:$A,Heron!$A$5,Xero!$E:$E,Heron!$A100)</f>
        <v/>
      </c>
      <c r="O100" s="101">
        <f>SUMIFS(Xero!$F:$F,Xero!$B:$B,Heron!O$9,Xero!$A:$A,Heron!$A$4,Xero!$E:$E,Heron!$A100)+SUMIFS(Xero!$F:$F,Xero!$B:$B,Heron!O$9,Xero!$A:$A,Heron!$A$5,Xero!$E:$E,Heron!$A100)</f>
        <v/>
      </c>
      <c r="P100" s="101">
        <f>SUMIFS(Xero!$F:$F,Xero!$B:$B,Heron!P$9,Xero!$A:$A,Heron!$A$4,Xero!$E:$E,Heron!$A100)+SUMIFS(Xero!$F:$F,Xero!$B:$B,Heron!P$9,Xero!$A:$A,Heron!$A$5,Xero!$E:$E,Heron!$A100)</f>
        <v/>
      </c>
      <c r="Q100" s="101">
        <f>SUMIFS(Xero!$F:$F,Xero!$B:$B,Heron!Q$9,Xero!$A:$A,Heron!$A$4,Xero!$E:$E,Heron!$A100)+SUMIFS(Xero!$F:$F,Xero!$B:$B,Heron!Q$9,Xero!$A:$A,Heron!$A$5,Xero!$E:$E,Heron!$A100)</f>
        <v/>
      </c>
      <c r="R100" s="101">
        <f>SUMIFS(Xero!$F:$F,Xero!$B:$B,Heron!R$9,Xero!$A:$A,Heron!$A$4,Xero!$E:$E,Heron!$A100)+SUMIFS(Xero!$F:$F,Xero!$B:$B,Heron!R$9,Xero!$A:$A,Heron!$A$5,Xero!$E:$E,Heron!$A100)</f>
        <v/>
      </c>
      <c r="S100" s="101">
        <f>SUMIFS(Xero!$F:$F,Xero!$B:$B,Heron!S$9,Xero!$A:$A,Heron!$A$4,Xero!$E:$E,Heron!$A100)+SUMIFS(Xero!$F:$F,Xero!$B:$B,Heron!S$9,Xero!$A:$A,Heron!$A$5,Xero!$E:$E,Heron!$A100)</f>
        <v/>
      </c>
      <c r="T100" s="101">
        <f>SUMIFS(Xero!$F:$F,Xero!$B:$B,Heron!T$9,Xero!$A:$A,Heron!$A$4,Xero!$E:$E,Heron!$A100)+SUMIFS(Xero!$F:$F,Xero!$B:$B,Heron!T$9,Xero!$A:$A,Heron!$A$5,Xero!$E:$E,Heron!$A100)</f>
        <v/>
      </c>
      <c r="U100" s="101">
        <f>SUMIFS(Xero!$F:$F,Xero!$B:$B,Heron!U$9,Xero!$A:$A,Heron!$A$4,Xero!$E:$E,Heron!$A100)+SUMIFS(Xero!$F:$F,Xero!$B:$B,Heron!U$9,Xero!$A:$A,Heron!$A$5,Xero!$E:$E,Heron!$A100)</f>
        <v/>
      </c>
      <c r="V100" s="101">
        <f>SUMIFS(Xero!$F:$F,Xero!$B:$B,Heron!V$9,Xero!$A:$A,Heron!$A$4,Xero!$E:$E,Heron!$A100)+SUMIFS(Xero!$F:$F,Xero!$B:$B,Heron!V$9,Xero!$A:$A,Heron!$A$5,Xero!$E:$E,Heron!$A100)</f>
        <v/>
      </c>
      <c r="W100" s="101">
        <f>SUMIFS(Xero!$F:$F,Xero!$B:$B,Heron!W$9,Xero!$A:$A,Heron!$A$4,Xero!$E:$E,Heron!$A100)+SUMIFS(Xero!$F:$F,Xero!$B:$B,Heron!W$9,Xero!$A:$A,Heron!$A$5,Xero!$E:$E,Heron!$A100)</f>
        <v/>
      </c>
      <c r="X100" s="101">
        <f>SUMIFS(Xero!$F:$F,Xero!$B:$B,Heron!X$9,Xero!$A:$A,Heron!$A$4,Xero!$E:$E,Heron!$A100)+SUMIFS(Xero!$F:$F,Xero!$B:$B,Heron!X$9,Xero!$A:$A,Heron!$A$5,Xero!$E:$E,Heron!$A100)</f>
        <v/>
      </c>
      <c r="Y100" s="101">
        <f>SUMIFS(Xero!$F:$F,Xero!$B:$B,Heron!Y$9,Xero!$A:$A,Heron!$A$4,Xero!$E:$E,Heron!$A100)+SUMIFS(Xero!$F:$F,Xero!$B:$B,Heron!Y$9,Xero!$A:$A,Heron!$A$5,Xero!$E:$E,Heron!$A100)</f>
        <v/>
      </c>
      <c r="Z100" s="101">
        <f>SUMIFS(Xero!$F:$F,Xero!$B:$B,Heron!Z$9,Xero!$A:$A,Heron!$A$4,Xero!$E:$E,Heron!$A100)+SUMIFS(Xero!$F:$F,Xero!$B:$B,Heron!Z$9,Xero!$A:$A,Heron!$A$5,Xero!$E:$E,Heron!$A100)</f>
        <v/>
      </c>
      <c r="AA100" s="101">
        <f>SUMIFS(Xero!$F:$F,Xero!$B:$B,Heron!AA$9,Xero!$A:$A,Heron!$A$4,Xero!$E:$E,Heron!$A100)+SUMIFS(Xero!$F:$F,Xero!$B:$B,Heron!AA$9,Xero!$A:$A,Heron!$A$5,Xero!$E:$E,Heron!$A100)</f>
        <v/>
      </c>
      <c r="AB100" s="101">
        <f>SUMIFS(Xero!$F:$F,Xero!$B:$B,Heron!AB$9,Xero!$A:$A,Heron!$A$4,Xero!$E:$E,Heron!$A100)+SUMIFS(Xero!$F:$F,Xero!$B:$B,Heron!AB$9,Xero!$A:$A,Heron!$A$5,Xero!$E:$E,Heron!$A100)</f>
        <v/>
      </c>
      <c r="AC100" s="101">
        <f>SUMIFS(Xero!$F:$F,Xero!$B:$B,Heron!AC$9,Xero!$A:$A,Heron!$A$4,Xero!$E:$E,Heron!$A100)+SUMIFS(Xero!$F:$F,Xero!$B:$B,Heron!AC$9,Xero!$A:$A,Heron!$A$5,Xero!$E:$E,Heron!$A100)</f>
        <v/>
      </c>
      <c r="AD100" s="101">
        <f>SUMIFS(Xero!$F:$F,Xero!$B:$B,Heron!AD$9,Xero!$A:$A,Heron!$A$4,Xero!$E:$E,Heron!$A100)+SUMIFS(Xero!$F:$F,Xero!$B:$B,Heron!AD$9,Xero!$A:$A,Heron!$A$5,Xero!$E:$E,Heron!$A100)</f>
        <v/>
      </c>
      <c r="AE100" s="101">
        <f>SUMIFS(Xero!$F:$F,Xero!$B:$B,Heron!AE$9,Xero!$A:$A,Heron!$A$4,Xero!$E:$E,Heron!$A100)+SUMIFS(Xero!$F:$F,Xero!$B:$B,Heron!AE$9,Xero!$A:$A,Heron!$A$5,Xero!$E:$E,Heron!$A100)</f>
        <v/>
      </c>
      <c r="AF100" s="101">
        <f>SUMIFS(Xero!$F:$F,Xero!$B:$B,Heron!AF$9,Xero!$A:$A,Heron!$A$4,Xero!$E:$E,Heron!$A100)+SUMIFS(Xero!$F:$F,Xero!$B:$B,Heron!AF$9,Xero!$A:$A,Heron!$A$5,Xero!$E:$E,Heron!$A100)</f>
        <v/>
      </c>
      <c r="AG100" s="101">
        <f>SUMIFS(Xero!$F:$F,Xero!$B:$B,Heron!AG$9,Xero!$A:$A,Heron!$A$4,Xero!$E:$E,Heron!$A100)+SUMIFS(Xero!$F:$F,Xero!$B:$B,Heron!AG$9,Xero!$A:$A,Heron!$A$5,Xero!$E:$E,Heron!$A100)</f>
        <v/>
      </c>
      <c r="AH100" s="101">
        <f>SUMIFS(Xero!$F:$F,Xero!$B:$B,Heron!AH$9,Xero!$A:$A,Heron!$A$4,Xero!$E:$E,Heron!$A100)+SUMIFS(Xero!$F:$F,Xero!$B:$B,Heron!AH$9,Xero!$A:$A,Heron!$A$5,Xero!$E:$E,Heron!$A100)</f>
        <v/>
      </c>
      <c r="AI100" s="101">
        <f>SUMIFS(Xero!$F:$F,Xero!$B:$B,Heron!AI$9,Xero!$A:$A,Heron!$A$4,Xero!$E:$E,Heron!$A100)+SUMIFS(Xero!$F:$F,Xero!$B:$B,Heron!AI$9,Xero!$A:$A,Heron!$A$5,Xero!$E:$E,Heron!$A100)</f>
        <v/>
      </c>
      <c r="AJ100" s="101">
        <f>SUMIFS(Xero!$F:$F,Xero!$B:$B,Heron!AJ$9,Xero!$A:$A,Heron!$A$4,Xero!$E:$E,Heron!$A100)+SUMIFS(Xero!$F:$F,Xero!$B:$B,Heron!AJ$9,Xero!$A:$A,Heron!$A$5,Xero!$E:$E,Heron!$A100)</f>
        <v/>
      </c>
      <c r="AK100" s="101">
        <f>SUMIFS(Xero!$F:$F,Xero!$B:$B,Heron!AK$9,Xero!$A:$A,Heron!$A$4,Xero!$E:$E,Heron!$A100)+SUMIFS(Xero!$F:$F,Xero!$B:$B,Heron!AK$9,Xero!$A:$A,Heron!$A$5,Xero!$E:$E,Heron!$A100)</f>
        <v/>
      </c>
      <c r="AL100" s="101">
        <f>SUMIFS(Xero!$F:$F,Xero!$B:$B,Heron!AL$9,Xero!$A:$A,Heron!$A$4,Xero!$E:$E,Heron!$A100)+SUMIFS(Xero!$F:$F,Xero!$B:$B,Heron!AL$9,Xero!$A:$A,Heron!$A$5,Xero!$E:$E,Heron!$A100)</f>
        <v/>
      </c>
      <c r="AM100" s="101">
        <f>SUMIFS(Xero!$F:$F,Xero!$B:$B,Heron!AM$9,Xero!$A:$A,Heron!$A$4,Xero!$E:$E,Heron!$A100)+SUMIFS(Xero!$F:$F,Xero!$B:$B,Heron!AM$9,Xero!$A:$A,Heron!$A$5,Xero!$E:$E,Heron!$A100)</f>
        <v/>
      </c>
      <c r="AN100" s="101">
        <f>SUMIFS(Xero!$F:$F,Xero!$B:$B,Heron!AN$9,Xero!$A:$A,Heron!$A$4,Xero!$E:$E,Heron!$A100)+SUMIFS(Xero!$F:$F,Xero!$B:$B,Heron!AN$9,Xero!$A:$A,Heron!$A$5,Xero!$E:$E,Heron!$A100)</f>
        <v/>
      </c>
      <c r="AO100" s="101">
        <f>SUMIFS(Xero!$F:$F,Xero!$B:$B,Heron!AO$9,Xero!$A:$A,Heron!$A$4,Xero!$E:$E,Heron!$A100)+SUMIFS(Xero!$F:$F,Xero!$B:$B,Heron!AO$9,Xero!$A:$A,Heron!$A$5,Xero!$E:$E,Heron!$A100)</f>
        <v/>
      </c>
      <c r="AP100" s="101">
        <f>SUMIFS(Xero!$F:$F,Xero!$B:$B,Heron!AP$9,Xero!$A:$A,Heron!$A$4,Xero!$E:$E,Heron!$A100)+SUMIFS(Xero!$F:$F,Xero!$B:$B,Heron!AP$9,Xero!$A:$A,Heron!$A$5,Xero!$E:$E,Heron!$A100)</f>
        <v/>
      </c>
      <c r="AQ100" s="101">
        <f>SUMIFS(Xero!$F:$F,Xero!$B:$B,Heron!AQ$9,Xero!$A:$A,Heron!$A$4,Xero!$E:$E,Heron!$A100)+SUMIFS(Xero!$F:$F,Xero!$B:$B,Heron!AQ$9,Xero!$A:$A,Heron!$A$5,Xero!$E:$E,Heron!$A100)</f>
        <v/>
      </c>
      <c r="AR100" s="101">
        <f>SUMIFS(Xero!$F:$F,Xero!$B:$B,Heron!AR$9,Xero!$A:$A,Heron!$A$4,Xero!$E:$E,Heron!$A100)+SUMIFS(Xero!$F:$F,Xero!$B:$B,Heron!AR$9,Xero!$A:$A,Heron!$A$5,Xero!$E:$E,Heron!$A100)</f>
        <v/>
      </c>
      <c r="AS100" s="101">
        <f>SUMIFS(Xero!$F:$F,Xero!$B:$B,Heron!AS$9,Xero!$A:$A,Heron!$A$4,Xero!$E:$E,Heron!$A100)+SUMIFS(Xero!$F:$F,Xero!$B:$B,Heron!AS$9,Xero!$A:$A,Heron!$A$5,Xero!$E:$E,Heron!$A100)</f>
        <v/>
      </c>
      <c r="AT100" s="101">
        <f>SUMIFS(Xero!$F:$F,Xero!$B:$B,Heron!AT$9,Xero!$A:$A,Heron!$A$4,Xero!$E:$E,Heron!$A100)+SUMIFS(Xero!$F:$F,Xero!$B:$B,Heron!AT$9,Xero!$A:$A,Heron!$A$5,Xero!$E:$E,Heron!$A100)</f>
        <v/>
      </c>
      <c r="AU100" s="101">
        <f>SUMIFS(Xero!$F:$F,Xero!$B:$B,Heron!AU$9,Xero!$A:$A,Heron!$A$4,Xero!$E:$E,Heron!$A100)+SUMIFS(Xero!$F:$F,Xero!$B:$B,Heron!AU$9,Xero!$A:$A,Heron!$A$5,Xero!$E:$E,Heron!$A100)</f>
        <v/>
      </c>
      <c r="AV100" s="101">
        <f>SUMIFS(Xero!$F:$F,Xero!$B:$B,Heron!AV$9,Xero!$A:$A,Heron!$A$4,Xero!$E:$E,Heron!$A100)+SUMIFS(Xero!$F:$F,Xero!$B:$B,Heron!AV$9,Xero!$A:$A,Heron!$A$5,Xero!$E:$E,Heron!$A100)</f>
        <v/>
      </c>
      <c r="AW100" s="101">
        <f>SUMIFS(Xero!$F:$F,Xero!$B:$B,Heron!AW$9,Xero!$A:$A,Heron!$A$4,Xero!$E:$E,Heron!$A100)+SUMIFS(Xero!$F:$F,Xero!$B:$B,Heron!AW$9,Xero!$A:$A,Heron!$A$5,Xero!$E:$E,Heron!$A100)</f>
        <v/>
      </c>
      <c r="AX100" s="101">
        <f>SUMIFS(Xero!$F:$F,Xero!$B:$B,Heron!AX$9,Xero!$A:$A,Heron!$A$4,Xero!$E:$E,Heron!$A100)+SUMIFS(Xero!$F:$F,Xero!$B:$B,Heron!AX$9,Xero!$A:$A,Heron!$A$5,Xero!$E:$E,Heron!$A100)</f>
        <v/>
      </c>
      <c r="AY100" s="101">
        <f>SUMIFS(Xero!$F:$F,Xero!$B:$B,Heron!AY$9,Xero!$A:$A,Heron!$A$4,Xero!$E:$E,Heron!$A100)+SUMIFS(Xero!$F:$F,Xero!$B:$B,Heron!AY$9,Xero!$A:$A,Heron!$A$5,Xero!$E:$E,Heron!$A100)</f>
        <v/>
      </c>
      <c r="AZ100" s="101">
        <f>SUMIFS(Xero!$F:$F,Xero!$B:$B,Heron!AZ$9,Xero!$A:$A,Heron!$A$4,Xero!$E:$E,Heron!$A100)+SUMIFS(Xero!$F:$F,Xero!$B:$B,Heron!AZ$9,Xero!$A:$A,Heron!$A$5,Xero!$E:$E,Heron!$A100)</f>
        <v/>
      </c>
      <c r="BA100" s="101">
        <f>SUMIFS(Xero!$F:$F,Xero!$B:$B,Heron!BA$9,Xero!$A:$A,Heron!$A$4,Xero!$E:$E,Heron!$A100)+SUMIFS(Xero!$F:$F,Xero!$B:$B,Heron!BA$9,Xero!$A:$A,Heron!$A$5,Xero!$E:$E,Heron!$A100)</f>
        <v/>
      </c>
      <c r="BB100" s="101">
        <f>SUMIFS(Xero!$F:$F,Xero!$B:$B,Heron!BB$9,Xero!$A:$A,Heron!$A$4,Xero!$E:$E,Heron!$A100)+SUMIFS(Xero!$F:$F,Xero!$B:$B,Heron!BB$9,Xero!$A:$A,Heron!$A$5,Xero!$E:$E,Heron!$A100)</f>
        <v/>
      </c>
      <c r="BC100" s="101">
        <f>SUMIFS(Xero!$F:$F,Xero!$B:$B,Heron!BC$9,Xero!$A:$A,Heron!$A$4,Xero!$E:$E,Heron!$A100)+SUMIFS(Xero!$F:$F,Xero!$B:$B,Heron!BC$9,Xero!$A:$A,Heron!$A$5,Xero!$E:$E,Heron!$A100)</f>
        <v/>
      </c>
      <c r="BD100" s="101">
        <f>SUMIFS(Xero!$F:$F,Xero!$B:$B,Heron!BD$9,Xero!$A:$A,Heron!$A$4,Xero!$E:$E,Heron!$A100)+SUMIFS(Xero!$F:$F,Xero!$B:$B,Heron!BD$9,Xero!$A:$A,Heron!$A$5,Xero!$E:$E,Heron!$A100)</f>
        <v/>
      </c>
      <c r="BE100" s="101">
        <f>SUMIFS(Xero!$F:$F,Xero!$B:$B,Heron!BE$9,Xero!$A:$A,Heron!$A$4,Xero!$E:$E,Heron!$A100)+SUMIFS(Xero!$F:$F,Xero!$B:$B,Heron!BE$9,Xero!$A:$A,Heron!$A$5,Xero!$E:$E,Heron!$A100)</f>
        <v/>
      </c>
      <c r="BF100" s="101">
        <f>SUMIFS(Xero!$F:$F,Xero!$B:$B,Heron!BF$9,Xero!$A:$A,Heron!$A$4,Xero!$E:$E,Heron!$A100)+SUMIFS(Xero!$F:$F,Xero!$B:$B,Heron!BF$9,Xero!$A:$A,Heron!$A$5,Xero!$E:$E,Heron!$A100)</f>
        <v/>
      </c>
      <c r="BG100" s="101">
        <f>SUMIFS(Xero!$F:$F,Xero!$B:$B,Heron!BG$9,Xero!$A:$A,Heron!$A$4,Xero!$E:$E,Heron!$A100)+SUMIFS(Xero!$F:$F,Xero!$B:$B,Heron!BG$9,Xero!$A:$A,Heron!$A$5,Xero!$E:$E,Heron!$A100)</f>
        <v/>
      </c>
      <c r="BH100" s="101">
        <f>SUMIFS(Xero!$F:$F,Xero!$B:$B,Heron!BH$9,Xero!$A:$A,Heron!$A$4,Xero!$E:$E,Heron!$A100)+SUMIFS(Xero!$F:$F,Xero!$B:$B,Heron!BH$9,Xero!$A:$A,Heron!$A$5,Xero!$E:$E,Heron!$A100)</f>
        <v/>
      </c>
      <c r="BI100" s="101">
        <f>SUMIFS(Xero!$F:$F,Xero!$B:$B,Heron!BI$9,Xero!$A:$A,Heron!$A$4,Xero!$E:$E,Heron!$A100)+SUMIFS(Xero!$F:$F,Xero!$B:$B,Heron!BI$9,Xero!$A:$A,Heron!$A$5,Xero!$E:$E,Heron!$A100)</f>
        <v/>
      </c>
      <c r="BJ100" s="101">
        <f>SUMIFS(Xero!$F:$F,Xero!$B:$B,Heron!BJ$9,Xero!$A:$A,Heron!$A$4,Xero!$E:$E,Heron!$A100)+SUMIFS(Xero!$F:$F,Xero!$B:$B,Heron!BJ$9,Xero!$A:$A,Heron!$A$5,Xero!$E:$E,Heron!$A100)</f>
        <v/>
      </c>
      <c r="BK100" s="101">
        <f>sum(D100:BJ100)</f>
        <v/>
      </c>
    </row>
    <row r="101">
      <c r="A101" s="100" t="inlineStr">
        <is>
          <t>Staff Welfare</t>
        </is>
      </c>
      <c r="D101" s="101">
        <f>SUMIFS(Xero!$F:$F,Xero!$B:$B,Heron!D$9,Xero!$A:$A,Heron!$A$4,Xero!$E:$E,Heron!$A101)+SUMIFS(Xero!$F:$F,Xero!$B:$B,Heron!D$9,Xero!$A:$A,Heron!$A$5,Xero!$E:$E,Heron!$A101)</f>
        <v/>
      </c>
      <c r="E101" s="101">
        <f>SUMIFS(Xero!$F:$F,Xero!$B:$B,Heron!E$9,Xero!$A:$A,Heron!$A$4,Xero!$E:$E,Heron!$A101)+SUMIFS(Xero!$F:$F,Xero!$B:$B,Heron!E$9,Xero!$A:$A,Heron!$A$5,Xero!$E:$E,Heron!$A101)</f>
        <v/>
      </c>
      <c r="F101" s="101">
        <f>SUMIFS(Xero!$F:$F,Xero!$B:$B,Heron!F$9,Xero!$A:$A,Heron!$A$4,Xero!$E:$E,Heron!$A101)+SUMIFS(Xero!$F:$F,Xero!$B:$B,Heron!F$9,Xero!$A:$A,Heron!$A$5,Xero!$E:$E,Heron!$A101)</f>
        <v/>
      </c>
      <c r="G101" s="101">
        <f>SUMIFS(Xero!$F:$F,Xero!$B:$B,Heron!G$9,Xero!$A:$A,Heron!$A$4,Xero!$E:$E,Heron!$A101)+SUMIFS(Xero!$F:$F,Xero!$B:$B,Heron!G$9,Xero!$A:$A,Heron!$A$5,Xero!$E:$E,Heron!$A101)</f>
        <v/>
      </c>
      <c r="H101" s="101">
        <f>SUMIFS(Xero!$F:$F,Xero!$B:$B,Heron!H$9,Xero!$A:$A,Heron!$A$4,Xero!$E:$E,Heron!$A101)+SUMIFS(Xero!$F:$F,Xero!$B:$B,Heron!H$9,Xero!$A:$A,Heron!$A$5,Xero!$E:$E,Heron!$A101)</f>
        <v/>
      </c>
      <c r="I101" s="101">
        <f>SUMIFS(Xero!$F:$F,Xero!$B:$B,Heron!I$9,Xero!$A:$A,Heron!$A$4,Xero!$E:$E,Heron!$A101)+SUMIFS(Xero!$F:$F,Xero!$B:$B,Heron!I$9,Xero!$A:$A,Heron!$A$5,Xero!$E:$E,Heron!$A101)</f>
        <v/>
      </c>
      <c r="J101" s="101">
        <f>SUMIFS(Xero!$F:$F,Xero!$B:$B,Heron!J$9,Xero!$A:$A,Heron!$A$4,Xero!$E:$E,Heron!$A101)+SUMIFS(Xero!$F:$F,Xero!$B:$B,Heron!J$9,Xero!$A:$A,Heron!$A$5,Xero!$E:$E,Heron!$A101)</f>
        <v/>
      </c>
      <c r="K101" s="101">
        <f>SUMIFS(Xero!$F:$F,Xero!$B:$B,Heron!K$9,Xero!$A:$A,Heron!$A$4,Xero!$E:$E,Heron!$A101)+SUMIFS(Xero!$F:$F,Xero!$B:$B,Heron!K$9,Xero!$A:$A,Heron!$A$5,Xero!$E:$E,Heron!$A101)</f>
        <v/>
      </c>
      <c r="L101" s="101">
        <f>SUMIFS(Xero!$F:$F,Xero!$B:$B,Heron!L$9,Xero!$A:$A,Heron!$A$4,Xero!$E:$E,Heron!$A101)+SUMIFS(Xero!$F:$F,Xero!$B:$B,Heron!L$9,Xero!$A:$A,Heron!$A$5,Xero!$E:$E,Heron!$A101)</f>
        <v/>
      </c>
      <c r="M101" s="101">
        <f>SUMIFS(Xero!$F:$F,Xero!$B:$B,Heron!M$9,Xero!$A:$A,Heron!$A$4,Xero!$E:$E,Heron!$A101)+SUMIFS(Xero!$F:$F,Xero!$B:$B,Heron!M$9,Xero!$A:$A,Heron!$A$5,Xero!$E:$E,Heron!$A101)</f>
        <v/>
      </c>
      <c r="N101" s="101">
        <f>SUMIFS(Xero!$F:$F,Xero!$B:$B,Heron!N$9,Xero!$A:$A,Heron!$A$4,Xero!$E:$E,Heron!$A101)+SUMIFS(Xero!$F:$F,Xero!$B:$B,Heron!N$9,Xero!$A:$A,Heron!$A$5,Xero!$E:$E,Heron!$A101)</f>
        <v/>
      </c>
      <c r="O101" s="101">
        <f>SUMIFS(Xero!$F:$F,Xero!$B:$B,Heron!O$9,Xero!$A:$A,Heron!$A$4,Xero!$E:$E,Heron!$A101)+SUMIFS(Xero!$F:$F,Xero!$B:$B,Heron!O$9,Xero!$A:$A,Heron!$A$5,Xero!$E:$E,Heron!$A101)</f>
        <v/>
      </c>
      <c r="P101" s="101">
        <f>SUMIFS(Xero!$F:$F,Xero!$B:$B,Heron!P$9,Xero!$A:$A,Heron!$A$4,Xero!$E:$E,Heron!$A101)+SUMIFS(Xero!$F:$F,Xero!$B:$B,Heron!P$9,Xero!$A:$A,Heron!$A$5,Xero!$E:$E,Heron!$A101)</f>
        <v/>
      </c>
      <c r="Q101" s="101">
        <f>SUMIFS(Xero!$F:$F,Xero!$B:$B,Heron!Q$9,Xero!$A:$A,Heron!$A$4,Xero!$E:$E,Heron!$A101)+SUMIFS(Xero!$F:$F,Xero!$B:$B,Heron!Q$9,Xero!$A:$A,Heron!$A$5,Xero!$E:$E,Heron!$A101)</f>
        <v/>
      </c>
      <c r="R101" s="101">
        <f>SUMIFS(Xero!$F:$F,Xero!$B:$B,Heron!R$9,Xero!$A:$A,Heron!$A$4,Xero!$E:$E,Heron!$A101)+SUMIFS(Xero!$F:$F,Xero!$B:$B,Heron!R$9,Xero!$A:$A,Heron!$A$5,Xero!$E:$E,Heron!$A101)</f>
        <v/>
      </c>
      <c r="S101" s="101">
        <f>SUMIFS(Xero!$F:$F,Xero!$B:$B,Heron!S$9,Xero!$A:$A,Heron!$A$4,Xero!$E:$E,Heron!$A101)+SUMIFS(Xero!$F:$F,Xero!$B:$B,Heron!S$9,Xero!$A:$A,Heron!$A$5,Xero!$E:$E,Heron!$A101)</f>
        <v/>
      </c>
      <c r="T101" s="101">
        <f>SUMIFS(Xero!$F:$F,Xero!$B:$B,Heron!T$9,Xero!$A:$A,Heron!$A$4,Xero!$E:$E,Heron!$A101)+SUMIFS(Xero!$F:$F,Xero!$B:$B,Heron!T$9,Xero!$A:$A,Heron!$A$5,Xero!$E:$E,Heron!$A101)</f>
        <v/>
      </c>
      <c r="U101" s="101">
        <f>SUMIFS(Xero!$F:$F,Xero!$B:$B,Heron!U$9,Xero!$A:$A,Heron!$A$4,Xero!$E:$E,Heron!$A101)+SUMIFS(Xero!$F:$F,Xero!$B:$B,Heron!U$9,Xero!$A:$A,Heron!$A$5,Xero!$E:$E,Heron!$A101)</f>
        <v/>
      </c>
      <c r="V101" s="101">
        <f>SUMIFS(Xero!$F:$F,Xero!$B:$B,Heron!V$9,Xero!$A:$A,Heron!$A$4,Xero!$E:$E,Heron!$A101)+SUMIFS(Xero!$F:$F,Xero!$B:$B,Heron!V$9,Xero!$A:$A,Heron!$A$5,Xero!$E:$E,Heron!$A101)</f>
        <v/>
      </c>
      <c r="W101" s="101">
        <f>SUMIFS(Xero!$F:$F,Xero!$B:$B,Heron!W$9,Xero!$A:$A,Heron!$A$4,Xero!$E:$E,Heron!$A101)+SUMIFS(Xero!$F:$F,Xero!$B:$B,Heron!W$9,Xero!$A:$A,Heron!$A$5,Xero!$E:$E,Heron!$A101)</f>
        <v/>
      </c>
      <c r="X101" s="101">
        <f>SUMIFS(Xero!$F:$F,Xero!$B:$B,Heron!X$9,Xero!$A:$A,Heron!$A$4,Xero!$E:$E,Heron!$A101)+SUMIFS(Xero!$F:$F,Xero!$B:$B,Heron!X$9,Xero!$A:$A,Heron!$A$5,Xero!$E:$E,Heron!$A101)</f>
        <v/>
      </c>
      <c r="Y101" s="101">
        <f>SUMIFS(Xero!$F:$F,Xero!$B:$B,Heron!Y$9,Xero!$A:$A,Heron!$A$4,Xero!$E:$E,Heron!$A101)+SUMIFS(Xero!$F:$F,Xero!$B:$B,Heron!Y$9,Xero!$A:$A,Heron!$A$5,Xero!$E:$E,Heron!$A101)</f>
        <v/>
      </c>
      <c r="Z101" s="101">
        <f>SUMIFS(Xero!$F:$F,Xero!$B:$B,Heron!Z$9,Xero!$A:$A,Heron!$A$4,Xero!$E:$E,Heron!$A101)+SUMIFS(Xero!$F:$F,Xero!$B:$B,Heron!Z$9,Xero!$A:$A,Heron!$A$5,Xero!$E:$E,Heron!$A101)</f>
        <v/>
      </c>
      <c r="AA101" s="101">
        <f>SUMIFS(Xero!$F:$F,Xero!$B:$B,Heron!AA$9,Xero!$A:$A,Heron!$A$4,Xero!$E:$E,Heron!$A101)+SUMIFS(Xero!$F:$F,Xero!$B:$B,Heron!AA$9,Xero!$A:$A,Heron!$A$5,Xero!$E:$E,Heron!$A101)</f>
        <v/>
      </c>
      <c r="AB101" s="101">
        <f>SUMIFS(Xero!$F:$F,Xero!$B:$B,Heron!AB$9,Xero!$A:$A,Heron!$A$4,Xero!$E:$E,Heron!$A101)+SUMIFS(Xero!$F:$F,Xero!$B:$B,Heron!AB$9,Xero!$A:$A,Heron!$A$5,Xero!$E:$E,Heron!$A101)</f>
        <v/>
      </c>
      <c r="AC101" s="101">
        <f>SUMIFS(Xero!$F:$F,Xero!$B:$B,Heron!AC$9,Xero!$A:$A,Heron!$A$4,Xero!$E:$E,Heron!$A101)+SUMIFS(Xero!$F:$F,Xero!$B:$B,Heron!AC$9,Xero!$A:$A,Heron!$A$5,Xero!$E:$E,Heron!$A101)</f>
        <v/>
      </c>
      <c r="AD101" s="101">
        <f>SUMIFS(Xero!$F:$F,Xero!$B:$B,Heron!AD$9,Xero!$A:$A,Heron!$A$4,Xero!$E:$E,Heron!$A101)+SUMIFS(Xero!$F:$F,Xero!$B:$B,Heron!AD$9,Xero!$A:$A,Heron!$A$5,Xero!$E:$E,Heron!$A101)</f>
        <v/>
      </c>
      <c r="AE101" s="101">
        <f>SUMIFS(Xero!$F:$F,Xero!$B:$B,Heron!AE$9,Xero!$A:$A,Heron!$A$4,Xero!$E:$E,Heron!$A101)+SUMIFS(Xero!$F:$F,Xero!$B:$B,Heron!AE$9,Xero!$A:$A,Heron!$A$5,Xero!$E:$E,Heron!$A101)</f>
        <v/>
      </c>
      <c r="AF101" s="101">
        <f>SUMIFS(Xero!$F:$F,Xero!$B:$B,Heron!AF$9,Xero!$A:$A,Heron!$A$4,Xero!$E:$E,Heron!$A101)+SUMIFS(Xero!$F:$F,Xero!$B:$B,Heron!AF$9,Xero!$A:$A,Heron!$A$5,Xero!$E:$E,Heron!$A101)</f>
        <v/>
      </c>
      <c r="AG101" s="101">
        <f>SUMIFS(Xero!$F:$F,Xero!$B:$B,Heron!AG$9,Xero!$A:$A,Heron!$A$4,Xero!$E:$E,Heron!$A101)+SUMIFS(Xero!$F:$F,Xero!$B:$B,Heron!AG$9,Xero!$A:$A,Heron!$A$5,Xero!$E:$E,Heron!$A101)</f>
        <v/>
      </c>
      <c r="AH101" s="101">
        <f>SUMIFS(Xero!$F:$F,Xero!$B:$B,Heron!AH$9,Xero!$A:$A,Heron!$A$4,Xero!$E:$E,Heron!$A101)+SUMIFS(Xero!$F:$F,Xero!$B:$B,Heron!AH$9,Xero!$A:$A,Heron!$A$5,Xero!$E:$E,Heron!$A101)</f>
        <v/>
      </c>
      <c r="AI101" s="101">
        <f>SUMIFS(Xero!$F:$F,Xero!$B:$B,Heron!AI$9,Xero!$A:$A,Heron!$A$4,Xero!$E:$E,Heron!$A101)+SUMIFS(Xero!$F:$F,Xero!$B:$B,Heron!AI$9,Xero!$A:$A,Heron!$A$5,Xero!$E:$E,Heron!$A101)</f>
        <v/>
      </c>
      <c r="AJ101" s="101">
        <f>SUMIFS(Xero!$F:$F,Xero!$B:$B,Heron!AJ$9,Xero!$A:$A,Heron!$A$4,Xero!$E:$E,Heron!$A101)+SUMIFS(Xero!$F:$F,Xero!$B:$B,Heron!AJ$9,Xero!$A:$A,Heron!$A$5,Xero!$E:$E,Heron!$A101)</f>
        <v/>
      </c>
      <c r="AK101" s="101">
        <f>SUMIFS(Xero!$F:$F,Xero!$B:$B,Heron!AK$9,Xero!$A:$A,Heron!$A$4,Xero!$E:$E,Heron!$A101)+SUMIFS(Xero!$F:$F,Xero!$B:$B,Heron!AK$9,Xero!$A:$A,Heron!$A$5,Xero!$E:$E,Heron!$A101)</f>
        <v/>
      </c>
      <c r="AL101" s="101">
        <f>SUMIFS(Xero!$F:$F,Xero!$B:$B,Heron!AL$9,Xero!$A:$A,Heron!$A$4,Xero!$E:$E,Heron!$A101)+SUMIFS(Xero!$F:$F,Xero!$B:$B,Heron!AL$9,Xero!$A:$A,Heron!$A$5,Xero!$E:$E,Heron!$A101)</f>
        <v/>
      </c>
      <c r="AM101" s="101">
        <f>SUMIFS(Xero!$F:$F,Xero!$B:$B,Heron!AM$9,Xero!$A:$A,Heron!$A$4,Xero!$E:$E,Heron!$A101)+SUMIFS(Xero!$F:$F,Xero!$B:$B,Heron!AM$9,Xero!$A:$A,Heron!$A$5,Xero!$E:$E,Heron!$A101)</f>
        <v/>
      </c>
      <c r="AN101" s="101">
        <f>SUMIFS(Xero!$F:$F,Xero!$B:$B,Heron!AN$9,Xero!$A:$A,Heron!$A$4,Xero!$E:$E,Heron!$A101)+SUMIFS(Xero!$F:$F,Xero!$B:$B,Heron!AN$9,Xero!$A:$A,Heron!$A$5,Xero!$E:$E,Heron!$A101)</f>
        <v/>
      </c>
      <c r="AO101" s="101">
        <f>SUMIFS(Xero!$F:$F,Xero!$B:$B,Heron!AO$9,Xero!$A:$A,Heron!$A$4,Xero!$E:$E,Heron!$A101)+SUMIFS(Xero!$F:$F,Xero!$B:$B,Heron!AO$9,Xero!$A:$A,Heron!$A$5,Xero!$E:$E,Heron!$A101)</f>
        <v/>
      </c>
      <c r="AP101" s="101">
        <f>SUMIFS(Xero!$F:$F,Xero!$B:$B,Heron!AP$9,Xero!$A:$A,Heron!$A$4,Xero!$E:$E,Heron!$A101)+SUMIFS(Xero!$F:$F,Xero!$B:$B,Heron!AP$9,Xero!$A:$A,Heron!$A$5,Xero!$E:$E,Heron!$A101)</f>
        <v/>
      </c>
      <c r="AQ101" s="101">
        <f>SUMIFS(Xero!$F:$F,Xero!$B:$B,Heron!AQ$9,Xero!$A:$A,Heron!$A$4,Xero!$E:$E,Heron!$A101)+SUMIFS(Xero!$F:$F,Xero!$B:$B,Heron!AQ$9,Xero!$A:$A,Heron!$A$5,Xero!$E:$E,Heron!$A101)</f>
        <v/>
      </c>
      <c r="AR101" s="101">
        <f>SUMIFS(Xero!$F:$F,Xero!$B:$B,Heron!AR$9,Xero!$A:$A,Heron!$A$4,Xero!$E:$E,Heron!$A101)+SUMIFS(Xero!$F:$F,Xero!$B:$B,Heron!AR$9,Xero!$A:$A,Heron!$A$5,Xero!$E:$E,Heron!$A101)</f>
        <v/>
      </c>
      <c r="AS101" s="101">
        <f>SUMIFS(Xero!$F:$F,Xero!$B:$B,Heron!AS$9,Xero!$A:$A,Heron!$A$4,Xero!$E:$E,Heron!$A101)+SUMIFS(Xero!$F:$F,Xero!$B:$B,Heron!AS$9,Xero!$A:$A,Heron!$A$5,Xero!$E:$E,Heron!$A101)</f>
        <v/>
      </c>
      <c r="AT101" s="101">
        <f>SUMIFS(Xero!$F:$F,Xero!$B:$B,Heron!AT$9,Xero!$A:$A,Heron!$A$4,Xero!$E:$E,Heron!$A101)+SUMIFS(Xero!$F:$F,Xero!$B:$B,Heron!AT$9,Xero!$A:$A,Heron!$A$5,Xero!$E:$E,Heron!$A101)</f>
        <v/>
      </c>
      <c r="AU101" s="101">
        <f>SUMIFS(Xero!$F:$F,Xero!$B:$B,Heron!AU$9,Xero!$A:$A,Heron!$A$4,Xero!$E:$E,Heron!$A101)+SUMIFS(Xero!$F:$F,Xero!$B:$B,Heron!AU$9,Xero!$A:$A,Heron!$A$5,Xero!$E:$E,Heron!$A101)</f>
        <v/>
      </c>
      <c r="AV101" s="101">
        <f>SUMIFS(Xero!$F:$F,Xero!$B:$B,Heron!AV$9,Xero!$A:$A,Heron!$A$4,Xero!$E:$E,Heron!$A101)+SUMIFS(Xero!$F:$F,Xero!$B:$B,Heron!AV$9,Xero!$A:$A,Heron!$A$5,Xero!$E:$E,Heron!$A101)</f>
        <v/>
      </c>
      <c r="AW101" s="101">
        <f>SUMIFS(Xero!$F:$F,Xero!$B:$B,Heron!AW$9,Xero!$A:$A,Heron!$A$4,Xero!$E:$E,Heron!$A101)+SUMIFS(Xero!$F:$F,Xero!$B:$B,Heron!AW$9,Xero!$A:$A,Heron!$A$5,Xero!$E:$E,Heron!$A101)</f>
        <v/>
      </c>
      <c r="AX101" s="101">
        <f>SUMIFS(Xero!$F:$F,Xero!$B:$B,Heron!AX$9,Xero!$A:$A,Heron!$A$4,Xero!$E:$E,Heron!$A101)+SUMIFS(Xero!$F:$F,Xero!$B:$B,Heron!AX$9,Xero!$A:$A,Heron!$A$5,Xero!$E:$E,Heron!$A101)</f>
        <v/>
      </c>
      <c r="AY101" s="101">
        <f>SUMIFS(Xero!$F:$F,Xero!$B:$B,Heron!AY$9,Xero!$A:$A,Heron!$A$4,Xero!$E:$E,Heron!$A101)+SUMIFS(Xero!$F:$F,Xero!$B:$B,Heron!AY$9,Xero!$A:$A,Heron!$A$5,Xero!$E:$E,Heron!$A101)</f>
        <v/>
      </c>
      <c r="AZ101" s="101">
        <f>SUMIFS(Xero!$F:$F,Xero!$B:$B,Heron!AZ$9,Xero!$A:$A,Heron!$A$4,Xero!$E:$E,Heron!$A101)+SUMIFS(Xero!$F:$F,Xero!$B:$B,Heron!AZ$9,Xero!$A:$A,Heron!$A$5,Xero!$E:$E,Heron!$A101)</f>
        <v/>
      </c>
      <c r="BA101" s="101">
        <f>SUMIFS(Xero!$F:$F,Xero!$B:$B,Heron!BA$9,Xero!$A:$A,Heron!$A$4,Xero!$E:$E,Heron!$A101)+SUMIFS(Xero!$F:$F,Xero!$B:$B,Heron!BA$9,Xero!$A:$A,Heron!$A$5,Xero!$E:$E,Heron!$A101)</f>
        <v/>
      </c>
      <c r="BB101" s="101">
        <f>SUMIFS(Xero!$F:$F,Xero!$B:$B,Heron!BB$9,Xero!$A:$A,Heron!$A$4,Xero!$E:$E,Heron!$A101)+SUMIFS(Xero!$F:$F,Xero!$B:$B,Heron!BB$9,Xero!$A:$A,Heron!$A$5,Xero!$E:$E,Heron!$A101)</f>
        <v/>
      </c>
      <c r="BC101" s="101">
        <f>SUMIFS(Xero!$F:$F,Xero!$B:$B,Heron!BC$9,Xero!$A:$A,Heron!$A$4,Xero!$E:$E,Heron!$A101)+SUMIFS(Xero!$F:$F,Xero!$B:$B,Heron!BC$9,Xero!$A:$A,Heron!$A$5,Xero!$E:$E,Heron!$A101)</f>
        <v/>
      </c>
      <c r="BD101" s="101">
        <f>SUMIFS(Xero!$F:$F,Xero!$B:$B,Heron!BD$9,Xero!$A:$A,Heron!$A$4,Xero!$E:$E,Heron!$A101)+SUMIFS(Xero!$F:$F,Xero!$B:$B,Heron!BD$9,Xero!$A:$A,Heron!$A$5,Xero!$E:$E,Heron!$A101)</f>
        <v/>
      </c>
      <c r="BE101" s="101">
        <f>SUMIFS(Xero!$F:$F,Xero!$B:$B,Heron!BE$9,Xero!$A:$A,Heron!$A$4,Xero!$E:$E,Heron!$A101)+SUMIFS(Xero!$F:$F,Xero!$B:$B,Heron!BE$9,Xero!$A:$A,Heron!$A$5,Xero!$E:$E,Heron!$A101)</f>
        <v/>
      </c>
      <c r="BF101" s="101">
        <f>SUMIFS(Xero!$F:$F,Xero!$B:$B,Heron!BF$9,Xero!$A:$A,Heron!$A$4,Xero!$E:$E,Heron!$A101)+SUMIFS(Xero!$F:$F,Xero!$B:$B,Heron!BF$9,Xero!$A:$A,Heron!$A$5,Xero!$E:$E,Heron!$A101)</f>
        <v/>
      </c>
      <c r="BG101" s="101">
        <f>SUMIFS(Xero!$F:$F,Xero!$B:$B,Heron!BG$9,Xero!$A:$A,Heron!$A$4,Xero!$E:$E,Heron!$A101)+SUMIFS(Xero!$F:$F,Xero!$B:$B,Heron!BG$9,Xero!$A:$A,Heron!$A$5,Xero!$E:$E,Heron!$A101)</f>
        <v/>
      </c>
      <c r="BH101" s="101">
        <f>SUMIFS(Xero!$F:$F,Xero!$B:$B,Heron!BH$9,Xero!$A:$A,Heron!$A$4,Xero!$E:$E,Heron!$A101)+SUMIFS(Xero!$F:$F,Xero!$B:$B,Heron!BH$9,Xero!$A:$A,Heron!$A$5,Xero!$E:$E,Heron!$A101)</f>
        <v/>
      </c>
      <c r="BI101" s="101">
        <f>SUMIFS(Xero!$F:$F,Xero!$B:$B,Heron!BI$9,Xero!$A:$A,Heron!$A$4,Xero!$E:$E,Heron!$A101)+SUMIFS(Xero!$F:$F,Xero!$B:$B,Heron!BI$9,Xero!$A:$A,Heron!$A$5,Xero!$E:$E,Heron!$A101)</f>
        <v/>
      </c>
      <c r="BJ101" s="101">
        <f>SUMIFS(Xero!$F:$F,Xero!$B:$B,Heron!BJ$9,Xero!$A:$A,Heron!$A$4,Xero!$E:$E,Heron!$A101)+SUMIFS(Xero!$F:$F,Xero!$B:$B,Heron!BJ$9,Xero!$A:$A,Heron!$A$5,Xero!$E:$E,Heron!$A101)</f>
        <v/>
      </c>
      <c r="BK101" s="101">
        <f>sum(D101:BJ101)</f>
        <v/>
      </c>
    </row>
    <row r="102">
      <c r="A102" s="100" t="inlineStr">
        <is>
          <t>Subscription - NHBRC</t>
        </is>
      </c>
      <c r="D102" s="101">
        <f>SUMIFS(Xero!$F:$F,Xero!$B:$B,Heron!D$9,Xero!$A:$A,Heron!$A$4,Xero!$E:$E,Heron!$A102)+SUMIFS(Xero!$F:$F,Xero!$B:$B,Heron!D$9,Xero!$A:$A,Heron!$A$5,Xero!$E:$E,Heron!$A102)</f>
        <v/>
      </c>
      <c r="E102" s="101">
        <f>SUMIFS(Xero!$F:$F,Xero!$B:$B,Heron!E$9,Xero!$A:$A,Heron!$A$4,Xero!$E:$E,Heron!$A102)+SUMIFS(Xero!$F:$F,Xero!$B:$B,Heron!E$9,Xero!$A:$A,Heron!$A$5,Xero!$E:$E,Heron!$A102)</f>
        <v/>
      </c>
      <c r="F102" s="101">
        <f>SUMIFS(Xero!$F:$F,Xero!$B:$B,Heron!F$9,Xero!$A:$A,Heron!$A$4,Xero!$E:$E,Heron!$A102)+SUMIFS(Xero!$F:$F,Xero!$B:$B,Heron!F$9,Xero!$A:$A,Heron!$A$5,Xero!$E:$E,Heron!$A102)</f>
        <v/>
      </c>
      <c r="G102" s="101">
        <f>SUMIFS(Xero!$F:$F,Xero!$B:$B,Heron!G$9,Xero!$A:$A,Heron!$A$4,Xero!$E:$E,Heron!$A102)+SUMIFS(Xero!$F:$F,Xero!$B:$B,Heron!G$9,Xero!$A:$A,Heron!$A$5,Xero!$E:$E,Heron!$A102)</f>
        <v/>
      </c>
      <c r="H102" s="101">
        <f>SUMIFS(Xero!$F:$F,Xero!$B:$B,Heron!H$9,Xero!$A:$A,Heron!$A$4,Xero!$E:$E,Heron!$A102)+SUMIFS(Xero!$F:$F,Xero!$B:$B,Heron!H$9,Xero!$A:$A,Heron!$A$5,Xero!$E:$E,Heron!$A102)</f>
        <v/>
      </c>
      <c r="I102" s="101">
        <f>SUMIFS(Xero!$F:$F,Xero!$B:$B,Heron!I$9,Xero!$A:$A,Heron!$A$4,Xero!$E:$E,Heron!$A102)+SUMIFS(Xero!$F:$F,Xero!$B:$B,Heron!I$9,Xero!$A:$A,Heron!$A$5,Xero!$E:$E,Heron!$A102)</f>
        <v/>
      </c>
      <c r="J102" s="101">
        <f>SUMIFS(Xero!$F:$F,Xero!$B:$B,Heron!J$9,Xero!$A:$A,Heron!$A$4,Xero!$E:$E,Heron!$A102)+SUMIFS(Xero!$F:$F,Xero!$B:$B,Heron!J$9,Xero!$A:$A,Heron!$A$5,Xero!$E:$E,Heron!$A102)</f>
        <v/>
      </c>
      <c r="K102" s="101">
        <f>SUMIFS(Xero!$F:$F,Xero!$B:$B,Heron!K$9,Xero!$A:$A,Heron!$A$4,Xero!$E:$E,Heron!$A102)+SUMIFS(Xero!$F:$F,Xero!$B:$B,Heron!K$9,Xero!$A:$A,Heron!$A$5,Xero!$E:$E,Heron!$A102)</f>
        <v/>
      </c>
      <c r="L102" s="101">
        <f>SUMIFS(Xero!$F:$F,Xero!$B:$B,Heron!L$9,Xero!$A:$A,Heron!$A$4,Xero!$E:$E,Heron!$A102)+SUMIFS(Xero!$F:$F,Xero!$B:$B,Heron!L$9,Xero!$A:$A,Heron!$A$5,Xero!$E:$E,Heron!$A102)</f>
        <v/>
      </c>
      <c r="M102" s="101">
        <f>SUMIFS(Xero!$F:$F,Xero!$B:$B,Heron!M$9,Xero!$A:$A,Heron!$A$4,Xero!$E:$E,Heron!$A102)+SUMIFS(Xero!$F:$F,Xero!$B:$B,Heron!M$9,Xero!$A:$A,Heron!$A$5,Xero!$E:$E,Heron!$A102)</f>
        <v/>
      </c>
      <c r="N102" s="101">
        <f>SUMIFS(Xero!$F:$F,Xero!$B:$B,Heron!N$9,Xero!$A:$A,Heron!$A$4,Xero!$E:$E,Heron!$A102)+SUMIFS(Xero!$F:$F,Xero!$B:$B,Heron!N$9,Xero!$A:$A,Heron!$A$5,Xero!$E:$E,Heron!$A102)</f>
        <v/>
      </c>
      <c r="O102" s="101">
        <f>SUMIFS(Xero!$F:$F,Xero!$B:$B,Heron!O$9,Xero!$A:$A,Heron!$A$4,Xero!$E:$E,Heron!$A102)+SUMIFS(Xero!$F:$F,Xero!$B:$B,Heron!O$9,Xero!$A:$A,Heron!$A$5,Xero!$E:$E,Heron!$A102)</f>
        <v/>
      </c>
      <c r="P102" s="101">
        <f>SUMIFS(Xero!$F:$F,Xero!$B:$B,Heron!P$9,Xero!$A:$A,Heron!$A$4,Xero!$E:$E,Heron!$A102)+SUMIFS(Xero!$F:$F,Xero!$B:$B,Heron!P$9,Xero!$A:$A,Heron!$A$5,Xero!$E:$E,Heron!$A102)</f>
        <v/>
      </c>
      <c r="Q102" s="101">
        <f>SUMIFS(Xero!$F:$F,Xero!$B:$B,Heron!Q$9,Xero!$A:$A,Heron!$A$4,Xero!$E:$E,Heron!$A102)+SUMIFS(Xero!$F:$F,Xero!$B:$B,Heron!Q$9,Xero!$A:$A,Heron!$A$5,Xero!$E:$E,Heron!$A102)</f>
        <v/>
      </c>
      <c r="R102" s="101">
        <f>SUMIFS(Xero!$F:$F,Xero!$B:$B,Heron!R$9,Xero!$A:$A,Heron!$A$4,Xero!$E:$E,Heron!$A102)+SUMIFS(Xero!$F:$F,Xero!$B:$B,Heron!R$9,Xero!$A:$A,Heron!$A$5,Xero!$E:$E,Heron!$A102)</f>
        <v/>
      </c>
      <c r="S102" s="101">
        <f>SUMIFS(Xero!$F:$F,Xero!$B:$B,Heron!S$9,Xero!$A:$A,Heron!$A$4,Xero!$E:$E,Heron!$A102)+SUMIFS(Xero!$F:$F,Xero!$B:$B,Heron!S$9,Xero!$A:$A,Heron!$A$5,Xero!$E:$E,Heron!$A102)</f>
        <v/>
      </c>
      <c r="T102" s="101">
        <f>SUMIFS(Xero!$F:$F,Xero!$B:$B,Heron!T$9,Xero!$A:$A,Heron!$A$4,Xero!$E:$E,Heron!$A102)+SUMIFS(Xero!$F:$F,Xero!$B:$B,Heron!T$9,Xero!$A:$A,Heron!$A$5,Xero!$E:$E,Heron!$A102)</f>
        <v/>
      </c>
      <c r="U102" s="101">
        <f>SUMIFS(Xero!$F:$F,Xero!$B:$B,Heron!U$9,Xero!$A:$A,Heron!$A$4,Xero!$E:$E,Heron!$A102)+SUMIFS(Xero!$F:$F,Xero!$B:$B,Heron!U$9,Xero!$A:$A,Heron!$A$5,Xero!$E:$E,Heron!$A102)</f>
        <v/>
      </c>
      <c r="V102" s="101">
        <f>SUMIFS(Xero!$F:$F,Xero!$B:$B,Heron!V$9,Xero!$A:$A,Heron!$A$4,Xero!$E:$E,Heron!$A102)+SUMIFS(Xero!$F:$F,Xero!$B:$B,Heron!V$9,Xero!$A:$A,Heron!$A$5,Xero!$E:$E,Heron!$A102)</f>
        <v/>
      </c>
      <c r="W102" s="101">
        <f>SUMIFS(Xero!$F:$F,Xero!$B:$B,Heron!W$9,Xero!$A:$A,Heron!$A$4,Xero!$E:$E,Heron!$A102)+SUMIFS(Xero!$F:$F,Xero!$B:$B,Heron!W$9,Xero!$A:$A,Heron!$A$5,Xero!$E:$E,Heron!$A102)</f>
        <v/>
      </c>
      <c r="X102" s="101">
        <f>SUMIFS(Xero!$F:$F,Xero!$B:$B,Heron!X$9,Xero!$A:$A,Heron!$A$4,Xero!$E:$E,Heron!$A102)+SUMIFS(Xero!$F:$F,Xero!$B:$B,Heron!X$9,Xero!$A:$A,Heron!$A$5,Xero!$E:$E,Heron!$A102)</f>
        <v/>
      </c>
      <c r="Y102" s="101">
        <f>SUMIFS(Xero!$F:$F,Xero!$B:$B,Heron!Y$9,Xero!$A:$A,Heron!$A$4,Xero!$E:$E,Heron!$A102)+SUMIFS(Xero!$F:$F,Xero!$B:$B,Heron!Y$9,Xero!$A:$A,Heron!$A$5,Xero!$E:$E,Heron!$A102)</f>
        <v/>
      </c>
      <c r="Z102" s="101">
        <f>SUMIFS(Xero!$F:$F,Xero!$B:$B,Heron!Z$9,Xero!$A:$A,Heron!$A$4,Xero!$E:$E,Heron!$A102)+SUMIFS(Xero!$F:$F,Xero!$B:$B,Heron!Z$9,Xero!$A:$A,Heron!$A$5,Xero!$E:$E,Heron!$A102)</f>
        <v/>
      </c>
      <c r="AA102" s="101">
        <f>SUMIFS(Xero!$F:$F,Xero!$B:$B,Heron!AA$9,Xero!$A:$A,Heron!$A$4,Xero!$E:$E,Heron!$A102)+SUMIFS(Xero!$F:$F,Xero!$B:$B,Heron!AA$9,Xero!$A:$A,Heron!$A$5,Xero!$E:$E,Heron!$A102)</f>
        <v/>
      </c>
      <c r="AB102" s="101">
        <f>SUMIFS(Xero!$F:$F,Xero!$B:$B,Heron!AB$9,Xero!$A:$A,Heron!$A$4,Xero!$E:$E,Heron!$A102)+SUMIFS(Xero!$F:$F,Xero!$B:$B,Heron!AB$9,Xero!$A:$A,Heron!$A$5,Xero!$E:$E,Heron!$A102)</f>
        <v/>
      </c>
      <c r="AC102" s="101">
        <f>SUMIFS(Xero!$F:$F,Xero!$B:$B,Heron!AC$9,Xero!$A:$A,Heron!$A$4,Xero!$E:$E,Heron!$A102)+SUMIFS(Xero!$F:$F,Xero!$B:$B,Heron!AC$9,Xero!$A:$A,Heron!$A$5,Xero!$E:$E,Heron!$A102)</f>
        <v/>
      </c>
      <c r="AD102" s="101">
        <f>SUMIFS(Xero!$F:$F,Xero!$B:$B,Heron!AD$9,Xero!$A:$A,Heron!$A$4,Xero!$E:$E,Heron!$A102)+SUMIFS(Xero!$F:$F,Xero!$B:$B,Heron!AD$9,Xero!$A:$A,Heron!$A$5,Xero!$E:$E,Heron!$A102)</f>
        <v/>
      </c>
      <c r="AE102" s="101">
        <f>SUMIFS(Xero!$F:$F,Xero!$B:$B,Heron!AE$9,Xero!$A:$A,Heron!$A$4,Xero!$E:$E,Heron!$A102)+SUMIFS(Xero!$F:$F,Xero!$B:$B,Heron!AE$9,Xero!$A:$A,Heron!$A$5,Xero!$E:$E,Heron!$A102)</f>
        <v/>
      </c>
      <c r="AF102" s="101">
        <f>SUMIFS(Xero!$F:$F,Xero!$B:$B,Heron!AF$9,Xero!$A:$A,Heron!$A$4,Xero!$E:$E,Heron!$A102)+SUMIFS(Xero!$F:$F,Xero!$B:$B,Heron!AF$9,Xero!$A:$A,Heron!$A$5,Xero!$E:$E,Heron!$A102)</f>
        <v/>
      </c>
      <c r="AG102" s="101">
        <f>SUMIFS(Xero!$F:$F,Xero!$B:$B,Heron!AG$9,Xero!$A:$A,Heron!$A$4,Xero!$E:$E,Heron!$A102)+SUMIFS(Xero!$F:$F,Xero!$B:$B,Heron!AG$9,Xero!$A:$A,Heron!$A$5,Xero!$E:$E,Heron!$A102)</f>
        <v/>
      </c>
      <c r="AH102" s="101">
        <f>SUMIFS(Xero!$F:$F,Xero!$B:$B,Heron!AH$9,Xero!$A:$A,Heron!$A$4,Xero!$E:$E,Heron!$A102)+SUMIFS(Xero!$F:$F,Xero!$B:$B,Heron!AH$9,Xero!$A:$A,Heron!$A$5,Xero!$E:$E,Heron!$A102)</f>
        <v/>
      </c>
      <c r="AI102" s="101">
        <f>SUMIFS(Xero!$F:$F,Xero!$B:$B,Heron!AI$9,Xero!$A:$A,Heron!$A$4,Xero!$E:$E,Heron!$A102)+SUMIFS(Xero!$F:$F,Xero!$B:$B,Heron!AI$9,Xero!$A:$A,Heron!$A$5,Xero!$E:$E,Heron!$A102)</f>
        <v/>
      </c>
      <c r="AJ102" s="101">
        <f>SUMIFS(Xero!$F:$F,Xero!$B:$B,Heron!AJ$9,Xero!$A:$A,Heron!$A$4,Xero!$E:$E,Heron!$A102)+SUMIFS(Xero!$F:$F,Xero!$B:$B,Heron!AJ$9,Xero!$A:$A,Heron!$A$5,Xero!$E:$E,Heron!$A102)</f>
        <v/>
      </c>
      <c r="AK102" s="101">
        <f>SUMIFS(Xero!$F:$F,Xero!$B:$B,Heron!AK$9,Xero!$A:$A,Heron!$A$4,Xero!$E:$E,Heron!$A102)+SUMIFS(Xero!$F:$F,Xero!$B:$B,Heron!AK$9,Xero!$A:$A,Heron!$A$5,Xero!$E:$E,Heron!$A102)</f>
        <v/>
      </c>
      <c r="AL102" s="101">
        <f>SUMIFS(Xero!$F:$F,Xero!$B:$B,Heron!AL$9,Xero!$A:$A,Heron!$A$4,Xero!$E:$E,Heron!$A102)+SUMIFS(Xero!$F:$F,Xero!$B:$B,Heron!AL$9,Xero!$A:$A,Heron!$A$5,Xero!$E:$E,Heron!$A102)</f>
        <v/>
      </c>
      <c r="AM102" s="101">
        <f>SUMIFS(Xero!$F:$F,Xero!$B:$B,Heron!AM$9,Xero!$A:$A,Heron!$A$4,Xero!$E:$E,Heron!$A102)+SUMIFS(Xero!$F:$F,Xero!$B:$B,Heron!AM$9,Xero!$A:$A,Heron!$A$5,Xero!$E:$E,Heron!$A102)</f>
        <v/>
      </c>
      <c r="AN102" s="101">
        <f>SUMIFS(Xero!$F:$F,Xero!$B:$B,Heron!AN$9,Xero!$A:$A,Heron!$A$4,Xero!$E:$E,Heron!$A102)+SUMIFS(Xero!$F:$F,Xero!$B:$B,Heron!AN$9,Xero!$A:$A,Heron!$A$5,Xero!$E:$E,Heron!$A102)</f>
        <v/>
      </c>
      <c r="AO102" s="101">
        <f>SUMIFS(Xero!$F:$F,Xero!$B:$B,Heron!AO$9,Xero!$A:$A,Heron!$A$4,Xero!$E:$E,Heron!$A102)+SUMIFS(Xero!$F:$F,Xero!$B:$B,Heron!AO$9,Xero!$A:$A,Heron!$A$5,Xero!$E:$E,Heron!$A102)</f>
        <v/>
      </c>
      <c r="AP102" s="101">
        <f>SUMIFS(Xero!$F:$F,Xero!$B:$B,Heron!AP$9,Xero!$A:$A,Heron!$A$4,Xero!$E:$E,Heron!$A102)+SUMIFS(Xero!$F:$F,Xero!$B:$B,Heron!AP$9,Xero!$A:$A,Heron!$A$5,Xero!$E:$E,Heron!$A102)</f>
        <v/>
      </c>
      <c r="AQ102" s="101">
        <f>SUMIFS(Xero!$F:$F,Xero!$B:$B,Heron!AQ$9,Xero!$A:$A,Heron!$A$4,Xero!$E:$E,Heron!$A102)+SUMIFS(Xero!$F:$F,Xero!$B:$B,Heron!AQ$9,Xero!$A:$A,Heron!$A$5,Xero!$E:$E,Heron!$A102)</f>
        <v/>
      </c>
      <c r="AR102" s="101">
        <f>SUMIFS(Xero!$F:$F,Xero!$B:$B,Heron!AR$9,Xero!$A:$A,Heron!$A$4,Xero!$E:$E,Heron!$A102)+SUMIFS(Xero!$F:$F,Xero!$B:$B,Heron!AR$9,Xero!$A:$A,Heron!$A$5,Xero!$E:$E,Heron!$A102)</f>
        <v/>
      </c>
      <c r="AS102" s="101">
        <f>SUMIFS(Xero!$F:$F,Xero!$B:$B,Heron!AS$9,Xero!$A:$A,Heron!$A$4,Xero!$E:$E,Heron!$A102)+SUMIFS(Xero!$F:$F,Xero!$B:$B,Heron!AS$9,Xero!$A:$A,Heron!$A$5,Xero!$E:$E,Heron!$A102)</f>
        <v/>
      </c>
      <c r="AT102" s="101">
        <f>SUMIFS(Xero!$F:$F,Xero!$B:$B,Heron!AT$9,Xero!$A:$A,Heron!$A$4,Xero!$E:$E,Heron!$A102)+SUMIFS(Xero!$F:$F,Xero!$B:$B,Heron!AT$9,Xero!$A:$A,Heron!$A$5,Xero!$E:$E,Heron!$A102)</f>
        <v/>
      </c>
      <c r="AU102" s="101">
        <f>SUMIFS(Xero!$F:$F,Xero!$B:$B,Heron!AU$9,Xero!$A:$A,Heron!$A$4,Xero!$E:$E,Heron!$A102)+SUMIFS(Xero!$F:$F,Xero!$B:$B,Heron!AU$9,Xero!$A:$A,Heron!$A$5,Xero!$E:$E,Heron!$A102)</f>
        <v/>
      </c>
      <c r="AV102" s="101">
        <f>SUMIFS(Xero!$F:$F,Xero!$B:$B,Heron!AV$9,Xero!$A:$A,Heron!$A$4,Xero!$E:$E,Heron!$A102)+SUMIFS(Xero!$F:$F,Xero!$B:$B,Heron!AV$9,Xero!$A:$A,Heron!$A$5,Xero!$E:$E,Heron!$A102)</f>
        <v/>
      </c>
      <c r="AW102" s="101">
        <f>SUMIFS(Xero!$F:$F,Xero!$B:$B,Heron!AW$9,Xero!$A:$A,Heron!$A$4,Xero!$E:$E,Heron!$A102)+SUMIFS(Xero!$F:$F,Xero!$B:$B,Heron!AW$9,Xero!$A:$A,Heron!$A$5,Xero!$E:$E,Heron!$A102)</f>
        <v/>
      </c>
      <c r="AX102" s="101">
        <f>SUMIFS(Xero!$F:$F,Xero!$B:$B,Heron!AX$9,Xero!$A:$A,Heron!$A$4,Xero!$E:$E,Heron!$A102)+SUMIFS(Xero!$F:$F,Xero!$B:$B,Heron!AX$9,Xero!$A:$A,Heron!$A$5,Xero!$E:$E,Heron!$A102)</f>
        <v/>
      </c>
      <c r="AY102" s="101">
        <f>SUMIFS(Xero!$F:$F,Xero!$B:$B,Heron!AY$9,Xero!$A:$A,Heron!$A$4,Xero!$E:$E,Heron!$A102)+SUMIFS(Xero!$F:$F,Xero!$B:$B,Heron!AY$9,Xero!$A:$A,Heron!$A$5,Xero!$E:$E,Heron!$A102)</f>
        <v/>
      </c>
      <c r="AZ102" s="101">
        <f>SUMIFS(Xero!$F:$F,Xero!$B:$B,Heron!AZ$9,Xero!$A:$A,Heron!$A$4,Xero!$E:$E,Heron!$A102)+SUMIFS(Xero!$F:$F,Xero!$B:$B,Heron!AZ$9,Xero!$A:$A,Heron!$A$5,Xero!$E:$E,Heron!$A102)</f>
        <v/>
      </c>
      <c r="BA102" s="101">
        <f>SUMIFS(Xero!$F:$F,Xero!$B:$B,Heron!BA$9,Xero!$A:$A,Heron!$A$4,Xero!$E:$E,Heron!$A102)+SUMIFS(Xero!$F:$F,Xero!$B:$B,Heron!BA$9,Xero!$A:$A,Heron!$A$5,Xero!$E:$E,Heron!$A102)</f>
        <v/>
      </c>
      <c r="BB102" s="101">
        <f>SUMIFS(Xero!$F:$F,Xero!$B:$B,Heron!BB$9,Xero!$A:$A,Heron!$A$4,Xero!$E:$E,Heron!$A102)+SUMIFS(Xero!$F:$F,Xero!$B:$B,Heron!BB$9,Xero!$A:$A,Heron!$A$5,Xero!$E:$E,Heron!$A102)</f>
        <v/>
      </c>
      <c r="BC102" s="101">
        <f>SUMIFS(Xero!$F:$F,Xero!$B:$B,Heron!BC$9,Xero!$A:$A,Heron!$A$4,Xero!$E:$E,Heron!$A102)+SUMIFS(Xero!$F:$F,Xero!$B:$B,Heron!BC$9,Xero!$A:$A,Heron!$A$5,Xero!$E:$E,Heron!$A102)</f>
        <v/>
      </c>
      <c r="BD102" s="101">
        <f>SUMIFS(Xero!$F:$F,Xero!$B:$B,Heron!BD$9,Xero!$A:$A,Heron!$A$4,Xero!$E:$E,Heron!$A102)+SUMIFS(Xero!$F:$F,Xero!$B:$B,Heron!BD$9,Xero!$A:$A,Heron!$A$5,Xero!$E:$E,Heron!$A102)</f>
        <v/>
      </c>
      <c r="BE102" s="101">
        <f>SUMIFS(Xero!$F:$F,Xero!$B:$B,Heron!BE$9,Xero!$A:$A,Heron!$A$4,Xero!$E:$E,Heron!$A102)+SUMIFS(Xero!$F:$F,Xero!$B:$B,Heron!BE$9,Xero!$A:$A,Heron!$A$5,Xero!$E:$E,Heron!$A102)</f>
        <v/>
      </c>
      <c r="BF102" s="101">
        <f>SUMIFS(Xero!$F:$F,Xero!$B:$B,Heron!BF$9,Xero!$A:$A,Heron!$A$4,Xero!$E:$E,Heron!$A102)+SUMIFS(Xero!$F:$F,Xero!$B:$B,Heron!BF$9,Xero!$A:$A,Heron!$A$5,Xero!$E:$E,Heron!$A102)</f>
        <v/>
      </c>
      <c r="BG102" s="101">
        <f>SUMIFS(Xero!$F:$F,Xero!$B:$B,Heron!BG$9,Xero!$A:$A,Heron!$A$4,Xero!$E:$E,Heron!$A102)+SUMIFS(Xero!$F:$F,Xero!$B:$B,Heron!BG$9,Xero!$A:$A,Heron!$A$5,Xero!$E:$E,Heron!$A102)</f>
        <v/>
      </c>
      <c r="BH102" s="101">
        <f>SUMIFS(Xero!$F:$F,Xero!$B:$B,Heron!BH$9,Xero!$A:$A,Heron!$A$4,Xero!$E:$E,Heron!$A102)+SUMIFS(Xero!$F:$F,Xero!$B:$B,Heron!BH$9,Xero!$A:$A,Heron!$A$5,Xero!$E:$E,Heron!$A102)</f>
        <v/>
      </c>
      <c r="BI102" s="101">
        <f>SUMIFS(Xero!$F:$F,Xero!$B:$B,Heron!BI$9,Xero!$A:$A,Heron!$A$4,Xero!$E:$E,Heron!$A102)+SUMIFS(Xero!$F:$F,Xero!$B:$B,Heron!BI$9,Xero!$A:$A,Heron!$A$5,Xero!$E:$E,Heron!$A102)</f>
        <v/>
      </c>
      <c r="BJ102" s="101">
        <f>SUMIFS(Xero!$F:$F,Xero!$B:$B,Heron!BJ$9,Xero!$A:$A,Heron!$A$4,Xero!$E:$E,Heron!$A102)+SUMIFS(Xero!$F:$F,Xero!$B:$B,Heron!BJ$9,Xero!$A:$A,Heron!$A$5,Xero!$E:$E,Heron!$A102)</f>
        <v/>
      </c>
      <c r="BK102" s="101">
        <f>sum(D102:BJ102)</f>
        <v/>
      </c>
    </row>
    <row r="103">
      <c r="A103" s="100" t="inlineStr">
        <is>
          <t>Subscriptions - Xero</t>
        </is>
      </c>
      <c r="D103" s="101">
        <f>SUMIFS(Xero!$F:$F,Xero!$B:$B,Heron!D$9,Xero!$A:$A,Heron!$A$4,Xero!$E:$E,Heron!$A103)+SUMIFS(Xero!$F:$F,Xero!$B:$B,Heron!D$9,Xero!$A:$A,Heron!$A$5,Xero!$E:$E,Heron!$A103)</f>
        <v/>
      </c>
      <c r="E103" s="101">
        <f>SUMIFS(Xero!$F:$F,Xero!$B:$B,Heron!E$9,Xero!$A:$A,Heron!$A$4,Xero!$E:$E,Heron!$A103)+SUMIFS(Xero!$F:$F,Xero!$B:$B,Heron!E$9,Xero!$A:$A,Heron!$A$5,Xero!$E:$E,Heron!$A103)</f>
        <v/>
      </c>
      <c r="F103" s="101">
        <f>SUMIFS(Xero!$F:$F,Xero!$B:$B,Heron!F$9,Xero!$A:$A,Heron!$A$4,Xero!$E:$E,Heron!$A103)+SUMIFS(Xero!$F:$F,Xero!$B:$B,Heron!F$9,Xero!$A:$A,Heron!$A$5,Xero!$E:$E,Heron!$A103)</f>
        <v/>
      </c>
      <c r="G103" s="101">
        <f>SUMIFS(Xero!$F:$F,Xero!$B:$B,Heron!G$9,Xero!$A:$A,Heron!$A$4,Xero!$E:$E,Heron!$A103)+SUMIFS(Xero!$F:$F,Xero!$B:$B,Heron!G$9,Xero!$A:$A,Heron!$A$5,Xero!$E:$E,Heron!$A103)</f>
        <v/>
      </c>
      <c r="H103" s="101">
        <f>SUMIFS(Xero!$F:$F,Xero!$B:$B,Heron!H$9,Xero!$A:$A,Heron!$A$4,Xero!$E:$E,Heron!$A103)+SUMIFS(Xero!$F:$F,Xero!$B:$B,Heron!H$9,Xero!$A:$A,Heron!$A$5,Xero!$E:$E,Heron!$A103)</f>
        <v/>
      </c>
      <c r="I103" s="101">
        <f>SUMIFS(Xero!$F:$F,Xero!$B:$B,Heron!I$9,Xero!$A:$A,Heron!$A$4,Xero!$E:$E,Heron!$A103)+SUMIFS(Xero!$F:$F,Xero!$B:$B,Heron!I$9,Xero!$A:$A,Heron!$A$5,Xero!$E:$E,Heron!$A103)</f>
        <v/>
      </c>
      <c r="J103" s="101">
        <f>SUMIFS(Xero!$F:$F,Xero!$B:$B,Heron!J$9,Xero!$A:$A,Heron!$A$4,Xero!$E:$E,Heron!$A103)+SUMIFS(Xero!$F:$F,Xero!$B:$B,Heron!J$9,Xero!$A:$A,Heron!$A$5,Xero!$E:$E,Heron!$A103)</f>
        <v/>
      </c>
      <c r="K103" s="101">
        <f>SUMIFS(Xero!$F:$F,Xero!$B:$B,Heron!K$9,Xero!$A:$A,Heron!$A$4,Xero!$E:$E,Heron!$A103)+SUMIFS(Xero!$F:$F,Xero!$B:$B,Heron!K$9,Xero!$A:$A,Heron!$A$5,Xero!$E:$E,Heron!$A103)</f>
        <v/>
      </c>
      <c r="L103" s="101">
        <f>SUMIFS(Xero!$F:$F,Xero!$B:$B,Heron!L$9,Xero!$A:$A,Heron!$A$4,Xero!$E:$E,Heron!$A103)+SUMIFS(Xero!$F:$F,Xero!$B:$B,Heron!L$9,Xero!$A:$A,Heron!$A$5,Xero!$E:$E,Heron!$A103)</f>
        <v/>
      </c>
      <c r="M103" s="101">
        <f>SUMIFS(Xero!$F:$F,Xero!$B:$B,Heron!M$9,Xero!$A:$A,Heron!$A$4,Xero!$E:$E,Heron!$A103)+SUMIFS(Xero!$F:$F,Xero!$B:$B,Heron!M$9,Xero!$A:$A,Heron!$A$5,Xero!$E:$E,Heron!$A103)</f>
        <v/>
      </c>
      <c r="N103" s="101">
        <f>SUMIFS(Xero!$F:$F,Xero!$B:$B,Heron!N$9,Xero!$A:$A,Heron!$A$4,Xero!$E:$E,Heron!$A103)+SUMIFS(Xero!$F:$F,Xero!$B:$B,Heron!N$9,Xero!$A:$A,Heron!$A$5,Xero!$E:$E,Heron!$A103)</f>
        <v/>
      </c>
      <c r="O103" s="101">
        <f>SUMIFS(Xero!$F:$F,Xero!$B:$B,Heron!O$9,Xero!$A:$A,Heron!$A$4,Xero!$E:$E,Heron!$A103)+SUMIFS(Xero!$F:$F,Xero!$B:$B,Heron!O$9,Xero!$A:$A,Heron!$A$5,Xero!$E:$E,Heron!$A103)</f>
        <v/>
      </c>
      <c r="P103" s="101">
        <f>SUMIFS(Xero!$F:$F,Xero!$B:$B,Heron!P$9,Xero!$A:$A,Heron!$A$4,Xero!$E:$E,Heron!$A103)+SUMIFS(Xero!$F:$F,Xero!$B:$B,Heron!P$9,Xero!$A:$A,Heron!$A$5,Xero!$E:$E,Heron!$A103)</f>
        <v/>
      </c>
      <c r="Q103" s="101">
        <f>SUMIFS(Xero!$F:$F,Xero!$B:$B,Heron!Q$9,Xero!$A:$A,Heron!$A$4,Xero!$E:$E,Heron!$A103)+SUMIFS(Xero!$F:$F,Xero!$B:$B,Heron!Q$9,Xero!$A:$A,Heron!$A$5,Xero!$E:$E,Heron!$A103)</f>
        <v/>
      </c>
      <c r="R103" s="101">
        <f>SUMIFS(Xero!$F:$F,Xero!$B:$B,Heron!R$9,Xero!$A:$A,Heron!$A$4,Xero!$E:$E,Heron!$A103)+SUMIFS(Xero!$F:$F,Xero!$B:$B,Heron!R$9,Xero!$A:$A,Heron!$A$5,Xero!$E:$E,Heron!$A103)</f>
        <v/>
      </c>
      <c r="S103" s="101">
        <f>SUMIFS(Xero!$F:$F,Xero!$B:$B,Heron!S$9,Xero!$A:$A,Heron!$A$4,Xero!$E:$E,Heron!$A103)+SUMIFS(Xero!$F:$F,Xero!$B:$B,Heron!S$9,Xero!$A:$A,Heron!$A$5,Xero!$E:$E,Heron!$A103)</f>
        <v/>
      </c>
      <c r="T103" s="101">
        <f>SUMIFS(Xero!$F:$F,Xero!$B:$B,Heron!T$9,Xero!$A:$A,Heron!$A$4,Xero!$E:$E,Heron!$A103)+SUMIFS(Xero!$F:$F,Xero!$B:$B,Heron!T$9,Xero!$A:$A,Heron!$A$5,Xero!$E:$E,Heron!$A103)</f>
        <v/>
      </c>
      <c r="U103" s="101">
        <f>SUMIFS(Xero!$F:$F,Xero!$B:$B,Heron!U$9,Xero!$A:$A,Heron!$A$4,Xero!$E:$E,Heron!$A103)+SUMIFS(Xero!$F:$F,Xero!$B:$B,Heron!U$9,Xero!$A:$A,Heron!$A$5,Xero!$E:$E,Heron!$A103)</f>
        <v/>
      </c>
      <c r="V103" s="101">
        <f>SUMIFS(Xero!$F:$F,Xero!$B:$B,Heron!V$9,Xero!$A:$A,Heron!$A$4,Xero!$E:$E,Heron!$A103)+SUMIFS(Xero!$F:$F,Xero!$B:$B,Heron!V$9,Xero!$A:$A,Heron!$A$5,Xero!$E:$E,Heron!$A103)</f>
        <v/>
      </c>
      <c r="W103" s="101">
        <f>SUMIFS(Xero!$F:$F,Xero!$B:$B,Heron!W$9,Xero!$A:$A,Heron!$A$4,Xero!$E:$E,Heron!$A103)+SUMIFS(Xero!$F:$F,Xero!$B:$B,Heron!W$9,Xero!$A:$A,Heron!$A$5,Xero!$E:$E,Heron!$A103)</f>
        <v/>
      </c>
      <c r="X103" s="101">
        <f>SUMIFS(Xero!$F:$F,Xero!$B:$B,Heron!X$9,Xero!$A:$A,Heron!$A$4,Xero!$E:$E,Heron!$A103)+SUMIFS(Xero!$F:$F,Xero!$B:$B,Heron!X$9,Xero!$A:$A,Heron!$A$5,Xero!$E:$E,Heron!$A103)</f>
        <v/>
      </c>
      <c r="Y103" s="101">
        <f>SUMIFS(Xero!$F:$F,Xero!$B:$B,Heron!Y$9,Xero!$A:$A,Heron!$A$4,Xero!$E:$E,Heron!$A103)+SUMIFS(Xero!$F:$F,Xero!$B:$B,Heron!Y$9,Xero!$A:$A,Heron!$A$5,Xero!$E:$E,Heron!$A103)</f>
        <v/>
      </c>
      <c r="Z103" s="101">
        <f>SUMIFS(Xero!$F:$F,Xero!$B:$B,Heron!Z$9,Xero!$A:$A,Heron!$A$4,Xero!$E:$E,Heron!$A103)+SUMIFS(Xero!$F:$F,Xero!$B:$B,Heron!Z$9,Xero!$A:$A,Heron!$A$5,Xero!$E:$E,Heron!$A103)</f>
        <v/>
      </c>
      <c r="AA103" s="101">
        <f>SUMIFS(Xero!$F:$F,Xero!$B:$B,Heron!AA$9,Xero!$A:$A,Heron!$A$4,Xero!$E:$E,Heron!$A103)+SUMIFS(Xero!$F:$F,Xero!$B:$B,Heron!AA$9,Xero!$A:$A,Heron!$A$5,Xero!$E:$E,Heron!$A103)</f>
        <v/>
      </c>
      <c r="AB103" s="101">
        <f>SUMIFS(Xero!$F:$F,Xero!$B:$B,Heron!AB$9,Xero!$A:$A,Heron!$A$4,Xero!$E:$E,Heron!$A103)+SUMIFS(Xero!$F:$F,Xero!$B:$B,Heron!AB$9,Xero!$A:$A,Heron!$A$5,Xero!$E:$E,Heron!$A103)</f>
        <v/>
      </c>
      <c r="AC103" s="101">
        <f>SUMIFS(Xero!$F:$F,Xero!$B:$B,Heron!AC$9,Xero!$A:$A,Heron!$A$4,Xero!$E:$E,Heron!$A103)+SUMIFS(Xero!$F:$F,Xero!$B:$B,Heron!AC$9,Xero!$A:$A,Heron!$A$5,Xero!$E:$E,Heron!$A103)</f>
        <v/>
      </c>
      <c r="AD103" s="101">
        <f>SUMIFS(Xero!$F:$F,Xero!$B:$B,Heron!AD$9,Xero!$A:$A,Heron!$A$4,Xero!$E:$E,Heron!$A103)+SUMIFS(Xero!$F:$F,Xero!$B:$B,Heron!AD$9,Xero!$A:$A,Heron!$A$5,Xero!$E:$E,Heron!$A103)</f>
        <v/>
      </c>
      <c r="AE103" s="101">
        <f>SUMIFS(Xero!$F:$F,Xero!$B:$B,Heron!AE$9,Xero!$A:$A,Heron!$A$4,Xero!$E:$E,Heron!$A103)+SUMIFS(Xero!$F:$F,Xero!$B:$B,Heron!AE$9,Xero!$A:$A,Heron!$A$5,Xero!$E:$E,Heron!$A103)</f>
        <v/>
      </c>
      <c r="AF103" s="101">
        <f>SUMIFS(Xero!$F:$F,Xero!$B:$B,Heron!AF$9,Xero!$A:$A,Heron!$A$4,Xero!$E:$E,Heron!$A103)+SUMIFS(Xero!$F:$F,Xero!$B:$B,Heron!AF$9,Xero!$A:$A,Heron!$A$5,Xero!$E:$E,Heron!$A103)</f>
        <v/>
      </c>
      <c r="AG103" s="101">
        <f>SUMIFS(Xero!$F:$F,Xero!$B:$B,Heron!AG$9,Xero!$A:$A,Heron!$A$4,Xero!$E:$E,Heron!$A103)+SUMIFS(Xero!$F:$F,Xero!$B:$B,Heron!AG$9,Xero!$A:$A,Heron!$A$5,Xero!$E:$E,Heron!$A103)</f>
        <v/>
      </c>
      <c r="AH103" s="101">
        <f>SUMIFS(Xero!$F:$F,Xero!$B:$B,Heron!AH$9,Xero!$A:$A,Heron!$A$4,Xero!$E:$E,Heron!$A103)+SUMIFS(Xero!$F:$F,Xero!$B:$B,Heron!AH$9,Xero!$A:$A,Heron!$A$5,Xero!$E:$E,Heron!$A103)</f>
        <v/>
      </c>
      <c r="AI103" s="101">
        <f>SUMIFS(Xero!$F:$F,Xero!$B:$B,Heron!AI$9,Xero!$A:$A,Heron!$A$4,Xero!$E:$E,Heron!$A103)+SUMIFS(Xero!$F:$F,Xero!$B:$B,Heron!AI$9,Xero!$A:$A,Heron!$A$5,Xero!$E:$E,Heron!$A103)</f>
        <v/>
      </c>
      <c r="AJ103" s="101">
        <f>SUMIFS(Xero!$F:$F,Xero!$B:$B,Heron!AJ$9,Xero!$A:$A,Heron!$A$4,Xero!$E:$E,Heron!$A103)+SUMIFS(Xero!$F:$F,Xero!$B:$B,Heron!AJ$9,Xero!$A:$A,Heron!$A$5,Xero!$E:$E,Heron!$A103)</f>
        <v/>
      </c>
      <c r="AK103" s="101">
        <f>SUMIFS(Xero!$F:$F,Xero!$B:$B,Heron!AK$9,Xero!$A:$A,Heron!$A$4,Xero!$E:$E,Heron!$A103)+SUMIFS(Xero!$F:$F,Xero!$B:$B,Heron!AK$9,Xero!$A:$A,Heron!$A$5,Xero!$E:$E,Heron!$A103)</f>
        <v/>
      </c>
      <c r="AL103" s="101">
        <f>SUMIFS(Xero!$F:$F,Xero!$B:$B,Heron!AL$9,Xero!$A:$A,Heron!$A$4,Xero!$E:$E,Heron!$A103)+SUMIFS(Xero!$F:$F,Xero!$B:$B,Heron!AL$9,Xero!$A:$A,Heron!$A$5,Xero!$E:$E,Heron!$A103)</f>
        <v/>
      </c>
      <c r="AM103" s="101">
        <f>SUMIFS(Xero!$F:$F,Xero!$B:$B,Heron!AM$9,Xero!$A:$A,Heron!$A$4,Xero!$E:$E,Heron!$A103)+SUMIFS(Xero!$F:$F,Xero!$B:$B,Heron!AM$9,Xero!$A:$A,Heron!$A$5,Xero!$E:$E,Heron!$A103)</f>
        <v/>
      </c>
      <c r="AN103" s="101">
        <f>SUMIFS(Xero!$F:$F,Xero!$B:$B,Heron!AN$9,Xero!$A:$A,Heron!$A$4,Xero!$E:$E,Heron!$A103)+SUMIFS(Xero!$F:$F,Xero!$B:$B,Heron!AN$9,Xero!$A:$A,Heron!$A$5,Xero!$E:$E,Heron!$A103)</f>
        <v/>
      </c>
      <c r="AO103" s="101">
        <f>SUMIFS(Xero!$F:$F,Xero!$B:$B,Heron!AO$9,Xero!$A:$A,Heron!$A$4,Xero!$E:$E,Heron!$A103)+SUMIFS(Xero!$F:$F,Xero!$B:$B,Heron!AO$9,Xero!$A:$A,Heron!$A$5,Xero!$E:$E,Heron!$A103)</f>
        <v/>
      </c>
      <c r="AP103" s="101">
        <f>SUMIFS(Xero!$F:$F,Xero!$B:$B,Heron!AP$9,Xero!$A:$A,Heron!$A$4,Xero!$E:$E,Heron!$A103)+SUMIFS(Xero!$F:$F,Xero!$B:$B,Heron!AP$9,Xero!$A:$A,Heron!$A$5,Xero!$E:$E,Heron!$A103)</f>
        <v/>
      </c>
      <c r="AQ103" s="101">
        <f>SUMIFS(Xero!$F:$F,Xero!$B:$B,Heron!AQ$9,Xero!$A:$A,Heron!$A$4,Xero!$E:$E,Heron!$A103)+SUMIFS(Xero!$F:$F,Xero!$B:$B,Heron!AQ$9,Xero!$A:$A,Heron!$A$5,Xero!$E:$E,Heron!$A103)</f>
        <v/>
      </c>
      <c r="AR103" s="101">
        <f>SUMIFS(Xero!$F:$F,Xero!$B:$B,Heron!AR$9,Xero!$A:$A,Heron!$A$4,Xero!$E:$E,Heron!$A103)+SUMIFS(Xero!$F:$F,Xero!$B:$B,Heron!AR$9,Xero!$A:$A,Heron!$A$5,Xero!$E:$E,Heron!$A103)</f>
        <v/>
      </c>
      <c r="AS103" s="101">
        <f>SUMIFS(Xero!$F:$F,Xero!$B:$B,Heron!AS$9,Xero!$A:$A,Heron!$A$4,Xero!$E:$E,Heron!$A103)+SUMIFS(Xero!$F:$F,Xero!$B:$B,Heron!AS$9,Xero!$A:$A,Heron!$A$5,Xero!$E:$E,Heron!$A103)</f>
        <v/>
      </c>
      <c r="AT103" s="101">
        <f>SUMIFS(Xero!$F:$F,Xero!$B:$B,Heron!AT$9,Xero!$A:$A,Heron!$A$4,Xero!$E:$E,Heron!$A103)+SUMIFS(Xero!$F:$F,Xero!$B:$B,Heron!AT$9,Xero!$A:$A,Heron!$A$5,Xero!$E:$E,Heron!$A103)</f>
        <v/>
      </c>
      <c r="AU103" s="101">
        <f>SUMIFS(Xero!$F:$F,Xero!$B:$B,Heron!AU$9,Xero!$A:$A,Heron!$A$4,Xero!$E:$E,Heron!$A103)+SUMIFS(Xero!$F:$F,Xero!$B:$B,Heron!AU$9,Xero!$A:$A,Heron!$A$5,Xero!$E:$E,Heron!$A103)</f>
        <v/>
      </c>
      <c r="AV103" s="101">
        <f>SUMIFS(Xero!$F:$F,Xero!$B:$B,Heron!AV$9,Xero!$A:$A,Heron!$A$4,Xero!$E:$E,Heron!$A103)+SUMIFS(Xero!$F:$F,Xero!$B:$B,Heron!AV$9,Xero!$A:$A,Heron!$A$5,Xero!$E:$E,Heron!$A103)</f>
        <v/>
      </c>
      <c r="AW103" s="101">
        <f>SUMIFS(Xero!$F:$F,Xero!$B:$B,Heron!AW$9,Xero!$A:$A,Heron!$A$4,Xero!$E:$E,Heron!$A103)+SUMIFS(Xero!$F:$F,Xero!$B:$B,Heron!AW$9,Xero!$A:$A,Heron!$A$5,Xero!$E:$E,Heron!$A103)</f>
        <v/>
      </c>
      <c r="AX103" s="101">
        <f>SUMIFS(Xero!$F:$F,Xero!$B:$B,Heron!AX$9,Xero!$A:$A,Heron!$A$4,Xero!$E:$E,Heron!$A103)+SUMIFS(Xero!$F:$F,Xero!$B:$B,Heron!AX$9,Xero!$A:$A,Heron!$A$5,Xero!$E:$E,Heron!$A103)</f>
        <v/>
      </c>
      <c r="AY103" s="101">
        <f>SUMIFS(Xero!$F:$F,Xero!$B:$B,Heron!AY$9,Xero!$A:$A,Heron!$A$4,Xero!$E:$E,Heron!$A103)+SUMIFS(Xero!$F:$F,Xero!$B:$B,Heron!AY$9,Xero!$A:$A,Heron!$A$5,Xero!$E:$E,Heron!$A103)</f>
        <v/>
      </c>
      <c r="AZ103" s="101">
        <f>SUMIFS(Xero!$F:$F,Xero!$B:$B,Heron!AZ$9,Xero!$A:$A,Heron!$A$4,Xero!$E:$E,Heron!$A103)+SUMIFS(Xero!$F:$F,Xero!$B:$B,Heron!AZ$9,Xero!$A:$A,Heron!$A$5,Xero!$E:$E,Heron!$A103)</f>
        <v/>
      </c>
      <c r="BA103" s="101">
        <f>SUMIFS(Xero!$F:$F,Xero!$B:$B,Heron!BA$9,Xero!$A:$A,Heron!$A$4,Xero!$E:$E,Heron!$A103)+SUMIFS(Xero!$F:$F,Xero!$B:$B,Heron!BA$9,Xero!$A:$A,Heron!$A$5,Xero!$E:$E,Heron!$A103)</f>
        <v/>
      </c>
      <c r="BB103" s="101">
        <f>SUMIFS(Xero!$F:$F,Xero!$B:$B,Heron!BB$9,Xero!$A:$A,Heron!$A$4,Xero!$E:$E,Heron!$A103)+SUMIFS(Xero!$F:$F,Xero!$B:$B,Heron!BB$9,Xero!$A:$A,Heron!$A$5,Xero!$E:$E,Heron!$A103)</f>
        <v/>
      </c>
      <c r="BC103" s="101">
        <f>SUMIFS(Xero!$F:$F,Xero!$B:$B,Heron!BC$9,Xero!$A:$A,Heron!$A$4,Xero!$E:$E,Heron!$A103)+SUMIFS(Xero!$F:$F,Xero!$B:$B,Heron!BC$9,Xero!$A:$A,Heron!$A$5,Xero!$E:$E,Heron!$A103)</f>
        <v/>
      </c>
      <c r="BD103" s="101">
        <f>SUMIFS(Xero!$F:$F,Xero!$B:$B,Heron!BD$9,Xero!$A:$A,Heron!$A$4,Xero!$E:$E,Heron!$A103)+SUMIFS(Xero!$F:$F,Xero!$B:$B,Heron!BD$9,Xero!$A:$A,Heron!$A$5,Xero!$E:$E,Heron!$A103)</f>
        <v/>
      </c>
      <c r="BE103" s="101">
        <f>SUMIFS(Xero!$F:$F,Xero!$B:$B,Heron!BE$9,Xero!$A:$A,Heron!$A$4,Xero!$E:$E,Heron!$A103)+SUMIFS(Xero!$F:$F,Xero!$B:$B,Heron!BE$9,Xero!$A:$A,Heron!$A$5,Xero!$E:$E,Heron!$A103)</f>
        <v/>
      </c>
      <c r="BF103" s="101">
        <f>SUMIFS(Xero!$F:$F,Xero!$B:$B,Heron!BF$9,Xero!$A:$A,Heron!$A$4,Xero!$E:$E,Heron!$A103)+SUMIFS(Xero!$F:$F,Xero!$B:$B,Heron!BF$9,Xero!$A:$A,Heron!$A$5,Xero!$E:$E,Heron!$A103)</f>
        <v/>
      </c>
      <c r="BG103" s="101">
        <f>SUMIFS(Xero!$F:$F,Xero!$B:$B,Heron!BG$9,Xero!$A:$A,Heron!$A$4,Xero!$E:$E,Heron!$A103)+SUMIFS(Xero!$F:$F,Xero!$B:$B,Heron!BG$9,Xero!$A:$A,Heron!$A$5,Xero!$E:$E,Heron!$A103)</f>
        <v/>
      </c>
      <c r="BH103" s="101">
        <f>SUMIFS(Xero!$F:$F,Xero!$B:$B,Heron!BH$9,Xero!$A:$A,Heron!$A$4,Xero!$E:$E,Heron!$A103)+SUMIFS(Xero!$F:$F,Xero!$B:$B,Heron!BH$9,Xero!$A:$A,Heron!$A$5,Xero!$E:$E,Heron!$A103)</f>
        <v/>
      </c>
      <c r="BI103" s="101">
        <f>SUMIFS(Xero!$F:$F,Xero!$B:$B,Heron!BI$9,Xero!$A:$A,Heron!$A$4,Xero!$E:$E,Heron!$A103)+SUMIFS(Xero!$F:$F,Xero!$B:$B,Heron!BI$9,Xero!$A:$A,Heron!$A$5,Xero!$E:$E,Heron!$A103)</f>
        <v/>
      </c>
      <c r="BJ103" s="101">
        <f>SUMIFS(Xero!$F:$F,Xero!$B:$B,Heron!BJ$9,Xero!$A:$A,Heron!$A$4,Xero!$E:$E,Heron!$A103)+SUMIFS(Xero!$F:$F,Xero!$B:$B,Heron!BJ$9,Xero!$A:$A,Heron!$A$5,Xero!$E:$E,Heron!$A103)</f>
        <v/>
      </c>
      <c r="BK103" s="101">
        <f>sum(D103:BJ103)</f>
        <v/>
      </c>
    </row>
    <row r="104">
      <c r="A104" s="100" t="inlineStr">
        <is>
          <t>Water</t>
        </is>
      </c>
      <c r="D104" s="101">
        <f>SUMIFS(Xero!$F:$F,Xero!$B:$B,Heron!D$9,Xero!$A:$A,Heron!$A$4,Xero!$E:$E,Heron!$A104)+SUMIFS(Xero!$F:$F,Xero!$B:$B,Heron!D$9,Xero!$A:$A,Heron!$A$5,Xero!$E:$E,Heron!$A104)</f>
        <v/>
      </c>
      <c r="E104" s="101">
        <f>SUMIFS(Xero!$F:$F,Xero!$B:$B,Heron!E$9,Xero!$A:$A,Heron!$A$4,Xero!$E:$E,Heron!$A104)+SUMIFS(Xero!$F:$F,Xero!$B:$B,Heron!E$9,Xero!$A:$A,Heron!$A$5,Xero!$E:$E,Heron!$A104)</f>
        <v/>
      </c>
      <c r="F104" s="101">
        <f>SUMIFS(Xero!$F:$F,Xero!$B:$B,Heron!F$9,Xero!$A:$A,Heron!$A$4,Xero!$E:$E,Heron!$A104)+SUMIFS(Xero!$F:$F,Xero!$B:$B,Heron!F$9,Xero!$A:$A,Heron!$A$5,Xero!$E:$E,Heron!$A104)</f>
        <v/>
      </c>
      <c r="G104" s="101">
        <f>SUMIFS(Xero!$F:$F,Xero!$B:$B,Heron!G$9,Xero!$A:$A,Heron!$A$4,Xero!$E:$E,Heron!$A104)+SUMIFS(Xero!$F:$F,Xero!$B:$B,Heron!G$9,Xero!$A:$A,Heron!$A$5,Xero!$E:$E,Heron!$A104)</f>
        <v/>
      </c>
      <c r="H104" s="101">
        <f>SUMIFS(Xero!$F:$F,Xero!$B:$B,Heron!H$9,Xero!$A:$A,Heron!$A$4,Xero!$E:$E,Heron!$A104)+SUMIFS(Xero!$F:$F,Xero!$B:$B,Heron!H$9,Xero!$A:$A,Heron!$A$5,Xero!$E:$E,Heron!$A104)</f>
        <v/>
      </c>
      <c r="I104" s="101">
        <f>SUMIFS(Xero!$F:$F,Xero!$B:$B,Heron!I$9,Xero!$A:$A,Heron!$A$4,Xero!$E:$E,Heron!$A104)+SUMIFS(Xero!$F:$F,Xero!$B:$B,Heron!I$9,Xero!$A:$A,Heron!$A$5,Xero!$E:$E,Heron!$A104)</f>
        <v/>
      </c>
      <c r="J104" s="101">
        <f>SUMIFS(Xero!$F:$F,Xero!$B:$B,Heron!J$9,Xero!$A:$A,Heron!$A$4,Xero!$E:$E,Heron!$A104)+SUMIFS(Xero!$F:$F,Xero!$B:$B,Heron!J$9,Xero!$A:$A,Heron!$A$5,Xero!$E:$E,Heron!$A104)</f>
        <v/>
      </c>
      <c r="K104" s="101">
        <f>SUMIFS(Xero!$F:$F,Xero!$B:$B,Heron!K$9,Xero!$A:$A,Heron!$A$4,Xero!$E:$E,Heron!$A104)+SUMIFS(Xero!$F:$F,Xero!$B:$B,Heron!K$9,Xero!$A:$A,Heron!$A$5,Xero!$E:$E,Heron!$A104)</f>
        <v/>
      </c>
      <c r="L104" s="101">
        <f>SUMIFS(Xero!$F:$F,Xero!$B:$B,Heron!L$9,Xero!$A:$A,Heron!$A$4,Xero!$E:$E,Heron!$A104)+SUMIFS(Xero!$F:$F,Xero!$B:$B,Heron!L$9,Xero!$A:$A,Heron!$A$5,Xero!$E:$E,Heron!$A104)</f>
        <v/>
      </c>
      <c r="M104" s="101">
        <f>SUMIFS(Xero!$F:$F,Xero!$B:$B,Heron!M$9,Xero!$A:$A,Heron!$A$4,Xero!$E:$E,Heron!$A104)+SUMIFS(Xero!$F:$F,Xero!$B:$B,Heron!M$9,Xero!$A:$A,Heron!$A$5,Xero!$E:$E,Heron!$A104)</f>
        <v/>
      </c>
      <c r="N104" s="101">
        <f>SUMIFS(Xero!$F:$F,Xero!$B:$B,Heron!N$9,Xero!$A:$A,Heron!$A$4,Xero!$E:$E,Heron!$A104)+SUMIFS(Xero!$F:$F,Xero!$B:$B,Heron!N$9,Xero!$A:$A,Heron!$A$5,Xero!$E:$E,Heron!$A104)</f>
        <v/>
      </c>
      <c r="O104" s="101">
        <f>SUMIFS(Xero!$F:$F,Xero!$B:$B,Heron!O$9,Xero!$A:$A,Heron!$A$4,Xero!$E:$E,Heron!$A104)+SUMIFS(Xero!$F:$F,Xero!$B:$B,Heron!O$9,Xero!$A:$A,Heron!$A$5,Xero!$E:$E,Heron!$A104)</f>
        <v/>
      </c>
      <c r="P104" s="101">
        <f>SUMIFS(Xero!$F:$F,Xero!$B:$B,Heron!P$9,Xero!$A:$A,Heron!$A$4,Xero!$E:$E,Heron!$A104)+SUMIFS(Xero!$F:$F,Xero!$B:$B,Heron!P$9,Xero!$A:$A,Heron!$A$5,Xero!$E:$E,Heron!$A104)</f>
        <v/>
      </c>
      <c r="Q104" s="101">
        <f>SUMIFS(Xero!$F:$F,Xero!$B:$B,Heron!Q$9,Xero!$A:$A,Heron!$A$4,Xero!$E:$E,Heron!$A104)+SUMIFS(Xero!$F:$F,Xero!$B:$B,Heron!Q$9,Xero!$A:$A,Heron!$A$5,Xero!$E:$E,Heron!$A104)</f>
        <v/>
      </c>
      <c r="R104" s="101">
        <f>SUMIFS(Xero!$F:$F,Xero!$B:$B,Heron!R$9,Xero!$A:$A,Heron!$A$4,Xero!$E:$E,Heron!$A104)+SUMIFS(Xero!$F:$F,Xero!$B:$B,Heron!R$9,Xero!$A:$A,Heron!$A$5,Xero!$E:$E,Heron!$A104)</f>
        <v/>
      </c>
      <c r="S104" s="101">
        <f>SUMIFS(Xero!$F:$F,Xero!$B:$B,Heron!S$9,Xero!$A:$A,Heron!$A$4,Xero!$E:$E,Heron!$A104)+SUMIFS(Xero!$F:$F,Xero!$B:$B,Heron!S$9,Xero!$A:$A,Heron!$A$5,Xero!$E:$E,Heron!$A104)</f>
        <v/>
      </c>
      <c r="T104" s="101">
        <f>SUMIFS(Xero!$F:$F,Xero!$B:$B,Heron!T$9,Xero!$A:$A,Heron!$A$4,Xero!$E:$E,Heron!$A104)+SUMIFS(Xero!$F:$F,Xero!$B:$B,Heron!T$9,Xero!$A:$A,Heron!$A$5,Xero!$E:$E,Heron!$A104)</f>
        <v/>
      </c>
      <c r="U104" s="101">
        <f>SUMIFS(Xero!$F:$F,Xero!$B:$B,Heron!U$9,Xero!$A:$A,Heron!$A$4,Xero!$E:$E,Heron!$A104)+SUMIFS(Xero!$F:$F,Xero!$B:$B,Heron!U$9,Xero!$A:$A,Heron!$A$5,Xero!$E:$E,Heron!$A104)</f>
        <v/>
      </c>
      <c r="V104" s="101">
        <f>SUMIFS(Xero!$F:$F,Xero!$B:$B,Heron!V$9,Xero!$A:$A,Heron!$A$4,Xero!$E:$E,Heron!$A104)+SUMIFS(Xero!$F:$F,Xero!$B:$B,Heron!V$9,Xero!$A:$A,Heron!$A$5,Xero!$E:$E,Heron!$A104)</f>
        <v/>
      </c>
      <c r="W104" s="101">
        <f>SUMIFS(Xero!$F:$F,Xero!$B:$B,Heron!W$9,Xero!$A:$A,Heron!$A$4,Xero!$E:$E,Heron!$A104)+SUMIFS(Xero!$F:$F,Xero!$B:$B,Heron!W$9,Xero!$A:$A,Heron!$A$5,Xero!$E:$E,Heron!$A104)</f>
        <v/>
      </c>
      <c r="X104" s="101">
        <f>SUMIFS(Xero!$F:$F,Xero!$B:$B,Heron!X$9,Xero!$A:$A,Heron!$A$4,Xero!$E:$E,Heron!$A104)+SUMIFS(Xero!$F:$F,Xero!$B:$B,Heron!X$9,Xero!$A:$A,Heron!$A$5,Xero!$E:$E,Heron!$A104)</f>
        <v/>
      </c>
      <c r="Y104" s="101">
        <f>SUMIFS(Xero!$F:$F,Xero!$B:$B,Heron!Y$9,Xero!$A:$A,Heron!$A$4,Xero!$E:$E,Heron!$A104)+SUMIFS(Xero!$F:$F,Xero!$B:$B,Heron!Y$9,Xero!$A:$A,Heron!$A$5,Xero!$E:$E,Heron!$A104)</f>
        <v/>
      </c>
      <c r="Z104" s="101">
        <f>SUMIFS(Xero!$F:$F,Xero!$B:$B,Heron!Z$9,Xero!$A:$A,Heron!$A$4,Xero!$E:$E,Heron!$A104)+SUMIFS(Xero!$F:$F,Xero!$B:$B,Heron!Z$9,Xero!$A:$A,Heron!$A$5,Xero!$E:$E,Heron!$A104)</f>
        <v/>
      </c>
      <c r="AA104" s="101">
        <f>SUMIFS(Xero!$F:$F,Xero!$B:$B,Heron!AA$9,Xero!$A:$A,Heron!$A$4,Xero!$E:$E,Heron!$A104)+SUMIFS(Xero!$F:$F,Xero!$B:$B,Heron!AA$9,Xero!$A:$A,Heron!$A$5,Xero!$E:$E,Heron!$A104)</f>
        <v/>
      </c>
      <c r="AB104" s="101">
        <f>SUMIFS(Xero!$F:$F,Xero!$B:$B,Heron!AB$9,Xero!$A:$A,Heron!$A$4,Xero!$E:$E,Heron!$A104)+SUMIFS(Xero!$F:$F,Xero!$B:$B,Heron!AB$9,Xero!$A:$A,Heron!$A$5,Xero!$E:$E,Heron!$A104)</f>
        <v/>
      </c>
      <c r="AC104" s="101">
        <f>SUMIFS(Xero!$F:$F,Xero!$B:$B,Heron!AC$9,Xero!$A:$A,Heron!$A$4,Xero!$E:$E,Heron!$A104)+SUMIFS(Xero!$F:$F,Xero!$B:$B,Heron!AC$9,Xero!$A:$A,Heron!$A$5,Xero!$E:$E,Heron!$A104)</f>
        <v/>
      </c>
      <c r="AD104" s="101">
        <f>SUMIFS(Xero!$F:$F,Xero!$B:$B,Heron!AD$9,Xero!$A:$A,Heron!$A$4,Xero!$E:$E,Heron!$A104)+SUMIFS(Xero!$F:$F,Xero!$B:$B,Heron!AD$9,Xero!$A:$A,Heron!$A$5,Xero!$E:$E,Heron!$A104)</f>
        <v/>
      </c>
      <c r="AE104" s="101">
        <f>SUMIFS(Xero!$F:$F,Xero!$B:$B,Heron!AE$9,Xero!$A:$A,Heron!$A$4,Xero!$E:$E,Heron!$A104)+SUMIFS(Xero!$F:$F,Xero!$B:$B,Heron!AE$9,Xero!$A:$A,Heron!$A$5,Xero!$E:$E,Heron!$A104)</f>
        <v/>
      </c>
      <c r="AF104" s="101">
        <f>SUMIFS(Xero!$F:$F,Xero!$B:$B,Heron!AF$9,Xero!$A:$A,Heron!$A$4,Xero!$E:$E,Heron!$A104)+SUMIFS(Xero!$F:$F,Xero!$B:$B,Heron!AF$9,Xero!$A:$A,Heron!$A$5,Xero!$E:$E,Heron!$A104)</f>
        <v/>
      </c>
      <c r="AG104" s="101">
        <f>SUMIFS(Xero!$F:$F,Xero!$B:$B,Heron!AG$9,Xero!$A:$A,Heron!$A$4,Xero!$E:$E,Heron!$A104)+SUMIFS(Xero!$F:$F,Xero!$B:$B,Heron!AG$9,Xero!$A:$A,Heron!$A$5,Xero!$E:$E,Heron!$A104)</f>
        <v/>
      </c>
      <c r="AH104" s="101">
        <f>SUMIFS(Xero!$F:$F,Xero!$B:$B,Heron!AH$9,Xero!$A:$A,Heron!$A$4,Xero!$E:$E,Heron!$A104)+SUMIFS(Xero!$F:$F,Xero!$B:$B,Heron!AH$9,Xero!$A:$A,Heron!$A$5,Xero!$E:$E,Heron!$A104)</f>
        <v/>
      </c>
      <c r="AI104" s="101">
        <f>SUMIFS(Xero!$F:$F,Xero!$B:$B,Heron!AI$9,Xero!$A:$A,Heron!$A$4,Xero!$E:$E,Heron!$A104)+SUMIFS(Xero!$F:$F,Xero!$B:$B,Heron!AI$9,Xero!$A:$A,Heron!$A$5,Xero!$E:$E,Heron!$A104)</f>
        <v/>
      </c>
      <c r="AJ104" s="101">
        <f>SUMIFS(Xero!$F:$F,Xero!$B:$B,Heron!AJ$9,Xero!$A:$A,Heron!$A$4,Xero!$E:$E,Heron!$A104)+SUMIFS(Xero!$F:$F,Xero!$B:$B,Heron!AJ$9,Xero!$A:$A,Heron!$A$5,Xero!$E:$E,Heron!$A104)</f>
        <v/>
      </c>
      <c r="AK104" s="101">
        <f>SUMIFS(Xero!$F:$F,Xero!$B:$B,Heron!AK$9,Xero!$A:$A,Heron!$A$4,Xero!$E:$E,Heron!$A104)+SUMIFS(Xero!$F:$F,Xero!$B:$B,Heron!AK$9,Xero!$A:$A,Heron!$A$5,Xero!$E:$E,Heron!$A104)</f>
        <v/>
      </c>
      <c r="AL104" s="101">
        <f>SUMIFS(Xero!$F:$F,Xero!$B:$B,Heron!AL$9,Xero!$A:$A,Heron!$A$4,Xero!$E:$E,Heron!$A104)+SUMIFS(Xero!$F:$F,Xero!$B:$B,Heron!AL$9,Xero!$A:$A,Heron!$A$5,Xero!$E:$E,Heron!$A104)</f>
        <v/>
      </c>
      <c r="AM104" s="101">
        <f>SUMIFS(Xero!$F:$F,Xero!$B:$B,Heron!AM$9,Xero!$A:$A,Heron!$A$4,Xero!$E:$E,Heron!$A104)+SUMIFS(Xero!$F:$F,Xero!$B:$B,Heron!AM$9,Xero!$A:$A,Heron!$A$5,Xero!$E:$E,Heron!$A104)</f>
        <v/>
      </c>
      <c r="AN104" s="101">
        <f>SUMIFS(Xero!$F:$F,Xero!$B:$B,Heron!AN$9,Xero!$A:$A,Heron!$A$4,Xero!$E:$E,Heron!$A104)+SUMIFS(Xero!$F:$F,Xero!$B:$B,Heron!AN$9,Xero!$A:$A,Heron!$A$5,Xero!$E:$E,Heron!$A104)</f>
        <v/>
      </c>
      <c r="AO104" s="101">
        <f>SUMIFS(Xero!$F:$F,Xero!$B:$B,Heron!AO$9,Xero!$A:$A,Heron!$A$4,Xero!$E:$E,Heron!$A104)+SUMIFS(Xero!$F:$F,Xero!$B:$B,Heron!AO$9,Xero!$A:$A,Heron!$A$5,Xero!$E:$E,Heron!$A104)</f>
        <v/>
      </c>
      <c r="AP104" s="101">
        <f>SUMIFS(Xero!$F:$F,Xero!$B:$B,Heron!AP$9,Xero!$A:$A,Heron!$A$4,Xero!$E:$E,Heron!$A104)+SUMIFS(Xero!$F:$F,Xero!$B:$B,Heron!AP$9,Xero!$A:$A,Heron!$A$5,Xero!$E:$E,Heron!$A104)</f>
        <v/>
      </c>
      <c r="AQ104" s="101">
        <f>SUMIFS(Xero!$F:$F,Xero!$B:$B,Heron!AQ$9,Xero!$A:$A,Heron!$A$4,Xero!$E:$E,Heron!$A104)+SUMIFS(Xero!$F:$F,Xero!$B:$B,Heron!AQ$9,Xero!$A:$A,Heron!$A$5,Xero!$E:$E,Heron!$A104)</f>
        <v/>
      </c>
      <c r="AR104" s="101">
        <f>SUMIFS(Xero!$F:$F,Xero!$B:$B,Heron!AR$9,Xero!$A:$A,Heron!$A$4,Xero!$E:$E,Heron!$A104)+SUMIFS(Xero!$F:$F,Xero!$B:$B,Heron!AR$9,Xero!$A:$A,Heron!$A$5,Xero!$E:$E,Heron!$A104)</f>
        <v/>
      </c>
      <c r="AS104" s="101">
        <f>SUMIFS(Xero!$F:$F,Xero!$B:$B,Heron!AS$9,Xero!$A:$A,Heron!$A$4,Xero!$E:$E,Heron!$A104)+SUMIFS(Xero!$F:$F,Xero!$B:$B,Heron!AS$9,Xero!$A:$A,Heron!$A$5,Xero!$E:$E,Heron!$A104)</f>
        <v/>
      </c>
      <c r="AT104" s="101">
        <f>SUMIFS(Xero!$F:$F,Xero!$B:$B,Heron!AT$9,Xero!$A:$A,Heron!$A$4,Xero!$E:$E,Heron!$A104)+SUMIFS(Xero!$F:$F,Xero!$B:$B,Heron!AT$9,Xero!$A:$A,Heron!$A$5,Xero!$E:$E,Heron!$A104)</f>
        <v/>
      </c>
      <c r="AU104" s="101">
        <f>SUMIFS(Xero!$F:$F,Xero!$B:$B,Heron!AU$9,Xero!$A:$A,Heron!$A$4,Xero!$E:$E,Heron!$A104)+SUMIFS(Xero!$F:$F,Xero!$B:$B,Heron!AU$9,Xero!$A:$A,Heron!$A$5,Xero!$E:$E,Heron!$A104)</f>
        <v/>
      </c>
      <c r="AV104" s="101">
        <f>SUMIFS(Xero!$F:$F,Xero!$B:$B,Heron!AV$9,Xero!$A:$A,Heron!$A$4,Xero!$E:$E,Heron!$A104)+SUMIFS(Xero!$F:$F,Xero!$B:$B,Heron!AV$9,Xero!$A:$A,Heron!$A$5,Xero!$E:$E,Heron!$A104)</f>
        <v/>
      </c>
      <c r="AW104" s="101">
        <f>SUMIFS(Xero!$F:$F,Xero!$B:$B,Heron!AW$9,Xero!$A:$A,Heron!$A$4,Xero!$E:$E,Heron!$A104)+SUMIFS(Xero!$F:$F,Xero!$B:$B,Heron!AW$9,Xero!$A:$A,Heron!$A$5,Xero!$E:$E,Heron!$A104)</f>
        <v/>
      </c>
      <c r="AX104" s="101">
        <f>SUMIFS(Xero!$F:$F,Xero!$B:$B,Heron!AX$9,Xero!$A:$A,Heron!$A$4,Xero!$E:$E,Heron!$A104)+SUMIFS(Xero!$F:$F,Xero!$B:$B,Heron!AX$9,Xero!$A:$A,Heron!$A$5,Xero!$E:$E,Heron!$A104)</f>
        <v/>
      </c>
      <c r="AY104" s="101">
        <f>SUMIFS(Xero!$F:$F,Xero!$B:$B,Heron!AY$9,Xero!$A:$A,Heron!$A$4,Xero!$E:$E,Heron!$A104)+SUMIFS(Xero!$F:$F,Xero!$B:$B,Heron!AY$9,Xero!$A:$A,Heron!$A$5,Xero!$E:$E,Heron!$A104)</f>
        <v/>
      </c>
      <c r="AZ104" s="101">
        <f>SUMIFS(Xero!$F:$F,Xero!$B:$B,Heron!AZ$9,Xero!$A:$A,Heron!$A$4,Xero!$E:$E,Heron!$A104)+SUMIFS(Xero!$F:$F,Xero!$B:$B,Heron!AZ$9,Xero!$A:$A,Heron!$A$5,Xero!$E:$E,Heron!$A104)</f>
        <v/>
      </c>
      <c r="BA104" s="101">
        <f>SUMIFS(Xero!$F:$F,Xero!$B:$B,Heron!BA$9,Xero!$A:$A,Heron!$A$4,Xero!$E:$E,Heron!$A104)+SUMIFS(Xero!$F:$F,Xero!$B:$B,Heron!BA$9,Xero!$A:$A,Heron!$A$5,Xero!$E:$E,Heron!$A104)</f>
        <v/>
      </c>
      <c r="BB104" s="101">
        <f>SUMIFS(Xero!$F:$F,Xero!$B:$B,Heron!BB$9,Xero!$A:$A,Heron!$A$4,Xero!$E:$E,Heron!$A104)+SUMIFS(Xero!$F:$F,Xero!$B:$B,Heron!BB$9,Xero!$A:$A,Heron!$A$5,Xero!$E:$E,Heron!$A104)</f>
        <v/>
      </c>
      <c r="BC104" s="101">
        <f>SUMIFS(Xero!$F:$F,Xero!$B:$B,Heron!BC$9,Xero!$A:$A,Heron!$A$4,Xero!$E:$E,Heron!$A104)+SUMIFS(Xero!$F:$F,Xero!$B:$B,Heron!BC$9,Xero!$A:$A,Heron!$A$5,Xero!$E:$E,Heron!$A104)</f>
        <v/>
      </c>
      <c r="BD104" s="101">
        <f>SUMIFS(Xero!$F:$F,Xero!$B:$B,Heron!BD$9,Xero!$A:$A,Heron!$A$4,Xero!$E:$E,Heron!$A104)+SUMIFS(Xero!$F:$F,Xero!$B:$B,Heron!BD$9,Xero!$A:$A,Heron!$A$5,Xero!$E:$E,Heron!$A104)</f>
        <v/>
      </c>
      <c r="BE104" s="101">
        <f>SUMIFS(Xero!$F:$F,Xero!$B:$B,Heron!BE$9,Xero!$A:$A,Heron!$A$4,Xero!$E:$E,Heron!$A104)+SUMIFS(Xero!$F:$F,Xero!$B:$B,Heron!BE$9,Xero!$A:$A,Heron!$A$5,Xero!$E:$E,Heron!$A104)</f>
        <v/>
      </c>
      <c r="BF104" s="101">
        <f>SUMIFS(Xero!$F:$F,Xero!$B:$B,Heron!BF$9,Xero!$A:$A,Heron!$A$4,Xero!$E:$E,Heron!$A104)+SUMIFS(Xero!$F:$F,Xero!$B:$B,Heron!BF$9,Xero!$A:$A,Heron!$A$5,Xero!$E:$E,Heron!$A104)</f>
        <v/>
      </c>
      <c r="BG104" s="101">
        <f>SUMIFS(Xero!$F:$F,Xero!$B:$B,Heron!BG$9,Xero!$A:$A,Heron!$A$4,Xero!$E:$E,Heron!$A104)+SUMIFS(Xero!$F:$F,Xero!$B:$B,Heron!BG$9,Xero!$A:$A,Heron!$A$5,Xero!$E:$E,Heron!$A104)</f>
        <v/>
      </c>
      <c r="BH104" s="101">
        <f>SUMIFS(Xero!$F:$F,Xero!$B:$B,Heron!BH$9,Xero!$A:$A,Heron!$A$4,Xero!$E:$E,Heron!$A104)+SUMIFS(Xero!$F:$F,Xero!$B:$B,Heron!BH$9,Xero!$A:$A,Heron!$A$5,Xero!$E:$E,Heron!$A104)</f>
        <v/>
      </c>
      <c r="BI104" s="101">
        <f>SUMIFS(Xero!$F:$F,Xero!$B:$B,Heron!BI$9,Xero!$A:$A,Heron!$A$4,Xero!$E:$E,Heron!$A104)+SUMIFS(Xero!$F:$F,Xero!$B:$B,Heron!BI$9,Xero!$A:$A,Heron!$A$5,Xero!$E:$E,Heron!$A104)</f>
        <v/>
      </c>
      <c r="BJ104" s="101">
        <f>SUMIFS(Xero!$F:$F,Xero!$B:$B,Heron!BJ$9,Xero!$A:$A,Heron!$A$4,Xero!$E:$E,Heron!$A104)+SUMIFS(Xero!$F:$F,Xero!$B:$B,Heron!BJ$9,Xero!$A:$A,Heron!$A$5,Xero!$E:$E,Heron!$A104)</f>
        <v/>
      </c>
      <c r="BK104" s="101">
        <f>sum(D104:BJ104)</f>
        <v/>
      </c>
    </row>
    <row r="105">
      <c r="A105" s="100" t="inlineStr">
        <is>
          <t>Heron View Land</t>
        </is>
      </c>
      <c r="D105" s="101">
        <f>SUMIFS(Xero!$F:$F,Xero!$B:$B,Heron!D$9,Xero!$A:$A,Heron!$A$4,Xero!$E:$E,Heron!$A105)+SUMIFS(Xero!$F:$F,Xero!$B:$B,Heron!D$9,Xero!$A:$A,Heron!$A$5,Xero!$E:$E,Heron!$A105)</f>
        <v/>
      </c>
      <c r="E105" s="101">
        <f>SUMIFS(Xero!$F:$F,Xero!$B:$B,Heron!E$9,Xero!$A:$A,Heron!$A$4,Xero!$E:$E,Heron!$A105)+SUMIFS(Xero!$F:$F,Xero!$B:$B,Heron!E$9,Xero!$A:$A,Heron!$A$5,Xero!$E:$E,Heron!$A105)</f>
        <v/>
      </c>
      <c r="F105" s="101">
        <f>SUMIFS(Xero!$F:$F,Xero!$B:$B,Heron!F$9,Xero!$A:$A,Heron!$A$4,Xero!$E:$E,Heron!$A105)+SUMIFS(Xero!$F:$F,Xero!$B:$B,Heron!F$9,Xero!$A:$A,Heron!$A$5,Xero!$E:$E,Heron!$A105)</f>
        <v/>
      </c>
      <c r="G105" s="101">
        <f>SUMIFS(Xero!$F:$F,Xero!$B:$B,Heron!G$9,Xero!$A:$A,Heron!$A$4,Xero!$E:$E,Heron!$A105)+SUMIFS(Xero!$F:$F,Xero!$B:$B,Heron!G$9,Xero!$A:$A,Heron!$A$5,Xero!$E:$E,Heron!$A105)</f>
        <v/>
      </c>
      <c r="H105" s="101">
        <f>SUMIFS(Xero!$F:$F,Xero!$B:$B,Heron!H$9,Xero!$A:$A,Heron!$A$4,Xero!$E:$E,Heron!$A105)+SUMIFS(Xero!$F:$F,Xero!$B:$B,Heron!H$9,Xero!$A:$A,Heron!$A$5,Xero!$E:$E,Heron!$A105)</f>
        <v/>
      </c>
      <c r="I105" s="101">
        <f>SUMIFS(Xero!$F:$F,Xero!$B:$B,Heron!I$9,Xero!$A:$A,Heron!$A$4,Xero!$E:$E,Heron!$A105)+SUMIFS(Xero!$F:$F,Xero!$B:$B,Heron!I$9,Xero!$A:$A,Heron!$A$5,Xero!$E:$E,Heron!$A105)</f>
        <v/>
      </c>
      <c r="J105" s="101">
        <f>SUMIFS(Xero!$F:$F,Xero!$B:$B,Heron!J$9,Xero!$A:$A,Heron!$A$4,Xero!$E:$E,Heron!$A105)+SUMIFS(Xero!$F:$F,Xero!$B:$B,Heron!J$9,Xero!$A:$A,Heron!$A$5,Xero!$E:$E,Heron!$A105)</f>
        <v/>
      </c>
      <c r="K105" s="101">
        <f>SUMIFS(Xero!$F:$F,Xero!$B:$B,Heron!K$9,Xero!$A:$A,Heron!$A$4,Xero!$E:$E,Heron!$A105)+SUMIFS(Xero!$F:$F,Xero!$B:$B,Heron!K$9,Xero!$A:$A,Heron!$A$5,Xero!$E:$E,Heron!$A105)</f>
        <v/>
      </c>
      <c r="L105" s="101">
        <f>SUMIFS(Xero!$F:$F,Xero!$B:$B,Heron!L$9,Xero!$A:$A,Heron!$A$4,Xero!$E:$E,Heron!$A105)+SUMIFS(Xero!$F:$F,Xero!$B:$B,Heron!L$9,Xero!$A:$A,Heron!$A$5,Xero!$E:$E,Heron!$A105)</f>
        <v/>
      </c>
      <c r="M105" s="101">
        <f>SUMIFS(Xero!$F:$F,Xero!$B:$B,Heron!M$9,Xero!$A:$A,Heron!$A$4,Xero!$E:$E,Heron!$A105)+SUMIFS(Xero!$F:$F,Xero!$B:$B,Heron!M$9,Xero!$A:$A,Heron!$A$5,Xero!$E:$E,Heron!$A105)</f>
        <v/>
      </c>
      <c r="N105" s="101">
        <f>SUMIFS(Xero!$F:$F,Xero!$B:$B,Heron!N$9,Xero!$A:$A,Heron!$A$4,Xero!$E:$E,Heron!$A105)+SUMIFS(Xero!$F:$F,Xero!$B:$B,Heron!N$9,Xero!$A:$A,Heron!$A$5,Xero!$E:$E,Heron!$A105)</f>
        <v/>
      </c>
      <c r="O105" s="101">
        <f>SUMIFS(Xero!$F:$F,Xero!$B:$B,Heron!O$9,Xero!$A:$A,Heron!$A$4,Xero!$E:$E,Heron!$A105)+SUMIFS(Xero!$F:$F,Xero!$B:$B,Heron!O$9,Xero!$A:$A,Heron!$A$5,Xero!$E:$E,Heron!$A105)</f>
        <v/>
      </c>
      <c r="P105" s="101">
        <f>SUMIFS(Xero!$F:$F,Xero!$B:$B,Heron!P$9,Xero!$A:$A,Heron!$A$4,Xero!$E:$E,Heron!$A105)+SUMIFS(Xero!$F:$F,Xero!$B:$B,Heron!P$9,Xero!$A:$A,Heron!$A$5,Xero!$E:$E,Heron!$A105)</f>
        <v/>
      </c>
      <c r="Q105" s="101">
        <f>SUMIFS(Xero!$F:$F,Xero!$B:$B,Heron!Q$9,Xero!$A:$A,Heron!$A$4,Xero!$E:$E,Heron!$A105)+SUMIFS(Xero!$F:$F,Xero!$B:$B,Heron!Q$9,Xero!$A:$A,Heron!$A$5,Xero!$E:$E,Heron!$A105)</f>
        <v/>
      </c>
      <c r="R105" s="101">
        <f>SUMIFS(Xero!$F:$F,Xero!$B:$B,Heron!R$9,Xero!$A:$A,Heron!$A$4,Xero!$E:$E,Heron!$A105)+SUMIFS(Xero!$F:$F,Xero!$B:$B,Heron!R$9,Xero!$A:$A,Heron!$A$5,Xero!$E:$E,Heron!$A105)</f>
        <v/>
      </c>
      <c r="S105" s="101">
        <f>SUMIFS(Xero!$F:$F,Xero!$B:$B,Heron!S$9,Xero!$A:$A,Heron!$A$4,Xero!$E:$E,Heron!$A105)+SUMIFS(Xero!$F:$F,Xero!$B:$B,Heron!S$9,Xero!$A:$A,Heron!$A$5,Xero!$E:$E,Heron!$A105)</f>
        <v/>
      </c>
      <c r="T105" s="101">
        <f>SUMIFS(Xero!$F:$F,Xero!$B:$B,Heron!T$9,Xero!$A:$A,Heron!$A$4,Xero!$E:$E,Heron!$A105)+SUMIFS(Xero!$F:$F,Xero!$B:$B,Heron!T$9,Xero!$A:$A,Heron!$A$5,Xero!$E:$E,Heron!$A105)</f>
        <v/>
      </c>
      <c r="U105" s="101">
        <f>SUMIFS(Xero!$F:$F,Xero!$B:$B,Heron!U$9,Xero!$A:$A,Heron!$A$4,Xero!$E:$E,Heron!$A105)+SUMIFS(Xero!$F:$F,Xero!$B:$B,Heron!U$9,Xero!$A:$A,Heron!$A$5,Xero!$E:$E,Heron!$A105)</f>
        <v/>
      </c>
      <c r="V105" s="101">
        <f>SUMIFS(Xero!$F:$F,Xero!$B:$B,Heron!V$9,Xero!$A:$A,Heron!$A$4,Xero!$E:$E,Heron!$A105)+SUMIFS(Xero!$F:$F,Xero!$B:$B,Heron!V$9,Xero!$A:$A,Heron!$A$5,Xero!$E:$E,Heron!$A105)</f>
        <v/>
      </c>
      <c r="W105" s="101">
        <f>SUMIFS(Xero!$F:$F,Xero!$B:$B,Heron!W$9,Xero!$A:$A,Heron!$A$4,Xero!$E:$E,Heron!$A105)+SUMIFS(Xero!$F:$F,Xero!$B:$B,Heron!W$9,Xero!$A:$A,Heron!$A$5,Xero!$E:$E,Heron!$A105)</f>
        <v/>
      </c>
      <c r="X105" s="101">
        <f>SUMIFS(Xero!$F:$F,Xero!$B:$B,Heron!X$9,Xero!$A:$A,Heron!$A$4,Xero!$E:$E,Heron!$A105)+SUMIFS(Xero!$F:$F,Xero!$B:$B,Heron!X$9,Xero!$A:$A,Heron!$A$5,Xero!$E:$E,Heron!$A105)</f>
        <v/>
      </c>
      <c r="Y105" s="101">
        <f>SUMIFS(Xero!$F:$F,Xero!$B:$B,Heron!Y$9,Xero!$A:$A,Heron!$A$4,Xero!$E:$E,Heron!$A105)+SUMIFS(Xero!$F:$F,Xero!$B:$B,Heron!Y$9,Xero!$A:$A,Heron!$A$5,Xero!$E:$E,Heron!$A105)</f>
        <v/>
      </c>
      <c r="Z105" s="101">
        <f>SUMIFS(Xero!$F:$F,Xero!$B:$B,Heron!Z$9,Xero!$A:$A,Heron!$A$4,Xero!$E:$E,Heron!$A105)+SUMIFS(Xero!$F:$F,Xero!$B:$B,Heron!Z$9,Xero!$A:$A,Heron!$A$5,Xero!$E:$E,Heron!$A105)</f>
        <v/>
      </c>
      <c r="AA105" s="101">
        <f>SUMIFS(Xero!$F:$F,Xero!$B:$B,Heron!AA$9,Xero!$A:$A,Heron!$A$4,Xero!$E:$E,Heron!$A105)+SUMIFS(Xero!$F:$F,Xero!$B:$B,Heron!AA$9,Xero!$A:$A,Heron!$A$5,Xero!$E:$E,Heron!$A105)</f>
        <v/>
      </c>
      <c r="AB105" s="101">
        <f>SUMIFS(Xero!$F:$F,Xero!$B:$B,Heron!AB$9,Xero!$A:$A,Heron!$A$4,Xero!$E:$E,Heron!$A105)+SUMIFS(Xero!$F:$F,Xero!$B:$B,Heron!AB$9,Xero!$A:$A,Heron!$A$5,Xero!$E:$E,Heron!$A105)</f>
        <v/>
      </c>
      <c r="AC105" s="101">
        <f>SUMIFS(Xero!$F:$F,Xero!$B:$B,Heron!AC$9,Xero!$A:$A,Heron!$A$4,Xero!$E:$E,Heron!$A105)+SUMIFS(Xero!$F:$F,Xero!$B:$B,Heron!AC$9,Xero!$A:$A,Heron!$A$5,Xero!$E:$E,Heron!$A105)</f>
        <v/>
      </c>
      <c r="AD105" s="101">
        <f>SUMIFS(Xero!$F:$F,Xero!$B:$B,Heron!AD$9,Xero!$A:$A,Heron!$A$4,Xero!$E:$E,Heron!$A105)+SUMIFS(Xero!$F:$F,Xero!$B:$B,Heron!AD$9,Xero!$A:$A,Heron!$A$5,Xero!$E:$E,Heron!$A105)</f>
        <v/>
      </c>
      <c r="AE105" s="101">
        <f>SUMIFS(Xero!$F:$F,Xero!$B:$B,Heron!AE$9,Xero!$A:$A,Heron!$A$4,Xero!$E:$E,Heron!$A105)+SUMIFS(Xero!$F:$F,Xero!$B:$B,Heron!AE$9,Xero!$A:$A,Heron!$A$5,Xero!$E:$E,Heron!$A105)</f>
        <v/>
      </c>
      <c r="AF105" s="101">
        <f>SUMIFS(Xero!$F:$F,Xero!$B:$B,Heron!AF$9,Xero!$A:$A,Heron!$A$4,Xero!$E:$E,Heron!$A105)+SUMIFS(Xero!$F:$F,Xero!$B:$B,Heron!AF$9,Xero!$A:$A,Heron!$A$5,Xero!$E:$E,Heron!$A105)</f>
        <v/>
      </c>
      <c r="AG105" s="101">
        <f>SUMIFS(Xero!$F:$F,Xero!$B:$B,Heron!AG$9,Xero!$A:$A,Heron!$A$4,Xero!$E:$E,Heron!$A105)+SUMIFS(Xero!$F:$F,Xero!$B:$B,Heron!AG$9,Xero!$A:$A,Heron!$A$5,Xero!$E:$E,Heron!$A105)</f>
        <v/>
      </c>
      <c r="AH105" s="101">
        <f>SUMIFS(Xero!$F:$F,Xero!$B:$B,Heron!AH$9,Xero!$A:$A,Heron!$A$4,Xero!$E:$E,Heron!$A105)+SUMIFS(Xero!$F:$F,Xero!$B:$B,Heron!AH$9,Xero!$A:$A,Heron!$A$5,Xero!$E:$E,Heron!$A105)</f>
        <v/>
      </c>
      <c r="AI105" s="101">
        <f>SUMIFS(Xero!$F:$F,Xero!$B:$B,Heron!AI$9,Xero!$A:$A,Heron!$A$4,Xero!$E:$E,Heron!$A105)+SUMIFS(Xero!$F:$F,Xero!$B:$B,Heron!AI$9,Xero!$A:$A,Heron!$A$5,Xero!$E:$E,Heron!$A105)</f>
        <v/>
      </c>
      <c r="AJ105" s="101">
        <f>SUMIFS(Xero!$F:$F,Xero!$B:$B,Heron!AJ$9,Xero!$A:$A,Heron!$A$4,Xero!$E:$E,Heron!$A105)+SUMIFS(Xero!$F:$F,Xero!$B:$B,Heron!AJ$9,Xero!$A:$A,Heron!$A$5,Xero!$E:$E,Heron!$A105)</f>
        <v/>
      </c>
      <c r="AK105" s="101">
        <f>SUMIFS(Xero!$F:$F,Xero!$B:$B,Heron!AK$9,Xero!$A:$A,Heron!$A$4,Xero!$E:$E,Heron!$A105)+SUMIFS(Xero!$F:$F,Xero!$B:$B,Heron!AK$9,Xero!$A:$A,Heron!$A$5,Xero!$E:$E,Heron!$A105)</f>
        <v/>
      </c>
      <c r="AL105" s="101">
        <f>SUMIFS(Xero!$F:$F,Xero!$B:$B,Heron!AL$9,Xero!$A:$A,Heron!$A$4,Xero!$E:$E,Heron!$A105)+SUMIFS(Xero!$F:$F,Xero!$B:$B,Heron!AL$9,Xero!$A:$A,Heron!$A$5,Xero!$E:$E,Heron!$A105)</f>
        <v/>
      </c>
      <c r="AM105" s="101">
        <f>SUMIFS(Xero!$F:$F,Xero!$B:$B,Heron!AM$9,Xero!$A:$A,Heron!$A$4,Xero!$E:$E,Heron!$A105)+SUMIFS(Xero!$F:$F,Xero!$B:$B,Heron!AM$9,Xero!$A:$A,Heron!$A$5,Xero!$E:$E,Heron!$A105)</f>
        <v/>
      </c>
      <c r="AN105" s="101">
        <f>SUMIFS(Xero!$F:$F,Xero!$B:$B,Heron!AN$9,Xero!$A:$A,Heron!$A$4,Xero!$E:$E,Heron!$A105)+SUMIFS(Xero!$F:$F,Xero!$B:$B,Heron!AN$9,Xero!$A:$A,Heron!$A$5,Xero!$E:$E,Heron!$A105)</f>
        <v/>
      </c>
      <c r="AO105" s="101">
        <f>SUMIFS(Xero!$F:$F,Xero!$B:$B,Heron!AO$9,Xero!$A:$A,Heron!$A$4,Xero!$E:$E,Heron!$A105)+SUMIFS(Xero!$F:$F,Xero!$B:$B,Heron!AO$9,Xero!$A:$A,Heron!$A$5,Xero!$E:$E,Heron!$A105)</f>
        <v/>
      </c>
      <c r="AP105" s="101">
        <f>SUMIFS(Xero!$F:$F,Xero!$B:$B,Heron!AP$9,Xero!$A:$A,Heron!$A$4,Xero!$E:$E,Heron!$A105)+SUMIFS(Xero!$F:$F,Xero!$B:$B,Heron!AP$9,Xero!$A:$A,Heron!$A$5,Xero!$E:$E,Heron!$A105)</f>
        <v/>
      </c>
      <c r="AQ105" s="101">
        <f>SUMIFS(Xero!$F:$F,Xero!$B:$B,Heron!AQ$9,Xero!$A:$A,Heron!$A$4,Xero!$E:$E,Heron!$A105)+SUMIFS(Xero!$F:$F,Xero!$B:$B,Heron!AQ$9,Xero!$A:$A,Heron!$A$5,Xero!$E:$E,Heron!$A105)</f>
        <v/>
      </c>
      <c r="AR105" s="101">
        <f>SUMIFS(Xero!$F:$F,Xero!$B:$B,Heron!AR$9,Xero!$A:$A,Heron!$A$4,Xero!$E:$E,Heron!$A105)+SUMIFS(Xero!$F:$F,Xero!$B:$B,Heron!AR$9,Xero!$A:$A,Heron!$A$5,Xero!$E:$E,Heron!$A105)</f>
        <v/>
      </c>
      <c r="AS105" s="101">
        <f>SUMIFS(Xero!$F:$F,Xero!$B:$B,Heron!AS$9,Xero!$A:$A,Heron!$A$4,Xero!$E:$E,Heron!$A105)+SUMIFS(Xero!$F:$F,Xero!$B:$B,Heron!AS$9,Xero!$A:$A,Heron!$A$5,Xero!$E:$E,Heron!$A105)</f>
        <v/>
      </c>
      <c r="AT105" s="101">
        <f>SUMIFS(Xero!$F:$F,Xero!$B:$B,Heron!AT$9,Xero!$A:$A,Heron!$A$4,Xero!$E:$E,Heron!$A105)+SUMIFS(Xero!$F:$F,Xero!$B:$B,Heron!AT$9,Xero!$A:$A,Heron!$A$5,Xero!$E:$E,Heron!$A105)</f>
        <v/>
      </c>
      <c r="AU105" s="101">
        <f>SUMIFS(Xero!$F:$F,Xero!$B:$B,Heron!AU$9,Xero!$A:$A,Heron!$A$4,Xero!$E:$E,Heron!$A105)+SUMIFS(Xero!$F:$F,Xero!$B:$B,Heron!AU$9,Xero!$A:$A,Heron!$A$5,Xero!$E:$E,Heron!$A105)</f>
        <v/>
      </c>
      <c r="AV105" s="101">
        <f>SUMIFS(Xero!$F:$F,Xero!$B:$B,Heron!AV$9,Xero!$A:$A,Heron!$A$4,Xero!$E:$E,Heron!$A105)+SUMIFS(Xero!$F:$F,Xero!$B:$B,Heron!AV$9,Xero!$A:$A,Heron!$A$5,Xero!$E:$E,Heron!$A105)</f>
        <v/>
      </c>
      <c r="AW105" s="101">
        <f>SUMIFS(Xero!$F:$F,Xero!$B:$B,Heron!AW$9,Xero!$A:$A,Heron!$A$4,Xero!$E:$E,Heron!$A105)+SUMIFS(Xero!$F:$F,Xero!$B:$B,Heron!AW$9,Xero!$A:$A,Heron!$A$5,Xero!$E:$E,Heron!$A105)</f>
        <v/>
      </c>
      <c r="AX105" s="101">
        <f>SUMIFS(Xero!$F:$F,Xero!$B:$B,Heron!AX$9,Xero!$A:$A,Heron!$A$4,Xero!$E:$E,Heron!$A105)+SUMIFS(Xero!$F:$F,Xero!$B:$B,Heron!AX$9,Xero!$A:$A,Heron!$A$5,Xero!$E:$E,Heron!$A105)</f>
        <v/>
      </c>
      <c r="AY105" s="101">
        <f>SUMIFS(Xero!$F:$F,Xero!$B:$B,Heron!AY$9,Xero!$A:$A,Heron!$A$4,Xero!$E:$E,Heron!$A105)+SUMIFS(Xero!$F:$F,Xero!$B:$B,Heron!AY$9,Xero!$A:$A,Heron!$A$5,Xero!$E:$E,Heron!$A105)</f>
        <v/>
      </c>
      <c r="AZ105" s="101">
        <f>SUMIFS(Xero!$F:$F,Xero!$B:$B,Heron!AZ$9,Xero!$A:$A,Heron!$A$4,Xero!$E:$E,Heron!$A105)+SUMIFS(Xero!$F:$F,Xero!$B:$B,Heron!AZ$9,Xero!$A:$A,Heron!$A$5,Xero!$E:$E,Heron!$A105)</f>
        <v/>
      </c>
      <c r="BA105" s="101">
        <f>SUMIFS(Xero!$F:$F,Xero!$B:$B,Heron!BA$9,Xero!$A:$A,Heron!$A$4,Xero!$E:$E,Heron!$A105)+SUMIFS(Xero!$F:$F,Xero!$B:$B,Heron!BA$9,Xero!$A:$A,Heron!$A$5,Xero!$E:$E,Heron!$A105)</f>
        <v/>
      </c>
      <c r="BB105" s="101">
        <f>SUMIFS(Xero!$F:$F,Xero!$B:$B,Heron!BB$9,Xero!$A:$A,Heron!$A$4,Xero!$E:$E,Heron!$A105)+SUMIFS(Xero!$F:$F,Xero!$B:$B,Heron!BB$9,Xero!$A:$A,Heron!$A$5,Xero!$E:$E,Heron!$A105)</f>
        <v/>
      </c>
      <c r="BC105" s="101">
        <f>SUMIFS(Xero!$F:$F,Xero!$B:$B,Heron!BC$9,Xero!$A:$A,Heron!$A$4,Xero!$E:$E,Heron!$A105)+SUMIFS(Xero!$F:$F,Xero!$B:$B,Heron!BC$9,Xero!$A:$A,Heron!$A$5,Xero!$E:$E,Heron!$A105)</f>
        <v/>
      </c>
      <c r="BD105" s="101">
        <f>SUMIFS(Xero!$F:$F,Xero!$B:$B,Heron!BD$9,Xero!$A:$A,Heron!$A$4,Xero!$E:$E,Heron!$A105)+SUMIFS(Xero!$F:$F,Xero!$B:$B,Heron!BD$9,Xero!$A:$A,Heron!$A$5,Xero!$E:$E,Heron!$A105)</f>
        <v/>
      </c>
      <c r="BE105" s="101">
        <f>SUMIFS(Xero!$F:$F,Xero!$B:$B,Heron!BE$9,Xero!$A:$A,Heron!$A$4,Xero!$E:$E,Heron!$A105)+SUMIFS(Xero!$F:$F,Xero!$B:$B,Heron!BE$9,Xero!$A:$A,Heron!$A$5,Xero!$E:$E,Heron!$A105)</f>
        <v/>
      </c>
      <c r="BF105" s="101">
        <f>SUMIFS(Xero!$F:$F,Xero!$B:$B,Heron!BF$9,Xero!$A:$A,Heron!$A$4,Xero!$E:$E,Heron!$A105)+SUMIFS(Xero!$F:$F,Xero!$B:$B,Heron!BF$9,Xero!$A:$A,Heron!$A$5,Xero!$E:$E,Heron!$A105)</f>
        <v/>
      </c>
      <c r="BG105" s="101">
        <f>SUMIFS(Xero!$F:$F,Xero!$B:$B,Heron!BG$9,Xero!$A:$A,Heron!$A$4,Xero!$E:$E,Heron!$A105)+SUMIFS(Xero!$F:$F,Xero!$B:$B,Heron!BG$9,Xero!$A:$A,Heron!$A$5,Xero!$E:$E,Heron!$A105)</f>
        <v/>
      </c>
      <c r="BH105" s="101">
        <f>SUMIFS(Xero!$F:$F,Xero!$B:$B,Heron!BH$9,Xero!$A:$A,Heron!$A$4,Xero!$E:$E,Heron!$A105)+SUMIFS(Xero!$F:$F,Xero!$B:$B,Heron!BH$9,Xero!$A:$A,Heron!$A$5,Xero!$E:$E,Heron!$A105)</f>
        <v/>
      </c>
      <c r="BI105" s="101">
        <f>SUMIFS(Xero!$F:$F,Xero!$B:$B,Heron!BI$9,Xero!$A:$A,Heron!$A$4,Xero!$E:$E,Heron!$A105)+SUMIFS(Xero!$F:$F,Xero!$B:$B,Heron!BI$9,Xero!$A:$A,Heron!$A$5,Xero!$E:$E,Heron!$A105)</f>
        <v/>
      </c>
      <c r="BJ105" s="101">
        <f>SUMIFS(Xero!$F:$F,Xero!$B:$B,Heron!BJ$9,Xero!$A:$A,Heron!$A$4,Xero!$E:$E,Heron!$A105)+SUMIFS(Xero!$F:$F,Xero!$B:$B,Heron!BJ$9,Xero!$A:$A,Heron!$A$5,Xero!$E:$E,Heron!$A105)</f>
        <v/>
      </c>
      <c r="BK105" s="101">
        <f>sum(D105:BJ105)</f>
        <v/>
      </c>
    </row>
    <row r="106">
      <c r="A106" s="100" t="inlineStr">
        <is>
          <t>COS - Heron Fields - Construction</t>
        </is>
      </c>
      <c r="D106" s="103">
        <f>SUMIFS(Xero!$F:$F,Xero!$B:$B,Heron!D$9,Xero!$A:$A,Heron!$A$6,Xero!$E:$E,Heron!$A106)</f>
        <v/>
      </c>
      <c r="E106" s="103">
        <f>SUMIFS(Xero!$F:$F,Xero!$B:$B,Heron!E$9,Xero!$A:$A,Heron!$A$6,Xero!$E:$E,Heron!$A106)</f>
        <v/>
      </c>
      <c r="F106" s="103">
        <f>SUMIFS(Xero!$F:$F,Xero!$B:$B,Heron!F$9,Xero!$A:$A,Heron!$A$6,Xero!$E:$E,Heron!$A106)</f>
        <v/>
      </c>
      <c r="G106" s="103">
        <f>SUMIFS(Xero!$F:$F,Xero!$B:$B,Heron!G$9,Xero!$A:$A,Heron!$A$6,Xero!$E:$E,Heron!$A106)</f>
        <v/>
      </c>
      <c r="H106" s="103">
        <f>SUMIFS(Xero!$F:$F,Xero!$B:$B,Heron!H$9,Xero!$A:$A,Heron!$A$6,Xero!$E:$E,Heron!$A106)</f>
        <v/>
      </c>
      <c r="I106" s="103">
        <f>SUMIFS(Xero!$F:$F,Xero!$B:$B,Heron!I$9,Xero!$A:$A,Heron!$A$6,Xero!$E:$E,Heron!$A106)</f>
        <v/>
      </c>
      <c r="J106" s="103">
        <f>SUMIFS(Xero!$F:$F,Xero!$B:$B,Heron!J$9,Xero!$A:$A,Heron!$A$6,Xero!$E:$E,Heron!$A106)</f>
        <v/>
      </c>
      <c r="K106" s="103">
        <f>SUMIFS(Xero!$F:$F,Xero!$B:$B,Heron!K$9,Xero!$A:$A,Heron!$A$6,Xero!$E:$E,Heron!$A106)</f>
        <v/>
      </c>
      <c r="L106" s="103">
        <f>SUMIFS(Xero!$F:$F,Xero!$B:$B,Heron!L$9,Xero!$A:$A,Heron!$A$6,Xero!$E:$E,Heron!$A106)</f>
        <v/>
      </c>
      <c r="M106" s="103">
        <f>SUMIFS(Xero!$F:$F,Xero!$B:$B,Heron!M$9,Xero!$A:$A,Heron!$A$6,Xero!$E:$E,Heron!$A106)</f>
        <v/>
      </c>
      <c r="N106" s="103">
        <f>SUMIFS(Xero!$F:$F,Xero!$B:$B,Heron!N$9,Xero!$A:$A,Heron!$A$6,Xero!$E:$E,Heron!$A106)</f>
        <v/>
      </c>
      <c r="O106" s="103">
        <f>SUMIFS(Xero!$F:$F,Xero!$B:$B,Heron!O$9,Xero!$A:$A,Heron!$A$6,Xero!$E:$E,Heron!$A106)</f>
        <v/>
      </c>
      <c r="P106" s="103">
        <f>SUMIFS(Xero!$F:$F,Xero!$B:$B,Heron!P$9,Xero!$A:$A,Heron!$A$6,Xero!$E:$E,Heron!$A106)</f>
        <v/>
      </c>
      <c r="Q106" s="103">
        <f>SUMIFS(Xero!$F:$F,Xero!$B:$B,Heron!Q$9,Xero!$A:$A,Heron!$A$6,Xero!$E:$E,Heron!$A106)</f>
        <v/>
      </c>
      <c r="R106" s="103">
        <f>SUMIFS(Xero!$F:$F,Xero!$B:$B,Heron!R$9,Xero!$A:$A,Heron!$A$6,Xero!$E:$E,Heron!$A106)</f>
        <v/>
      </c>
      <c r="S106" s="103">
        <f>SUMIFS(Xero!$F:$F,Xero!$B:$B,Heron!S$9,Xero!$A:$A,Heron!$A$6,Xero!$E:$E,Heron!$A106)</f>
        <v/>
      </c>
      <c r="T106" s="103">
        <f>SUMIFS(Xero!$F:$F,Xero!$B:$B,Heron!T$9,Xero!$A:$A,Heron!$A$6,Xero!$E:$E,Heron!$A106)</f>
        <v/>
      </c>
      <c r="U106" s="103">
        <f>SUMIFS(Xero!$F:$F,Xero!$B:$B,Heron!U$9,Xero!$A:$A,Heron!$A$6,Xero!$E:$E,Heron!$A106)</f>
        <v/>
      </c>
      <c r="V106" s="103">
        <f>SUMIFS(Xero!$F:$F,Xero!$B:$B,Heron!V$9,Xero!$A:$A,Heron!$A$6,Xero!$E:$E,Heron!$A106)</f>
        <v/>
      </c>
      <c r="W106" s="103">
        <f>SUMIFS(Xero!$F:$F,Xero!$B:$B,Heron!W$9,Xero!$A:$A,Heron!$A$6,Xero!$E:$E,Heron!$A106)</f>
        <v/>
      </c>
      <c r="X106" s="103">
        <f>SUMIFS(Xero!$F:$F,Xero!$B:$B,Heron!X$9,Xero!$A:$A,Heron!$A$6,Xero!$E:$E,Heron!$A106)</f>
        <v/>
      </c>
      <c r="Y106" s="103">
        <f>SUMIFS(Xero!$F:$F,Xero!$B:$B,Heron!Y$9,Xero!$A:$A,Heron!$A$6,Xero!$E:$E,Heron!$A106)</f>
        <v/>
      </c>
      <c r="Z106" s="103">
        <f>SUMIFS(Xero!$F:$F,Xero!$B:$B,Heron!Z$9,Xero!$A:$A,Heron!$A$6,Xero!$E:$E,Heron!$A106)</f>
        <v/>
      </c>
      <c r="AA106" s="103">
        <f>SUMIFS(Xero!$F:$F,Xero!$B:$B,Heron!AA$9,Xero!$A:$A,Heron!$A$6,Xero!$E:$E,Heron!$A106)</f>
        <v/>
      </c>
      <c r="AB106" s="103">
        <f>SUMIFS(Xero!$F:$F,Xero!$B:$B,Heron!AB$9,Xero!$A:$A,Heron!$A$6,Xero!$E:$E,Heron!$A106)</f>
        <v/>
      </c>
      <c r="AC106" s="103">
        <f>SUMIFS(Xero!$F:$F,Xero!$B:$B,Heron!AC$9,Xero!$A:$A,Heron!$A$6,Xero!$E:$E,Heron!$A106)</f>
        <v/>
      </c>
      <c r="AD106" s="103">
        <f>SUMIFS(Xero!$F:$F,Xero!$B:$B,Heron!AD$9,Xero!$A:$A,Heron!$A$6,Xero!$E:$E,Heron!$A106)</f>
        <v/>
      </c>
      <c r="AE106" s="103">
        <f>SUMIFS(Xero!$F:$F,Xero!$B:$B,Heron!AE$9,Xero!$A:$A,Heron!$A$6,Xero!$E:$E,Heron!$A106)</f>
        <v/>
      </c>
      <c r="AF106" s="103">
        <f>SUMIFS(Xero!$F:$F,Xero!$B:$B,Heron!AF$9,Xero!$A:$A,Heron!$A$6,Xero!$E:$E,Heron!$A106)</f>
        <v/>
      </c>
      <c r="AG106" s="103">
        <f>SUMIFS(Xero!$F:$F,Xero!$B:$B,Heron!AG$9,Xero!$A:$A,Heron!$A$6,Xero!$E:$E,Heron!$A106)</f>
        <v/>
      </c>
      <c r="AH106" s="103">
        <f>SUMIFS(Xero!$F:$F,Xero!$B:$B,Heron!AH$9,Xero!$A:$A,Heron!$A$6,Xero!$E:$E,Heron!$A106)</f>
        <v/>
      </c>
      <c r="AI106" s="103">
        <f>SUMIFS(Xero!$F:$F,Xero!$B:$B,Heron!AI$9,Xero!$A:$A,Heron!$A$6,Xero!$E:$E,Heron!$A106)</f>
        <v/>
      </c>
      <c r="AJ106" s="103">
        <f>SUMIFS(Xero!$F:$F,Xero!$B:$B,Heron!AJ$9,Xero!$A:$A,Heron!$A$6,Xero!$E:$E,Heron!$A106)</f>
        <v/>
      </c>
      <c r="AK106" s="103">
        <f>SUMIFS(Xero!$F:$F,Xero!$B:$B,Heron!AK$9,Xero!$A:$A,Heron!$A$6,Xero!$E:$E,Heron!$A106)</f>
        <v/>
      </c>
      <c r="AL106" s="103">
        <f>SUMIFS(Xero!$F:$F,Xero!$B:$B,Heron!AL$9,Xero!$A:$A,Heron!$A$6,Xero!$E:$E,Heron!$A106)</f>
        <v/>
      </c>
      <c r="AM106" s="103">
        <f>SUMIFS(Xero!$F:$F,Xero!$B:$B,Heron!AM$9,Xero!$A:$A,Heron!$A$6,Xero!$E:$E,Heron!$A106)</f>
        <v/>
      </c>
      <c r="AN106" s="103">
        <f>SUMIFS(Xero!$F:$F,Xero!$B:$B,Heron!AN$9,Xero!$A:$A,Heron!$A$6,Xero!$E:$E,Heron!$A106)</f>
        <v/>
      </c>
      <c r="AO106" s="103">
        <f>SUMIFS(Xero!$F:$F,Xero!$B:$B,Heron!AO$9,Xero!$A:$A,Heron!$A$6,Xero!$E:$E,Heron!$A106)</f>
        <v/>
      </c>
      <c r="AP106" s="103">
        <f>SUMIFS(Xero!$F:$F,Xero!$B:$B,Heron!AP$9,Xero!$A:$A,Heron!$A$6,Xero!$E:$E,Heron!$A106)</f>
        <v/>
      </c>
      <c r="AQ106" s="103">
        <f>SUMIFS(Xero!$F:$F,Xero!$B:$B,Heron!AQ$9,Xero!$A:$A,Heron!$A$6,Xero!$E:$E,Heron!$A106)</f>
        <v/>
      </c>
      <c r="AR106" s="103">
        <f>SUMIFS(Xero!$F:$F,Xero!$B:$B,Heron!AR$9,Xero!$A:$A,Heron!$A$6,Xero!$E:$E,Heron!$A106)</f>
        <v/>
      </c>
      <c r="AS106" s="103">
        <f>SUMIFS(Xero!$F:$F,Xero!$B:$B,Heron!AS$9,Xero!$A:$A,Heron!$A$6,Xero!$E:$E,Heron!$A106)</f>
        <v/>
      </c>
      <c r="AT106" s="103">
        <f>SUMIFS(Xero!$F:$F,Xero!$B:$B,Heron!AT$9,Xero!$A:$A,Heron!$A$6,Xero!$E:$E,Heron!$A106)</f>
        <v/>
      </c>
      <c r="AU106" s="103">
        <f>SUMIFS(Xero!$F:$F,Xero!$B:$B,Heron!AU$9,Xero!$A:$A,Heron!$A$6,Xero!$E:$E,Heron!$A106)</f>
        <v/>
      </c>
      <c r="AV106" s="103">
        <f>SUMIFS(Xero!$F:$F,Xero!$B:$B,Heron!AV$9,Xero!$A:$A,Heron!$A$6,Xero!$E:$E,Heron!$A106)</f>
        <v/>
      </c>
      <c r="AW106" s="103">
        <f>SUMIFS(Xero!$F:$F,Xero!$B:$B,Heron!AW$9,Xero!$A:$A,Heron!$A$6,Xero!$E:$E,Heron!$A106)</f>
        <v/>
      </c>
      <c r="AX106" s="103">
        <f>SUMIFS(Xero!$F:$F,Xero!$B:$B,Heron!AX$9,Xero!$A:$A,Heron!$A$6,Xero!$E:$E,Heron!$A106)</f>
        <v/>
      </c>
      <c r="AY106" s="103">
        <f>SUMIFS(Xero!$F:$F,Xero!$B:$B,Heron!AY$9,Xero!$A:$A,Heron!$A$6,Xero!$E:$E,Heron!$A106)</f>
        <v/>
      </c>
      <c r="AZ106" s="103">
        <f>SUMIFS(Xero!$F:$F,Xero!$B:$B,Heron!AZ$9,Xero!$A:$A,Heron!$A$6,Xero!$E:$E,Heron!$A106)</f>
        <v/>
      </c>
      <c r="BA106" s="103">
        <f>SUMIFS(Xero!$F:$F,Xero!$B:$B,Heron!BA$9,Xero!$A:$A,Heron!$A$6,Xero!$E:$E,Heron!$A106)</f>
        <v/>
      </c>
      <c r="BB106" s="103">
        <f>SUMIFS(Xero!$F:$F,Xero!$B:$B,Heron!BB$9,Xero!$A:$A,Heron!$A$6,Xero!$E:$E,Heron!$A106)</f>
        <v/>
      </c>
      <c r="BC106" s="103">
        <f>SUMIFS(Xero!$F:$F,Xero!$B:$B,Heron!BC$9,Xero!$A:$A,Heron!$A$6,Xero!$E:$E,Heron!$A106)</f>
        <v/>
      </c>
      <c r="BD106" s="103">
        <f>SUMIFS(Xero!$F:$F,Xero!$B:$B,Heron!BD$9,Xero!$A:$A,Heron!$A$6,Xero!$E:$E,Heron!$A106)</f>
        <v/>
      </c>
      <c r="BE106" s="103">
        <f>SUMIFS(Xero!$F:$F,Xero!$B:$B,Heron!BE$9,Xero!$A:$A,Heron!$A$6,Xero!$E:$E,Heron!$A106)</f>
        <v/>
      </c>
      <c r="BF106" s="103">
        <f>SUMIFS(Xero!$F:$F,Xero!$B:$B,Heron!BF$9,Xero!$A:$A,Heron!$A$6,Xero!$E:$E,Heron!$A106)</f>
        <v/>
      </c>
      <c r="BG106" s="103">
        <f>SUMIFS(Xero!$F:$F,Xero!$B:$B,Heron!BG$9,Xero!$A:$A,Heron!$A$6,Xero!$E:$E,Heron!$A106)</f>
        <v/>
      </c>
      <c r="BH106" s="103">
        <f>SUMIFS(Xero!$F:$F,Xero!$B:$B,Heron!BH$9,Xero!$A:$A,Heron!$A$6,Xero!$E:$E,Heron!$A106)</f>
        <v/>
      </c>
      <c r="BI106" s="103">
        <f>SUMIFS(Xero!$F:$F,Xero!$B:$B,Heron!BI$9,Xero!$A:$A,Heron!$A$6,Xero!$E:$E,Heron!$A106)</f>
        <v/>
      </c>
      <c r="BJ106" s="103">
        <f>SUMIFS(Xero!$F:$F,Xero!$B:$B,Heron!BJ$9,Xero!$A:$A,Heron!$A$6,Xero!$E:$E,Heron!$A106)</f>
        <v/>
      </c>
      <c r="BK106" s="101">
        <f>sum(D106:BJ106)</f>
        <v/>
      </c>
    </row>
    <row r="107">
      <c r="A107" s="100" t="inlineStr">
        <is>
          <t>COS - Heron Fields - P &amp; G</t>
        </is>
      </c>
      <c r="D107" s="103">
        <f>SUMIFS(Xero!$F:$F,Xero!$B:$B,Heron!D$9,Xero!$A:$A,Heron!$A$6,Xero!$E:$E,Heron!$A107)</f>
        <v/>
      </c>
      <c r="E107" s="103">
        <f>SUMIFS(Xero!$F:$F,Xero!$B:$B,Heron!E$9,Xero!$A:$A,Heron!$A$6,Xero!$E:$E,Heron!$A107)</f>
        <v/>
      </c>
      <c r="F107" s="103">
        <f>SUMIFS(Xero!$F:$F,Xero!$B:$B,Heron!F$9,Xero!$A:$A,Heron!$A$6,Xero!$E:$E,Heron!$A107)</f>
        <v/>
      </c>
      <c r="G107" s="103">
        <f>SUMIFS(Xero!$F:$F,Xero!$B:$B,Heron!G$9,Xero!$A:$A,Heron!$A$6,Xero!$E:$E,Heron!$A107)</f>
        <v/>
      </c>
      <c r="H107" s="103">
        <f>SUMIFS(Xero!$F:$F,Xero!$B:$B,Heron!H$9,Xero!$A:$A,Heron!$A$6,Xero!$E:$E,Heron!$A107)</f>
        <v/>
      </c>
      <c r="I107" s="103">
        <f>SUMIFS(Xero!$F:$F,Xero!$B:$B,Heron!I$9,Xero!$A:$A,Heron!$A$6,Xero!$E:$E,Heron!$A107)</f>
        <v/>
      </c>
      <c r="J107" s="103">
        <f>SUMIFS(Xero!$F:$F,Xero!$B:$B,Heron!J$9,Xero!$A:$A,Heron!$A$6,Xero!$E:$E,Heron!$A107)</f>
        <v/>
      </c>
      <c r="K107" s="103">
        <f>SUMIFS(Xero!$F:$F,Xero!$B:$B,Heron!K$9,Xero!$A:$A,Heron!$A$6,Xero!$E:$E,Heron!$A107)</f>
        <v/>
      </c>
      <c r="L107" s="103">
        <f>SUMIFS(Xero!$F:$F,Xero!$B:$B,Heron!L$9,Xero!$A:$A,Heron!$A$6,Xero!$E:$E,Heron!$A107)</f>
        <v/>
      </c>
      <c r="M107" s="103">
        <f>SUMIFS(Xero!$F:$F,Xero!$B:$B,Heron!M$9,Xero!$A:$A,Heron!$A$6,Xero!$E:$E,Heron!$A107)</f>
        <v/>
      </c>
      <c r="N107" s="103">
        <f>SUMIFS(Xero!$F:$F,Xero!$B:$B,Heron!N$9,Xero!$A:$A,Heron!$A$6,Xero!$E:$E,Heron!$A107)</f>
        <v/>
      </c>
      <c r="O107" s="103">
        <f>SUMIFS(Xero!$F:$F,Xero!$B:$B,Heron!O$9,Xero!$A:$A,Heron!$A$6,Xero!$E:$E,Heron!$A107)</f>
        <v/>
      </c>
      <c r="P107" s="103">
        <f>SUMIFS(Xero!$F:$F,Xero!$B:$B,Heron!P$9,Xero!$A:$A,Heron!$A$6,Xero!$E:$E,Heron!$A107)</f>
        <v/>
      </c>
      <c r="Q107" s="103">
        <f>SUMIFS(Xero!$F:$F,Xero!$B:$B,Heron!Q$9,Xero!$A:$A,Heron!$A$6,Xero!$E:$E,Heron!$A107)</f>
        <v/>
      </c>
      <c r="R107" s="103">
        <f>SUMIFS(Xero!$F:$F,Xero!$B:$B,Heron!R$9,Xero!$A:$A,Heron!$A$6,Xero!$E:$E,Heron!$A107)</f>
        <v/>
      </c>
      <c r="S107" s="103">
        <f>SUMIFS(Xero!$F:$F,Xero!$B:$B,Heron!S$9,Xero!$A:$A,Heron!$A$6,Xero!$E:$E,Heron!$A107)</f>
        <v/>
      </c>
      <c r="T107" s="103">
        <f>SUMIFS(Xero!$F:$F,Xero!$B:$B,Heron!T$9,Xero!$A:$A,Heron!$A$6,Xero!$E:$E,Heron!$A107)</f>
        <v/>
      </c>
      <c r="U107" s="103">
        <f>SUMIFS(Xero!$F:$F,Xero!$B:$B,Heron!U$9,Xero!$A:$A,Heron!$A$6,Xero!$E:$E,Heron!$A107)</f>
        <v/>
      </c>
      <c r="V107" s="103">
        <f>SUMIFS(Xero!$F:$F,Xero!$B:$B,Heron!V$9,Xero!$A:$A,Heron!$A$6,Xero!$E:$E,Heron!$A107)</f>
        <v/>
      </c>
      <c r="W107" s="103">
        <f>SUMIFS(Xero!$F:$F,Xero!$B:$B,Heron!W$9,Xero!$A:$A,Heron!$A$6,Xero!$E:$E,Heron!$A107)</f>
        <v/>
      </c>
      <c r="X107" s="103">
        <f>SUMIFS(Xero!$F:$F,Xero!$B:$B,Heron!X$9,Xero!$A:$A,Heron!$A$6,Xero!$E:$E,Heron!$A107)</f>
        <v/>
      </c>
      <c r="Y107" s="103">
        <f>SUMIFS(Xero!$F:$F,Xero!$B:$B,Heron!Y$9,Xero!$A:$A,Heron!$A$6,Xero!$E:$E,Heron!$A107)</f>
        <v/>
      </c>
      <c r="Z107" s="103">
        <f>SUMIFS(Xero!$F:$F,Xero!$B:$B,Heron!Z$9,Xero!$A:$A,Heron!$A$6,Xero!$E:$E,Heron!$A107)</f>
        <v/>
      </c>
      <c r="AA107" s="103">
        <f>SUMIFS(Xero!$F:$F,Xero!$B:$B,Heron!AA$9,Xero!$A:$A,Heron!$A$6,Xero!$E:$E,Heron!$A107)</f>
        <v/>
      </c>
      <c r="AB107" s="103">
        <f>SUMIFS(Xero!$F:$F,Xero!$B:$B,Heron!AB$9,Xero!$A:$A,Heron!$A$6,Xero!$E:$E,Heron!$A107)</f>
        <v/>
      </c>
      <c r="AC107" s="103">
        <f>SUMIFS(Xero!$F:$F,Xero!$B:$B,Heron!AC$9,Xero!$A:$A,Heron!$A$6,Xero!$E:$E,Heron!$A107)</f>
        <v/>
      </c>
      <c r="AD107" s="103">
        <f>SUMIFS(Xero!$F:$F,Xero!$B:$B,Heron!AD$9,Xero!$A:$A,Heron!$A$6,Xero!$E:$E,Heron!$A107)</f>
        <v/>
      </c>
      <c r="AE107" s="103">
        <f>SUMIFS(Xero!$F:$F,Xero!$B:$B,Heron!AE$9,Xero!$A:$A,Heron!$A$6,Xero!$E:$E,Heron!$A107)</f>
        <v/>
      </c>
      <c r="AF107" s="103">
        <f>SUMIFS(Xero!$F:$F,Xero!$B:$B,Heron!AF$9,Xero!$A:$A,Heron!$A$6,Xero!$E:$E,Heron!$A107)</f>
        <v/>
      </c>
      <c r="AG107" s="103">
        <f>SUMIFS(Xero!$F:$F,Xero!$B:$B,Heron!AG$9,Xero!$A:$A,Heron!$A$6,Xero!$E:$E,Heron!$A107)</f>
        <v/>
      </c>
      <c r="AH107" s="103">
        <f>SUMIFS(Xero!$F:$F,Xero!$B:$B,Heron!AH$9,Xero!$A:$A,Heron!$A$6,Xero!$E:$E,Heron!$A107)</f>
        <v/>
      </c>
      <c r="AI107" s="103">
        <f>SUMIFS(Xero!$F:$F,Xero!$B:$B,Heron!AI$9,Xero!$A:$A,Heron!$A$6,Xero!$E:$E,Heron!$A107)</f>
        <v/>
      </c>
      <c r="AJ107" s="103">
        <f>SUMIFS(Xero!$F:$F,Xero!$B:$B,Heron!AJ$9,Xero!$A:$A,Heron!$A$6,Xero!$E:$E,Heron!$A107)</f>
        <v/>
      </c>
      <c r="AK107" s="103">
        <f>SUMIFS(Xero!$F:$F,Xero!$B:$B,Heron!AK$9,Xero!$A:$A,Heron!$A$6,Xero!$E:$E,Heron!$A107)</f>
        <v/>
      </c>
      <c r="AL107" s="103">
        <f>SUMIFS(Xero!$F:$F,Xero!$B:$B,Heron!AL$9,Xero!$A:$A,Heron!$A$6,Xero!$E:$E,Heron!$A107)</f>
        <v/>
      </c>
      <c r="AM107" s="103">
        <f>SUMIFS(Xero!$F:$F,Xero!$B:$B,Heron!AM$9,Xero!$A:$A,Heron!$A$6,Xero!$E:$E,Heron!$A107)</f>
        <v/>
      </c>
      <c r="AN107" s="103">
        <f>SUMIFS(Xero!$F:$F,Xero!$B:$B,Heron!AN$9,Xero!$A:$A,Heron!$A$6,Xero!$E:$E,Heron!$A107)</f>
        <v/>
      </c>
      <c r="AO107" s="103">
        <f>SUMIFS(Xero!$F:$F,Xero!$B:$B,Heron!AO$9,Xero!$A:$A,Heron!$A$6,Xero!$E:$E,Heron!$A107)</f>
        <v/>
      </c>
      <c r="AP107" s="103">
        <f>SUMIFS(Xero!$F:$F,Xero!$B:$B,Heron!AP$9,Xero!$A:$A,Heron!$A$6,Xero!$E:$E,Heron!$A107)</f>
        <v/>
      </c>
      <c r="AQ107" s="103">
        <f>SUMIFS(Xero!$F:$F,Xero!$B:$B,Heron!AQ$9,Xero!$A:$A,Heron!$A$6,Xero!$E:$E,Heron!$A107)</f>
        <v/>
      </c>
      <c r="AR107" s="103">
        <f>SUMIFS(Xero!$F:$F,Xero!$B:$B,Heron!AR$9,Xero!$A:$A,Heron!$A$6,Xero!$E:$E,Heron!$A107)</f>
        <v/>
      </c>
      <c r="AS107" s="103">
        <f>SUMIFS(Xero!$F:$F,Xero!$B:$B,Heron!AS$9,Xero!$A:$A,Heron!$A$6,Xero!$E:$E,Heron!$A107)</f>
        <v/>
      </c>
      <c r="AT107" s="103">
        <f>SUMIFS(Xero!$F:$F,Xero!$B:$B,Heron!AT$9,Xero!$A:$A,Heron!$A$6,Xero!$E:$E,Heron!$A107)</f>
        <v/>
      </c>
      <c r="AU107" s="103">
        <f>SUMIFS(Xero!$F:$F,Xero!$B:$B,Heron!AU$9,Xero!$A:$A,Heron!$A$6,Xero!$E:$E,Heron!$A107)</f>
        <v/>
      </c>
      <c r="AV107" s="103">
        <f>SUMIFS(Xero!$F:$F,Xero!$B:$B,Heron!AV$9,Xero!$A:$A,Heron!$A$6,Xero!$E:$E,Heron!$A107)</f>
        <v/>
      </c>
      <c r="AW107" s="103">
        <f>SUMIFS(Xero!$F:$F,Xero!$B:$B,Heron!AW$9,Xero!$A:$A,Heron!$A$6,Xero!$E:$E,Heron!$A107)</f>
        <v/>
      </c>
      <c r="AX107" s="103">
        <f>SUMIFS(Xero!$F:$F,Xero!$B:$B,Heron!AX$9,Xero!$A:$A,Heron!$A$6,Xero!$E:$E,Heron!$A107)</f>
        <v/>
      </c>
      <c r="AY107" s="103">
        <f>SUMIFS(Xero!$F:$F,Xero!$B:$B,Heron!AY$9,Xero!$A:$A,Heron!$A$6,Xero!$E:$E,Heron!$A107)</f>
        <v/>
      </c>
      <c r="AZ107" s="103">
        <f>SUMIFS(Xero!$F:$F,Xero!$B:$B,Heron!AZ$9,Xero!$A:$A,Heron!$A$6,Xero!$E:$E,Heron!$A107)</f>
        <v/>
      </c>
      <c r="BA107" s="103">
        <f>SUMIFS(Xero!$F:$F,Xero!$B:$B,Heron!BA$9,Xero!$A:$A,Heron!$A$6,Xero!$E:$E,Heron!$A107)</f>
        <v/>
      </c>
      <c r="BB107" s="103">
        <f>SUMIFS(Xero!$F:$F,Xero!$B:$B,Heron!BB$9,Xero!$A:$A,Heron!$A$6,Xero!$E:$E,Heron!$A107)</f>
        <v/>
      </c>
      <c r="BC107" s="103">
        <f>SUMIFS(Xero!$F:$F,Xero!$B:$B,Heron!BC$9,Xero!$A:$A,Heron!$A$6,Xero!$E:$E,Heron!$A107)</f>
        <v/>
      </c>
      <c r="BD107" s="103">
        <f>SUMIFS(Xero!$F:$F,Xero!$B:$B,Heron!BD$9,Xero!$A:$A,Heron!$A$6,Xero!$E:$E,Heron!$A107)</f>
        <v/>
      </c>
      <c r="BE107" s="103">
        <f>SUMIFS(Xero!$F:$F,Xero!$B:$B,Heron!BE$9,Xero!$A:$A,Heron!$A$6,Xero!$E:$E,Heron!$A107)</f>
        <v/>
      </c>
      <c r="BF107" s="103">
        <f>SUMIFS(Xero!$F:$F,Xero!$B:$B,Heron!BF$9,Xero!$A:$A,Heron!$A$6,Xero!$E:$E,Heron!$A107)</f>
        <v/>
      </c>
      <c r="BG107" s="103">
        <f>SUMIFS(Xero!$F:$F,Xero!$B:$B,Heron!BG$9,Xero!$A:$A,Heron!$A$6,Xero!$E:$E,Heron!$A107)</f>
        <v/>
      </c>
      <c r="BH107" s="103">
        <f>SUMIFS(Xero!$F:$F,Xero!$B:$B,Heron!BH$9,Xero!$A:$A,Heron!$A$6,Xero!$E:$E,Heron!$A107)</f>
        <v/>
      </c>
      <c r="BI107" s="103">
        <f>SUMIFS(Xero!$F:$F,Xero!$B:$B,Heron!BI$9,Xero!$A:$A,Heron!$A$6,Xero!$E:$E,Heron!$A107)</f>
        <v/>
      </c>
      <c r="BJ107" s="103">
        <f>SUMIFS(Xero!$F:$F,Xero!$B:$B,Heron!BJ$9,Xero!$A:$A,Heron!$A$6,Xero!$E:$E,Heron!$A107)</f>
        <v/>
      </c>
      <c r="BK107" s="101">
        <f>sum(D107:BJ107)</f>
        <v/>
      </c>
    </row>
    <row r="108">
      <c r="A108" s="100" t="inlineStr">
        <is>
          <t>COS - Heron Fields - Printing &amp; Stationary</t>
        </is>
      </c>
      <c r="D108" s="103">
        <f>SUMIFS(Xero!$F:$F,Xero!$B:$B,Heron!D$9,Xero!$A:$A,Heron!$A$6,Xero!$E:$E,Heron!$A108)</f>
        <v/>
      </c>
      <c r="E108" s="103">
        <f>SUMIFS(Xero!$F:$F,Xero!$B:$B,Heron!E$9,Xero!$A:$A,Heron!$A$6,Xero!$E:$E,Heron!$A108)</f>
        <v/>
      </c>
      <c r="F108" s="103">
        <f>SUMIFS(Xero!$F:$F,Xero!$B:$B,Heron!F$9,Xero!$A:$A,Heron!$A$6,Xero!$E:$E,Heron!$A108)</f>
        <v/>
      </c>
      <c r="G108" s="103">
        <f>SUMIFS(Xero!$F:$F,Xero!$B:$B,Heron!G$9,Xero!$A:$A,Heron!$A$6,Xero!$E:$E,Heron!$A108)</f>
        <v/>
      </c>
      <c r="H108" s="103">
        <f>SUMIFS(Xero!$F:$F,Xero!$B:$B,Heron!H$9,Xero!$A:$A,Heron!$A$6,Xero!$E:$E,Heron!$A108)</f>
        <v/>
      </c>
      <c r="I108" s="103">
        <f>SUMIFS(Xero!$F:$F,Xero!$B:$B,Heron!I$9,Xero!$A:$A,Heron!$A$6,Xero!$E:$E,Heron!$A108)</f>
        <v/>
      </c>
      <c r="J108" s="103">
        <f>SUMIFS(Xero!$F:$F,Xero!$B:$B,Heron!J$9,Xero!$A:$A,Heron!$A$6,Xero!$E:$E,Heron!$A108)</f>
        <v/>
      </c>
      <c r="K108" s="103">
        <f>SUMIFS(Xero!$F:$F,Xero!$B:$B,Heron!K$9,Xero!$A:$A,Heron!$A$6,Xero!$E:$E,Heron!$A108)</f>
        <v/>
      </c>
      <c r="L108" s="103">
        <f>SUMIFS(Xero!$F:$F,Xero!$B:$B,Heron!L$9,Xero!$A:$A,Heron!$A$6,Xero!$E:$E,Heron!$A108)</f>
        <v/>
      </c>
      <c r="M108" s="103">
        <f>SUMIFS(Xero!$F:$F,Xero!$B:$B,Heron!M$9,Xero!$A:$A,Heron!$A$6,Xero!$E:$E,Heron!$A108)</f>
        <v/>
      </c>
      <c r="N108" s="103">
        <f>SUMIFS(Xero!$F:$F,Xero!$B:$B,Heron!N$9,Xero!$A:$A,Heron!$A$6,Xero!$E:$E,Heron!$A108)</f>
        <v/>
      </c>
      <c r="O108" s="103">
        <f>SUMIFS(Xero!$F:$F,Xero!$B:$B,Heron!O$9,Xero!$A:$A,Heron!$A$6,Xero!$E:$E,Heron!$A108)</f>
        <v/>
      </c>
      <c r="P108" s="103">
        <f>SUMIFS(Xero!$F:$F,Xero!$B:$B,Heron!P$9,Xero!$A:$A,Heron!$A$6,Xero!$E:$E,Heron!$A108)</f>
        <v/>
      </c>
      <c r="Q108" s="103">
        <f>SUMIFS(Xero!$F:$F,Xero!$B:$B,Heron!Q$9,Xero!$A:$A,Heron!$A$6,Xero!$E:$E,Heron!$A108)</f>
        <v/>
      </c>
      <c r="R108" s="103">
        <f>SUMIFS(Xero!$F:$F,Xero!$B:$B,Heron!R$9,Xero!$A:$A,Heron!$A$6,Xero!$E:$E,Heron!$A108)</f>
        <v/>
      </c>
      <c r="S108" s="103">
        <f>SUMIFS(Xero!$F:$F,Xero!$B:$B,Heron!S$9,Xero!$A:$A,Heron!$A$6,Xero!$E:$E,Heron!$A108)</f>
        <v/>
      </c>
      <c r="T108" s="103">
        <f>SUMIFS(Xero!$F:$F,Xero!$B:$B,Heron!T$9,Xero!$A:$A,Heron!$A$6,Xero!$E:$E,Heron!$A108)</f>
        <v/>
      </c>
      <c r="U108" s="103">
        <f>SUMIFS(Xero!$F:$F,Xero!$B:$B,Heron!U$9,Xero!$A:$A,Heron!$A$6,Xero!$E:$E,Heron!$A108)</f>
        <v/>
      </c>
      <c r="V108" s="103">
        <f>SUMIFS(Xero!$F:$F,Xero!$B:$B,Heron!V$9,Xero!$A:$A,Heron!$A$6,Xero!$E:$E,Heron!$A108)</f>
        <v/>
      </c>
      <c r="W108" s="103">
        <f>SUMIFS(Xero!$F:$F,Xero!$B:$B,Heron!W$9,Xero!$A:$A,Heron!$A$6,Xero!$E:$E,Heron!$A108)</f>
        <v/>
      </c>
      <c r="X108" s="103">
        <f>SUMIFS(Xero!$F:$F,Xero!$B:$B,Heron!X$9,Xero!$A:$A,Heron!$A$6,Xero!$E:$E,Heron!$A108)</f>
        <v/>
      </c>
      <c r="Y108" s="103">
        <f>SUMIFS(Xero!$F:$F,Xero!$B:$B,Heron!Y$9,Xero!$A:$A,Heron!$A$6,Xero!$E:$E,Heron!$A108)</f>
        <v/>
      </c>
      <c r="Z108" s="103">
        <f>SUMIFS(Xero!$F:$F,Xero!$B:$B,Heron!Z$9,Xero!$A:$A,Heron!$A$6,Xero!$E:$E,Heron!$A108)</f>
        <v/>
      </c>
      <c r="AA108" s="103">
        <f>SUMIFS(Xero!$F:$F,Xero!$B:$B,Heron!AA$9,Xero!$A:$A,Heron!$A$6,Xero!$E:$E,Heron!$A108)</f>
        <v/>
      </c>
      <c r="AB108" s="103">
        <f>SUMIFS(Xero!$F:$F,Xero!$B:$B,Heron!AB$9,Xero!$A:$A,Heron!$A$6,Xero!$E:$E,Heron!$A108)</f>
        <v/>
      </c>
      <c r="AC108" s="103">
        <f>SUMIFS(Xero!$F:$F,Xero!$B:$B,Heron!AC$9,Xero!$A:$A,Heron!$A$6,Xero!$E:$E,Heron!$A108)</f>
        <v/>
      </c>
      <c r="AD108" s="103">
        <f>SUMIFS(Xero!$F:$F,Xero!$B:$B,Heron!AD$9,Xero!$A:$A,Heron!$A$6,Xero!$E:$E,Heron!$A108)</f>
        <v/>
      </c>
      <c r="AE108" s="103">
        <f>SUMIFS(Xero!$F:$F,Xero!$B:$B,Heron!AE$9,Xero!$A:$A,Heron!$A$6,Xero!$E:$E,Heron!$A108)</f>
        <v/>
      </c>
      <c r="AF108" s="103">
        <f>SUMIFS(Xero!$F:$F,Xero!$B:$B,Heron!AF$9,Xero!$A:$A,Heron!$A$6,Xero!$E:$E,Heron!$A108)</f>
        <v/>
      </c>
      <c r="AG108" s="103">
        <f>SUMIFS(Xero!$F:$F,Xero!$B:$B,Heron!AG$9,Xero!$A:$A,Heron!$A$6,Xero!$E:$E,Heron!$A108)</f>
        <v/>
      </c>
      <c r="AH108" s="103">
        <f>SUMIFS(Xero!$F:$F,Xero!$B:$B,Heron!AH$9,Xero!$A:$A,Heron!$A$6,Xero!$E:$E,Heron!$A108)</f>
        <v/>
      </c>
      <c r="AI108" s="103">
        <f>SUMIFS(Xero!$F:$F,Xero!$B:$B,Heron!AI$9,Xero!$A:$A,Heron!$A$6,Xero!$E:$E,Heron!$A108)</f>
        <v/>
      </c>
      <c r="AJ108" s="103">
        <f>SUMIFS(Xero!$F:$F,Xero!$B:$B,Heron!AJ$9,Xero!$A:$A,Heron!$A$6,Xero!$E:$E,Heron!$A108)</f>
        <v/>
      </c>
      <c r="AK108" s="103">
        <f>SUMIFS(Xero!$F:$F,Xero!$B:$B,Heron!AK$9,Xero!$A:$A,Heron!$A$6,Xero!$E:$E,Heron!$A108)</f>
        <v/>
      </c>
      <c r="AL108" s="103">
        <f>SUMIFS(Xero!$F:$F,Xero!$B:$B,Heron!AL$9,Xero!$A:$A,Heron!$A$6,Xero!$E:$E,Heron!$A108)</f>
        <v/>
      </c>
      <c r="AM108" s="103">
        <f>SUMIFS(Xero!$F:$F,Xero!$B:$B,Heron!AM$9,Xero!$A:$A,Heron!$A$6,Xero!$E:$E,Heron!$A108)</f>
        <v/>
      </c>
      <c r="AN108" s="103">
        <f>SUMIFS(Xero!$F:$F,Xero!$B:$B,Heron!AN$9,Xero!$A:$A,Heron!$A$6,Xero!$E:$E,Heron!$A108)</f>
        <v/>
      </c>
      <c r="AO108" s="103">
        <f>SUMIFS(Xero!$F:$F,Xero!$B:$B,Heron!AO$9,Xero!$A:$A,Heron!$A$6,Xero!$E:$E,Heron!$A108)</f>
        <v/>
      </c>
      <c r="AP108" s="103">
        <f>SUMIFS(Xero!$F:$F,Xero!$B:$B,Heron!AP$9,Xero!$A:$A,Heron!$A$6,Xero!$E:$E,Heron!$A108)</f>
        <v/>
      </c>
      <c r="AQ108" s="103">
        <f>SUMIFS(Xero!$F:$F,Xero!$B:$B,Heron!AQ$9,Xero!$A:$A,Heron!$A$6,Xero!$E:$E,Heron!$A108)</f>
        <v/>
      </c>
      <c r="AR108" s="103">
        <f>SUMIFS(Xero!$F:$F,Xero!$B:$B,Heron!AR$9,Xero!$A:$A,Heron!$A$6,Xero!$E:$E,Heron!$A108)</f>
        <v/>
      </c>
      <c r="AS108" s="103">
        <f>SUMIFS(Xero!$F:$F,Xero!$B:$B,Heron!AS$9,Xero!$A:$A,Heron!$A$6,Xero!$E:$E,Heron!$A108)</f>
        <v/>
      </c>
      <c r="AT108" s="103">
        <f>SUMIFS(Xero!$F:$F,Xero!$B:$B,Heron!AT$9,Xero!$A:$A,Heron!$A$6,Xero!$E:$E,Heron!$A108)</f>
        <v/>
      </c>
      <c r="AU108" s="103">
        <f>SUMIFS(Xero!$F:$F,Xero!$B:$B,Heron!AU$9,Xero!$A:$A,Heron!$A$6,Xero!$E:$E,Heron!$A108)</f>
        <v/>
      </c>
      <c r="AV108" s="103">
        <f>SUMIFS(Xero!$F:$F,Xero!$B:$B,Heron!AV$9,Xero!$A:$A,Heron!$A$6,Xero!$E:$E,Heron!$A108)</f>
        <v/>
      </c>
      <c r="AW108" s="103">
        <f>SUMIFS(Xero!$F:$F,Xero!$B:$B,Heron!AW$9,Xero!$A:$A,Heron!$A$6,Xero!$E:$E,Heron!$A108)</f>
        <v/>
      </c>
      <c r="AX108" s="103">
        <f>SUMIFS(Xero!$F:$F,Xero!$B:$B,Heron!AX$9,Xero!$A:$A,Heron!$A$6,Xero!$E:$E,Heron!$A108)</f>
        <v/>
      </c>
      <c r="AY108" s="103">
        <f>SUMIFS(Xero!$F:$F,Xero!$B:$B,Heron!AY$9,Xero!$A:$A,Heron!$A$6,Xero!$E:$E,Heron!$A108)</f>
        <v/>
      </c>
      <c r="AZ108" s="103">
        <f>SUMIFS(Xero!$F:$F,Xero!$B:$B,Heron!AZ$9,Xero!$A:$A,Heron!$A$6,Xero!$E:$E,Heron!$A108)</f>
        <v/>
      </c>
      <c r="BA108" s="103">
        <f>SUMIFS(Xero!$F:$F,Xero!$B:$B,Heron!BA$9,Xero!$A:$A,Heron!$A$6,Xero!$E:$E,Heron!$A108)</f>
        <v/>
      </c>
      <c r="BB108" s="103">
        <f>SUMIFS(Xero!$F:$F,Xero!$B:$B,Heron!BB$9,Xero!$A:$A,Heron!$A$6,Xero!$E:$E,Heron!$A108)</f>
        <v/>
      </c>
      <c r="BC108" s="103">
        <f>SUMIFS(Xero!$F:$F,Xero!$B:$B,Heron!BC$9,Xero!$A:$A,Heron!$A$6,Xero!$E:$E,Heron!$A108)</f>
        <v/>
      </c>
      <c r="BD108" s="103">
        <f>SUMIFS(Xero!$F:$F,Xero!$B:$B,Heron!BD$9,Xero!$A:$A,Heron!$A$6,Xero!$E:$E,Heron!$A108)</f>
        <v/>
      </c>
      <c r="BE108" s="103">
        <f>SUMIFS(Xero!$F:$F,Xero!$B:$B,Heron!BE$9,Xero!$A:$A,Heron!$A$6,Xero!$E:$E,Heron!$A108)</f>
        <v/>
      </c>
      <c r="BF108" s="103">
        <f>SUMIFS(Xero!$F:$F,Xero!$B:$B,Heron!BF$9,Xero!$A:$A,Heron!$A$6,Xero!$E:$E,Heron!$A108)</f>
        <v/>
      </c>
      <c r="BG108" s="103">
        <f>SUMIFS(Xero!$F:$F,Xero!$B:$B,Heron!BG$9,Xero!$A:$A,Heron!$A$6,Xero!$E:$E,Heron!$A108)</f>
        <v/>
      </c>
      <c r="BH108" s="103">
        <f>SUMIFS(Xero!$F:$F,Xero!$B:$B,Heron!BH$9,Xero!$A:$A,Heron!$A$6,Xero!$E:$E,Heron!$A108)</f>
        <v/>
      </c>
      <c r="BI108" s="103">
        <f>SUMIFS(Xero!$F:$F,Xero!$B:$B,Heron!BI$9,Xero!$A:$A,Heron!$A$6,Xero!$E:$E,Heron!$A108)</f>
        <v/>
      </c>
      <c r="BJ108" s="103">
        <f>SUMIFS(Xero!$F:$F,Xero!$B:$B,Heron!BJ$9,Xero!$A:$A,Heron!$A$6,Xero!$E:$E,Heron!$A108)</f>
        <v/>
      </c>
      <c r="BK108" s="101">
        <f>sum(D108:BJ108)</f>
        <v/>
      </c>
    </row>
    <row r="109">
      <c r="A109" s="100" t="inlineStr">
        <is>
          <t>COS - Heron View - Construction</t>
        </is>
      </c>
      <c r="D109" s="103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03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03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03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03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03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03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03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03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03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03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03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03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03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03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03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03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03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03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03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03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03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03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03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03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03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03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03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03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03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03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03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03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03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03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03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03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03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03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03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03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03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03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03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03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03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03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03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03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03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03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03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03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03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03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03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03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03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03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01">
        <f>sum(D109:BJ109)</f>
        <v/>
      </c>
    </row>
    <row r="110">
      <c r="A110" s="100" t="inlineStr">
        <is>
          <t>COS - Heron View - P&amp;G</t>
        </is>
      </c>
      <c r="D110" s="103">
        <f>SUMIFS(Xero!$F:$F,Xero!$B:$B,Heron!D$9,Xero!$A:$A,Heron!$A$6,Xero!$E:$E,Heron!$A110)</f>
        <v/>
      </c>
      <c r="E110" s="103">
        <f>SUMIFS(Xero!$F:$F,Xero!$B:$B,Heron!E$9,Xero!$A:$A,Heron!$A$6,Xero!$E:$E,Heron!$A110)</f>
        <v/>
      </c>
      <c r="F110" s="103">
        <f>SUMIFS(Xero!$F:$F,Xero!$B:$B,Heron!F$9,Xero!$A:$A,Heron!$A$6,Xero!$E:$E,Heron!$A110)</f>
        <v/>
      </c>
      <c r="G110" s="103">
        <f>SUMIFS(Xero!$F:$F,Xero!$B:$B,Heron!G$9,Xero!$A:$A,Heron!$A$6,Xero!$E:$E,Heron!$A110)</f>
        <v/>
      </c>
      <c r="H110" s="103">
        <f>SUMIFS(Xero!$F:$F,Xero!$B:$B,Heron!H$9,Xero!$A:$A,Heron!$A$6,Xero!$E:$E,Heron!$A110)</f>
        <v/>
      </c>
      <c r="I110" s="103">
        <f>SUMIFS(Xero!$F:$F,Xero!$B:$B,Heron!I$9,Xero!$A:$A,Heron!$A$6,Xero!$E:$E,Heron!$A110)</f>
        <v/>
      </c>
      <c r="J110" s="103">
        <f>SUMIFS(Xero!$F:$F,Xero!$B:$B,Heron!J$9,Xero!$A:$A,Heron!$A$6,Xero!$E:$E,Heron!$A110)</f>
        <v/>
      </c>
      <c r="K110" s="103">
        <f>SUMIFS(Xero!$F:$F,Xero!$B:$B,Heron!K$9,Xero!$A:$A,Heron!$A$6,Xero!$E:$E,Heron!$A110)</f>
        <v/>
      </c>
      <c r="L110" s="103">
        <f>SUMIFS(Xero!$F:$F,Xero!$B:$B,Heron!L$9,Xero!$A:$A,Heron!$A$6,Xero!$E:$E,Heron!$A110)</f>
        <v/>
      </c>
      <c r="M110" s="103">
        <f>SUMIFS(Xero!$F:$F,Xero!$B:$B,Heron!M$9,Xero!$A:$A,Heron!$A$6,Xero!$E:$E,Heron!$A110)</f>
        <v/>
      </c>
      <c r="N110" s="103">
        <f>SUMIFS(Xero!$F:$F,Xero!$B:$B,Heron!N$9,Xero!$A:$A,Heron!$A$6,Xero!$E:$E,Heron!$A110)</f>
        <v/>
      </c>
      <c r="O110" s="103">
        <f>SUMIFS(Xero!$F:$F,Xero!$B:$B,Heron!O$9,Xero!$A:$A,Heron!$A$6,Xero!$E:$E,Heron!$A110)</f>
        <v/>
      </c>
      <c r="P110" s="103">
        <f>SUMIFS(Xero!$F:$F,Xero!$B:$B,Heron!P$9,Xero!$A:$A,Heron!$A$6,Xero!$E:$E,Heron!$A110)</f>
        <v/>
      </c>
      <c r="Q110" s="103">
        <f>SUMIFS(Xero!$F:$F,Xero!$B:$B,Heron!Q$9,Xero!$A:$A,Heron!$A$6,Xero!$E:$E,Heron!$A110)</f>
        <v/>
      </c>
      <c r="R110" s="103">
        <f>SUMIFS(Xero!$F:$F,Xero!$B:$B,Heron!R$9,Xero!$A:$A,Heron!$A$6,Xero!$E:$E,Heron!$A110)</f>
        <v/>
      </c>
      <c r="S110" s="103">
        <f>SUMIFS(Xero!$F:$F,Xero!$B:$B,Heron!S$9,Xero!$A:$A,Heron!$A$6,Xero!$E:$E,Heron!$A110)</f>
        <v/>
      </c>
      <c r="T110" s="103">
        <f>SUMIFS(Xero!$F:$F,Xero!$B:$B,Heron!T$9,Xero!$A:$A,Heron!$A$6,Xero!$E:$E,Heron!$A110)</f>
        <v/>
      </c>
      <c r="U110" s="103">
        <f>SUMIFS(Xero!$F:$F,Xero!$B:$B,Heron!U$9,Xero!$A:$A,Heron!$A$6,Xero!$E:$E,Heron!$A110)</f>
        <v/>
      </c>
      <c r="V110" s="103">
        <f>SUMIFS(Xero!$F:$F,Xero!$B:$B,Heron!V$9,Xero!$A:$A,Heron!$A$6,Xero!$E:$E,Heron!$A110)</f>
        <v/>
      </c>
      <c r="W110" s="103">
        <f>SUMIFS(Xero!$F:$F,Xero!$B:$B,Heron!W$9,Xero!$A:$A,Heron!$A$6,Xero!$E:$E,Heron!$A110)</f>
        <v/>
      </c>
      <c r="X110" s="103">
        <f>SUMIFS(Xero!$F:$F,Xero!$B:$B,Heron!X$9,Xero!$A:$A,Heron!$A$6,Xero!$E:$E,Heron!$A110)</f>
        <v/>
      </c>
      <c r="Y110" s="103">
        <f>SUMIFS(Xero!$F:$F,Xero!$B:$B,Heron!Y$9,Xero!$A:$A,Heron!$A$6,Xero!$E:$E,Heron!$A110)</f>
        <v/>
      </c>
      <c r="Z110" s="103">
        <f>SUMIFS(Xero!$F:$F,Xero!$B:$B,Heron!Z$9,Xero!$A:$A,Heron!$A$6,Xero!$E:$E,Heron!$A110)</f>
        <v/>
      </c>
      <c r="AA110" s="103">
        <f>SUMIFS(Xero!$F:$F,Xero!$B:$B,Heron!AA$9,Xero!$A:$A,Heron!$A$6,Xero!$E:$E,Heron!$A110)</f>
        <v/>
      </c>
      <c r="AB110" s="103">
        <f>SUMIFS(Xero!$F:$F,Xero!$B:$B,Heron!AB$9,Xero!$A:$A,Heron!$A$6,Xero!$E:$E,Heron!$A110)</f>
        <v/>
      </c>
      <c r="AC110" s="103">
        <f>SUMIFS(Xero!$F:$F,Xero!$B:$B,Heron!AC$9,Xero!$A:$A,Heron!$A$6,Xero!$E:$E,Heron!$A110)</f>
        <v/>
      </c>
      <c r="AD110" s="103">
        <f>SUMIFS(Xero!$F:$F,Xero!$B:$B,Heron!AD$9,Xero!$A:$A,Heron!$A$6,Xero!$E:$E,Heron!$A110)</f>
        <v/>
      </c>
      <c r="AE110" s="103">
        <f>SUMIFS(Xero!$F:$F,Xero!$B:$B,Heron!AE$9,Xero!$A:$A,Heron!$A$6,Xero!$E:$E,Heron!$A110)</f>
        <v/>
      </c>
      <c r="AF110" s="103">
        <f>SUMIFS(Xero!$F:$F,Xero!$B:$B,Heron!AF$9,Xero!$A:$A,Heron!$A$6,Xero!$E:$E,Heron!$A110)</f>
        <v/>
      </c>
      <c r="AG110" s="103">
        <f>SUMIFS(Xero!$F:$F,Xero!$B:$B,Heron!AG$9,Xero!$A:$A,Heron!$A$6,Xero!$E:$E,Heron!$A110)</f>
        <v/>
      </c>
      <c r="AH110" s="103">
        <f>SUMIFS(Xero!$F:$F,Xero!$B:$B,Heron!AH$9,Xero!$A:$A,Heron!$A$6,Xero!$E:$E,Heron!$A110)</f>
        <v/>
      </c>
      <c r="AI110" s="103">
        <f>SUMIFS(Xero!$F:$F,Xero!$B:$B,Heron!AI$9,Xero!$A:$A,Heron!$A$6,Xero!$E:$E,Heron!$A110)</f>
        <v/>
      </c>
      <c r="AJ110" s="103">
        <f>SUMIFS(Xero!$F:$F,Xero!$B:$B,Heron!AJ$9,Xero!$A:$A,Heron!$A$6,Xero!$E:$E,Heron!$A110)</f>
        <v/>
      </c>
      <c r="AK110" s="103">
        <f>SUMIFS(Xero!$F:$F,Xero!$B:$B,Heron!AK$9,Xero!$A:$A,Heron!$A$6,Xero!$E:$E,Heron!$A110)</f>
        <v/>
      </c>
      <c r="AL110" s="103">
        <f>SUMIFS(Xero!$F:$F,Xero!$B:$B,Heron!AL$9,Xero!$A:$A,Heron!$A$6,Xero!$E:$E,Heron!$A110)</f>
        <v/>
      </c>
      <c r="AM110" s="103">
        <f>SUMIFS(Xero!$F:$F,Xero!$B:$B,Heron!AM$9,Xero!$A:$A,Heron!$A$6,Xero!$E:$E,Heron!$A110)</f>
        <v/>
      </c>
      <c r="AN110" s="103">
        <f>SUMIFS(Xero!$F:$F,Xero!$B:$B,Heron!AN$9,Xero!$A:$A,Heron!$A$6,Xero!$E:$E,Heron!$A110)</f>
        <v/>
      </c>
      <c r="AO110" s="103">
        <f>SUMIFS(Xero!$F:$F,Xero!$B:$B,Heron!AO$9,Xero!$A:$A,Heron!$A$6,Xero!$E:$E,Heron!$A110)</f>
        <v/>
      </c>
      <c r="AP110" s="103">
        <f>SUMIFS(Xero!$F:$F,Xero!$B:$B,Heron!AP$9,Xero!$A:$A,Heron!$A$6,Xero!$E:$E,Heron!$A110)</f>
        <v/>
      </c>
      <c r="AQ110" s="103">
        <f>SUMIFS(Xero!$F:$F,Xero!$B:$B,Heron!AQ$9,Xero!$A:$A,Heron!$A$6,Xero!$E:$E,Heron!$A110)</f>
        <v/>
      </c>
      <c r="AR110" s="103">
        <f>SUMIFS(Xero!$F:$F,Xero!$B:$B,Heron!AR$9,Xero!$A:$A,Heron!$A$6,Xero!$E:$E,Heron!$A110)</f>
        <v/>
      </c>
      <c r="AS110" s="103">
        <f>SUMIFS(Xero!$F:$F,Xero!$B:$B,Heron!AS$9,Xero!$A:$A,Heron!$A$6,Xero!$E:$E,Heron!$A110)</f>
        <v/>
      </c>
      <c r="AT110" s="103">
        <f>SUMIFS(Xero!$F:$F,Xero!$B:$B,Heron!AT$9,Xero!$A:$A,Heron!$A$6,Xero!$E:$E,Heron!$A110)</f>
        <v/>
      </c>
      <c r="AU110" s="103">
        <f>SUMIFS(Xero!$F:$F,Xero!$B:$B,Heron!AU$9,Xero!$A:$A,Heron!$A$6,Xero!$E:$E,Heron!$A110)</f>
        <v/>
      </c>
      <c r="AV110" s="103">
        <f>SUMIFS(Xero!$F:$F,Xero!$B:$B,Heron!AV$9,Xero!$A:$A,Heron!$A$6,Xero!$E:$E,Heron!$A110)</f>
        <v/>
      </c>
      <c r="AW110" s="103">
        <f>SUMIFS(Xero!$F:$F,Xero!$B:$B,Heron!AW$9,Xero!$A:$A,Heron!$A$6,Xero!$E:$E,Heron!$A110)</f>
        <v/>
      </c>
      <c r="AX110" s="103">
        <f>SUMIFS(Xero!$F:$F,Xero!$B:$B,Heron!AX$9,Xero!$A:$A,Heron!$A$6,Xero!$E:$E,Heron!$A110)</f>
        <v/>
      </c>
      <c r="AY110" s="103">
        <f>SUMIFS(Xero!$F:$F,Xero!$B:$B,Heron!AY$9,Xero!$A:$A,Heron!$A$6,Xero!$E:$E,Heron!$A110)</f>
        <v/>
      </c>
      <c r="AZ110" s="103">
        <f>SUMIFS(Xero!$F:$F,Xero!$B:$B,Heron!AZ$9,Xero!$A:$A,Heron!$A$6,Xero!$E:$E,Heron!$A110)</f>
        <v/>
      </c>
      <c r="BA110" s="103">
        <f>SUMIFS(Xero!$F:$F,Xero!$B:$B,Heron!BA$9,Xero!$A:$A,Heron!$A$6,Xero!$E:$E,Heron!$A110)</f>
        <v/>
      </c>
      <c r="BB110" s="103">
        <f>SUMIFS(Xero!$F:$F,Xero!$B:$B,Heron!BB$9,Xero!$A:$A,Heron!$A$6,Xero!$E:$E,Heron!$A110)</f>
        <v/>
      </c>
      <c r="BC110" s="103">
        <f>SUMIFS(Xero!$F:$F,Xero!$B:$B,Heron!BC$9,Xero!$A:$A,Heron!$A$6,Xero!$E:$E,Heron!$A110)</f>
        <v/>
      </c>
      <c r="BD110" s="103">
        <f>SUMIFS(Xero!$F:$F,Xero!$B:$B,Heron!BD$9,Xero!$A:$A,Heron!$A$6,Xero!$E:$E,Heron!$A110)</f>
        <v/>
      </c>
      <c r="BE110" s="103">
        <f>SUMIFS(Xero!$F:$F,Xero!$B:$B,Heron!BE$9,Xero!$A:$A,Heron!$A$6,Xero!$E:$E,Heron!$A110)</f>
        <v/>
      </c>
      <c r="BF110" s="103">
        <f>SUMIFS(Xero!$F:$F,Xero!$B:$B,Heron!BF$9,Xero!$A:$A,Heron!$A$6,Xero!$E:$E,Heron!$A110)</f>
        <v/>
      </c>
      <c r="BG110" s="103">
        <f>SUMIFS(Xero!$F:$F,Xero!$B:$B,Heron!BG$9,Xero!$A:$A,Heron!$A$6,Xero!$E:$E,Heron!$A110)</f>
        <v/>
      </c>
      <c r="BH110" s="103">
        <f>SUMIFS(Xero!$F:$F,Xero!$B:$B,Heron!BH$9,Xero!$A:$A,Heron!$A$6,Xero!$E:$E,Heron!$A110)</f>
        <v/>
      </c>
      <c r="BI110" s="103">
        <f>SUMIFS(Xero!$F:$F,Xero!$B:$B,Heron!BI$9,Xero!$A:$A,Heron!$A$6,Xero!$E:$E,Heron!$A110)</f>
        <v/>
      </c>
      <c r="BJ110" s="103">
        <f>SUMIFS(Xero!$F:$F,Xero!$B:$B,Heron!BJ$9,Xero!$A:$A,Heron!$A$6,Xero!$E:$E,Heron!$A110)</f>
        <v/>
      </c>
      <c r="BK110" s="101">
        <f>sum(D110:BJ110)</f>
        <v/>
      </c>
    </row>
    <row r="111">
      <c r="A111" s="100" t="inlineStr">
        <is>
          <t>COS - Heron View - Printing &amp; Stationary</t>
        </is>
      </c>
      <c r="D111" s="103">
        <f>SUMIFS(Xero!$F:$F,Xero!$B:$B,Heron!D$9,Xero!$A:$A,Heron!$A$6,Xero!$E:$E,Heron!$A111)</f>
        <v/>
      </c>
      <c r="E111" s="103">
        <f>SUMIFS(Xero!$F:$F,Xero!$B:$B,Heron!E$9,Xero!$A:$A,Heron!$A$6,Xero!$E:$E,Heron!$A111)</f>
        <v/>
      </c>
      <c r="F111" s="103">
        <f>SUMIFS(Xero!$F:$F,Xero!$B:$B,Heron!F$9,Xero!$A:$A,Heron!$A$6,Xero!$E:$E,Heron!$A111)</f>
        <v/>
      </c>
      <c r="G111" s="103">
        <f>SUMIFS(Xero!$F:$F,Xero!$B:$B,Heron!G$9,Xero!$A:$A,Heron!$A$6,Xero!$E:$E,Heron!$A111)</f>
        <v/>
      </c>
      <c r="H111" s="103">
        <f>SUMIFS(Xero!$F:$F,Xero!$B:$B,Heron!H$9,Xero!$A:$A,Heron!$A$6,Xero!$E:$E,Heron!$A111)</f>
        <v/>
      </c>
      <c r="I111" s="103">
        <f>SUMIFS(Xero!$F:$F,Xero!$B:$B,Heron!I$9,Xero!$A:$A,Heron!$A$6,Xero!$E:$E,Heron!$A111)</f>
        <v/>
      </c>
      <c r="J111" s="103">
        <f>SUMIFS(Xero!$F:$F,Xero!$B:$B,Heron!J$9,Xero!$A:$A,Heron!$A$6,Xero!$E:$E,Heron!$A111)</f>
        <v/>
      </c>
      <c r="K111" s="103">
        <f>SUMIFS(Xero!$F:$F,Xero!$B:$B,Heron!K$9,Xero!$A:$A,Heron!$A$6,Xero!$E:$E,Heron!$A111)</f>
        <v/>
      </c>
      <c r="L111" s="103">
        <f>SUMIFS(Xero!$F:$F,Xero!$B:$B,Heron!L$9,Xero!$A:$A,Heron!$A$6,Xero!$E:$E,Heron!$A111)</f>
        <v/>
      </c>
      <c r="M111" s="103">
        <f>SUMIFS(Xero!$F:$F,Xero!$B:$B,Heron!M$9,Xero!$A:$A,Heron!$A$6,Xero!$E:$E,Heron!$A111)</f>
        <v/>
      </c>
      <c r="N111" s="103">
        <f>SUMIFS(Xero!$F:$F,Xero!$B:$B,Heron!N$9,Xero!$A:$A,Heron!$A$6,Xero!$E:$E,Heron!$A111)</f>
        <v/>
      </c>
      <c r="O111" s="103">
        <f>SUMIFS(Xero!$F:$F,Xero!$B:$B,Heron!O$9,Xero!$A:$A,Heron!$A$6,Xero!$E:$E,Heron!$A111)</f>
        <v/>
      </c>
      <c r="P111" s="103">
        <f>SUMIFS(Xero!$F:$F,Xero!$B:$B,Heron!P$9,Xero!$A:$A,Heron!$A$6,Xero!$E:$E,Heron!$A111)</f>
        <v/>
      </c>
      <c r="Q111" s="103">
        <f>SUMIFS(Xero!$F:$F,Xero!$B:$B,Heron!Q$9,Xero!$A:$A,Heron!$A$6,Xero!$E:$E,Heron!$A111)</f>
        <v/>
      </c>
      <c r="R111" s="103">
        <f>SUMIFS(Xero!$F:$F,Xero!$B:$B,Heron!R$9,Xero!$A:$A,Heron!$A$6,Xero!$E:$E,Heron!$A111)</f>
        <v/>
      </c>
      <c r="S111" s="103">
        <f>SUMIFS(Xero!$F:$F,Xero!$B:$B,Heron!S$9,Xero!$A:$A,Heron!$A$6,Xero!$E:$E,Heron!$A111)</f>
        <v/>
      </c>
      <c r="T111" s="103">
        <f>SUMIFS(Xero!$F:$F,Xero!$B:$B,Heron!T$9,Xero!$A:$A,Heron!$A$6,Xero!$E:$E,Heron!$A111)</f>
        <v/>
      </c>
      <c r="U111" s="103">
        <f>SUMIFS(Xero!$F:$F,Xero!$B:$B,Heron!U$9,Xero!$A:$A,Heron!$A$6,Xero!$E:$E,Heron!$A111)</f>
        <v/>
      </c>
      <c r="V111" s="103">
        <f>SUMIFS(Xero!$F:$F,Xero!$B:$B,Heron!V$9,Xero!$A:$A,Heron!$A$6,Xero!$E:$E,Heron!$A111)</f>
        <v/>
      </c>
      <c r="W111" s="103">
        <f>SUMIFS(Xero!$F:$F,Xero!$B:$B,Heron!W$9,Xero!$A:$A,Heron!$A$6,Xero!$E:$E,Heron!$A111)</f>
        <v/>
      </c>
      <c r="X111" s="103">
        <f>SUMIFS(Xero!$F:$F,Xero!$B:$B,Heron!X$9,Xero!$A:$A,Heron!$A$6,Xero!$E:$E,Heron!$A111)</f>
        <v/>
      </c>
      <c r="Y111" s="103">
        <f>SUMIFS(Xero!$F:$F,Xero!$B:$B,Heron!Y$9,Xero!$A:$A,Heron!$A$6,Xero!$E:$E,Heron!$A111)</f>
        <v/>
      </c>
      <c r="Z111" s="103">
        <f>SUMIFS(Xero!$F:$F,Xero!$B:$B,Heron!Z$9,Xero!$A:$A,Heron!$A$6,Xero!$E:$E,Heron!$A111)</f>
        <v/>
      </c>
      <c r="AA111" s="103">
        <f>SUMIFS(Xero!$F:$F,Xero!$B:$B,Heron!AA$9,Xero!$A:$A,Heron!$A$6,Xero!$E:$E,Heron!$A111)</f>
        <v/>
      </c>
      <c r="AB111" s="103">
        <f>SUMIFS(Xero!$F:$F,Xero!$B:$B,Heron!AB$9,Xero!$A:$A,Heron!$A$6,Xero!$E:$E,Heron!$A111)</f>
        <v/>
      </c>
      <c r="AC111" s="103">
        <f>SUMIFS(Xero!$F:$F,Xero!$B:$B,Heron!AC$9,Xero!$A:$A,Heron!$A$6,Xero!$E:$E,Heron!$A111)</f>
        <v/>
      </c>
      <c r="AD111" s="103">
        <f>SUMIFS(Xero!$F:$F,Xero!$B:$B,Heron!AD$9,Xero!$A:$A,Heron!$A$6,Xero!$E:$E,Heron!$A111)</f>
        <v/>
      </c>
      <c r="AE111" s="103">
        <f>SUMIFS(Xero!$F:$F,Xero!$B:$B,Heron!AE$9,Xero!$A:$A,Heron!$A$6,Xero!$E:$E,Heron!$A111)</f>
        <v/>
      </c>
      <c r="AF111" s="103">
        <f>SUMIFS(Xero!$F:$F,Xero!$B:$B,Heron!AF$9,Xero!$A:$A,Heron!$A$6,Xero!$E:$E,Heron!$A111)</f>
        <v/>
      </c>
      <c r="AG111" s="103">
        <f>SUMIFS(Xero!$F:$F,Xero!$B:$B,Heron!AG$9,Xero!$A:$A,Heron!$A$6,Xero!$E:$E,Heron!$A111)</f>
        <v/>
      </c>
      <c r="AH111" s="103">
        <f>SUMIFS(Xero!$F:$F,Xero!$B:$B,Heron!AH$9,Xero!$A:$A,Heron!$A$6,Xero!$E:$E,Heron!$A111)</f>
        <v/>
      </c>
      <c r="AI111" s="103">
        <f>SUMIFS(Xero!$F:$F,Xero!$B:$B,Heron!AI$9,Xero!$A:$A,Heron!$A$6,Xero!$E:$E,Heron!$A111)</f>
        <v/>
      </c>
      <c r="AJ111" s="103">
        <f>SUMIFS(Xero!$F:$F,Xero!$B:$B,Heron!AJ$9,Xero!$A:$A,Heron!$A$6,Xero!$E:$E,Heron!$A111)</f>
        <v/>
      </c>
      <c r="AK111" s="103">
        <f>SUMIFS(Xero!$F:$F,Xero!$B:$B,Heron!AK$9,Xero!$A:$A,Heron!$A$6,Xero!$E:$E,Heron!$A111)</f>
        <v/>
      </c>
      <c r="AL111" s="103">
        <f>SUMIFS(Xero!$F:$F,Xero!$B:$B,Heron!AL$9,Xero!$A:$A,Heron!$A$6,Xero!$E:$E,Heron!$A111)</f>
        <v/>
      </c>
      <c r="AM111" s="103">
        <f>SUMIFS(Xero!$F:$F,Xero!$B:$B,Heron!AM$9,Xero!$A:$A,Heron!$A$6,Xero!$E:$E,Heron!$A111)</f>
        <v/>
      </c>
      <c r="AN111" s="103">
        <f>SUMIFS(Xero!$F:$F,Xero!$B:$B,Heron!AN$9,Xero!$A:$A,Heron!$A$6,Xero!$E:$E,Heron!$A111)</f>
        <v/>
      </c>
      <c r="AO111" s="103">
        <f>SUMIFS(Xero!$F:$F,Xero!$B:$B,Heron!AO$9,Xero!$A:$A,Heron!$A$6,Xero!$E:$E,Heron!$A111)</f>
        <v/>
      </c>
      <c r="AP111" s="103">
        <f>SUMIFS(Xero!$F:$F,Xero!$B:$B,Heron!AP$9,Xero!$A:$A,Heron!$A$6,Xero!$E:$E,Heron!$A111)</f>
        <v/>
      </c>
      <c r="AQ111" s="103">
        <f>SUMIFS(Xero!$F:$F,Xero!$B:$B,Heron!AQ$9,Xero!$A:$A,Heron!$A$6,Xero!$E:$E,Heron!$A111)</f>
        <v/>
      </c>
      <c r="AR111" s="103">
        <f>SUMIFS(Xero!$F:$F,Xero!$B:$B,Heron!AR$9,Xero!$A:$A,Heron!$A$6,Xero!$E:$E,Heron!$A111)</f>
        <v/>
      </c>
      <c r="AS111" s="103">
        <f>SUMIFS(Xero!$F:$F,Xero!$B:$B,Heron!AS$9,Xero!$A:$A,Heron!$A$6,Xero!$E:$E,Heron!$A111)</f>
        <v/>
      </c>
      <c r="AT111" s="103">
        <f>SUMIFS(Xero!$F:$F,Xero!$B:$B,Heron!AT$9,Xero!$A:$A,Heron!$A$6,Xero!$E:$E,Heron!$A111)</f>
        <v/>
      </c>
      <c r="AU111" s="103">
        <f>SUMIFS(Xero!$F:$F,Xero!$B:$B,Heron!AU$9,Xero!$A:$A,Heron!$A$6,Xero!$E:$E,Heron!$A111)</f>
        <v/>
      </c>
      <c r="AV111" s="103">
        <f>SUMIFS(Xero!$F:$F,Xero!$B:$B,Heron!AV$9,Xero!$A:$A,Heron!$A$6,Xero!$E:$E,Heron!$A111)</f>
        <v/>
      </c>
      <c r="AW111" s="103">
        <f>SUMIFS(Xero!$F:$F,Xero!$B:$B,Heron!AW$9,Xero!$A:$A,Heron!$A$6,Xero!$E:$E,Heron!$A111)</f>
        <v/>
      </c>
      <c r="AX111" s="103">
        <f>SUMIFS(Xero!$F:$F,Xero!$B:$B,Heron!AX$9,Xero!$A:$A,Heron!$A$6,Xero!$E:$E,Heron!$A111)</f>
        <v/>
      </c>
      <c r="AY111" s="103">
        <f>SUMIFS(Xero!$F:$F,Xero!$B:$B,Heron!AY$9,Xero!$A:$A,Heron!$A$6,Xero!$E:$E,Heron!$A111)</f>
        <v/>
      </c>
      <c r="AZ111" s="103">
        <f>SUMIFS(Xero!$F:$F,Xero!$B:$B,Heron!AZ$9,Xero!$A:$A,Heron!$A$6,Xero!$E:$E,Heron!$A111)</f>
        <v/>
      </c>
      <c r="BA111" s="103">
        <f>SUMIFS(Xero!$F:$F,Xero!$B:$B,Heron!BA$9,Xero!$A:$A,Heron!$A$6,Xero!$E:$E,Heron!$A111)</f>
        <v/>
      </c>
      <c r="BB111" s="103">
        <f>SUMIFS(Xero!$F:$F,Xero!$B:$B,Heron!BB$9,Xero!$A:$A,Heron!$A$6,Xero!$E:$E,Heron!$A111)</f>
        <v/>
      </c>
      <c r="BC111" s="103">
        <f>SUMIFS(Xero!$F:$F,Xero!$B:$B,Heron!BC$9,Xero!$A:$A,Heron!$A$6,Xero!$E:$E,Heron!$A111)</f>
        <v/>
      </c>
      <c r="BD111" s="103">
        <f>SUMIFS(Xero!$F:$F,Xero!$B:$B,Heron!BD$9,Xero!$A:$A,Heron!$A$6,Xero!$E:$E,Heron!$A111)</f>
        <v/>
      </c>
      <c r="BE111" s="103">
        <f>SUMIFS(Xero!$F:$F,Xero!$B:$B,Heron!BE$9,Xero!$A:$A,Heron!$A$6,Xero!$E:$E,Heron!$A111)</f>
        <v/>
      </c>
      <c r="BF111" s="103">
        <f>SUMIFS(Xero!$F:$F,Xero!$B:$B,Heron!BF$9,Xero!$A:$A,Heron!$A$6,Xero!$E:$E,Heron!$A111)</f>
        <v/>
      </c>
      <c r="BG111" s="103">
        <f>SUMIFS(Xero!$F:$F,Xero!$B:$B,Heron!BG$9,Xero!$A:$A,Heron!$A$6,Xero!$E:$E,Heron!$A111)</f>
        <v/>
      </c>
      <c r="BH111" s="103">
        <f>SUMIFS(Xero!$F:$F,Xero!$B:$B,Heron!BH$9,Xero!$A:$A,Heron!$A$6,Xero!$E:$E,Heron!$A111)</f>
        <v/>
      </c>
      <c r="BI111" s="103">
        <f>SUMIFS(Xero!$F:$F,Xero!$B:$B,Heron!BI$9,Xero!$A:$A,Heron!$A$6,Xero!$E:$E,Heron!$A111)</f>
        <v/>
      </c>
      <c r="BJ111" s="103">
        <f>SUMIFS(Xero!$F:$F,Xero!$B:$B,Heron!BJ$9,Xero!$A:$A,Heron!$A$6,Xero!$E:$E,Heron!$A111)</f>
        <v/>
      </c>
      <c r="BK111" s="101">
        <f>sum(D111:BJ111)</f>
        <v/>
      </c>
    </row>
    <row r="112">
      <c r="A112" s="100" t="inlineStr">
        <is>
          <t>CPSD</t>
        </is>
      </c>
      <c r="D112" s="104">
        <f>SUMIFS('Other Costs'!$D:$D,'Other Costs'!$A:$A,Heron!$A112,'Other Costs'!$C:$C,"&lt;="&amp;Heron!D$9,'Other Costs'!$C:$C,"&gt;"&amp;Heron!C$9)</f>
        <v/>
      </c>
      <c r="E112" s="104">
        <f>SUMIFS('Other Costs'!$D:$D,'Other Costs'!$A:$A,Heron!$A112,'Other Costs'!$C:$C,"&lt;="&amp;Heron!E$9,'Other Costs'!$C:$C,"&gt;"&amp;Heron!D$9)</f>
        <v/>
      </c>
      <c r="F112" s="104">
        <f>SUMIFS('Other Costs'!$D:$D,'Other Costs'!$A:$A,Heron!$A112,'Other Costs'!$C:$C,"&lt;="&amp;Heron!F$9,'Other Costs'!$C:$C,"&gt;"&amp;Heron!E$9)</f>
        <v/>
      </c>
      <c r="G112" s="104">
        <f>SUMIFS('Other Costs'!$D:$D,'Other Costs'!$A:$A,Heron!$A112,'Other Costs'!$C:$C,"&lt;="&amp;Heron!G$9,'Other Costs'!$C:$C,"&gt;"&amp;Heron!F$9)</f>
        <v/>
      </c>
      <c r="H112" s="104">
        <f>SUMIFS('Other Costs'!$D:$D,'Other Costs'!$A:$A,Heron!$A112,'Other Costs'!$C:$C,"&lt;="&amp;Heron!H$9,'Other Costs'!$C:$C,"&gt;"&amp;Heron!G$9)</f>
        <v/>
      </c>
      <c r="I112" s="104">
        <f>SUMIFS('Other Costs'!$D:$D,'Other Costs'!$A:$A,Heron!$A112,'Other Costs'!$C:$C,"&lt;="&amp;Heron!I$9,'Other Costs'!$C:$C,"&gt;"&amp;Heron!H$9)</f>
        <v/>
      </c>
      <c r="J112" s="104">
        <f>SUMIFS('Other Costs'!$D:$D,'Other Costs'!$A:$A,Heron!$A112,'Other Costs'!$C:$C,"&lt;="&amp;Heron!J$9,'Other Costs'!$C:$C,"&gt;"&amp;Heron!I$9)</f>
        <v/>
      </c>
      <c r="K112" s="104">
        <f>SUMIFS('Other Costs'!$D:$D,'Other Costs'!$A:$A,Heron!$A112,'Other Costs'!$C:$C,"&lt;="&amp;Heron!K$9,'Other Costs'!$C:$C,"&gt;"&amp;Heron!J$9)</f>
        <v/>
      </c>
      <c r="L112" s="104">
        <f>SUMIFS('Other Costs'!$D:$D,'Other Costs'!$A:$A,Heron!$A112,'Other Costs'!$C:$C,"&lt;="&amp;Heron!L$9,'Other Costs'!$C:$C,"&gt;"&amp;Heron!K$9)</f>
        <v/>
      </c>
      <c r="M112" s="104">
        <f>SUMIFS('Other Costs'!$D:$D,'Other Costs'!$A:$A,Heron!$A112,'Other Costs'!$C:$C,"&lt;="&amp;Heron!M$9,'Other Costs'!$C:$C,"&gt;"&amp;Heron!L$9)</f>
        <v/>
      </c>
      <c r="N112" s="104">
        <f>SUMIFS('Other Costs'!$D:$D,'Other Costs'!$A:$A,Heron!$A112,'Other Costs'!$C:$C,"&lt;="&amp;Heron!N$9,'Other Costs'!$C:$C,"&gt;"&amp;Heron!M$9)</f>
        <v/>
      </c>
      <c r="O112" s="104">
        <f>SUMIFS('Other Costs'!$D:$D,'Other Costs'!$A:$A,Heron!$A112,'Other Costs'!$C:$C,"&lt;="&amp;Heron!O$9,'Other Costs'!$C:$C,"&gt;"&amp;Heron!N$9)</f>
        <v/>
      </c>
      <c r="P112" s="104">
        <f>SUMIFS('Other Costs'!$D:$D,'Other Costs'!$A:$A,Heron!$A112,'Other Costs'!$C:$C,"&lt;="&amp;Heron!P$9,'Other Costs'!$C:$C,"&gt;"&amp;Heron!O$9)</f>
        <v/>
      </c>
      <c r="Q112" s="104">
        <f>SUMIFS('Other Costs'!$D:$D,'Other Costs'!$A:$A,Heron!$A112,'Other Costs'!$C:$C,"&lt;="&amp;Heron!Q$9,'Other Costs'!$C:$C,"&gt;"&amp;Heron!P$9)</f>
        <v/>
      </c>
      <c r="R112" s="104">
        <f>SUMIFS('Other Costs'!$D:$D,'Other Costs'!$A:$A,Heron!$A112,'Other Costs'!$C:$C,"&lt;="&amp;Heron!R$9,'Other Costs'!$C:$C,"&gt;"&amp;Heron!Q$9)</f>
        <v/>
      </c>
      <c r="S112" s="104">
        <f>SUMIFS('Other Costs'!$D:$D,'Other Costs'!$A:$A,Heron!$A112,'Other Costs'!$C:$C,"&lt;="&amp;Heron!S$9,'Other Costs'!$C:$C,"&gt;"&amp;Heron!R$9)</f>
        <v/>
      </c>
      <c r="T112" s="104">
        <f>SUMIFS('Other Costs'!$D:$D,'Other Costs'!$A:$A,Heron!$A112,'Other Costs'!$C:$C,"&lt;="&amp;Heron!T$9,'Other Costs'!$C:$C,"&gt;"&amp;Heron!S$9)</f>
        <v/>
      </c>
      <c r="U112" s="104">
        <f>SUMIFS('Other Costs'!$D:$D,'Other Costs'!$A:$A,Heron!$A112,'Other Costs'!$C:$C,"&lt;="&amp;Heron!U$9,'Other Costs'!$C:$C,"&gt;"&amp;Heron!T$9)</f>
        <v/>
      </c>
      <c r="V112" s="104">
        <f>SUMIFS('Other Costs'!$D:$D,'Other Costs'!$A:$A,Heron!$A112,'Other Costs'!$C:$C,"&lt;="&amp;Heron!V$9,'Other Costs'!$C:$C,"&gt;"&amp;Heron!U$9)</f>
        <v/>
      </c>
      <c r="W112" s="104">
        <f>SUMIFS('Other Costs'!$D:$D,'Other Costs'!$A:$A,Heron!$A112,'Other Costs'!$C:$C,"&lt;="&amp;Heron!W$9,'Other Costs'!$C:$C,"&gt;"&amp;Heron!V$9)</f>
        <v/>
      </c>
      <c r="X112" s="104">
        <f>SUMIFS('Other Costs'!$D:$D,'Other Costs'!$A:$A,Heron!$A112,'Other Costs'!$C:$C,"&lt;="&amp;Heron!X$9,'Other Costs'!$C:$C,"&gt;"&amp;Heron!W$9)</f>
        <v/>
      </c>
      <c r="Y112" s="104">
        <f>SUMIFS('Other Costs'!$D:$D,'Other Costs'!$A:$A,Heron!$A112,'Other Costs'!$C:$C,"&lt;="&amp;Heron!Y$9,'Other Costs'!$C:$C,"&gt;"&amp;Heron!X$9)</f>
        <v/>
      </c>
      <c r="Z112" s="104">
        <f>SUMIFS('Other Costs'!$D:$D,'Other Costs'!$A:$A,Heron!$A112,'Other Costs'!$C:$C,"&lt;="&amp;Heron!Z$9,'Other Costs'!$C:$C,"&gt;"&amp;Heron!Y$9)</f>
        <v/>
      </c>
      <c r="AA112" s="104">
        <f>SUMIFS('Other Costs'!$D:$D,'Other Costs'!$A:$A,Heron!$A112,'Other Costs'!$C:$C,"&lt;="&amp;Heron!AA$9,'Other Costs'!$C:$C,"&gt;"&amp;Heron!Z$9)</f>
        <v/>
      </c>
      <c r="AB112" s="104">
        <f>SUMIFS('Other Costs'!$D:$D,'Other Costs'!$A:$A,Heron!$A112,'Other Costs'!$C:$C,"&lt;="&amp;Heron!AB$9,'Other Costs'!$C:$C,"&gt;"&amp;Heron!AA$9)</f>
        <v/>
      </c>
      <c r="AC112" s="104">
        <f>SUMIFS('Other Costs'!$D:$D,'Other Costs'!$A:$A,Heron!$A112,'Other Costs'!$C:$C,"&lt;="&amp;Heron!AC$9,'Other Costs'!$C:$C,"&gt;"&amp;Heron!AB$9)</f>
        <v/>
      </c>
      <c r="AD112" s="104">
        <f>SUMIFS('Other Costs'!$D:$D,'Other Costs'!$A:$A,Heron!$A112,'Other Costs'!$C:$C,"&lt;="&amp;Heron!AD$9,'Other Costs'!$C:$C,"&gt;"&amp;Heron!AC$9)</f>
        <v/>
      </c>
      <c r="AE112" s="104">
        <f>SUMIFS('Other Costs'!$D:$D,'Other Costs'!$A:$A,Heron!$A112,'Other Costs'!$C:$C,"&lt;="&amp;Heron!AE$9,'Other Costs'!$C:$C,"&gt;"&amp;Heron!AD$9)</f>
        <v/>
      </c>
      <c r="AF112" s="104">
        <f>SUMIFS('Other Costs'!$D:$D,'Other Costs'!$A:$A,Heron!$A112,'Other Costs'!$C:$C,"&lt;="&amp;Heron!AF$9,'Other Costs'!$C:$C,"&gt;"&amp;Heron!AE$9)</f>
        <v/>
      </c>
      <c r="AG112" s="104">
        <f>SUMIFS('Other Costs'!$D:$D,'Other Costs'!$A:$A,Heron!$A112,'Other Costs'!$C:$C,"&lt;="&amp;Heron!AG$9,'Other Costs'!$C:$C,"&gt;"&amp;Heron!AF$9)</f>
        <v/>
      </c>
      <c r="AH112" s="104">
        <f>SUMIFS('Other Costs'!$D:$D,'Other Costs'!$A:$A,Heron!$A112,'Other Costs'!$C:$C,"&lt;="&amp;Heron!AH$9,'Other Costs'!$C:$C,"&gt;"&amp;Heron!AG$9)</f>
        <v/>
      </c>
      <c r="AI112" s="104">
        <f>SUMIFS('Other Costs'!$D:$D,'Other Costs'!$A:$A,Heron!$A112,'Other Costs'!$C:$C,"&lt;="&amp;Heron!AI$9,'Other Costs'!$C:$C,"&gt;"&amp;Heron!AH$9)</f>
        <v/>
      </c>
      <c r="AJ112" s="104">
        <f>SUMIFS('Other Costs'!$D:$D,'Other Costs'!$A:$A,Heron!$A112,'Other Costs'!$C:$C,"&lt;="&amp;Heron!AJ$9,'Other Costs'!$C:$C,"&gt;"&amp;Heron!AI$9)</f>
        <v/>
      </c>
      <c r="AK112" s="104">
        <f>SUMIFS('Other Costs'!$D:$D,'Other Costs'!$A:$A,Heron!$A112,'Other Costs'!$C:$C,"&lt;="&amp;Heron!AK$9,'Other Costs'!$C:$C,"&gt;"&amp;Heron!AJ$9)</f>
        <v/>
      </c>
      <c r="AL112" s="104">
        <f>SUMIFS('Other Costs'!$D:$D,'Other Costs'!$A:$A,Heron!$A112,'Other Costs'!$C:$C,"&lt;="&amp;Heron!AL$9,'Other Costs'!$C:$C,"&gt;"&amp;Heron!AK$9)</f>
        <v/>
      </c>
      <c r="AM112" s="104">
        <f>SUMIFS('Other Costs'!$D:$D,'Other Costs'!$A:$A,Heron!$A112,'Other Costs'!$C:$C,"&lt;="&amp;Heron!AM$9,'Other Costs'!$C:$C,"&gt;"&amp;Heron!AL$9)</f>
        <v/>
      </c>
      <c r="AN112" s="104">
        <f>SUMIFS('Other Costs'!$D:$D,'Other Costs'!$A:$A,Heron!$A112,'Other Costs'!$C:$C,"&lt;="&amp;Heron!AN$9,'Other Costs'!$C:$C,"&gt;"&amp;Heron!AM$9)</f>
        <v/>
      </c>
      <c r="AO112" s="104">
        <f>SUMIFS('Other Costs'!$D:$D,'Other Costs'!$A:$A,Heron!$A112,'Other Costs'!$C:$C,"&lt;="&amp;Heron!AO$9,'Other Costs'!$C:$C,"&gt;"&amp;Heron!AN$9)</f>
        <v/>
      </c>
      <c r="AP112" s="104">
        <f>SUMIFS('Other Costs'!$D:$D,'Other Costs'!$A:$A,Heron!$A112,'Other Costs'!$C:$C,"&lt;="&amp;Heron!AP$9,'Other Costs'!$C:$C,"&gt;"&amp;Heron!AO$9)</f>
        <v/>
      </c>
      <c r="AQ112" s="104">
        <f>SUMIFS('Other Costs'!$D:$D,'Other Costs'!$A:$A,Heron!$A112,'Other Costs'!$C:$C,"&lt;="&amp;Heron!AQ$9,'Other Costs'!$C:$C,"&gt;"&amp;Heron!AP$9)</f>
        <v/>
      </c>
      <c r="AR112" s="104">
        <f>SUMIFS('Other Costs'!$D:$D,'Other Costs'!$A:$A,Heron!$A112,'Other Costs'!$C:$C,"&lt;="&amp;Heron!AR$9,'Other Costs'!$C:$C,"&gt;"&amp;Heron!AQ$9)</f>
        <v/>
      </c>
      <c r="AS112" s="104">
        <f>SUMIFS('Other Costs'!$D:$D,'Other Costs'!$A:$A,Heron!$A112,'Other Costs'!$C:$C,"&lt;="&amp;Heron!AS$9,'Other Costs'!$C:$C,"&gt;"&amp;Heron!AR$9)</f>
        <v/>
      </c>
      <c r="AT112" s="104">
        <f>SUMIFS('Other Costs'!$D:$D,'Other Costs'!$A:$A,Heron!$A112,'Other Costs'!$C:$C,"&lt;="&amp;Heron!AT$9,'Other Costs'!$C:$C,"&gt;"&amp;Heron!AS$9)</f>
        <v/>
      </c>
      <c r="AU112" s="104">
        <f>SUMIFS('Other Costs'!$D:$D,'Other Costs'!$A:$A,Heron!$A112,'Other Costs'!$C:$C,"&lt;="&amp;Heron!AU$9,'Other Costs'!$C:$C,"&gt;"&amp;Heron!AT$9)</f>
        <v/>
      </c>
      <c r="AV112" s="104">
        <f>SUMIFS('Other Costs'!$D:$D,'Other Costs'!$A:$A,Heron!$A112,'Other Costs'!$C:$C,"&lt;="&amp;Heron!AV$9,'Other Costs'!$C:$C,"&gt;"&amp;Heron!AU$9)</f>
        <v/>
      </c>
      <c r="AW112" s="104">
        <f>SUMIFS('Other Costs'!$D:$D,'Other Costs'!$A:$A,Heron!$A112,'Other Costs'!$C:$C,"&lt;="&amp;Heron!AW$9,'Other Costs'!$C:$C,"&gt;"&amp;Heron!AV$9)</f>
        <v/>
      </c>
      <c r="AX112" s="104">
        <f>SUMIFS('Other Costs'!$D:$D,'Other Costs'!$A:$A,Heron!$A112,'Other Costs'!$C:$C,"&lt;="&amp;Heron!AX$9,'Other Costs'!$C:$C,"&gt;"&amp;Heron!AW$9)</f>
        <v/>
      </c>
      <c r="AY112" s="104">
        <f>SUMIFS('Other Costs'!$D:$D,'Other Costs'!$A:$A,Heron!$A112,'Other Costs'!$C:$C,"&lt;="&amp;Heron!AY$9,'Other Costs'!$C:$C,"&gt;"&amp;Heron!AX$9)</f>
        <v/>
      </c>
      <c r="AZ112" s="104">
        <f>SUMIFS('Other Costs'!$D:$D,'Other Costs'!$A:$A,Heron!$A112,'Other Costs'!$C:$C,"&lt;="&amp;Heron!AZ$9,'Other Costs'!$C:$C,"&gt;"&amp;Heron!AY$9)</f>
        <v/>
      </c>
      <c r="BA112" s="104">
        <f>SUMIFS('Other Costs'!$D:$D,'Other Costs'!$A:$A,Heron!$A112,'Other Costs'!$C:$C,"&lt;="&amp;Heron!BA$9,'Other Costs'!$C:$C,"&gt;"&amp;Heron!AZ$9)</f>
        <v/>
      </c>
      <c r="BB112" s="104">
        <f>SUMIFS('Other Costs'!$D:$D,'Other Costs'!$A:$A,Heron!$A112,'Other Costs'!$C:$C,"&lt;="&amp;Heron!BB$9,'Other Costs'!$C:$C,"&gt;"&amp;Heron!BA$9)</f>
        <v/>
      </c>
      <c r="BC112" s="104">
        <f>SUMIFS('Other Costs'!$D:$D,'Other Costs'!$A:$A,Heron!$A112,'Other Costs'!$C:$C,"&lt;="&amp;Heron!BC$9,'Other Costs'!$C:$C,"&gt;"&amp;Heron!BB$9)</f>
        <v/>
      </c>
      <c r="BD112" s="104">
        <f>SUMIFS('Other Costs'!$D:$D,'Other Costs'!$A:$A,Heron!$A112,'Other Costs'!$C:$C,"&lt;="&amp;Heron!BD$9,'Other Costs'!$C:$C,"&gt;"&amp;Heron!BC$9)</f>
        <v/>
      </c>
      <c r="BE112" s="104">
        <f>SUMIFS('Other Costs'!$D:$D,'Other Costs'!$A:$A,Heron!$A112,'Other Costs'!$C:$C,"&lt;="&amp;Heron!BE$9,'Other Costs'!$C:$C,"&gt;"&amp;Heron!BD$9)</f>
        <v/>
      </c>
      <c r="BF112" s="104">
        <f>SUMIFS('Other Costs'!$D:$D,'Other Costs'!$A:$A,Heron!$A112,'Other Costs'!$C:$C,"&lt;="&amp;Heron!BF$9,'Other Costs'!$C:$C,"&gt;"&amp;Heron!BE$9)</f>
        <v/>
      </c>
      <c r="BG112" s="104">
        <f>SUMIFS('Other Costs'!$D:$D,'Other Costs'!$A:$A,Heron!$A112,'Other Costs'!$C:$C,"&lt;="&amp;Heron!BG$9,'Other Costs'!$C:$C,"&gt;"&amp;Heron!BF$9)</f>
        <v/>
      </c>
      <c r="BH112" s="104">
        <f>SUMIFS('Other Costs'!$D:$D,'Other Costs'!$A:$A,Heron!$A112,'Other Costs'!$C:$C,"&lt;="&amp;Heron!BH$9,'Other Costs'!$C:$C,"&gt;"&amp;Heron!BG$9)</f>
        <v/>
      </c>
      <c r="BI112" s="104">
        <f>SUMIFS('Other Costs'!$D:$D,'Other Costs'!$A:$A,Heron!$A112,'Other Costs'!$C:$C,"&lt;="&amp;Heron!BI$9,'Other Costs'!$C:$C,"&gt;"&amp;Heron!BH$9)</f>
        <v/>
      </c>
      <c r="BJ112" s="104">
        <f>SUMIFS('Other Costs'!$D:$D,'Other Costs'!$A:$A,Heron!$A112,'Other Costs'!$C:$C,"&lt;="&amp;Heron!BJ$9,'Other Costs'!$C:$C,"&gt;"&amp;Heron!BI$9)</f>
        <v/>
      </c>
      <c r="BK112" s="101">
        <f>sum(D112:BJ112)</f>
        <v/>
      </c>
    </row>
    <row r="113">
      <c r="A113" s="100" t="inlineStr">
        <is>
          <t>OppInvest</t>
        </is>
      </c>
      <c r="D113" s="104">
        <f>SUMIFS('Other Costs'!$D:$D,'Other Costs'!$A:$A,Heron!$A113,'Other Costs'!$C:$C,"&lt;="&amp;Heron!D$9,'Other Costs'!$C:$C,"&gt;"&amp;Heron!C$9)</f>
        <v/>
      </c>
      <c r="E113" s="104">
        <f>SUMIFS('Other Costs'!$D:$D,'Other Costs'!$A:$A,Heron!$A113,'Other Costs'!$C:$C,"&lt;="&amp;Heron!E$9,'Other Costs'!$C:$C,"&gt;"&amp;Heron!D$9)</f>
        <v/>
      </c>
      <c r="F113" s="104">
        <f>SUMIFS('Other Costs'!$D:$D,'Other Costs'!$A:$A,Heron!$A113,'Other Costs'!$C:$C,"&lt;="&amp;Heron!F$9,'Other Costs'!$C:$C,"&gt;"&amp;Heron!E$9)</f>
        <v/>
      </c>
      <c r="G113" s="104">
        <f>SUMIFS('Other Costs'!$D:$D,'Other Costs'!$A:$A,Heron!$A113,'Other Costs'!$C:$C,"&lt;="&amp;Heron!G$9,'Other Costs'!$C:$C,"&gt;"&amp;Heron!F$9)</f>
        <v/>
      </c>
      <c r="H113" s="104">
        <f>SUMIFS('Other Costs'!$D:$D,'Other Costs'!$A:$A,Heron!$A113,'Other Costs'!$C:$C,"&lt;="&amp;Heron!H$9,'Other Costs'!$C:$C,"&gt;"&amp;Heron!G$9)</f>
        <v/>
      </c>
      <c r="I113" s="104">
        <f>SUMIFS('Other Costs'!$D:$D,'Other Costs'!$A:$A,Heron!$A113,'Other Costs'!$C:$C,"&lt;="&amp;Heron!I$9,'Other Costs'!$C:$C,"&gt;"&amp;Heron!H$9)</f>
        <v/>
      </c>
      <c r="J113" s="104">
        <f>SUMIFS('Other Costs'!$D:$D,'Other Costs'!$A:$A,Heron!$A113,'Other Costs'!$C:$C,"&lt;="&amp;Heron!J$9,'Other Costs'!$C:$C,"&gt;"&amp;Heron!I$9)</f>
        <v/>
      </c>
      <c r="K113" s="104">
        <f>SUMIFS('Other Costs'!$D:$D,'Other Costs'!$A:$A,Heron!$A113,'Other Costs'!$C:$C,"&lt;="&amp;Heron!K$9,'Other Costs'!$C:$C,"&gt;"&amp;Heron!J$9)</f>
        <v/>
      </c>
      <c r="L113" s="104">
        <f>SUMIFS('Other Costs'!$D:$D,'Other Costs'!$A:$A,Heron!$A113,'Other Costs'!$C:$C,"&lt;="&amp;Heron!L$9,'Other Costs'!$C:$C,"&gt;"&amp;Heron!K$9)</f>
        <v/>
      </c>
      <c r="M113" s="104">
        <f>SUMIFS('Other Costs'!$D:$D,'Other Costs'!$A:$A,Heron!$A113,'Other Costs'!$C:$C,"&lt;="&amp;Heron!M$9,'Other Costs'!$C:$C,"&gt;"&amp;Heron!L$9)</f>
        <v/>
      </c>
      <c r="N113" s="104">
        <f>SUMIFS('Other Costs'!$D:$D,'Other Costs'!$A:$A,Heron!$A113,'Other Costs'!$C:$C,"&lt;="&amp;Heron!N$9,'Other Costs'!$C:$C,"&gt;"&amp;Heron!M$9)</f>
        <v/>
      </c>
      <c r="O113" s="104">
        <f>SUMIFS('Other Costs'!$D:$D,'Other Costs'!$A:$A,Heron!$A113,'Other Costs'!$C:$C,"&lt;="&amp;Heron!O$9,'Other Costs'!$C:$C,"&gt;"&amp;Heron!N$9)</f>
        <v/>
      </c>
      <c r="P113" s="104">
        <f>SUMIFS('Other Costs'!$D:$D,'Other Costs'!$A:$A,Heron!$A113,'Other Costs'!$C:$C,"&lt;="&amp;Heron!P$9,'Other Costs'!$C:$C,"&gt;"&amp;Heron!O$9)</f>
        <v/>
      </c>
      <c r="Q113" s="104">
        <f>SUMIFS('Other Costs'!$D:$D,'Other Costs'!$A:$A,Heron!$A113,'Other Costs'!$C:$C,"&lt;="&amp;Heron!Q$9,'Other Costs'!$C:$C,"&gt;"&amp;Heron!P$9)</f>
        <v/>
      </c>
      <c r="R113" s="104">
        <f>SUMIFS('Other Costs'!$D:$D,'Other Costs'!$A:$A,Heron!$A113,'Other Costs'!$C:$C,"&lt;="&amp;Heron!R$9,'Other Costs'!$C:$C,"&gt;"&amp;Heron!Q$9)</f>
        <v/>
      </c>
      <c r="S113" s="104">
        <f>SUMIFS('Other Costs'!$D:$D,'Other Costs'!$A:$A,Heron!$A113,'Other Costs'!$C:$C,"&lt;="&amp;Heron!S$9,'Other Costs'!$C:$C,"&gt;"&amp;Heron!R$9)</f>
        <v/>
      </c>
      <c r="T113" s="104">
        <f>SUMIFS('Other Costs'!$D:$D,'Other Costs'!$A:$A,Heron!$A113,'Other Costs'!$C:$C,"&lt;="&amp;Heron!T$9,'Other Costs'!$C:$C,"&gt;"&amp;Heron!S$9)</f>
        <v/>
      </c>
      <c r="U113" s="104">
        <f>SUMIFS('Other Costs'!$D:$D,'Other Costs'!$A:$A,Heron!$A113,'Other Costs'!$C:$C,"&lt;="&amp;Heron!U$9,'Other Costs'!$C:$C,"&gt;"&amp;Heron!T$9)</f>
        <v/>
      </c>
      <c r="V113" s="104">
        <f>SUMIFS('Other Costs'!$D:$D,'Other Costs'!$A:$A,Heron!$A113,'Other Costs'!$C:$C,"&lt;="&amp;Heron!V$9,'Other Costs'!$C:$C,"&gt;"&amp;Heron!U$9)</f>
        <v/>
      </c>
      <c r="W113" s="104">
        <f>SUMIFS('Other Costs'!$D:$D,'Other Costs'!$A:$A,Heron!$A113,'Other Costs'!$C:$C,"&lt;="&amp;Heron!W$9,'Other Costs'!$C:$C,"&gt;"&amp;Heron!V$9)</f>
        <v/>
      </c>
      <c r="X113" s="104">
        <f>SUMIFS('Other Costs'!$D:$D,'Other Costs'!$A:$A,Heron!$A113,'Other Costs'!$C:$C,"&lt;="&amp;Heron!X$9,'Other Costs'!$C:$C,"&gt;"&amp;Heron!W$9)</f>
        <v/>
      </c>
      <c r="Y113" s="104">
        <f>SUMIFS('Other Costs'!$D:$D,'Other Costs'!$A:$A,Heron!$A113,'Other Costs'!$C:$C,"&lt;="&amp;Heron!Y$9,'Other Costs'!$C:$C,"&gt;"&amp;Heron!X$9)</f>
        <v/>
      </c>
      <c r="Z113" s="104">
        <f>SUMIFS('Other Costs'!$D:$D,'Other Costs'!$A:$A,Heron!$A113,'Other Costs'!$C:$C,"&lt;="&amp;Heron!Z$9,'Other Costs'!$C:$C,"&gt;"&amp;Heron!Y$9)</f>
        <v/>
      </c>
      <c r="AA113" s="104">
        <f>SUMIFS('Other Costs'!$D:$D,'Other Costs'!$A:$A,Heron!$A113,'Other Costs'!$C:$C,"&lt;="&amp;Heron!AA$9,'Other Costs'!$C:$C,"&gt;"&amp;Heron!Z$9)</f>
        <v/>
      </c>
      <c r="AB113" s="104">
        <f>SUMIFS('Other Costs'!$D:$D,'Other Costs'!$A:$A,Heron!$A113,'Other Costs'!$C:$C,"&lt;="&amp;Heron!AB$9,'Other Costs'!$C:$C,"&gt;"&amp;Heron!AA$9)</f>
        <v/>
      </c>
      <c r="AC113" s="104">
        <f>SUMIFS('Other Costs'!$D:$D,'Other Costs'!$A:$A,Heron!$A113,'Other Costs'!$C:$C,"&lt;="&amp;Heron!AC$9,'Other Costs'!$C:$C,"&gt;"&amp;Heron!AB$9)</f>
        <v/>
      </c>
      <c r="AD113" s="104">
        <f>SUMIFS('Other Costs'!$D:$D,'Other Costs'!$A:$A,Heron!$A113,'Other Costs'!$C:$C,"&lt;="&amp;Heron!AD$9,'Other Costs'!$C:$C,"&gt;"&amp;Heron!AC$9)</f>
        <v/>
      </c>
      <c r="AE113" s="104">
        <f>SUMIFS('Other Costs'!$D:$D,'Other Costs'!$A:$A,Heron!$A113,'Other Costs'!$C:$C,"&lt;="&amp;Heron!AE$9,'Other Costs'!$C:$C,"&gt;"&amp;Heron!AD$9)</f>
        <v/>
      </c>
      <c r="AF113" s="104">
        <f>SUMIFS('Other Costs'!$D:$D,'Other Costs'!$A:$A,Heron!$A113,'Other Costs'!$C:$C,"&lt;="&amp;Heron!AF$9,'Other Costs'!$C:$C,"&gt;"&amp;Heron!AE$9)</f>
        <v/>
      </c>
      <c r="AG113" s="104">
        <f>SUMIFS('Other Costs'!$D:$D,'Other Costs'!$A:$A,Heron!$A113,'Other Costs'!$C:$C,"&lt;="&amp;Heron!AG$9,'Other Costs'!$C:$C,"&gt;"&amp;Heron!AF$9)</f>
        <v/>
      </c>
      <c r="AH113" s="104">
        <f>SUMIFS('Other Costs'!$D:$D,'Other Costs'!$A:$A,Heron!$A113,'Other Costs'!$C:$C,"&lt;="&amp;Heron!AH$9,'Other Costs'!$C:$C,"&gt;"&amp;Heron!AG$9)</f>
        <v/>
      </c>
      <c r="AI113" s="104">
        <f>SUMIFS('Other Costs'!$D:$D,'Other Costs'!$A:$A,Heron!$A113,'Other Costs'!$C:$C,"&lt;="&amp;Heron!AI$9,'Other Costs'!$C:$C,"&gt;"&amp;Heron!AH$9)</f>
        <v/>
      </c>
      <c r="AJ113" s="104">
        <f>SUMIFS('Other Costs'!$D:$D,'Other Costs'!$A:$A,Heron!$A113,'Other Costs'!$C:$C,"&lt;="&amp;Heron!AJ$9,'Other Costs'!$C:$C,"&gt;"&amp;Heron!AI$9)</f>
        <v/>
      </c>
      <c r="AK113" s="104">
        <f>SUMIFS('Other Costs'!$D:$D,'Other Costs'!$A:$A,Heron!$A113,'Other Costs'!$C:$C,"&lt;="&amp;Heron!AK$9,'Other Costs'!$C:$C,"&gt;"&amp;Heron!AJ$9)</f>
        <v/>
      </c>
      <c r="AL113" s="104">
        <f>SUMIFS('Other Costs'!$D:$D,'Other Costs'!$A:$A,Heron!$A113,'Other Costs'!$C:$C,"&lt;="&amp;Heron!AL$9,'Other Costs'!$C:$C,"&gt;"&amp;Heron!AK$9)</f>
        <v/>
      </c>
      <c r="AM113" s="104">
        <f>SUMIFS('Other Costs'!$D:$D,'Other Costs'!$A:$A,Heron!$A113,'Other Costs'!$C:$C,"&lt;="&amp;Heron!AM$9,'Other Costs'!$C:$C,"&gt;"&amp;Heron!AL$9)</f>
        <v/>
      </c>
      <c r="AN113" s="104">
        <f>SUMIFS('Other Costs'!$D:$D,'Other Costs'!$A:$A,Heron!$A113,'Other Costs'!$C:$C,"&lt;="&amp;Heron!AN$9,'Other Costs'!$C:$C,"&gt;"&amp;Heron!AM$9)</f>
        <v/>
      </c>
      <c r="AO113" s="104">
        <f>SUMIFS('Other Costs'!$D:$D,'Other Costs'!$A:$A,Heron!$A113,'Other Costs'!$C:$C,"&lt;="&amp;Heron!AO$9,'Other Costs'!$C:$C,"&gt;"&amp;Heron!AN$9)</f>
        <v/>
      </c>
      <c r="AP113" s="104">
        <f>SUMIFS('Other Costs'!$D:$D,'Other Costs'!$A:$A,Heron!$A113,'Other Costs'!$C:$C,"&lt;="&amp;Heron!AP$9,'Other Costs'!$C:$C,"&gt;"&amp;Heron!AO$9)</f>
        <v/>
      </c>
      <c r="AQ113" s="104">
        <f>SUMIFS('Other Costs'!$D:$D,'Other Costs'!$A:$A,Heron!$A113,'Other Costs'!$C:$C,"&lt;="&amp;Heron!AQ$9,'Other Costs'!$C:$C,"&gt;"&amp;Heron!AP$9)</f>
        <v/>
      </c>
      <c r="AR113" s="104">
        <f>SUMIFS('Other Costs'!$D:$D,'Other Costs'!$A:$A,Heron!$A113,'Other Costs'!$C:$C,"&lt;="&amp;Heron!AR$9,'Other Costs'!$C:$C,"&gt;"&amp;Heron!AQ$9)</f>
        <v/>
      </c>
      <c r="AS113" s="104">
        <f>SUMIFS('Other Costs'!$D:$D,'Other Costs'!$A:$A,Heron!$A113,'Other Costs'!$C:$C,"&lt;="&amp;Heron!AS$9,'Other Costs'!$C:$C,"&gt;"&amp;Heron!AR$9)</f>
        <v/>
      </c>
      <c r="AT113" s="104">
        <f>SUMIFS('Other Costs'!$D:$D,'Other Costs'!$A:$A,Heron!$A113,'Other Costs'!$C:$C,"&lt;="&amp;Heron!AT$9,'Other Costs'!$C:$C,"&gt;"&amp;Heron!AS$9)</f>
        <v/>
      </c>
      <c r="AU113" s="104">
        <f>SUMIFS('Other Costs'!$D:$D,'Other Costs'!$A:$A,Heron!$A113,'Other Costs'!$C:$C,"&lt;="&amp;Heron!AU$9,'Other Costs'!$C:$C,"&gt;"&amp;Heron!AT$9)</f>
        <v/>
      </c>
      <c r="AV113" s="104">
        <f>SUMIFS('Other Costs'!$D:$D,'Other Costs'!$A:$A,Heron!$A113,'Other Costs'!$C:$C,"&lt;="&amp;Heron!AV$9,'Other Costs'!$C:$C,"&gt;"&amp;Heron!AU$9)</f>
        <v/>
      </c>
      <c r="AW113" s="104">
        <f>SUMIFS('Other Costs'!$D:$D,'Other Costs'!$A:$A,Heron!$A113,'Other Costs'!$C:$C,"&lt;="&amp;Heron!AW$9,'Other Costs'!$C:$C,"&gt;"&amp;Heron!AV$9)</f>
        <v/>
      </c>
      <c r="AX113" s="104">
        <f>SUMIFS('Other Costs'!$D:$D,'Other Costs'!$A:$A,Heron!$A113,'Other Costs'!$C:$C,"&lt;="&amp;Heron!AX$9,'Other Costs'!$C:$C,"&gt;"&amp;Heron!AW$9)</f>
        <v/>
      </c>
      <c r="AY113" s="104">
        <f>SUMIFS('Other Costs'!$D:$D,'Other Costs'!$A:$A,Heron!$A113,'Other Costs'!$C:$C,"&lt;="&amp;Heron!AY$9,'Other Costs'!$C:$C,"&gt;"&amp;Heron!AX$9)</f>
        <v/>
      </c>
      <c r="AZ113" s="104">
        <f>SUMIFS('Other Costs'!$D:$D,'Other Costs'!$A:$A,Heron!$A113,'Other Costs'!$C:$C,"&lt;="&amp;Heron!AZ$9,'Other Costs'!$C:$C,"&gt;"&amp;Heron!AY$9)</f>
        <v/>
      </c>
      <c r="BA113" s="104">
        <f>SUMIFS('Other Costs'!$D:$D,'Other Costs'!$A:$A,Heron!$A113,'Other Costs'!$C:$C,"&lt;="&amp;Heron!BA$9,'Other Costs'!$C:$C,"&gt;"&amp;Heron!AZ$9)</f>
        <v/>
      </c>
      <c r="BB113" s="104">
        <f>SUMIFS('Other Costs'!$D:$D,'Other Costs'!$A:$A,Heron!$A113,'Other Costs'!$C:$C,"&lt;="&amp;Heron!BB$9,'Other Costs'!$C:$C,"&gt;"&amp;Heron!BA$9)</f>
        <v/>
      </c>
      <c r="BC113" s="104">
        <f>SUMIFS('Other Costs'!$D:$D,'Other Costs'!$A:$A,Heron!$A113,'Other Costs'!$C:$C,"&lt;="&amp;Heron!BC$9,'Other Costs'!$C:$C,"&gt;"&amp;Heron!BB$9)</f>
        <v/>
      </c>
      <c r="BD113" s="104">
        <f>SUMIFS('Other Costs'!$D:$D,'Other Costs'!$A:$A,Heron!$A113,'Other Costs'!$C:$C,"&lt;="&amp;Heron!BD$9,'Other Costs'!$C:$C,"&gt;"&amp;Heron!BC$9)</f>
        <v/>
      </c>
      <c r="BE113" s="104">
        <f>SUMIFS('Other Costs'!$D:$D,'Other Costs'!$A:$A,Heron!$A113,'Other Costs'!$C:$C,"&lt;="&amp;Heron!BE$9,'Other Costs'!$C:$C,"&gt;"&amp;Heron!BD$9)</f>
        <v/>
      </c>
      <c r="BF113" s="104">
        <f>SUMIFS('Other Costs'!$D:$D,'Other Costs'!$A:$A,Heron!$A113,'Other Costs'!$C:$C,"&lt;="&amp;Heron!BF$9,'Other Costs'!$C:$C,"&gt;"&amp;Heron!BE$9)</f>
        <v/>
      </c>
      <c r="BG113" s="104">
        <f>SUMIFS('Other Costs'!$D:$D,'Other Costs'!$A:$A,Heron!$A113,'Other Costs'!$C:$C,"&lt;="&amp;Heron!BG$9,'Other Costs'!$C:$C,"&gt;"&amp;Heron!BF$9)</f>
        <v/>
      </c>
      <c r="BH113" s="104">
        <f>SUMIFS('Other Costs'!$D:$D,'Other Costs'!$A:$A,Heron!$A113,'Other Costs'!$C:$C,"&lt;="&amp;Heron!BH$9,'Other Costs'!$C:$C,"&gt;"&amp;Heron!BG$9)</f>
        <v/>
      </c>
      <c r="BI113" s="104">
        <f>SUMIFS('Other Costs'!$D:$D,'Other Costs'!$A:$A,Heron!$A113,'Other Costs'!$C:$C,"&lt;="&amp;Heron!BI$9,'Other Costs'!$C:$C,"&gt;"&amp;Heron!BH$9)</f>
        <v/>
      </c>
      <c r="BJ113" s="104">
        <f>SUMIFS('Other Costs'!$D:$D,'Other Costs'!$A:$A,Heron!$A113,'Other Costs'!$C:$C,"&lt;="&amp;Heron!BJ$9,'Other Costs'!$C:$C,"&gt;"&amp;Heron!BI$9)</f>
        <v/>
      </c>
      <c r="BK113" s="101">
        <f>sum(D113:BJ113)</f>
        <v/>
      </c>
    </row>
    <row r="114">
      <c r="A114" s="100" t="inlineStr">
        <is>
          <t>Professional Fees</t>
        </is>
      </c>
      <c r="D114" s="104">
        <f>SUMIFS('Other Costs'!$D:$D,'Other Costs'!$A:$A,Heron!$A114,'Other Costs'!$C:$C,"&lt;="&amp;Heron!D$9,'Other Costs'!$C:$C,"&gt;"&amp;Heron!C$9)</f>
        <v/>
      </c>
      <c r="E114" s="104">
        <f>SUMIFS('Other Costs'!$D:$D,'Other Costs'!$A:$A,Heron!$A114,'Other Costs'!$C:$C,"&lt;="&amp;Heron!E$9,'Other Costs'!$C:$C,"&gt;"&amp;Heron!D$9)</f>
        <v/>
      </c>
      <c r="F114" s="104">
        <f>SUMIFS('Other Costs'!$D:$D,'Other Costs'!$A:$A,Heron!$A114,'Other Costs'!$C:$C,"&lt;="&amp;Heron!F$9,'Other Costs'!$C:$C,"&gt;"&amp;Heron!E$9)</f>
        <v/>
      </c>
      <c r="G114" s="104">
        <f>SUMIFS('Other Costs'!$D:$D,'Other Costs'!$A:$A,Heron!$A114,'Other Costs'!$C:$C,"&lt;="&amp;Heron!G$9,'Other Costs'!$C:$C,"&gt;"&amp;Heron!F$9)</f>
        <v/>
      </c>
      <c r="H114" s="104">
        <f>SUMIFS('Other Costs'!$D:$D,'Other Costs'!$A:$A,Heron!$A114,'Other Costs'!$C:$C,"&lt;="&amp;Heron!H$9,'Other Costs'!$C:$C,"&gt;"&amp;Heron!G$9)</f>
        <v/>
      </c>
      <c r="I114" s="104">
        <f>SUMIFS('Other Costs'!$D:$D,'Other Costs'!$A:$A,Heron!$A114,'Other Costs'!$C:$C,"&lt;="&amp;Heron!I$9,'Other Costs'!$C:$C,"&gt;"&amp;Heron!H$9)</f>
        <v/>
      </c>
      <c r="J114" s="104">
        <f>SUMIFS('Other Costs'!$D:$D,'Other Costs'!$A:$A,Heron!$A114,'Other Costs'!$C:$C,"&lt;="&amp;Heron!J$9,'Other Costs'!$C:$C,"&gt;"&amp;Heron!I$9)</f>
        <v/>
      </c>
      <c r="K114" s="104">
        <f>SUMIFS('Other Costs'!$D:$D,'Other Costs'!$A:$A,Heron!$A114,'Other Costs'!$C:$C,"&lt;="&amp;Heron!K$9,'Other Costs'!$C:$C,"&gt;"&amp;Heron!J$9)</f>
        <v/>
      </c>
      <c r="L114" s="104">
        <f>SUMIFS('Other Costs'!$D:$D,'Other Costs'!$A:$A,Heron!$A114,'Other Costs'!$C:$C,"&lt;="&amp;Heron!L$9,'Other Costs'!$C:$C,"&gt;"&amp;Heron!K$9)</f>
        <v/>
      </c>
      <c r="M114" s="104">
        <f>SUMIFS('Other Costs'!$D:$D,'Other Costs'!$A:$A,Heron!$A114,'Other Costs'!$C:$C,"&lt;="&amp;Heron!M$9,'Other Costs'!$C:$C,"&gt;"&amp;Heron!L$9)</f>
        <v/>
      </c>
      <c r="N114" s="104">
        <f>SUMIFS('Other Costs'!$D:$D,'Other Costs'!$A:$A,Heron!$A114,'Other Costs'!$C:$C,"&lt;="&amp;Heron!N$9,'Other Costs'!$C:$C,"&gt;"&amp;Heron!M$9)</f>
        <v/>
      </c>
      <c r="O114" s="104">
        <f>SUMIFS('Other Costs'!$D:$D,'Other Costs'!$A:$A,Heron!$A114,'Other Costs'!$C:$C,"&lt;="&amp;Heron!O$9,'Other Costs'!$C:$C,"&gt;"&amp;Heron!N$9)</f>
        <v/>
      </c>
      <c r="P114" s="104">
        <f>SUMIFS('Other Costs'!$D:$D,'Other Costs'!$A:$A,Heron!$A114,'Other Costs'!$C:$C,"&lt;="&amp;Heron!P$9,'Other Costs'!$C:$C,"&gt;"&amp;Heron!O$9)</f>
        <v/>
      </c>
      <c r="Q114" s="104">
        <f>SUMIFS('Other Costs'!$D:$D,'Other Costs'!$A:$A,Heron!$A114,'Other Costs'!$C:$C,"&lt;="&amp;Heron!Q$9,'Other Costs'!$C:$C,"&gt;"&amp;Heron!P$9)</f>
        <v/>
      </c>
      <c r="R114" s="104">
        <f>SUMIFS('Other Costs'!$D:$D,'Other Costs'!$A:$A,Heron!$A114,'Other Costs'!$C:$C,"&lt;="&amp;Heron!R$9,'Other Costs'!$C:$C,"&gt;"&amp;Heron!Q$9)</f>
        <v/>
      </c>
      <c r="S114" s="104">
        <f>SUMIFS('Other Costs'!$D:$D,'Other Costs'!$A:$A,Heron!$A114,'Other Costs'!$C:$C,"&lt;="&amp;Heron!S$9,'Other Costs'!$C:$C,"&gt;"&amp;Heron!R$9)</f>
        <v/>
      </c>
      <c r="T114" s="104">
        <f>SUMIFS('Other Costs'!$D:$D,'Other Costs'!$A:$A,Heron!$A114,'Other Costs'!$C:$C,"&lt;="&amp;Heron!T$9,'Other Costs'!$C:$C,"&gt;"&amp;Heron!S$9)</f>
        <v/>
      </c>
      <c r="U114" s="104">
        <f>SUMIFS('Other Costs'!$D:$D,'Other Costs'!$A:$A,Heron!$A114,'Other Costs'!$C:$C,"&lt;="&amp;Heron!U$9,'Other Costs'!$C:$C,"&gt;"&amp;Heron!T$9)</f>
        <v/>
      </c>
      <c r="V114" s="104">
        <f>SUMIFS('Other Costs'!$D:$D,'Other Costs'!$A:$A,Heron!$A114,'Other Costs'!$C:$C,"&lt;="&amp;Heron!V$9,'Other Costs'!$C:$C,"&gt;"&amp;Heron!U$9)</f>
        <v/>
      </c>
      <c r="W114" s="104">
        <f>SUMIFS('Other Costs'!$D:$D,'Other Costs'!$A:$A,Heron!$A114,'Other Costs'!$C:$C,"&lt;="&amp;Heron!W$9,'Other Costs'!$C:$C,"&gt;"&amp;Heron!V$9)</f>
        <v/>
      </c>
      <c r="X114" s="104">
        <f>SUMIFS('Other Costs'!$D:$D,'Other Costs'!$A:$A,Heron!$A114,'Other Costs'!$C:$C,"&lt;="&amp;Heron!X$9,'Other Costs'!$C:$C,"&gt;"&amp;Heron!W$9)</f>
        <v/>
      </c>
      <c r="Y114" s="104">
        <f>SUMIFS('Other Costs'!$D:$D,'Other Costs'!$A:$A,Heron!$A114,'Other Costs'!$C:$C,"&lt;="&amp;Heron!Y$9,'Other Costs'!$C:$C,"&gt;"&amp;Heron!X$9)</f>
        <v/>
      </c>
      <c r="Z114" s="104">
        <f>SUMIFS('Other Costs'!$D:$D,'Other Costs'!$A:$A,Heron!$A114,'Other Costs'!$C:$C,"&lt;="&amp;Heron!Z$9,'Other Costs'!$C:$C,"&gt;"&amp;Heron!Y$9)</f>
        <v/>
      </c>
      <c r="AA114" s="104">
        <f>SUMIFS('Other Costs'!$D:$D,'Other Costs'!$A:$A,Heron!$A114,'Other Costs'!$C:$C,"&lt;="&amp;Heron!AA$9,'Other Costs'!$C:$C,"&gt;"&amp;Heron!Z$9)</f>
        <v/>
      </c>
      <c r="AB114" s="104">
        <f>SUMIFS('Other Costs'!$D:$D,'Other Costs'!$A:$A,Heron!$A114,'Other Costs'!$C:$C,"&lt;="&amp;Heron!AB$9,'Other Costs'!$C:$C,"&gt;"&amp;Heron!AA$9)</f>
        <v/>
      </c>
      <c r="AC114" s="104">
        <f>SUMIFS('Other Costs'!$D:$D,'Other Costs'!$A:$A,Heron!$A114,'Other Costs'!$C:$C,"&lt;="&amp;Heron!AC$9,'Other Costs'!$C:$C,"&gt;"&amp;Heron!AB$9)</f>
        <v/>
      </c>
      <c r="AD114" s="104">
        <f>SUMIFS('Other Costs'!$D:$D,'Other Costs'!$A:$A,Heron!$A114,'Other Costs'!$C:$C,"&lt;="&amp;Heron!AD$9,'Other Costs'!$C:$C,"&gt;"&amp;Heron!AC$9)</f>
        <v/>
      </c>
      <c r="AE114" s="104">
        <f>SUMIFS('Other Costs'!$D:$D,'Other Costs'!$A:$A,Heron!$A114,'Other Costs'!$C:$C,"&lt;="&amp;Heron!AE$9,'Other Costs'!$C:$C,"&gt;"&amp;Heron!AD$9)</f>
        <v/>
      </c>
      <c r="AF114" s="104">
        <f>SUMIFS('Other Costs'!$D:$D,'Other Costs'!$A:$A,Heron!$A114,'Other Costs'!$C:$C,"&lt;="&amp;Heron!AF$9,'Other Costs'!$C:$C,"&gt;"&amp;Heron!AE$9)</f>
        <v/>
      </c>
      <c r="AG114" s="104">
        <f>SUMIFS('Other Costs'!$D:$D,'Other Costs'!$A:$A,Heron!$A114,'Other Costs'!$C:$C,"&lt;="&amp;Heron!AG$9,'Other Costs'!$C:$C,"&gt;"&amp;Heron!AF$9)</f>
        <v/>
      </c>
      <c r="AH114" s="104">
        <f>SUMIFS('Other Costs'!$D:$D,'Other Costs'!$A:$A,Heron!$A114,'Other Costs'!$C:$C,"&lt;="&amp;Heron!AH$9,'Other Costs'!$C:$C,"&gt;"&amp;Heron!AG$9)</f>
        <v/>
      </c>
      <c r="AI114" s="104">
        <f>SUMIFS('Other Costs'!$D:$D,'Other Costs'!$A:$A,Heron!$A114,'Other Costs'!$C:$C,"&lt;="&amp;Heron!AI$9,'Other Costs'!$C:$C,"&gt;"&amp;Heron!AH$9)</f>
        <v/>
      </c>
      <c r="AJ114" s="104">
        <f>SUMIFS('Other Costs'!$D:$D,'Other Costs'!$A:$A,Heron!$A114,'Other Costs'!$C:$C,"&lt;="&amp;Heron!AJ$9,'Other Costs'!$C:$C,"&gt;"&amp;Heron!AI$9)</f>
        <v/>
      </c>
      <c r="AK114" s="104">
        <f>SUMIFS('Other Costs'!$D:$D,'Other Costs'!$A:$A,Heron!$A114,'Other Costs'!$C:$C,"&lt;="&amp;Heron!AK$9,'Other Costs'!$C:$C,"&gt;"&amp;Heron!AJ$9)</f>
        <v/>
      </c>
      <c r="AL114" s="104">
        <f>SUMIFS('Other Costs'!$D:$D,'Other Costs'!$A:$A,Heron!$A114,'Other Costs'!$C:$C,"&lt;="&amp;Heron!AL$9,'Other Costs'!$C:$C,"&gt;"&amp;Heron!AK$9)</f>
        <v/>
      </c>
      <c r="AM114" s="104">
        <f>SUMIFS('Other Costs'!$D:$D,'Other Costs'!$A:$A,Heron!$A114,'Other Costs'!$C:$C,"&lt;="&amp;Heron!AM$9,'Other Costs'!$C:$C,"&gt;"&amp;Heron!AL$9)</f>
        <v/>
      </c>
      <c r="AN114" s="104">
        <f>SUMIFS('Other Costs'!$D:$D,'Other Costs'!$A:$A,Heron!$A114,'Other Costs'!$C:$C,"&lt;="&amp;Heron!AN$9,'Other Costs'!$C:$C,"&gt;"&amp;Heron!AM$9)</f>
        <v/>
      </c>
      <c r="AO114" s="104">
        <f>SUMIFS('Other Costs'!$D:$D,'Other Costs'!$A:$A,Heron!$A114,'Other Costs'!$C:$C,"&lt;="&amp;Heron!AO$9,'Other Costs'!$C:$C,"&gt;"&amp;Heron!AN$9)</f>
        <v/>
      </c>
      <c r="AP114" s="104">
        <f>SUMIFS('Other Costs'!$D:$D,'Other Costs'!$A:$A,Heron!$A114,'Other Costs'!$C:$C,"&lt;="&amp;Heron!AP$9,'Other Costs'!$C:$C,"&gt;"&amp;Heron!AO$9)</f>
        <v/>
      </c>
      <c r="AQ114" s="104">
        <f>SUMIFS('Other Costs'!$D:$D,'Other Costs'!$A:$A,Heron!$A114,'Other Costs'!$C:$C,"&lt;="&amp;Heron!AQ$9,'Other Costs'!$C:$C,"&gt;"&amp;Heron!AP$9)</f>
        <v/>
      </c>
      <c r="AR114" s="104">
        <f>SUMIFS('Other Costs'!$D:$D,'Other Costs'!$A:$A,Heron!$A114,'Other Costs'!$C:$C,"&lt;="&amp;Heron!AR$9,'Other Costs'!$C:$C,"&gt;"&amp;Heron!AQ$9)</f>
        <v/>
      </c>
      <c r="AS114" s="104">
        <f>SUMIFS('Other Costs'!$D:$D,'Other Costs'!$A:$A,Heron!$A114,'Other Costs'!$C:$C,"&lt;="&amp;Heron!AS$9,'Other Costs'!$C:$C,"&gt;"&amp;Heron!AR$9)</f>
        <v/>
      </c>
      <c r="AT114" s="104">
        <f>SUMIFS('Other Costs'!$D:$D,'Other Costs'!$A:$A,Heron!$A114,'Other Costs'!$C:$C,"&lt;="&amp;Heron!AT$9,'Other Costs'!$C:$C,"&gt;"&amp;Heron!AS$9)</f>
        <v/>
      </c>
      <c r="AU114" s="104">
        <f>SUMIFS('Other Costs'!$D:$D,'Other Costs'!$A:$A,Heron!$A114,'Other Costs'!$C:$C,"&lt;="&amp;Heron!AU$9,'Other Costs'!$C:$C,"&gt;"&amp;Heron!AT$9)</f>
        <v/>
      </c>
      <c r="AV114" s="104">
        <f>SUMIFS('Other Costs'!$D:$D,'Other Costs'!$A:$A,Heron!$A114,'Other Costs'!$C:$C,"&lt;="&amp;Heron!AV$9,'Other Costs'!$C:$C,"&gt;"&amp;Heron!AU$9)</f>
        <v/>
      </c>
      <c r="AW114" s="104">
        <f>SUMIFS('Other Costs'!$D:$D,'Other Costs'!$A:$A,Heron!$A114,'Other Costs'!$C:$C,"&lt;="&amp;Heron!AW$9,'Other Costs'!$C:$C,"&gt;"&amp;Heron!AV$9)</f>
        <v/>
      </c>
      <c r="AX114" s="104">
        <f>SUMIFS('Other Costs'!$D:$D,'Other Costs'!$A:$A,Heron!$A114,'Other Costs'!$C:$C,"&lt;="&amp;Heron!AX$9,'Other Costs'!$C:$C,"&gt;"&amp;Heron!AW$9)</f>
        <v/>
      </c>
      <c r="AY114" s="104">
        <f>SUMIFS('Other Costs'!$D:$D,'Other Costs'!$A:$A,Heron!$A114,'Other Costs'!$C:$C,"&lt;="&amp;Heron!AY$9,'Other Costs'!$C:$C,"&gt;"&amp;Heron!AX$9)</f>
        <v/>
      </c>
      <c r="AZ114" s="104">
        <f>SUMIFS('Other Costs'!$D:$D,'Other Costs'!$A:$A,Heron!$A114,'Other Costs'!$C:$C,"&lt;="&amp;Heron!AZ$9,'Other Costs'!$C:$C,"&gt;"&amp;Heron!AY$9)</f>
        <v/>
      </c>
      <c r="BA114" s="104">
        <f>SUMIFS('Other Costs'!$D:$D,'Other Costs'!$A:$A,Heron!$A114,'Other Costs'!$C:$C,"&lt;="&amp;Heron!BA$9,'Other Costs'!$C:$C,"&gt;"&amp;Heron!AZ$9)</f>
        <v/>
      </c>
      <c r="BB114" s="104">
        <f>SUMIFS('Other Costs'!$D:$D,'Other Costs'!$A:$A,Heron!$A114,'Other Costs'!$C:$C,"&lt;="&amp;Heron!BB$9,'Other Costs'!$C:$C,"&gt;"&amp;Heron!BA$9)</f>
        <v/>
      </c>
      <c r="BC114" s="104">
        <f>SUMIFS('Other Costs'!$D:$D,'Other Costs'!$A:$A,Heron!$A114,'Other Costs'!$C:$C,"&lt;="&amp;Heron!BC$9,'Other Costs'!$C:$C,"&gt;"&amp;Heron!BB$9)</f>
        <v/>
      </c>
      <c r="BD114" s="104">
        <f>SUMIFS('Other Costs'!$D:$D,'Other Costs'!$A:$A,Heron!$A114,'Other Costs'!$C:$C,"&lt;="&amp;Heron!BD$9,'Other Costs'!$C:$C,"&gt;"&amp;Heron!BC$9)</f>
        <v/>
      </c>
      <c r="BE114" s="104">
        <f>SUMIFS('Other Costs'!$D:$D,'Other Costs'!$A:$A,Heron!$A114,'Other Costs'!$C:$C,"&lt;="&amp;Heron!BE$9,'Other Costs'!$C:$C,"&gt;"&amp;Heron!BD$9)</f>
        <v/>
      </c>
      <c r="BF114" s="104">
        <f>SUMIFS('Other Costs'!$D:$D,'Other Costs'!$A:$A,Heron!$A114,'Other Costs'!$C:$C,"&lt;="&amp;Heron!BF$9,'Other Costs'!$C:$C,"&gt;"&amp;Heron!BE$9)</f>
        <v/>
      </c>
      <c r="BG114" s="104">
        <f>SUMIFS('Other Costs'!$D:$D,'Other Costs'!$A:$A,Heron!$A114,'Other Costs'!$C:$C,"&lt;="&amp;Heron!BG$9,'Other Costs'!$C:$C,"&gt;"&amp;Heron!BF$9)</f>
        <v/>
      </c>
      <c r="BH114" s="104">
        <f>SUMIFS('Other Costs'!$D:$D,'Other Costs'!$A:$A,Heron!$A114,'Other Costs'!$C:$C,"&lt;="&amp;Heron!BH$9,'Other Costs'!$C:$C,"&gt;"&amp;Heron!BG$9)</f>
        <v/>
      </c>
      <c r="BI114" s="104">
        <f>SUMIFS('Other Costs'!$D:$D,'Other Costs'!$A:$A,Heron!$A114,'Other Costs'!$C:$C,"&lt;="&amp;Heron!BI$9,'Other Costs'!$C:$C,"&gt;"&amp;Heron!BH$9)</f>
        <v/>
      </c>
      <c r="BJ114" s="104">
        <f>SUMIFS('Other Costs'!$D:$D,'Other Costs'!$A:$A,Heron!$A114,'Other Costs'!$C:$C,"&lt;="&amp;Heron!BJ$9,'Other Costs'!$C:$C,"&gt;"&amp;Heron!BI$9)</f>
        <v/>
      </c>
      <c r="BK114" s="101">
        <f>sum(D114:BJ114)</f>
        <v/>
      </c>
    </row>
    <row r="115">
      <c r="A115" s="100" t="inlineStr">
        <is>
          <t>Rent Salaries and Wages</t>
        </is>
      </c>
      <c r="D115" s="104">
        <f>SUMIFS('Other Costs'!$D:$D,'Other Costs'!$A:$A,Heron!$A115,'Other Costs'!$C:$C,"&lt;="&amp;Heron!D$9,'Other Costs'!$C:$C,"&gt;"&amp;Heron!C$9)</f>
        <v/>
      </c>
      <c r="E115" s="104">
        <f>SUMIFS('Other Costs'!$D:$D,'Other Costs'!$A:$A,Heron!$A115,'Other Costs'!$C:$C,"&lt;="&amp;Heron!E$9,'Other Costs'!$C:$C,"&gt;"&amp;Heron!D$9)</f>
        <v/>
      </c>
      <c r="F115" s="104">
        <f>SUMIFS('Other Costs'!$D:$D,'Other Costs'!$A:$A,Heron!$A115,'Other Costs'!$C:$C,"&lt;="&amp;Heron!F$9,'Other Costs'!$C:$C,"&gt;"&amp;Heron!E$9)</f>
        <v/>
      </c>
      <c r="G115" s="104">
        <f>SUMIFS('Other Costs'!$D:$D,'Other Costs'!$A:$A,Heron!$A115,'Other Costs'!$C:$C,"&lt;="&amp;Heron!G$9,'Other Costs'!$C:$C,"&gt;"&amp;Heron!F$9)</f>
        <v/>
      </c>
      <c r="H115" s="104">
        <f>SUMIFS('Other Costs'!$D:$D,'Other Costs'!$A:$A,Heron!$A115,'Other Costs'!$C:$C,"&lt;="&amp;Heron!H$9,'Other Costs'!$C:$C,"&gt;"&amp;Heron!G$9)</f>
        <v/>
      </c>
      <c r="I115" s="104">
        <f>SUMIFS('Other Costs'!$D:$D,'Other Costs'!$A:$A,Heron!$A115,'Other Costs'!$C:$C,"&lt;="&amp;Heron!I$9,'Other Costs'!$C:$C,"&gt;"&amp;Heron!H$9)</f>
        <v/>
      </c>
      <c r="J115" s="104">
        <f>SUMIFS('Other Costs'!$D:$D,'Other Costs'!$A:$A,Heron!$A115,'Other Costs'!$C:$C,"&lt;="&amp;Heron!J$9,'Other Costs'!$C:$C,"&gt;"&amp;Heron!I$9)</f>
        <v/>
      </c>
      <c r="K115" s="104">
        <f>SUMIFS('Other Costs'!$D:$D,'Other Costs'!$A:$A,Heron!$A115,'Other Costs'!$C:$C,"&lt;="&amp;Heron!K$9,'Other Costs'!$C:$C,"&gt;"&amp;Heron!J$9)</f>
        <v/>
      </c>
      <c r="L115" s="104">
        <f>SUMIFS('Other Costs'!$D:$D,'Other Costs'!$A:$A,Heron!$A115,'Other Costs'!$C:$C,"&lt;="&amp;Heron!L$9,'Other Costs'!$C:$C,"&gt;"&amp;Heron!K$9)</f>
        <v/>
      </c>
      <c r="M115" s="104">
        <f>SUMIFS('Other Costs'!$D:$D,'Other Costs'!$A:$A,Heron!$A115,'Other Costs'!$C:$C,"&lt;="&amp;Heron!M$9,'Other Costs'!$C:$C,"&gt;"&amp;Heron!L$9)</f>
        <v/>
      </c>
      <c r="N115" s="104">
        <f>SUMIFS('Other Costs'!$D:$D,'Other Costs'!$A:$A,Heron!$A115,'Other Costs'!$C:$C,"&lt;="&amp;Heron!N$9,'Other Costs'!$C:$C,"&gt;"&amp;Heron!M$9)</f>
        <v/>
      </c>
      <c r="O115" s="104">
        <f>SUMIFS('Other Costs'!$D:$D,'Other Costs'!$A:$A,Heron!$A115,'Other Costs'!$C:$C,"&lt;="&amp;Heron!O$9,'Other Costs'!$C:$C,"&gt;"&amp;Heron!N$9)</f>
        <v/>
      </c>
      <c r="P115" s="104">
        <f>SUMIFS('Other Costs'!$D:$D,'Other Costs'!$A:$A,Heron!$A115,'Other Costs'!$C:$C,"&lt;="&amp;Heron!P$9,'Other Costs'!$C:$C,"&gt;"&amp;Heron!O$9)</f>
        <v/>
      </c>
      <c r="Q115" s="104">
        <f>SUMIFS('Other Costs'!$D:$D,'Other Costs'!$A:$A,Heron!$A115,'Other Costs'!$C:$C,"&lt;="&amp;Heron!Q$9,'Other Costs'!$C:$C,"&gt;"&amp;Heron!P$9)</f>
        <v/>
      </c>
      <c r="R115" s="104">
        <f>SUMIFS('Other Costs'!$D:$D,'Other Costs'!$A:$A,Heron!$A115,'Other Costs'!$C:$C,"&lt;="&amp;Heron!R$9,'Other Costs'!$C:$C,"&gt;"&amp;Heron!Q$9)</f>
        <v/>
      </c>
      <c r="S115" s="104">
        <f>SUMIFS('Other Costs'!$D:$D,'Other Costs'!$A:$A,Heron!$A115,'Other Costs'!$C:$C,"&lt;="&amp;Heron!S$9,'Other Costs'!$C:$C,"&gt;"&amp;Heron!R$9)</f>
        <v/>
      </c>
      <c r="T115" s="104">
        <f>SUMIFS('Other Costs'!$D:$D,'Other Costs'!$A:$A,Heron!$A115,'Other Costs'!$C:$C,"&lt;="&amp;Heron!T$9,'Other Costs'!$C:$C,"&gt;"&amp;Heron!S$9)</f>
        <v/>
      </c>
      <c r="U115" s="104">
        <f>SUMIFS('Other Costs'!$D:$D,'Other Costs'!$A:$A,Heron!$A115,'Other Costs'!$C:$C,"&lt;="&amp;Heron!U$9,'Other Costs'!$C:$C,"&gt;"&amp;Heron!T$9)</f>
        <v/>
      </c>
      <c r="V115" s="104">
        <f>SUMIFS('Other Costs'!$D:$D,'Other Costs'!$A:$A,Heron!$A115,'Other Costs'!$C:$C,"&lt;="&amp;Heron!V$9,'Other Costs'!$C:$C,"&gt;"&amp;Heron!U$9)</f>
        <v/>
      </c>
      <c r="W115" s="104">
        <f>SUMIFS('Other Costs'!$D:$D,'Other Costs'!$A:$A,Heron!$A115,'Other Costs'!$C:$C,"&lt;="&amp;Heron!W$9,'Other Costs'!$C:$C,"&gt;"&amp;Heron!V$9)</f>
        <v/>
      </c>
      <c r="X115" s="104">
        <f>SUMIFS('Other Costs'!$D:$D,'Other Costs'!$A:$A,Heron!$A115,'Other Costs'!$C:$C,"&lt;="&amp;Heron!X$9,'Other Costs'!$C:$C,"&gt;"&amp;Heron!W$9)</f>
        <v/>
      </c>
      <c r="Y115" s="104">
        <f>SUMIFS('Other Costs'!$D:$D,'Other Costs'!$A:$A,Heron!$A115,'Other Costs'!$C:$C,"&lt;="&amp;Heron!Y$9,'Other Costs'!$C:$C,"&gt;"&amp;Heron!X$9)</f>
        <v/>
      </c>
      <c r="Z115" s="104">
        <f>SUMIFS('Other Costs'!$D:$D,'Other Costs'!$A:$A,Heron!$A115,'Other Costs'!$C:$C,"&lt;="&amp;Heron!Z$9,'Other Costs'!$C:$C,"&gt;"&amp;Heron!Y$9)</f>
        <v/>
      </c>
      <c r="AA115" s="104">
        <f>SUMIFS('Other Costs'!$D:$D,'Other Costs'!$A:$A,Heron!$A115,'Other Costs'!$C:$C,"&lt;="&amp;Heron!AA$9,'Other Costs'!$C:$C,"&gt;"&amp;Heron!Z$9)</f>
        <v/>
      </c>
      <c r="AB115" s="104">
        <f>SUMIFS('Other Costs'!$D:$D,'Other Costs'!$A:$A,Heron!$A115,'Other Costs'!$C:$C,"&lt;="&amp;Heron!AB$9,'Other Costs'!$C:$C,"&gt;"&amp;Heron!AA$9)</f>
        <v/>
      </c>
      <c r="AC115" s="104">
        <f>SUMIFS('Other Costs'!$D:$D,'Other Costs'!$A:$A,Heron!$A115,'Other Costs'!$C:$C,"&lt;="&amp;Heron!AC$9,'Other Costs'!$C:$C,"&gt;"&amp;Heron!AB$9)</f>
        <v/>
      </c>
      <c r="AD115" s="104">
        <f>SUMIFS('Other Costs'!$D:$D,'Other Costs'!$A:$A,Heron!$A115,'Other Costs'!$C:$C,"&lt;="&amp;Heron!AD$9,'Other Costs'!$C:$C,"&gt;"&amp;Heron!AC$9)</f>
        <v/>
      </c>
      <c r="AE115" s="104">
        <f>SUMIFS('Other Costs'!$D:$D,'Other Costs'!$A:$A,Heron!$A115,'Other Costs'!$C:$C,"&lt;="&amp;Heron!AE$9,'Other Costs'!$C:$C,"&gt;"&amp;Heron!AD$9)</f>
        <v/>
      </c>
      <c r="AF115" s="104">
        <f>SUMIFS('Other Costs'!$D:$D,'Other Costs'!$A:$A,Heron!$A115,'Other Costs'!$C:$C,"&lt;="&amp;Heron!AF$9,'Other Costs'!$C:$C,"&gt;"&amp;Heron!AE$9)</f>
        <v/>
      </c>
      <c r="AG115" s="104">
        <f>SUMIFS('Other Costs'!$D:$D,'Other Costs'!$A:$A,Heron!$A115,'Other Costs'!$C:$C,"&lt;="&amp;Heron!AG$9,'Other Costs'!$C:$C,"&gt;"&amp;Heron!AF$9)</f>
        <v/>
      </c>
      <c r="AH115" s="104">
        <f>SUMIFS('Other Costs'!$D:$D,'Other Costs'!$A:$A,Heron!$A115,'Other Costs'!$C:$C,"&lt;="&amp;Heron!AH$9,'Other Costs'!$C:$C,"&gt;"&amp;Heron!AG$9)</f>
        <v/>
      </c>
      <c r="AI115" s="104">
        <f>SUMIFS('Other Costs'!$D:$D,'Other Costs'!$A:$A,Heron!$A115,'Other Costs'!$C:$C,"&lt;="&amp;Heron!AI$9,'Other Costs'!$C:$C,"&gt;"&amp;Heron!AH$9)</f>
        <v/>
      </c>
      <c r="AJ115" s="104">
        <f>SUMIFS('Other Costs'!$D:$D,'Other Costs'!$A:$A,Heron!$A115,'Other Costs'!$C:$C,"&lt;="&amp;Heron!AJ$9,'Other Costs'!$C:$C,"&gt;"&amp;Heron!AI$9)</f>
        <v/>
      </c>
      <c r="AK115" s="104">
        <f>SUMIFS('Other Costs'!$D:$D,'Other Costs'!$A:$A,Heron!$A115,'Other Costs'!$C:$C,"&lt;="&amp;Heron!AK$9,'Other Costs'!$C:$C,"&gt;"&amp;Heron!AJ$9)</f>
        <v/>
      </c>
      <c r="AL115" s="104">
        <f>SUMIFS('Other Costs'!$D:$D,'Other Costs'!$A:$A,Heron!$A115,'Other Costs'!$C:$C,"&lt;="&amp;Heron!AL$9,'Other Costs'!$C:$C,"&gt;"&amp;Heron!AK$9)</f>
        <v/>
      </c>
      <c r="AM115" s="104">
        <f>SUMIFS('Other Costs'!$D:$D,'Other Costs'!$A:$A,Heron!$A115,'Other Costs'!$C:$C,"&lt;="&amp;Heron!AM$9,'Other Costs'!$C:$C,"&gt;"&amp;Heron!AL$9)</f>
        <v/>
      </c>
      <c r="AN115" s="104">
        <f>SUMIFS('Other Costs'!$D:$D,'Other Costs'!$A:$A,Heron!$A115,'Other Costs'!$C:$C,"&lt;="&amp;Heron!AN$9,'Other Costs'!$C:$C,"&gt;"&amp;Heron!AM$9)</f>
        <v/>
      </c>
      <c r="AO115" s="104">
        <f>SUMIFS('Other Costs'!$D:$D,'Other Costs'!$A:$A,Heron!$A115,'Other Costs'!$C:$C,"&lt;="&amp;Heron!AO$9,'Other Costs'!$C:$C,"&gt;"&amp;Heron!AN$9)</f>
        <v/>
      </c>
      <c r="AP115" s="104">
        <f>SUMIFS('Other Costs'!$D:$D,'Other Costs'!$A:$A,Heron!$A115,'Other Costs'!$C:$C,"&lt;="&amp;Heron!AP$9,'Other Costs'!$C:$C,"&gt;"&amp;Heron!AO$9)</f>
        <v/>
      </c>
      <c r="AQ115" s="104">
        <f>SUMIFS('Other Costs'!$D:$D,'Other Costs'!$A:$A,Heron!$A115,'Other Costs'!$C:$C,"&lt;="&amp;Heron!AQ$9,'Other Costs'!$C:$C,"&gt;"&amp;Heron!AP$9)</f>
        <v/>
      </c>
      <c r="AR115" s="104">
        <f>SUMIFS('Other Costs'!$D:$D,'Other Costs'!$A:$A,Heron!$A115,'Other Costs'!$C:$C,"&lt;="&amp;Heron!AR$9,'Other Costs'!$C:$C,"&gt;"&amp;Heron!AQ$9)</f>
        <v/>
      </c>
      <c r="AS115" s="104">
        <f>SUMIFS('Other Costs'!$D:$D,'Other Costs'!$A:$A,Heron!$A115,'Other Costs'!$C:$C,"&lt;="&amp;Heron!AS$9,'Other Costs'!$C:$C,"&gt;"&amp;Heron!AR$9)</f>
        <v/>
      </c>
      <c r="AT115" s="104">
        <f>SUMIFS('Other Costs'!$D:$D,'Other Costs'!$A:$A,Heron!$A115,'Other Costs'!$C:$C,"&lt;="&amp;Heron!AT$9,'Other Costs'!$C:$C,"&gt;"&amp;Heron!AS$9)</f>
        <v/>
      </c>
      <c r="AU115" s="104">
        <f>SUMIFS('Other Costs'!$D:$D,'Other Costs'!$A:$A,Heron!$A115,'Other Costs'!$C:$C,"&lt;="&amp;Heron!AU$9,'Other Costs'!$C:$C,"&gt;"&amp;Heron!AT$9)</f>
        <v/>
      </c>
      <c r="AV115" s="104">
        <f>SUMIFS('Other Costs'!$D:$D,'Other Costs'!$A:$A,Heron!$A115,'Other Costs'!$C:$C,"&lt;="&amp;Heron!AV$9,'Other Costs'!$C:$C,"&gt;"&amp;Heron!AU$9)</f>
        <v/>
      </c>
      <c r="AW115" s="104">
        <f>SUMIFS('Other Costs'!$D:$D,'Other Costs'!$A:$A,Heron!$A115,'Other Costs'!$C:$C,"&lt;="&amp;Heron!AW$9,'Other Costs'!$C:$C,"&gt;"&amp;Heron!AV$9)</f>
        <v/>
      </c>
      <c r="AX115" s="104">
        <f>SUMIFS('Other Costs'!$D:$D,'Other Costs'!$A:$A,Heron!$A115,'Other Costs'!$C:$C,"&lt;="&amp;Heron!AX$9,'Other Costs'!$C:$C,"&gt;"&amp;Heron!AW$9)</f>
        <v/>
      </c>
      <c r="AY115" s="104">
        <f>SUMIFS('Other Costs'!$D:$D,'Other Costs'!$A:$A,Heron!$A115,'Other Costs'!$C:$C,"&lt;="&amp;Heron!AY$9,'Other Costs'!$C:$C,"&gt;"&amp;Heron!AX$9)</f>
        <v/>
      </c>
      <c r="AZ115" s="104">
        <f>SUMIFS('Other Costs'!$D:$D,'Other Costs'!$A:$A,Heron!$A115,'Other Costs'!$C:$C,"&lt;="&amp;Heron!AZ$9,'Other Costs'!$C:$C,"&gt;"&amp;Heron!AY$9)</f>
        <v/>
      </c>
      <c r="BA115" s="104">
        <f>SUMIFS('Other Costs'!$D:$D,'Other Costs'!$A:$A,Heron!$A115,'Other Costs'!$C:$C,"&lt;="&amp;Heron!BA$9,'Other Costs'!$C:$C,"&gt;"&amp;Heron!AZ$9)</f>
        <v/>
      </c>
      <c r="BB115" s="104">
        <f>SUMIFS('Other Costs'!$D:$D,'Other Costs'!$A:$A,Heron!$A115,'Other Costs'!$C:$C,"&lt;="&amp;Heron!BB$9,'Other Costs'!$C:$C,"&gt;"&amp;Heron!BA$9)</f>
        <v/>
      </c>
      <c r="BC115" s="104">
        <f>SUMIFS('Other Costs'!$D:$D,'Other Costs'!$A:$A,Heron!$A115,'Other Costs'!$C:$C,"&lt;="&amp;Heron!BC$9,'Other Costs'!$C:$C,"&gt;"&amp;Heron!BB$9)</f>
        <v/>
      </c>
      <c r="BD115" s="104">
        <f>SUMIFS('Other Costs'!$D:$D,'Other Costs'!$A:$A,Heron!$A115,'Other Costs'!$C:$C,"&lt;="&amp;Heron!BD$9,'Other Costs'!$C:$C,"&gt;"&amp;Heron!BC$9)</f>
        <v/>
      </c>
      <c r="BE115" s="104">
        <f>SUMIFS('Other Costs'!$D:$D,'Other Costs'!$A:$A,Heron!$A115,'Other Costs'!$C:$C,"&lt;="&amp;Heron!BE$9,'Other Costs'!$C:$C,"&gt;"&amp;Heron!BD$9)</f>
        <v/>
      </c>
      <c r="BF115" s="104">
        <f>SUMIFS('Other Costs'!$D:$D,'Other Costs'!$A:$A,Heron!$A115,'Other Costs'!$C:$C,"&lt;="&amp;Heron!BF$9,'Other Costs'!$C:$C,"&gt;"&amp;Heron!BE$9)</f>
        <v/>
      </c>
      <c r="BG115" s="104">
        <f>SUMIFS('Other Costs'!$D:$D,'Other Costs'!$A:$A,Heron!$A115,'Other Costs'!$C:$C,"&lt;="&amp;Heron!BG$9,'Other Costs'!$C:$C,"&gt;"&amp;Heron!BF$9)</f>
        <v/>
      </c>
      <c r="BH115" s="104">
        <f>SUMIFS('Other Costs'!$D:$D,'Other Costs'!$A:$A,Heron!$A115,'Other Costs'!$C:$C,"&lt;="&amp;Heron!BH$9,'Other Costs'!$C:$C,"&gt;"&amp;Heron!BG$9)</f>
        <v/>
      </c>
      <c r="BI115" s="104">
        <f>SUMIFS('Other Costs'!$D:$D,'Other Costs'!$A:$A,Heron!$A115,'Other Costs'!$C:$C,"&lt;="&amp;Heron!BI$9,'Other Costs'!$C:$C,"&gt;"&amp;Heron!BH$9)</f>
        <v/>
      </c>
      <c r="BJ115" s="104">
        <f>SUMIFS('Other Costs'!$D:$D,'Other Costs'!$A:$A,Heron!$A115,'Other Costs'!$C:$C,"&lt;="&amp;Heron!BJ$9,'Other Costs'!$C:$C,"&gt;"&amp;Heron!BI$9)</f>
        <v/>
      </c>
      <c r="BK115" s="101">
        <f>sum(D115:BJ115)</f>
        <v/>
      </c>
    </row>
    <row r="117">
      <c r="A117" s="99" t="inlineStr">
        <is>
          <t>Total Expenses</t>
        </is>
      </c>
      <c r="D117" s="102">
        <f>sum(D33:D115)</f>
        <v/>
      </c>
      <c r="E117" s="102">
        <f>sum(E33:E115)</f>
        <v/>
      </c>
      <c r="F117" s="102">
        <f>sum(F33:F115)</f>
        <v/>
      </c>
      <c r="G117" s="102">
        <f>sum(G33:G115)</f>
        <v/>
      </c>
      <c r="H117" s="102">
        <f>sum(H33:H115)</f>
        <v/>
      </c>
      <c r="I117" s="102">
        <f>sum(I33:I115)</f>
        <v/>
      </c>
      <c r="J117" s="102">
        <f>sum(J33:J115)</f>
        <v/>
      </c>
      <c r="K117" s="102">
        <f>sum(K33:K115)</f>
        <v/>
      </c>
      <c r="L117" s="102">
        <f>sum(L33:L115)</f>
        <v/>
      </c>
      <c r="M117" s="102">
        <f>sum(M33:M115)</f>
        <v/>
      </c>
      <c r="N117" s="102">
        <f>sum(N33:N115)</f>
        <v/>
      </c>
      <c r="O117" s="102">
        <f>sum(O33:O115)</f>
        <v/>
      </c>
      <c r="P117" s="102">
        <f>sum(P33:P115)</f>
        <v/>
      </c>
      <c r="Q117" s="102">
        <f>sum(Q33:Q115)</f>
        <v/>
      </c>
      <c r="R117" s="102">
        <f>sum(R33:R115)</f>
        <v/>
      </c>
      <c r="S117" s="102">
        <f>sum(S33:S115)</f>
        <v/>
      </c>
      <c r="T117" s="102">
        <f>sum(T33:T115)</f>
        <v/>
      </c>
      <c r="U117" s="102">
        <f>sum(U33:U115)</f>
        <v/>
      </c>
      <c r="V117" s="102">
        <f>sum(V33:V115)</f>
        <v/>
      </c>
      <c r="W117" s="102">
        <f>sum(W33:W115)</f>
        <v/>
      </c>
      <c r="X117" s="102">
        <f>sum(X33:X115)</f>
        <v/>
      </c>
      <c r="Y117" s="102">
        <f>sum(Y33:Y115)</f>
        <v/>
      </c>
      <c r="Z117" s="102">
        <f>sum(Z33:Z115)</f>
        <v/>
      </c>
      <c r="AA117" s="102">
        <f>sum(AA33:AA115)</f>
        <v/>
      </c>
      <c r="AB117" s="102">
        <f>sum(AB33:AB115)</f>
        <v/>
      </c>
      <c r="AC117" s="102">
        <f>sum(AC33:AC115)</f>
        <v/>
      </c>
      <c r="AD117" s="102">
        <f>sum(AD33:AD115)</f>
        <v/>
      </c>
      <c r="AE117" s="102">
        <f>sum(AE33:AE115)</f>
        <v/>
      </c>
      <c r="AF117" s="102">
        <f>sum(AF33:AF115)</f>
        <v/>
      </c>
      <c r="AG117" s="102">
        <f>sum(AG33:AG115)</f>
        <v/>
      </c>
      <c r="AH117" s="102">
        <f>sum(AH33:AH115)</f>
        <v/>
      </c>
      <c r="AI117" s="102">
        <f>sum(AI33:AI115)</f>
        <v/>
      </c>
      <c r="AJ117" s="102">
        <f>sum(AJ33:AJ115)</f>
        <v/>
      </c>
      <c r="AK117" s="102">
        <f>sum(AK33:AK115)</f>
        <v/>
      </c>
      <c r="AL117" s="102">
        <f>sum(AL33:AL115)</f>
        <v/>
      </c>
      <c r="AM117" s="102">
        <f>sum(AM33:AM115)</f>
        <v/>
      </c>
      <c r="AN117" s="102">
        <f>sum(AN33:AN115)</f>
        <v/>
      </c>
      <c r="AO117" s="102">
        <f>sum(AO33:AO115)</f>
        <v/>
      </c>
      <c r="AP117" s="102">
        <f>sum(AP33:AP115)</f>
        <v/>
      </c>
      <c r="AQ117" s="102">
        <f>sum(AQ33:AQ115)</f>
        <v/>
      </c>
      <c r="AR117" s="102">
        <f>sum(AR33:AR115)</f>
        <v/>
      </c>
      <c r="AS117" s="102">
        <f>sum(AS33:AS115)</f>
        <v/>
      </c>
      <c r="AT117" s="102">
        <f>sum(AT33:AT115)</f>
        <v/>
      </c>
      <c r="AU117" s="102">
        <f>sum(AU33:AU115)</f>
        <v/>
      </c>
      <c r="AV117" s="102">
        <f>sum(AV33:AV115)</f>
        <v/>
      </c>
      <c r="AW117" s="102">
        <f>sum(AW33:AW115)</f>
        <v/>
      </c>
      <c r="AX117" s="102">
        <f>sum(AX33:AX115)</f>
        <v/>
      </c>
      <c r="AY117" s="102">
        <f>sum(AY33:AY115)</f>
        <v/>
      </c>
      <c r="AZ117" s="102">
        <f>sum(AZ33:AZ115)</f>
        <v/>
      </c>
      <c r="BA117" s="102">
        <f>sum(BA33:BA115)</f>
        <v/>
      </c>
      <c r="BB117" s="102">
        <f>sum(BB33:BB115)</f>
        <v/>
      </c>
      <c r="BC117" s="102">
        <f>sum(BC33:BC115)</f>
        <v/>
      </c>
      <c r="BD117" s="102">
        <f>sum(BD33:BD115)</f>
        <v/>
      </c>
      <c r="BE117" s="102">
        <f>sum(BE33:BE115)</f>
        <v/>
      </c>
      <c r="BF117" s="102">
        <f>sum(BF33:BF115)</f>
        <v/>
      </c>
      <c r="BG117" s="102">
        <f>sum(BG33:BG115)</f>
        <v/>
      </c>
      <c r="BH117" s="102">
        <f>sum(BH33:BH115)</f>
        <v/>
      </c>
      <c r="BI117" s="102">
        <f>sum(BI33:BI115)</f>
        <v/>
      </c>
      <c r="BJ117" s="102">
        <f>sum(BJ33:BJ115)</f>
        <v/>
      </c>
      <c r="BK117" s="102">
        <f>sum(BK33:BK115)</f>
        <v/>
      </c>
      <c r="BL117" s="102">
        <f>sum(BL33:BL115)</f>
        <v/>
      </c>
    </row>
    <row r="120">
      <c r="A120" s="99" t="inlineStr">
        <is>
          <t>Net Profit</t>
        </is>
      </c>
      <c r="D120" s="102">
        <f>D29-D117</f>
        <v/>
      </c>
      <c r="E120" s="102">
        <f>E29-E117</f>
        <v/>
      </c>
      <c r="F120" s="102">
        <f>F29-F117</f>
        <v/>
      </c>
      <c r="G120" s="102">
        <f>G29-G117</f>
        <v/>
      </c>
      <c r="H120" s="102">
        <f>H29-H117</f>
        <v/>
      </c>
      <c r="I120" s="102">
        <f>I29-I117</f>
        <v/>
      </c>
      <c r="J120" s="102">
        <f>J29-J117</f>
        <v/>
      </c>
      <c r="K120" s="102">
        <f>K29-K117</f>
        <v/>
      </c>
      <c r="L120" s="102">
        <f>L29-L117</f>
        <v/>
      </c>
      <c r="M120" s="102">
        <f>M29-M117</f>
        <v/>
      </c>
      <c r="N120" s="102">
        <f>N29-N117</f>
        <v/>
      </c>
      <c r="O120" s="102">
        <f>O29-O117</f>
        <v/>
      </c>
      <c r="P120" s="102">
        <f>P29-P117</f>
        <v/>
      </c>
      <c r="Q120" s="102">
        <f>Q29-Q117</f>
        <v/>
      </c>
      <c r="R120" s="102">
        <f>R29-R117</f>
        <v/>
      </c>
      <c r="S120" s="102">
        <f>S29-S117</f>
        <v/>
      </c>
      <c r="T120" s="102">
        <f>T29-T117</f>
        <v/>
      </c>
      <c r="U120" s="102">
        <f>U29-U117</f>
        <v/>
      </c>
      <c r="V120" s="102">
        <f>V29-V117</f>
        <v/>
      </c>
      <c r="W120" s="102">
        <f>W29-W117</f>
        <v/>
      </c>
      <c r="X120" s="102">
        <f>X29-X117</f>
        <v/>
      </c>
      <c r="Y120" s="102">
        <f>Y29-Y117</f>
        <v/>
      </c>
      <c r="Z120" s="102">
        <f>Z29-Z117</f>
        <v/>
      </c>
      <c r="AA120" s="102">
        <f>AA29-AA117</f>
        <v/>
      </c>
      <c r="AB120" s="102">
        <f>AB29-AB117</f>
        <v/>
      </c>
      <c r="AC120" s="102">
        <f>AC29-AC117</f>
        <v/>
      </c>
      <c r="AD120" s="102">
        <f>AD29-AD117</f>
        <v/>
      </c>
      <c r="AE120" s="102">
        <f>AE29-AE117</f>
        <v/>
      </c>
      <c r="AF120" s="102">
        <f>AF29-AF117</f>
        <v/>
      </c>
      <c r="AG120" s="102">
        <f>AG29-AG117</f>
        <v/>
      </c>
      <c r="AH120" s="102">
        <f>AH29-AH117</f>
        <v/>
      </c>
      <c r="AI120" s="102">
        <f>AI29-AI117</f>
        <v/>
      </c>
      <c r="AJ120" s="102">
        <f>AJ29-AJ117</f>
        <v/>
      </c>
      <c r="AK120" s="102">
        <f>AK29-AK117</f>
        <v/>
      </c>
      <c r="AL120" s="102">
        <f>AL29-AL117</f>
        <v/>
      </c>
      <c r="AM120" s="102">
        <f>AM29-AM117</f>
        <v/>
      </c>
      <c r="AN120" s="102">
        <f>AN29-AN117</f>
        <v/>
      </c>
      <c r="AO120" s="102">
        <f>AO29-AO117</f>
        <v/>
      </c>
      <c r="AP120" s="102">
        <f>AP29-AP117</f>
        <v/>
      </c>
      <c r="AQ120" s="102">
        <f>AQ29-AQ117</f>
        <v/>
      </c>
      <c r="AR120" s="102">
        <f>AR29-AR117</f>
        <v/>
      </c>
      <c r="AS120" s="102">
        <f>AS29-AS117</f>
        <v/>
      </c>
      <c r="AT120" s="102">
        <f>AT29-AT117</f>
        <v/>
      </c>
      <c r="AU120" s="102">
        <f>AU29-AU117</f>
        <v/>
      </c>
      <c r="AV120" s="102">
        <f>AV29-AV117</f>
        <v/>
      </c>
      <c r="AW120" s="102">
        <f>AW29-AW117</f>
        <v/>
      </c>
      <c r="AX120" s="102">
        <f>AX29-AX117</f>
        <v/>
      </c>
      <c r="AY120" s="102">
        <f>AY29-AY117</f>
        <v/>
      </c>
      <c r="AZ120" s="102">
        <f>AZ29-AZ117</f>
        <v/>
      </c>
      <c r="BA120" s="102">
        <f>BA29-BA117</f>
        <v/>
      </c>
      <c r="BB120" s="102">
        <f>BB29-BB117</f>
        <v/>
      </c>
      <c r="BC120" s="102">
        <f>BC29-BC117</f>
        <v/>
      </c>
      <c r="BD120" s="102">
        <f>BD29-BD117</f>
        <v/>
      </c>
      <c r="BE120" s="102">
        <f>BE29-BE117</f>
        <v/>
      </c>
      <c r="BF120" s="102">
        <f>BF29-BF117</f>
        <v/>
      </c>
      <c r="BG120" s="102">
        <f>BG29-BG117</f>
        <v/>
      </c>
      <c r="BH120" s="102">
        <f>BH29-BH117</f>
        <v/>
      </c>
      <c r="BI120" s="102">
        <f>BI29-BI117</f>
        <v/>
      </c>
      <c r="BJ120" s="102">
        <f>BJ29-BJ117</f>
        <v/>
      </c>
      <c r="BK120" s="102">
        <f>BK29-BK117</f>
        <v/>
      </c>
      <c r="BL120" s="102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05" t="inlineStr"/>
      <c r="B1" s="105" t="n"/>
      <c r="C1" s="105" t="n"/>
      <c r="D1" s="105" t="n"/>
      <c r="E1" s="106" t="inlineStr">
        <is>
          <t>C.3_d</t>
        </is>
      </c>
    </row>
    <row r="2">
      <c r="A2" s="107" t="inlineStr">
        <is>
          <t>NSST HERON PROJECT REPORT</t>
        </is>
      </c>
      <c r="B2" s="108" t="n"/>
      <c r="C2" s="108" t="n"/>
      <c r="D2" s="108" t="n"/>
      <c r="E2" s="109" t="n"/>
    </row>
    <row r="3">
      <c r="A3" s="110" t="inlineStr">
        <is>
          <t>Report Date</t>
        </is>
      </c>
      <c r="B3" s="111" t="n">
        <v>45443</v>
      </c>
      <c r="C3" s="108" t="n"/>
      <c r="D3" s="108" t="n"/>
      <c r="E3" s="109" t="n"/>
    </row>
    <row r="4">
      <c r="A4" s="110" t="inlineStr">
        <is>
          <t>Development</t>
        </is>
      </c>
      <c r="B4" s="112" t="inlineStr">
        <is>
          <t>Heron Fields and Heron View</t>
        </is>
      </c>
      <c r="C4" s="108" t="n"/>
      <c r="D4" s="108" t="n"/>
      <c r="E4" s="109" t="n"/>
    </row>
    <row r="5">
      <c r="A5" s="113" t="inlineStr">
        <is>
          <t>CAPITAL</t>
        </is>
      </c>
      <c r="B5" s="108" t="n"/>
      <c r="C5" s="108" t="n"/>
      <c r="D5" s="108" t="n"/>
      <c r="E5" s="109" t="n"/>
    </row>
    <row r="6">
      <c r="A6" s="110" t="inlineStr">
        <is>
          <t>Total Investment capital to be raised (Estimated)</t>
        </is>
      </c>
      <c r="B6" s="114" t="n">
        <v>236217976.39</v>
      </c>
      <c r="C6" s="108" t="n"/>
      <c r="D6" s="108" t="n"/>
      <c r="E6" s="109" t="n"/>
    </row>
    <row r="7">
      <c r="A7" s="110" t="inlineStr">
        <is>
          <t>Total Investment capital received</t>
        </is>
      </c>
      <c r="B7" s="114">
        <f>SUMIFS(Investors!$M:$M,Investors!$J:$J,"&lt;="&amp;'NSST Print'!B3)</f>
        <v/>
      </c>
      <c r="C7" s="108" t="n"/>
      <c r="D7" s="108" t="n"/>
      <c r="E7" s="109" t="n"/>
    </row>
    <row r="8">
      <c r="A8" s="110" t="inlineStr">
        <is>
          <t>Total Funds Drawn Down into Development</t>
        </is>
      </c>
      <c r="B8" s="114">
        <f>SUMIFS(Investors!$M:$M,Investors!$J:$J,"&lt;="&amp;'NSST Print'!B3)</f>
        <v/>
      </c>
      <c r="C8" s="108" t="n"/>
      <c r="D8" s="108" t="n"/>
      <c r="E8" s="109" t="n"/>
    </row>
    <row r="9">
      <c r="A9" s="110" t="inlineStr">
        <is>
          <t>Momentum Investment Account</t>
        </is>
      </c>
      <c r="B9" s="114">
        <f>Dashboard!B13</f>
        <v/>
      </c>
      <c r="C9" s="108" t="n"/>
      <c r="D9" s="108" t="n"/>
      <c r="E9" s="109" t="n"/>
    </row>
    <row r="10" hidden="1">
      <c r="A10" s="110" t="inlineStr">
        <is>
          <t>Capital not Raised</t>
        </is>
      </c>
      <c r="B10" s="114">
        <f>B6-B7-B11</f>
        <v/>
      </c>
      <c r="C10" s="108" t="n"/>
      <c r="D10" s="108" t="n"/>
      <c r="E10" s="109" t="n"/>
    </row>
    <row r="11">
      <c r="A11" s="110" t="inlineStr">
        <is>
          <t>Available to be raised (Estimated)</t>
        </is>
      </c>
      <c r="B11" s="114" t="n">
        <v>0</v>
      </c>
      <c r="C11" s="108" t="n"/>
      <c r="D11" s="108" t="n"/>
      <c r="E11" s="109" t="n"/>
    </row>
    <row r="12">
      <c r="A12" s="110" t="inlineStr">
        <is>
          <t>Capital repaid</t>
        </is>
      </c>
      <c r="B12" s="114">
        <f>SUMIFS(Investors!$M:$M,Investors!$G:$G,TRUE,Investors!$K:$K,"&lt;="&amp;'NSST Print'!B3)+(SUMIFS(Investors!$M:$M,Investors!$G:$G,FALSE,Investors!$O:$O,TRUE,Investors!$K:$K,"&lt;="&amp;'NSST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08" t="n"/>
      <c r="D12" s="108" t="n"/>
      <c r="E12" s="109" t="n"/>
    </row>
    <row r="13">
      <c r="A13" s="110" t="inlineStr">
        <is>
          <t>Current Investor Capital deployed</t>
        </is>
      </c>
      <c r="B13" s="114">
        <f>SUMIFS(Investors!$M:$M,Investors!$K:$K,"&gt;"&amp;'NSST Print'!$B$3,Investors!$I:$I,"&lt;="&amp;'NSST Print'!$B$3)</f>
        <v/>
      </c>
      <c r="C13" s="108" t="n"/>
      <c r="D13" s="108" t="n"/>
      <c r="E13" s="109" t="n"/>
    </row>
    <row r="14">
      <c r="A14" s="113" t="inlineStr">
        <is>
          <t>INVESTMENTS</t>
        </is>
      </c>
      <c r="B14" s="108" t="n"/>
      <c r="C14" s="108" t="n"/>
      <c r="D14" s="108" t="n"/>
      <c r="E14" s="109" t="n"/>
    </row>
    <row r="15">
      <c r="A15" s="110" t="inlineStr">
        <is>
          <t>No. of Capital Investments received</t>
        </is>
      </c>
      <c r="B15" s="112">
        <f>COUNTIFS(Investors!$G:$G,FALSE)+COUNTIFS(Investors!$G:$G,TRUE)</f>
        <v/>
      </c>
      <c r="C15" s="108" t="n"/>
      <c r="D15" s="108" t="n"/>
      <c r="E15" s="109" t="n"/>
    </row>
    <row r="16">
      <c r="A16" s="110" t="inlineStr">
        <is>
          <t>No. Investments exited to date</t>
        </is>
      </c>
      <c r="B16" s="112">
        <f>COUNTIFS(Investors!$G:$G,TRUE)+COUNTIFS(Investors!$G:$G,FALSE,Investors!$O:$O,TRUE,Investors!$P:$P,FALSE)</f>
        <v/>
      </c>
      <c r="C16" s="108" t="n"/>
      <c r="D16" s="108" t="n"/>
      <c r="E16" s="109" t="n"/>
    </row>
    <row r="17">
      <c r="A17" s="110" t="inlineStr">
        <is>
          <t>No. Investments still in Development</t>
        </is>
      </c>
      <c r="B17" s="112">
        <f>B15-B16</f>
        <v/>
      </c>
      <c r="C17" s="108" t="n"/>
      <c r="D17" s="108" t="n"/>
      <c r="E17" s="109" t="n"/>
    </row>
    <row r="18">
      <c r="A18" s="113" t="inlineStr">
        <is>
          <t>SALES INCOME</t>
        </is>
      </c>
      <c r="B18" s="108" t="n"/>
      <c r="C18" s="108" t="n"/>
      <c r="D18" s="108" t="n"/>
      <c r="E18" s="109" t="n"/>
    </row>
    <row r="19">
      <c r="A19" s="110" t="inlineStr"/>
      <c r="B19" s="114" t="inlineStr">
        <is>
          <t>Total</t>
        </is>
      </c>
      <c r="C19" s="114" t="inlineStr">
        <is>
          <t>Transferred</t>
        </is>
      </c>
      <c r="D19" s="114" t="inlineStr">
        <is>
          <t>Sold</t>
        </is>
      </c>
      <c r="E19" s="114" t="inlineStr">
        <is>
          <t>Remaining</t>
        </is>
      </c>
    </row>
    <row r="20">
      <c r="A20" s="110" t="inlineStr">
        <is>
          <t>Units</t>
        </is>
      </c>
      <c r="B20" s="112">
        <f>COUNTIFS(Sales!$E:$E,TRUE,Sales!$A:$A,"&lt;&gt;"&amp;"Endulini")+COUNTIFS(Sales!$E:$E,FALSE,Sales!$A:$A,"&lt;&gt;"&amp;"Endulini")</f>
        <v/>
      </c>
      <c r="C20" s="112">
        <f>COUNTIFS(Sales!$E:$E,TRUE,Sales!$A:$A,"&lt;&gt;"&amp;"Endulini")</f>
        <v/>
      </c>
      <c r="D20" s="112">
        <f>COUNTIFS(Sales!$E:$E,FALSE,Sales!$D:$D,TRUE,Sales!$A:$A,"&lt;&gt;"&amp;"Endulini")</f>
        <v/>
      </c>
      <c r="E20" s="112">
        <f>COUNTIFS(Sales!$E:$E,FALSE,Sales!$D:$D,FALSE,Sales!$A:$A,"&lt;&gt;"&amp;"Endulini")</f>
        <v/>
      </c>
    </row>
    <row r="21">
      <c r="A21" s="110" t="inlineStr">
        <is>
          <t>Sales Income</t>
        </is>
      </c>
      <c r="B21" s="115">
        <f>SUMIFS(Sales!$K:$K,Sales!$A:$A,"&lt;&gt;"&amp;"Endulini",Sales!$D:$D,TRUE)+SUMIFS(Sales!$K:$K,Sales!$A:$A,"&lt;&gt;"&amp;"Endulini",Sales!$D:$D,FALSE)+C46</f>
        <v/>
      </c>
      <c r="C21" s="115">
        <f>SUMIFS(Sales!$K:$K,Sales!$E:$E,TRUE,Sales!$A:$A,"&lt;&gt;"&amp;"Endulini")</f>
        <v/>
      </c>
      <c r="D21" s="115">
        <f>SUMIFS(Sales!$K:$K,Sales!$E:$E,FALSE,Sales!$D:$D,TRUE,Sales!$A:$A,"&lt;&gt;"&amp;"Endulini")</f>
        <v/>
      </c>
      <c r="E21" s="115">
        <f>SUMIFS(Sales!$K:$K,Sales!$E:$E,FALSE,Sales!$D:$D,FALSE,Sales!$A:$A,"&lt;&gt;"&amp;"Endulini")+C46</f>
        <v/>
      </c>
    </row>
    <row r="22">
      <c r="A22" s="110" t="inlineStr">
        <is>
          <t>Commission</t>
        </is>
      </c>
      <c r="B22" s="115">
        <f>(SUMIFS(Sales!$O:$O,Sales!$A:$A,"&lt;&gt;"&amp;"Endulini",Sales!$D:$D,TRUE)+SUMIFS(Sales!$O:$O,Sales!$A:$A,"&lt;&gt;"&amp;"Endulini",Sales!$D:$D,FALSE))/1.15-C52</f>
        <v/>
      </c>
      <c r="C22" s="115">
        <f>SUMIFS(Sales!$O:$O,Sales!$E:$E,TRUE,Sales!$A:$A,"&lt;&gt;"&amp;"Endulini")/1.15</f>
        <v/>
      </c>
      <c r="D22" s="115">
        <f>SUMIFS(Sales!$O:$O,Sales!$E:$E,FALSE,Sales!$D:$D,TRUE,Sales!$A:$A,"&lt;&gt;"&amp;"Endulini")/1.15</f>
        <v/>
      </c>
      <c r="E22" s="115">
        <f>SUMIFS(Sales!$O:$O,Sales!$E:$E,FALSE,Sales!$D:$D,FALSE,Sales!$A:$A,"&lt;&gt;"&amp;"Endulini")/1.15-C52</f>
        <v/>
      </c>
    </row>
    <row r="23">
      <c r="A23" s="110" t="inlineStr">
        <is>
          <t>Transfer Fees</t>
        </is>
      </c>
      <c r="B23" s="115">
        <f>SUMIFS(Sales!$L:$L,Sales!$A:$A,"&lt;&gt;"&amp;"Endulini",Sales!$D:$D,TRUE)+SUMIFS(Sales!$L:$L,Sales!$A:$A,"&lt;&gt;"&amp;"Endulini",Sales!$D:$D,FALSE)</f>
        <v/>
      </c>
      <c r="C23" s="115">
        <f>SUMIFS(Sales!$L:$L,Sales!$E:$E,TRUE,Sales!$A:$A,"&lt;&gt;"&amp;"Endulini")</f>
        <v/>
      </c>
      <c r="D23" s="115">
        <f>SUMIFS(Sales!$L:$L,Sales!$E:$E,FALSE,Sales!$D:$D,TRUE,Sales!$A:$A,"&lt;&gt;"&amp;"Endulini")</f>
        <v/>
      </c>
      <c r="E23" s="115">
        <f>SUMIFS(Sales!$L:$L,Sales!$E:$E,FALSE,Sales!$D:$D,FALSE,Sales!$A:$A,"&lt;&gt;"&amp;"Endulini")</f>
        <v/>
      </c>
    </row>
    <row r="24">
      <c r="A24" s="110" t="inlineStr">
        <is>
          <t>Bond Registration</t>
        </is>
      </c>
      <c r="B24" s="115">
        <f>SUMIFS(Sales!$P:$P,Sales!$A:$A,"&lt;&gt;"&amp;"Endulini",Sales!$D:$D,TRUE)+SUMIFS(Sales!$P:$P,Sales!$A:$A,"&lt;&gt;"&amp;"Endulini",Sales!$D:$D,FALSE)</f>
        <v/>
      </c>
      <c r="C24" s="115">
        <f>SUMIFS(Sales!$P:$P,Sales!$E:$E,TRUE,Sales!$A:$A,"&lt;&gt;"&amp;"Endulini")</f>
        <v/>
      </c>
      <c r="D24" s="115">
        <f>SUMIFS(Sales!$P:$P,Sales!$E:$E,FALSE,Sales!$D:$D,TRUE,Sales!$A:$A,"&lt;&gt;"&amp;"Endulini")</f>
        <v/>
      </c>
      <c r="E24" s="115">
        <f>SUMIFS(Sales!$P:$P,Sales!$E:$E,FALSE,Sales!$D:$D,FALSE,Sales!$A:$A,"&lt;&gt;"&amp;"Endulini")</f>
        <v/>
      </c>
    </row>
    <row r="25">
      <c r="A25" s="110" t="inlineStr">
        <is>
          <t>Security Release Fee</t>
        </is>
      </c>
      <c r="B25" s="115">
        <f>SUMIFS(Sales!$M:$M,Sales!$A:$A,"&lt;&gt;"&amp;"Endulini",Sales!$D:$D,TRUE)+SUMIFS(Sales!$M:$M,Sales!$A:$A,"&lt;&gt;"&amp;"Endulini",Sales!$D:$D,FALSE)</f>
        <v/>
      </c>
      <c r="C25" s="115">
        <f>SUMIFS(Sales!$M:$M,Sales!$E:$E,TRUE,Sales!$A:$A,"&lt;&gt;"&amp;"Endulini")</f>
        <v/>
      </c>
      <c r="D25" s="115">
        <f>SUMIFS(Sales!$M:$M,Sales!$E:$E,FALSE,Sales!$D:$D,TRUE,Sales!$A:$A,"&lt;&gt;"&amp;"Endulini")</f>
        <v/>
      </c>
      <c r="E25" s="115">
        <f>SUMIFS(Sales!$M:$M,Sales!$E:$E,FALSE,Sales!$D:$D,FALSE,Sales!$A:$A,"&lt;&gt;"&amp;"Endulini")</f>
        <v/>
      </c>
    </row>
    <row r="26">
      <c r="A26" s="110" t="inlineStr">
        <is>
          <t>Unforseen (0.05%)</t>
        </is>
      </c>
      <c r="B26" s="115">
        <f>SUMIFS(Sales!$N:$N,Sales!$A:$A,"&lt;&gt;"&amp;"Endulini",Sales!$D:$D,TRUE)+SUMIFS(Sales!$N:$N,Sales!$A:$A,"&lt;&gt;"&amp;"Endulini",Sales!$D:$D,FALSE)-C53</f>
        <v/>
      </c>
      <c r="C26" s="115">
        <f>SUMIFS(Sales!$N:$N,Sales!$E:$E,TRUE,Sales!$A:$A,"&lt;&gt;"&amp;"Endulini")</f>
        <v/>
      </c>
      <c r="D26" s="115">
        <f>SUMIFS(Sales!$N:$N,Sales!$E:$E,FALSE,Sales!$D:$D,TRUE,Sales!$A:$A,"&lt;&gt;"&amp;"Endulini")</f>
        <v/>
      </c>
      <c r="E26" s="115">
        <f>SUMIFS(Sales!$N:$N,Sales!$E:$E,FALSE,Sales!$D:$D,FALSE,Sales!$A:$A,"&lt;&gt;"&amp;"Endulini")-C53</f>
        <v/>
      </c>
    </row>
    <row r="27">
      <c r="A27" s="110" t="inlineStr">
        <is>
          <t>Transfer Income</t>
        </is>
      </c>
      <c r="B27" s="115">
        <f>B21-SUM(B22:B26)</f>
        <v/>
      </c>
      <c r="C27" s="115">
        <f>C21-SUM(C22:C26)</f>
        <v/>
      </c>
      <c r="D27" s="115">
        <f>D21-SUM(D22:D26)</f>
        <v/>
      </c>
      <c r="E27" s="115">
        <f>E21-SUM(E22:E26)</f>
        <v/>
      </c>
    </row>
    <row r="28">
      <c r="A28" s="113" t="inlineStr">
        <is>
          <t>INTEREST</t>
        </is>
      </c>
      <c r="B28" s="108" t="n"/>
      <c r="C28" s="108" t="n"/>
      <c r="D28" s="108" t="n"/>
      <c r="E28" s="109" t="n"/>
    </row>
    <row r="29">
      <c r="A29" s="110" t="inlineStr">
        <is>
          <t>Total Estimated Interest</t>
        </is>
      </c>
      <c r="B29" s="114">
        <f>SUMIFS(Investors!$S:$S,Investors!$G:$G,FALSE)+SUMIFS(Investors!$S:$S,Investors!$G:$G,TRUE)</f>
        <v/>
      </c>
      <c r="C29" s="108" t="n"/>
      <c r="D29" s="108" t="n"/>
      <c r="E29" s="109" t="n"/>
    </row>
    <row r="30">
      <c r="A30" s="110" t="inlineStr">
        <is>
          <t>Interest Paid to Date</t>
        </is>
      </c>
      <c r="B30" s="114">
        <f>SUMIFS(Investors!$S:$S,Investors!$G:$G,TRUE)+SUMIFS(Investors!$S:$S,Investors!$G:$G,FALSE,Investors!$O:$O,TRUE)</f>
        <v/>
      </c>
      <c r="C30" s="108" t="n"/>
      <c r="D30" s="108" t="n"/>
      <c r="E30" s="109" t="n"/>
    </row>
    <row r="31" hidden="1">
      <c r="A31" s="110" t="inlineStr">
        <is>
          <t>Remaining Interest to Exit</t>
        </is>
      </c>
      <c r="B31" s="114">
        <f>B29-B30</f>
        <v/>
      </c>
      <c r="C31" s="108" t="n"/>
      <c r="D31" s="108" t="n"/>
      <c r="E31" s="109" t="n"/>
    </row>
    <row r="32" hidden="1">
      <c r="A32" s="110" t="inlineStr">
        <is>
          <t>Interest Due to date</t>
        </is>
      </c>
      <c r="B32" s="114">
        <f>SUMIFS(Investors!$T:$T,Investors!$G:$G,FALSE,Investors!$O:$O,FALSE)+SUMIFS(Investors!$Q:$Q,Investors!$G:$G,FALSE,Investors!$O:$O,FALSE)</f>
        <v/>
      </c>
      <c r="C32" s="108" t="n"/>
      <c r="D32" s="108" t="n"/>
      <c r="E32" s="109" t="n"/>
    </row>
    <row r="33" hidden="1">
      <c r="A33" s="110" t="inlineStr">
        <is>
          <t>Interest Due to be Earned to Exit</t>
        </is>
      </c>
      <c r="B33" s="114">
        <f>B31-B32</f>
        <v/>
      </c>
      <c r="C33" s="108" t="n"/>
      <c r="D33" s="108" t="n"/>
      <c r="E33" s="109" t="n"/>
    </row>
    <row r="34">
      <c r="A34" s="113" t="inlineStr">
        <is>
          <t>FUNDING AVAILABLE</t>
        </is>
      </c>
      <c r="B34" s="108" t="n"/>
      <c r="C34" s="108" t="n"/>
      <c r="D34" s="108" t="n"/>
      <c r="E34" s="109" t="n"/>
    </row>
    <row r="35">
      <c r="A35" s="110" t="inlineStr">
        <is>
          <t>Total Draw funds available</t>
        </is>
      </c>
      <c r="B35" s="114">
        <f>Dashboard!B20</f>
        <v/>
      </c>
      <c r="C35" s="108" t="n"/>
      <c r="D35" s="108" t="n"/>
      <c r="E35" s="109" t="n"/>
    </row>
    <row r="36">
      <c r="A36" s="110" t="inlineStr">
        <is>
          <t>Projected Heron Projects Income</t>
        </is>
      </c>
      <c r="B36" s="114">
        <f>Dashboard!B11+C46</f>
        <v/>
      </c>
      <c r="C36" s="108" t="n"/>
      <c r="D36" s="108" t="n"/>
      <c r="E36" s="109" t="n"/>
    </row>
    <row r="37">
      <c r="A37" s="110" t="inlineStr">
        <is>
          <t>Total Current Funds Available</t>
        </is>
      </c>
      <c r="B37" s="114">
        <f>B35+B36</f>
        <v/>
      </c>
      <c r="C37" s="108" t="n"/>
      <c r="D37" s="108" t="n"/>
      <c r="E37" s="109" t="n"/>
    </row>
    <row r="38">
      <c r="A38" s="110" t="inlineStr">
        <is>
          <t>Current Construction Cost</t>
        </is>
      </c>
      <c r="B38" s="114">
        <f>-Dashboard!B28+C47+C48+C49+C50+C51</f>
        <v/>
      </c>
      <c r="C38" s="108" t="n"/>
      <c r="D38" s="108" t="n"/>
      <c r="E38" s="109" t="n"/>
    </row>
    <row r="39">
      <c r="A39" s="110" t="inlineStr">
        <is>
          <t>Total funds (required)/Surplus</t>
        </is>
      </c>
      <c r="B39" s="114">
        <f>B37-B38</f>
        <v/>
      </c>
      <c r="C39" s="108" t="n"/>
      <c r="D39" s="108" t="n"/>
      <c r="E39" s="109" t="n"/>
    </row>
    <row r="40">
      <c r="A40" s="113" t="inlineStr">
        <is>
          <t>PROJECTED PROFIT</t>
        </is>
      </c>
      <c r="B40" s="108" t="n"/>
      <c r="C40" s="108" t="n"/>
      <c r="D40" s="108" t="n"/>
      <c r="E40" s="109" t="n"/>
    </row>
    <row r="41">
      <c r="A41" s="110" t="inlineStr">
        <is>
          <t>Projected Nett Revenue</t>
        </is>
      </c>
      <c r="B41" s="114">
        <f>+B21+SUM(B56:B63)</f>
        <v/>
      </c>
      <c r="C41" s="108" t="n"/>
      <c r="D41" s="108" t="n"/>
      <c r="E41" s="109" t="n"/>
    </row>
    <row r="42">
      <c r="A42" s="110" t="inlineStr">
        <is>
          <t>Other Income (interest received)</t>
        </is>
      </c>
      <c r="B42" s="114">
        <f>-SUMIFS(Xero!$F:$F,Xero!$E:$E,"Interest Received - Momentum")</f>
        <v/>
      </c>
      <c r="C42" s="108" t="n"/>
      <c r="D42" s="108" t="n"/>
      <c r="E42" s="109" t="n"/>
    </row>
    <row r="43">
      <c r="A43" s="110" t="inlineStr">
        <is>
          <t>Total Estimated Development and Sales Costs</t>
        </is>
      </c>
      <c r="B43" s="114">
        <f>+B78-C47-C48-C49-C50+SUM(D22:E26)</f>
        <v/>
      </c>
      <c r="C43" s="108" t="n"/>
      <c r="D43" s="108" t="n"/>
      <c r="E43" s="109" t="n"/>
    </row>
    <row r="44">
      <c r="A44" s="110" t="inlineStr">
        <is>
          <t>Interest Expense</t>
        </is>
      </c>
      <c r="B44" s="114">
        <f>B29-B30-C51</f>
        <v/>
      </c>
      <c r="C44" s="108" t="n"/>
      <c r="D44" s="108" t="n"/>
      <c r="E44" s="109" t="n"/>
    </row>
    <row r="45">
      <c r="A45" s="110" t="inlineStr">
        <is>
          <t>Profit</t>
        </is>
      </c>
      <c r="B45" s="114">
        <f>B41+B42-B43-B44</f>
        <v/>
      </c>
      <c r="C45" s="108" t="n"/>
      <c r="D45" s="108" t="n"/>
      <c r="E45" s="109" t="n"/>
    </row>
    <row r="46">
      <c r="A46" s="105" t="inlineStr">
        <is>
          <t>Sales Increase</t>
        </is>
      </c>
      <c r="B46" s="116" t="n">
        <v>0</v>
      </c>
      <c r="C46" s="117">
        <f>SUMIFS(Sales!$K:$K,Sales!$E:$E,FALSE,Sales!$D:$D,FALSE,Sales!$A:$A,"&lt;&gt;"&amp;"Endulini")*B46</f>
        <v/>
      </c>
      <c r="D46" s="117" t="inlineStr"/>
      <c r="E46" s="117">
        <f>C46/$E$20</f>
        <v/>
      </c>
    </row>
    <row r="47">
      <c r="A47" s="105" t="inlineStr">
        <is>
          <t>CPC Construction</t>
        </is>
      </c>
      <c r="B47" s="116" t="n">
        <v>0</v>
      </c>
      <c r="C47" s="117">
        <f>SUMIFS('Updated Construction'!$F:$F,'Updated Construction'!$D:$D,FALSE)*B47</f>
        <v/>
      </c>
      <c r="D47" s="117">
        <f>SUMIFS('Updated Construction'!$F:$F,'Updated Construction'!$D:$D,FALSE)-C47</f>
        <v/>
      </c>
      <c r="E47" s="117">
        <f>C47/$E$20</f>
        <v/>
      </c>
    </row>
    <row r="48">
      <c r="A48" s="105" t="inlineStr">
        <is>
          <t>Rent Salaries and wages</t>
        </is>
      </c>
      <c r="B48" s="118" t="n">
        <v>0</v>
      </c>
      <c r="C48" s="117">
        <f>400000*B48</f>
        <v/>
      </c>
      <c r="D48" s="117">
        <f>SUMIFS('Other Costs'!$D:$D,'Other Costs'!$A:$A,'NSST Print'!$A48,'Other Costs'!$C:$C,"&gt;"&amp;'NSST Print'!$B$3)-C48</f>
        <v/>
      </c>
      <c r="E48" s="117">
        <f>C48/$E$20</f>
        <v/>
      </c>
    </row>
    <row r="49">
      <c r="A49" s="105" t="inlineStr">
        <is>
          <t>CPSD</t>
        </is>
      </c>
      <c r="B49" s="116" t="n">
        <v>0</v>
      </c>
      <c r="C49" s="117">
        <f>SUMIFS('Other Costs'!$D:$D,'Other Costs'!$A:$A,'NSST Print'!$A49,'Other Costs'!$C:$C,"&gt;"&amp;'NSST Print'!$B$3)*B49</f>
        <v/>
      </c>
      <c r="D49" s="117">
        <f>SUMIFS('Other Costs'!$D:$D,'Other Costs'!$A:$A,'NSST Print'!$A49,'Other Costs'!$C:$C,"&gt;"&amp;'NSST Print'!$B$3)-C49</f>
        <v/>
      </c>
      <c r="E49" s="117">
        <f>C49/$E$20</f>
        <v/>
      </c>
    </row>
    <row r="50">
      <c r="A50" s="105" t="inlineStr">
        <is>
          <t>OppInvest</t>
        </is>
      </c>
      <c r="B50" s="116" t="n">
        <v>0</v>
      </c>
      <c r="C50" s="117">
        <f>SUMIFS('Other Costs'!$D:$D,'Other Costs'!$A:$A,'NSST Print'!$A75,'Other Costs'!$C:$C,"&gt;"&amp;'NSST Print'!$B$3)*B50</f>
        <v/>
      </c>
      <c r="D50" s="117">
        <f>SUMIFS('Other Costs'!$D:$D,'Other Costs'!$A:$A,'NSST Print'!$A75,'Other Costs'!$C:$C,"&gt;"&amp;'NSST Print'!$B$3)-C50</f>
        <v/>
      </c>
      <c r="E50" s="117">
        <f>C50/$E$20</f>
        <v/>
      </c>
    </row>
    <row r="51">
      <c r="A51" s="105" t="inlineStr">
        <is>
          <t>investor interest</t>
        </is>
      </c>
      <c r="B51" s="116" t="n">
        <v>0</v>
      </c>
      <c r="C51" s="117">
        <f>(B29-B30)*B51</f>
        <v/>
      </c>
      <c r="D51" s="117">
        <f>(B29-B30)-C51</f>
        <v/>
      </c>
      <c r="E51" s="117">
        <f>C51/$E$20</f>
        <v/>
      </c>
    </row>
    <row r="52">
      <c r="A52" s="105" t="inlineStr">
        <is>
          <t>Commissions</t>
        </is>
      </c>
      <c r="B52" s="116" t="n">
        <v>0</v>
      </c>
      <c r="C52" s="117">
        <f>SUMIFS(Sales!$O:$O,Sales!$E:$E,FALSE,Sales!$D:$D,FALSE,Sales!$A:$A,"&lt;&gt;"&amp;"Endulini")/1.15*B52</f>
        <v/>
      </c>
      <c r="D52" s="117">
        <f>SUMIFS(Sales!$O:$O,Sales!$E:$E,FALSE,Sales!$D:$D,FALSE,Sales!$A:$A,"&lt;&gt;"&amp;"Endulini")/1.15-C52</f>
        <v/>
      </c>
      <c r="E52" s="117">
        <f>C52/$E$20</f>
        <v/>
      </c>
    </row>
    <row r="53">
      <c r="A53" s="105" t="inlineStr">
        <is>
          <t>Unforseen</t>
        </is>
      </c>
      <c r="B53" s="116" t="n">
        <v>0</v>
      </c>
      <c r="C53" s="117">
        <f>SUMIFS(Sales!$N:$N,Sales!$E:$E,FALSE,Sales!$D:$D,FALSE,Sales!$A:$A,"&lt;&gt;"&amp;"Endulini")*B53</f>
        <v/>
      </c>
      <c r="D53" s="117">
        <f>SUMIFS(Sales!$N:$N,Sales!$E:$E,FALSE,Sales!$D:$D,FALSE,Sales!$A:$A,"&lt;&gt;"&amp;"Endulini")-C53</f>
        <v/>
      </c>
      <c r="E53" s="117">
        <f>C53/$E$20</f>
        <v/>
      </c>
    </row>
    <row r="54">
      <c r="A54" s="105" t="n"/>
      <c r="B54" s="117" t="n"/>
      <c r="C54" s="117" t="n"/>
      <c r="D54" s="117" t="n"/>
      <c r="E54" s="117" t="n"/>
    </row>
    <row r="55">
      <c r="A55" s="105" t="n"/>
      <c r="B55" s="117" t="n"/>
      <c r="C55" s="117" t="n"/>
      <c r="D55" s="117" t="n"/>
      <c r="E55" s="117" t="n"/>
    </row>
    <row r="56">
      <c r="A56" s="105" t="inlineStr">
        <is>
          <t>Rental Income</t>
        </is>
      </c>
      <c r="B56" s="117">
        <f>-SUMIFS(Xero!$F:$F,Xero!$E:$E,'NSST Print'!$A56)</f>
        <v/>
      </c>
      <c r="C56" s="117" t="n"/>
      <c r="D56" s="117" t="n"/>
      <c r="E56" s="117" t="n"/>
    </row>
    <row r="57">
      <c r="A57" s="105" t="inlineStr">
        <is>
          <t>Sales - Heron Fields occupational rent</t>
        </is>
      </c>
      <c r="B57" s="117">
        <f>-SUMIFS(Xero!$F:$F,Xero!$E:$E,'NSST Print'!$A57)</f>
        <v/>
      </c>
      <c r="C57" s="117" t="n"/>
      <c r="D57" s="117" t="n"/>
      <c r="E57" s="117" t="n"/>
    </row>
    <row r="58">
      <c r="A58" s="105" t="inlineStr">
        <is>
          <t>Sales - Heron View Occupational Rent</t>
        </is>
      </c>
      <c r="B58" s="117">
        <f>-SUMIFS(Xero!$F:$F,Xero!$E:$E,'NSST Print'!$A58)</f>
        <v/>
      </c>
      <c r="C58" s="117" t="n"/>
      <c r="D58" s="117" t="n"/>
      <c r="E58" s="117" t="n"/>
    </row>
    <row r="59">
      <c r="A59" s="105" t="inlineStr">
        <is>
          <t>Bond Origination</t>
        </is>
      </c>
      <c r="B59" s="117">
        <f>-SUMIFS(Xero!$F:$F,Xero!$E:$E,'NSST Print'!$A59)</f>
        <v/>
      </c>
      <c r="C59" s="117" t="n"/>
      <c r="D59" s="117" t="n"/>
      <c r="E59" s="117" t="n"/>
    </row>
    <row r="60">
      <c r="A60" s="105" t="inlineStr">
        <is>
          <t>Interest Received - Deposit Grey Heron</t>
        </is>
      </c>
      <c r="B60" s="117">
        <f>-SUMIFS(Xero!$F:$F,Xero!$E:$E,'NSST Print'!$A60)</f>
        <v/>
      </c>
      <c r="C60" s="117" t="n"/>
      <c r="D60" s="117" t="n"/>
      <c r="E60" s="117" t="n"/>
    </row>
    <row r="61">
      <c r="A61" s="105" t="inlineStr">
        <is>
          <t>Interest Received - Deposits</t>
        </is>
      </c>
      <c r="B61" s="117">
        <f>-SUMIFS(Xero!$F:$F,Xero!$E:$E,'NSST Print'!$A61)</f>
        <v/>
      </c>
      <c r="C61" s="117" t="n"/>
      <c r="D61" s="117" t="n"/>
      <c r="E61" s="117" t="n"/>
    </row>
    <row r="62">
      <c r="A62" s="105" t="inlineStr">
        <is>
          <t>Interest Received - STBB Trust Account</t>
        </is>
      </c>
      <c r="B62" s="117">
        <f>-SUMIFS(Xero!$F:$F,Xero!$E:$E,'NSST Print'!$A62)</f>
        <v/>
      </c>
      <c r="C62" s="117" t="n"/>
      <c r="D62" s="117" t="n"/>
      <c r="E62" s="117" t="n"/>
    </row>
    <row r="63">
      <c r="A63" s="105" t="inlineStr">
        <is>
          <t>Revaluation of Land (Not Incl)</t>
        </is>
      </c>
      <c r="B63" s="117">
        <f>-SUMIFS(Xero!$F:$F,Xero!$E:$E,'NSST Print'!$A63)</f>
        <v/>
      </c>
      <c r="C63" s="117" t="n"/>
      <c r="D63" s="117" t="n"/>
      <c r="E63" s="117" t="n"/>
    </row>
    <row r="64">
      <c r="A64" s="105" t="n"/>
      <c r="B64" s="117" t="n"/>
      <c r="C64" s="117" t="n"/>
      <c r="D64" s="117" t="n"/>
      <c r="E64" s="117" t="n"/>
    </row>
    <row r="65">
      <c r="A65" s="105" t="n"/>
      <c r="B65" s="117" t="n"/>
      <c r="C65" s="117" t="n"/>
      <c r="D65" s="117" t="n"/>
      <c r="E65" s="117" t="n"/>
    </row>
    <row r="66">
      <c r="A66" s="105" t="inlineStr">
        <is>
          <t>Costs</t>
        </is>
      </c>
      <c r="B66" s="117">
        <f>SUMIFS(Xero!$F:$F,Xero!$C:$C,"Expenses",Xero!$A:$A,"="&amp;Heron!$A$4)+SUMIFS(Xero!$F:$F,Xero!$C:$C,"Expenses",Xero!$A:$A,"="&amp;Heron!$A$5)</f>
        <v/>
      </c>
      <c r="C66" s="117" t="n"/>
      <c r="D66" s="117" t="n"/>
      <c r="E66" s="117" t="n"/>
    </row>
    <row r="67">
      <c r="A67" s="105" t="inlineStr">
        <is>
          <t>Heron View Land</t>
        </is>
      </c>
      <c r="B67" s="117">
        <f>SUMIFS(Xero!$F:$F,Xero!$E:$E,'NSST Print'!$A67)</f>
        <v/>
      </c>
      <c r="C67" s="117" t="n"/>
      <c r="D67" s="117" t="n"/>
      <c r="E67" s="117" t="n"/>
    </row>
    <row r="68">
      <c r="A68" s="105" t="inlineStr">
        <is>
          <t>COS - Heron Fields - Construction</t>
        </is>
      </c>
      <c r="B68" s="117">
        <f>SUMIFS(Xero!$F:$F,Xero!$E:$E,'NSST Print'!$A68)</f>
        <v/>
      </c>
      <c r="C68" s="117" t="n"/>
      <c r="D68" s="117" t="n"/>
      <c r="E68" s="117" t="n"/>
    </row>
    <row r="69">
      <c r="A69" s="105" t="inlineStr">
        <is>
          <t>COS - Heron Fields - P &amp; G</t>
        </is>
      </c>
      <c r="B69" s="117">
        <f>SUMIFS(Xero!$F:$F,Xero!$E:$E,'NSST Print'!$A69)</f>
        <v/>
      </c>
      <c r="C69" s="117" t="n"/>
      <c r="D69" s="117" t="n"/>
      <c r="E69" s="117" t="n"/>
    </row>
    <row r="70">
      <c r="A70" s="105" t="inlineStr">
        <is>
          <t>COS - Heron Fields - Printing &amp; Stationary</t>
        </is>
      </c>
      <c r="B70" s="117">
        <f>SUMIFS(Xero!$F:$F,Xero!$E:$E,'NSST Print'!$A70)</f>
        <v/>
      </c>
      <c r="C70" s="117" t="n"/>
      <c r="D70" s="117" t="n"/>
      <c r="E70" s="117" t="n"/>
    </row>
    <row r="71">
      <c r="A71" s="105" t="inlineStr">
        <is>
          <t>COS - Heron View - Construction</t>
        </is>
      </c>
      <c r="B71" s="117">
        <f>SUMIFS(Xero!$F:$F,Xero!$E:$E,'NSST Print'!$A71)+SUMIFS('Updated Construction'!$F:$F,'Updated Construction'!$D:$D,FALSE)</f>
        <v/>
      </c>
      <c r="C71" s="117" t="n"/>
      <c r="D71" s="117" t="n"/>
      <c r="E71" s="117" t="n"/>
    </row>
    <row r="72">
      <c r="A72" s="105" t="inlineStr">
        <is>
          <t>COS - Heron View - P&amp;G</t>
        </is>
      </c>
      <c r="B72" s="117">
        <f>SUMIFS(Xero!$F:$F,Xero!$E:$E,'NSST Print'!$A72)</f>
        <v/>
      </c>
      <c r="C72" s="117" t="n"/>
      <c r="D72" s="117" t="n"/>
      <c r="E72" s="117" t="n"/>
    </row>
    <row r="73">
      <c r="A73" s="105" t="inlineStr">
        <is>
          <t>COS - Heron View - Printing &amp; Stationary</t>
        </is>
      </c>
      <c r="B73" s="117">
        <f>SUMIFS(Xero!$F:$F,Xero!$E:$E,'NSST Print'!$A73)</f>
        <v/>
      </c>
      <c r="C73" s="117" t="n"/>
      <c r="D73" s="117" t="n"/>
      <c r="E73" s="117" t="n"/>
    </row>
    <row r="74">
      <c r="A74" s="105" t="inlineStr">
        <is>
          <t>CPSD</t>
        </is>
      </c>
      <c r="B74" s="117">
        <f>SUMIFS('Other Costs'!$D:$D,'Other Costs'!$A:$A,'NSST Print'!$A74)</f>
        <v/>
      </c>
      <c r="C74" s="117" t="n"/>
      <c r="D74" s="117" t="n"/>
      <c r="E74" s="117" t="n"/>
    </row>
    <row r="75">
      <c r="A75" s="105" t="inlineStr">
        <is>
          <t>OppInvest</t>
        </is>
      </c>
      <c r="B75" s="117">
        <f>SUMIFS('Other Costs'!$D:$D,'Other Costs'!$A:$A,'NSST Print'!$A75)</f>
        <v/>
      </c>
      <c r="C75" s="117" t="n"/>
      <c r="D75" s="117" t="n"/>
      <c r="E75" s="117" t="n"/>
    </row>
    <row r="76">
      <c r="A76" s="105" t="inlineStr">
        <is>
          <t>Professional Fees</t>
        </is>
      </c>
      <c r="B76" s="117">
        <f>SUMIFS('Other Costs'!$D:$D,'Other Costs'!$A:$A,'NSST Print'!$A76)</f>
        <v/>
      </c>
      <c r="C76" s="117" t="n"/>
      <c r="D76" s="117" t="n"/>
      <c r="E76" s="117" t="n"/>
    </row>
    <row r="77">
      <c r="A77" s="105" t="inlineStr">
        <is>
          <t>Rent Salaries and Wages</t>
        </is>
      </c>
      <c r="B77" s="117">
        <f>SUMIFS('Other Costs'!$D:$D,'Other Costs'!$A:$A,'NSST Print'!$A77)</f>
        <v/>
      </c>
      <c r="C77" s="117" t="n"/>
      <c r="D77" s="117" t="n"/>
      <c r="E77" s="117" t="n"/>
    </row>
    <row r="78">
      <c r="A78" s="105" t="inlineStr">
        <is>
          <t>Total Costs</t>
        </is>
      </c>
      <c r="B78" s="117">
        <f>SUM(B66:B77)</f>
        <v/>
      </c>
      <c r="C78" s="117" t="n"/>
      <c r="D78" s="117" t="n"/>
      <c r="E78" s="117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19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0" t="inlineStr">
        <is>
          <t>Total Units</t>
        </is>
      </c>
      <c r="B2" s="120" t="inlineStr">
        <is>
          <t>Investment Number</t>
        </is>
      </c>
      <c r="C2" s="120" t="inlineStr">
        <is>
          <t>Unit Number</t>
        </is>
      </c>
      <c r="D2" s="120" t="inlineStr">
        <is>
          <t>Block</t>
        </is>
      </c>
      <c r="E2" s="120" t="inlineStr">
        <is>
          <t>Investor</t>
        </is>
      </c>
      <c r="F2" s="120" t="inlineStr">
        <is>
          <t>Capital Amount</t>
        </is>
      </c>
      <c r="G2" s="120" t="inlineStr">
        <is>
          <t>Fund Release Date</t>
        </is>
      </c>
      <c r="H2" s="120" t="inlineStr">
        <is>
          <t>Unit Sold Status</t>
        </is>
      </c>
      <c r="I2" s="120" t="inlineStr">
        <is>
          <t>Unit Transferred Status</t>
        </is>
      </c>
      <c r="J2" s="120" t="inlineStr">
        <is>
          <t>Estimated Transfer Date</t>
        </is>
      </c>
      <c r="K2" s="120" t="inlineStr">
        <is>
          <t>Actual Transfer Date</t>
        </is>
      </c>
      <c r="L2" s="120" t="inlineStr">
        <is>
          <t>Exit Deadline (730 Days)</t>
        </is>
      </c>
      <c r="M2" s="120" t="inlineStr">
        <is>
          <t>Current Report Date</t>
        </is>
      </c>
      <c r="N2" s="120" t="inlineStr">
        <is>
          <t>Days To Contract Exit</t>
        </is>
      </c>
      <c r="O2" s="120" t="inlineStr">
        <is>
          <t>Days To Estimated Exit</t>
        </is>
      </c>
      <c r="P2" s="120" t="inlineStr">
        <is>
          <t>Investor Contract Expiry Exit</t>
        </is>
      </c>
      <c r="Q2" s="120" t="inlineStr">
        <is>
          <t>Capital &amp; Interest To Be Exited</t>
        </is>
      </c>
      <c r="R2" s="120" t="inlineStr">
        <is>
          <t>Investor Exit Value On Sales</t>
        </is>
      </c>
      <c r="S2" s="120" t="inlineStr">
        <is>
          <t>Exited By Developer</t>
        </is>
      </c>
      <c r="T2" s="120" t="inlineStr">
        <is>
          <t>Date Of Exit</t>
        </is>
      </c>
      <c r="U2" s="120" t="inlineStr">
        <is>
          <t>Early Release</t>
        </is>
      </c>
      <c r="V2" s="120" t="inlineStr">
        <is>
          <t>Investor Pay Back On Transfer</t>
        </is>
      </c>
      <c r="W2" s="120" t="inlineStr">
        <is>
          <t>Developer &amp; Unbonded</t>
        </is>
      </c>
      <c r="X2" s="120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1">
        <f>COUNTIFS(Sales!$E:$E,FALSE,Sales!$A:$A,"&lt;&gt;"&amp;"Endulini",Sales!$D:$D,TRUE)+COUNTIFS(Sales!$E:$E,FALSE,Sales!$A:$A,"&lt;&gt;"&amp;"Endulini",Sales!$D:$D,FALSE)</f>
        <v/>
      </c>
      <c r="B3" s="122" t="n"/>
      <c r="C3" s="121">
        <f>COUNTIFS(Investors!$G:$G,FALSE)+COUNTIFS(Investors!$G:$G,TRUE)-(COUNTIFS(Investors!$G:$G,TRUE)+COUNTIFS(Investors!$G:$G,FALSE,Investors!$O:$O,TRUE,Investors!$P:$P,FALSE))</f>
        <v/>
      </c>
      <c r="D3" s="122" t="n"/>
      <c r="E3" s="122" t="n"/>
      <c r="F3" s="123">
        <f>SUM(F4:F588)</f>
        <v/>
      </c>
      <c r="G3" s="122" t="n"/>
      <c r="H3" s="122" t="n"/>
      <c r="I3" s="122" t="n"/>
      <c r="J3" s="122" t="n"/>
      <c r="K3" s="122" t="n"/>
      <c r="L3" s="122" t="n"/>
      <c r="M3" s="122" t="n"/>
      <c r="N3" s="122" t="n"/>
      <c r="O3" s="122" t="n"/>
      <c r="P3" s="123">
        <f>SUM(P4:P588)</f>
        <v/>
      </c>
      <c r="Q3" s="123">
        <f>SUM(Q4:Q588)</f>
        <v/>
      </c>
      <c r="R3" s="123">
        <f>SUM(R4:R588)</f>
        <v/>
      </c>
      <c r="S3" s="123">
        <f>SUBTOTAL(109,S4:S588)</f>
        <v/>
      </c>
      <c r="T3" s="122" t="n"/>
      <c r="U3" s="122" t="n"/>
      <c r="V3" s="123">
        <f>SUM(V4:V588)</f>
        <v/>
      </c>
      <c r="W3" s="123">
        <f>SUM(W4:W588)</f>
        <v/>
      </c>
      <c r="X3" s="122" t="n"/>
    </row>
    <row r="4">
      <c r="A4" s="124" t="inlineStr">
        <is>
          <t>ZCAM01</t>
        </is>
      </c>
      <c r="B4" s="124" t="n">
        <v>2</v>
      </c>
      <c r="C4" s="124" t="inlineStr">
        <is>
          <t>HFA101</t>
        </is>
      </c>
      <c r="D4" s="124" t="inlineStr">
        <is>
          <t>A</t>
        </is>
      </c>
      <c r="E4" s="124" t="inlineStr">
        <is>
          <t>Campbell Jeremy &amp; Rosaline</t>
        </is>
      </c>
      <c r="F4" s="125">
        <f>SUMIFS(Investors!$M:$M, Investors!$I:$I, "&lt;=" &amp; 'NSST Print'!$B$3, Investors!$K:$K, "&gt;" &amp; 'NSST Print'!$B$3, Investors!$A:$A, 'Investor Exit List'!A4, Investors!$E:$E, 'Investor Exit List'!C4)</f>
        <v/>
      </c>
      <c r="G4" s="126" t="n">
        <v>44610</v>
      </c>
      <c r="H4" s="124">
        <f>VLOOKUP($C4,Sales!$C:$E,2,FALSE)</f>
        <v/>
      </c>
      <c r="I4" s="124">
        <f>VLOOKUP($C4,Sales!$C:$E,3,FALSE)</f>
        <v/>
      </c>
      <c r="J4" s="126">
        <f>SUMIFS(Sales!$H:$H,Sales!$C:$C,'Investor Exit List'!$C4)</f>
        <v/>
      </c>
      <c r="K4" s="126">
        <f>IF(I4=TRUE,J4,"")</f>
        <v/>
      </c>
      <c r="L4" s="126">
        <f>G4+730</f>
        <v/>
      </c>
      <c r="M4" s="126" t="n">
        <v>45443</v>
      </c>
      <c r="N4" s="127">
        <f>IFERROR(IF(G4&lt;&gt;"",IF(I4=TRUE,0,IF(U4=TRUE,0,L4-M4)),0),0)</f>
        <v/>
      </c>
      <c r="O4" s="127">
        <f>IF(N4&gt;0,IF(N4&lt;=180,N4,0),0)</f>
        <v/>
      </c>
      <c r="P4" s="125">
        <f>IF(AND(N4&lt;90,N4&gt;0),Q4,0)</f>
        <v/>
      </c>
      <c r="Q4" s="125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25">
        <f>IF(AND(H4=TRUE,I4=FALSE),Q4,0)</f>
        <v/>
      </c>
      <c r="S4" s="125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26">
        <f>IF(U4=TRUE,$J4,"")</f>
        <v/>
      </c>
      <c r="U4" s="124" t="b">
        <v>0</v>
      </c>
      <c r="V4" s="125">
        <f>IF(AND(H4=TRUE,OR(K4="",K4&gt;M4)),S4,0)</f>
        <v/>
      </c>
      <c r="W4" s="124" t="n">
        <v>0</v>
      </c>
      <c r="X4" s="124" t="b">
        <v>0</v>
      </c>
      <c r="Y4" s="127">
        <f>IF(H4=FALSE,VLOOKUP($C4,Sales!$C:$F,4,FALSE),1)</f>
        <v/>
      </c>
      <c r="Z4" s="124">
        <f>IF(Y4=0,"Release",IF(AND(L4&lt;J4,Y4=1,H4=FALSE,U4=FALSE,MONTH(L4)&amp;"/"&amp;YEAR(L4)&lt;&gt;MONTH(J4)&amp;"/"&amp;YEAR(J4)),"Release",""))</f>
        <v/>
      </c>
      <c r="AA4" s="128">
        <f>_xlfn.minifs($L:$L,$C:$C,$C4,$F:$F,"&lt;&gt;0")</f>
        <v/>
      </c>
      <c r="AB4" s="128">
        <f>C4&amp;"-"&amp;A4</f>
        <v/>
      </c>
      <c r="AC4" s="128">
        <f>L4</f>
        <v/>
      </c>
    </row>
    <row r="5">
      <c r="A5" s="124" t="inlineStr">
        <is>
          <t>ZSCH01</t>
        </is>
      </c>
      <c r="B5" s="124" t="n">
        <v>10</v>
      </c>
      <c r="C5" s="124" t="inlineStr">
        <is>
          <t>HFA101</t>
        </is>
      </c>
      <c r="D5" s="124" t="inlineStr">
        <is>
          <t>A</t>
        </is>
      </c>
      <c r="E5" s="124" t="inlineStr">
        <is>
          <t>Schubert Inge</t>
        </is>
      </c>
      <c r="F5" s="125">
        <f>SUMIFS(Investors!$M:$M, Investors!$I:$I, "&lt;=" &amp; 'NSST Print'!$B$3, Investors!$K:$K, "&gt;" &amp; 'NSST Print'!$B$3, Investors!$A:$A, 'Investor Exit List'!A5, Investors!$E:$E, 'Investor Exit List'!C5)</f>
        <v/>
      </c>
      <c r="G5" s="126" t="n">
        <v>44316</v>
      </c>
      <c r="H5" s="124">
        <f>VLOOKUP($C5,Sales!$C:$E,2,FALSE)</f>
        <v/>
      </c>
      <c r="I5" s="124">
        <f>VLOOKUP($C5,Sales!$C:$E,3,FALSE)</f>
        <v/>
      </c>
      <c r="J5" s="126">
        <f>SUMIFS(Sales!$H:$H,Sales!$C:$C,'Investor Exit List'!$C5)</f>
        <v/>
      </c>
      <c r="K5" s="126">
        <f>IF(I5=TRUE,J5,"")</f>
        <v/>
      </c>
      <c r="L5" s="126">
        <f>G5+730</f>
        <v/>
      </c>
      <c r="M5" s="126" t="n">
        <v>45443</v>
      </c>
      <c r="N5" s="127">
        <f>IFERROR(IF(G5&lt;&gt;"",IF(I5=TRUE,0,IF(U5=TRUE,0,L5-M5)),0),0)</f>
        <v/>
      </c>
      <c r="O5" s="127">
        <f>IF(N5&gt;0,IF(N5&lt;=180,N5,0),0)</f>
        <v/>
      </c>
      <c r="P5" s="125">
        <f>IF(AND(N5&lt;90,N5&gt;0),Q5,0)</f>
        <v/>
      </c>
      <c r="Q5" s="125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25">
        <f>IF(AND(H5=TRUE,I5=FALSE),Q5,0)</f>
        <v/>
      </c>
      <c r="S5" s="125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26">
        <f>IF(U5=TRUE,$J5,"")</f>
        <v/>
      </c>
      <c r="U5" s="124" t="b">
        <v>0</v>
      </c>
      <c r="V5" s="125">
        <f>IF(AND(H5=TRUE,OR(K5="",K5&gt;M5)),S5,0)</f>
        <v/>
      </c>
      <c r="W5" s="124" t="n">
        <v>0</v>
      </c>
      <c r="X5" s="124" t="b">
        <v>0</v>
      </c>
      <c r="Y5" s="127">
        <f>IF(H5=FALSE,VLOOKUP($C5,Sales!$C:$F,4,FALSE),1)</f>
        <v/>
      </c>
      <c r="Z5" s="124">
        <f>IF(Y5=0,"Release",IF(AND(L5&lt;J5,Y5=1,H5=FALSE,U5=FALSE,MONTH(L5)&amp;"/"&amp;YEAR(L5)&lt;&gt;MONTH(J5)&amp;"/"&amp;YEAR(J5)),"Release",""))</f>
        <v/>
      </c>
      <c r="AA5" s="128">
        <f>_xlfn.minifs($L:$L,$C:$C,$C5,$F:$F,"&lt;&gt;0")</f>
        <v/>
      </c>
      <c r="AB5" s="128">
        <f>C5&amp;"-"&amp;A5</f>
        <v/>
      </c>
      <c r="AC5" s="128">
        <f>L5</f>
        <v/>
      </c>
    </row>
    <row r="6">
      <c r="A6" s="124" t="inlineStr">
        <is>
          <t>ZZYL03</t>
        </is>
      </c>
      <c r="B6" s="124" t="n">
        <v>1</v>
      </c>
      <c r="C6" s="124" t="inlineStr">
        <is>
          <t>HFA102</t>
        </is>
      </c>
      <c r="D6" s="124" t="inlineStr">
        <is>
          <t>A</t>
        </is>
      </c>
      <c r="E6" s="124" t="inlineStr">
        <is>
          <t>Zylstra Sandra Robyn</t>
        </is>
      </c>
      <c r="F6" s="125">
        <f>SUMIFS(Investors!$M:$M, Investors!$I:$I, "&lt;=" &amp; 'NSST Print'!$B$3, Investors!$K:$K, "&gt;" &amp; 'NSST Print'!$B$3, Investors!$A:$A, 'Investor Exit List'!A6, Investors!$E:$E, 'Investor Exit List'!C6)</f>
        <v/>
      </c>
      <c r="G6" s="126" t="n">
        <v>44352</v>
      </c>
      <c r="H6" s="124">
        <f>VLOOKUP($C6,Sales!$C:$E,2,FALSE)</f>
        <v/>
      </c>
      <c r="I6" s="124">
        <f>VLOOKUP($C6,Sales!$C:$E,3,FALSE)</f>
        <v/>
      </c>
      <c r="J6" s="126">
        <f>SUMIFS(Sales!$H:$H,Sales!$C:$C,'Investor Exit List'!$C6)</f>
        <v/>
      </c>
      <c r="K6" s="126">
        <f>IF(I6=TRUE,J6,"")</f>
        <v/>
      </c>
      <c r="L6" s="126">
        <f>G6+730</f>
        <v/>
      </c>
      <c r="M6" s="126" t="n">
        <v>45443</v>
      </c>
      <c r="N6" s="127">
        <f>IFERROR(IF(G6&lt;&gt;"",IF(I6=TRUE,0,IF(U6=TRUE,0,L6-M6)),0),0)</f>
        <v/>
      </c>
      <c r="O6" s="127">
        <f>IF(N6&gt;0,IF(N6&lt;=180,N6,0),0)</f>
        <v/>
      </c>
      <c r="P6" s="125">
        <f>IF(AND(N6&lt;90,N6&gt;0),Q6,0)</f>
        <v/>
      </c>
      <c r="Q6" s="125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25">
        <f>IF(AND(H6=TRUE,I6=FALSE),Q6,0)</f>
        <v/>
      </c>
      <c r="S6" s="125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26">
        <f>IF(U6=TRUE,$J6,"")</f>
        <v/>
      </c>
      <c r="U6" s="124" t="b">
        <v>0</v>
      </c>
      <c r="V6" s="125">
        <f>IF(AND(H6=TRUE,OR(K6="",K6&gt;M6)),S6,0)</f>
        <v/>
      </c>
      <c r="W6" s="124" t="n">
        <v>0</v>
      </c>
      <c r="X6" s="124" t="b">
        <v>0</v>
      </c>
      <c r="Y6" s="127">
        <f>IF(H6=FALSE,VLOOKUP($C6,Sales!$C:$F,4,FALSE),1)</f>
        <v/>
      </c>
      <c r="Z6" s="124">
        <f>IF(Y6=0,"Release",IF(AND(L6&lt;J6,Y6=1,H6=FALSE,U6=FALSE,MONTH(L6)&amp;"/"&amp;YEAR(L6)&lt;&gt;MONTH(J6)&amp;"/"&amp;YEAR(J6)),"Release",""))</f>
        <v/>
      </c>
      <c r="AA6" s="128">
        <f>_xlfn.minifs($L:$L,$C:$C,$C6,$F:$F,"&lt;&gt;0")</f>
        <v/>
      </c>
      <c r="AB6" s="128">
        <f>C6&amp;"-"&amp;A6</f>
        <v/>
      </c>
      <c r="AC6" s="128">
        <f>L6</f>
        <v/>
      </c>
    </row>
    <row r="7">
      <c r="A7" s="124" t="inlineStr">
        <is>
          <t>ZELE01</t>
        </is>
      </c>
      <c r="B7" s="124" t="n">
        <v>1</v>
      </c>
      <c r="C7" s="124" t="inlineStr">
        <is>
          <t>HFA103</t>
        </is>
      </c>
      <c r="D7" s="124" t="inlineStr">
        <is>
          <t>A</t>
        </is>
      </c>
      <c r="E7" s="124" t="inlineStr">
        <is>
          <t>Lew Emile Kenneth</t>
        </is>
      </c>
      <c r="F7" s="125">
        <f>SUMIFS(Investors!$M:$M, Investors!$I:$I, "&lt;=" &amp; 'NSST Print'!$B$3, Investors!$K:$K, "&gt;" &amp; 'NSST Print'!$B$3, Investors!$A:$A, 'Investor Exit List'!A7, Investors!$E:$E, 'Investor Exit List'!C7)</f>
        <v/>
      </c>
      <c r="G7" s="126" t="n">
        <v>44316</v>
      </c>
      <c r="H7" s="124">
        <f>VLOOKUP($C7,Sales!$C:$E,2,FALSE)</f>
        <v/>
      </c>
      <c r="I7" s="124">
        <f>VLOOKUP($C7,Sales!$C:$E,3,FALSE)</f>
        <v/>
      </c>
      <c r="J7" s="126">
        <f>SUMIFS(Sales!$H:$H,Sales!$C:$C,'Investor Exit List'!$C7)</f>
        <v/>
      </c>
      <c r="K7" s="126">
        <f>IF(I7=TRUE,J7,"")</f>
        <v/>
      </c>
      <c r="L7" s="126">
        <f>G7+730</f>
        <v/>
      </c>
      <c r="M7" s="126" t="n">
        <v>45443</v>
      </c>
      <c r="N7" s="127">
        <f>IFERROR(IF(G7&lt;&gt;"",IF(I7=TRUE,0,IF(U7=TRUE,0,L7-M7)),0),0)</f>
        <v/>
      </c>
      <c r="O7" s="127">
        <f>IF(N7&gt;0,IF(N7&lt;=180,N7,0),0)</f>
        <v/>
      </c>
      <c r="P7" s="125">
        <f>IF(AND(N7&lt;90,N7&gt;0),Q7,0)</f>
        <v/>
      </c>
      <c r="Q7" s="125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25">
        <f>IF(AND(H7=TRUE,I7=FALSE),Q7,0)</f>
        <v/>
      </c>
      <c r="S7" s="125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26">
        <f>IF(U7=TRUE,$J7,"")</f>
        <v/>
      </c>
      <c r="U7" s="124" t="b">
        <v>0</v>
      </c>
      <c r="V7" s="125">
        <f>IF(AND(H7=TRUE,OR(K7="",K7&gt;M7)),S7,0)</f>
        <v/>
      </c>
      <c r="W7" s="124" t="n">
        <v>0</v>
      </c>
      <c r="X7" s="124" t="b">
        <v>0</v>
      </c>
      <c r="Y7" s="127">
        <f>IF(H7=FALSE,VLOOKUP($C7,Sales!$C:$F,4,FALSE),1)</f>
        <v/>
      </c>
      <c r="Z7" s="124">
        <f>IF(Y7=0,"Release",IF(AND(L7&lt;J7,Y7=1,H7=FALSE,U7=FALSE,MONTH(L7)&amp;"/"&amp;YEAR(L7)&lt;&gt;MONTH(J7)&amp;"/"&amp;YEAR(J7)),"Release",""))</f>
        <v/>
      </c>
      <c r="AA7" s="128">
        <f>_xlfn.minifs($L:$L,$C:$C,$C7,$F:$F,"&lt;&gt;0")</f>
        <v/>
      </c>
      <c r="AB7" s="128">
        <f>C7&amp;"-"&amp;A7</f>
        <v/>
      </c>
      <c r="AC7" s="128">
        <f>L7</f>
        <v/>
      </c>
    </row>
    <row r="8">
      <c r="A8" s="124" t="inlineStr">
        <is>
          <t>ZHIL01</t>
        </is>
      </c>
      <c r="B8" s="124" t="n">
        <v>1</v>
      </c>
      <c r="C8" s="124" t="inlineStr">
        <is>
          <t>HFA103</t>
        </is>
      </c>
      <c r="D8" s="124" t="inlineStr">
        <is>
          <t>A</t>
        </is>
      </c>
      <c r="E8" s="124" t="inlineStr">
        <is>
          <t>Hill Trevor David</t>
        </is>
      </c>
      <c r="F8" s="125">
        <f>SUMIFS(Investors!$M:$M, Investors!$I:$I, "&lt;=" &amp; 'NSST Print'!$B$3, Investors!$K:$K, "&gt;" &amp; 'NSST Print'!$B$3, Investors!$A:$A, 'Investor Exit List'!A8, Investors!$E:$E, 'Investor Exit List'!C8)</f>
        <v/>
      </c>
      <c r="G8" s="126" t="n">
        <v>44352</v>
      </c>
      <c r="H8" s="124">
        <f>VLOOKUP($C8,Sales!$C:$E,2,FALSE)</f>
        <v/>
      </c>
      <c r="I8" s="124">
        <f>VLOOKUP($C8,Sales!$C:$E,3,FALSE)</f>
        <v/>
      </c>
      <c r="J8" s="126">
        <f>SUMIFS(Sales!$H:$H,Sales!$C:$C,'Investor Exit List'!$C8)</f>
        <v/>
      </c>
      <c r="K8" s="126">
        <f>IF(I8=TRUE,J8,"")</f>
        <v/>
      </c>
      <c r="L8" s="126">
        <f>G8+730</f>
        <v/>
      </c>
      <c r="M8" s="126" t="n">
        <v>45443</v>
      </c>
      <c r="N8" s="127">
        <f>IFERROR(IF(G8&lt;&gt;"",IF(I8=TRUE,0,IF(U8=TRUE,0,L8-M8)),0),0)</f>
        <v/>
      </c>
      <c r="O8" s="127">
        <f>IF(N8&gt;0,IF(N8&lt;=180,N8,0),0)</f>
        <v/>
      </c>
      <c r="P8" s="125">
        <f>IF(AND(N8&lt;90,N8&gt;0),Q8,0)</f>
        <v/>
      </c>
      <c r="Q8" s="125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25">
        <f>IF(AND(H8=TRUE,I8=FALSE),Q8,0)</f>
        <v/>
      </c>
      <c r="S8" s="125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26">
        <f>IF(U8=TRUE,$J8,"")</f>
        <v/>
      </c>
      <c r="U8" s="124" t="b">
        <v>0</v>
      </c>
      <c r="V8" s="125">
        <f>IF(AND(H8=TRUE,OR(K8="",K8&gt;M8)),S8,0)</f>
        <v/>
      </c>
      <c r="W8" s="124" t="n">
        <v>0</v>
      </c>
      <c r="X8" s="124" t="b">
        <v>0</v>
      </c>
      <c r="Y8" s="127">
        <f>IF(H8=FALSE,VLOOKUP($C8,Sales!$C:$F,4,FALSE),1)</f>
        <v/>
      </c>
      <c r="Z8" s="124">
        <f>IF(Y8=0,"Release",IF(AND(L8&lt;J8,Y8=1,H8=FALSE,U8=FALSE,MONTH(L8)&amp;"/"&amp;YEAR(L8)&lt;&gt;MONTH(J8)&amp;"/"&amp;YEAR(J8)),"Release",""))</f>
        <v/>
      </c>
      <c r="AA8" s="128">
        <f>_xlfn.minifs($L:$L,$C:$C,$C8,$F:$F,"&lt;&gt;0")</f>
        <v/>
      </c>
      <c r="AB8" s="128">
        <f>C8&amp;"-"&amp;A8</f>
        <v/>
      </c>
      <c r="AC8" s="128">
        <f>L8</f>
        <v/>
      </c>
    </row>
    <row r="9">
      <c r="A9" s="124" t="inlineStr">
        <is>
          <t>ZVAN02</t>
        </is>
      </c>
      <c r="B9" s="124" t="n">
        <v>1</v>
      </c>
      <c r="C9" s="124" t="inlineStr">
        <is>
          <t>HFA103</t>
        </is>
      </c>
      <c r="D9" s="124" t="inlineStr">
        <is>
          <t>A</t>
        </is>
      </c>
      <c r="E9" s="124" t="inlineStr">
        <is>
          <t>van Schalkwyk Agatha Dorothea</t>
        </is>
      </c>
      <c r="F9" s="125">
        <f>SUMIFS(Investors!$M:$M, Investors!$I:$I, "&lt;=" &amp; 'NSST Print'!$B$3, Investors!$K:$K, "&gt;" &amp; 'NSST Print'!$B$3, Investors!$A:$A, 'Investor Exit List'!A9, Investors!$E:$E, 'Investor Exit List'!C9)</f>
        <v/>
      </c>
      <c r="G9" s="126" t="n">
        <v>44352</v>
      </c>
      <c r="H9" s="124">
        <f>VLOOKUP($C9,Sales!$C:$E,2,FALSE)</f>
        <v/>
      </c>
      <c r="I9" s="124">
        <f>VLOOKUP($C9,Sales!$C:$E,3,FALSE)</f>
        <v/>
      </c>
      <c r="J9" s="126">
        <f>SUMIFS(Sales!$H:$H,Sales!$C:$C,'Investor Exit List'!$C9)</f>
        <v/>
      </c>
      <c r="K9" s="126">
        <f>IF(I9=TRUE,J9,"")</f>
        <v/>
      </c>
      <c r="L9" s="126">
        <f>G9+730</f>
        <v/>
      </c>
      <c r="M9" s="126" t="n">
        <v>45443</v>
      </c>
      <c r="N9" s="127">
        <f>IFERROR(IF(G9&lt;&gt;"",IF(I9=TRUE,0,IF(U9=TRUE,0,L9-M9)),0),0)</f>
        <v/>
      </c>
      <c r="O9" s="127">
        <f>IF(N9&gt;0,IF(N9&lt;=180,N9,0),0)</f>
        <v/>
      </c>
      <c r="P9" s="125">
        <f>IF(AND(N9&lt;90,N9&gt;0),Q9,0)</f>
        <v/>
      </c>
      <c r="Q9" s="125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25">
        <f>IF(AND(H9=TRUE,I9=FALSE),Q9,0)</f>
        <v/>
      </c>
      <c r="S9" s="125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26">
        <f>IF(U9=TRUE,$J9,"")</f>
        <v/>
      </c>
      <c r="U9" s="124" t="b">
        <v>0</v>
      </c>
      <c r="V9" s="125">
        <f>IF(AND(H9=TRUE,OR(K9="",K9&gt;M9)),S9,0)</f>
        <v/>
      </c>
      <c r="W9" s="124" t="n">
        <v>0</v>
      </c>
      <c r="X9" s="124" t="b">
        <v>0</v>
      </c>
      <c r="Y9" s="127">
        <f>IF(H9=FALSE,VLOOKUP($C9,Sales!$C:$F,4,FALSE),1)</f>
        <v/>
      </c>
      <c r="Z9" s="124">
        <f>IF(Y9=0,"Release",IF(AND(L9&lt;J9,Y9=1,H9=FALSE,U9=FALSE,MONTH(L9)&amp;"/"&amp;YEAR(L9)&lt;&gt;MONTH(J9)&amp;"/"&amp;YEAR(J9)),"Release",""))</f>
        <v/>
      </c>
      <c r="AA9" s="128">
        <f>_xlfn.minifs($L:$L,$C:$C,$C9,$F:$F,"&lt;&gt;0")</f>
        <v/>
      </c>
      <c r="AB9" s="128">
        <f>C9&amp;"-"&amp;A9</f>
        <v/>
      </c>
      <c r="AC9" s="128">
        <f>L9</f>
        <v/>
      </c>
    </row>
    <row r="10">
      <c r="A10" s="124" t="inlineStr">
        <is>
          <t>ZZYL03</t>
        </is>
      </c>
      <c r="B10" s="124" t="n">
        <v>2</v>
      </c>
      <c r="C10" s="124" t="inlineStr">
        <is>
          <t>HFA103</t>
        </is>
      </c>
      <c r="D10" s="124" t="inlineStr">
        <is>
          <t>A</t>
        </is>
      </c>
      <c r="E10" s="124" t="inlineStr">
        <is>
          <t>Zylstra Sandra Robyn</t>
        </is>
      </c>
      <c r="F10" s="125">
        <f>SUMIFS(Investors!$M:$M, Investors!$I:$I, "&lt;=" &amp; 'NSST Print'!$B$3, Investors!$K:$K, "&gt;" &amp; 'NSST Print'!$B$3, Investors!$A:$A, 'Investor Exit List'!A10, Investors!$E:$E, 'Investor Exit List'!C10)</f>
        <v/>
      </c>
      <c r="G10" s="126" t="n">
        <v>44352</v>
      </c>
      <c r="H10" s="124">
        <f>VLOOKUP($C10,Sales!$C:$E,2,FALSE)</f>
        <v/>
      </c>
      <c r="I10" s="124">
        <f>VLOOKUP($C10,Sales!$C:$E,3,FALSE)</f>
        <v/>
      </c>
      <c r="J10" s="126">
        <f>SUMIFS(Sales!$H:$H,Sales!$C:$C,'Investor Exit List'!$C10)</f>
        <v/>
      </c>
      <c r="K10" s="126">
        <f>IF(I10=TRUE,J10,"")</f>
        <v/>
      </c>
      <c r="L10" s="126">
        <f>G10+730</f>
        <v/>
      </c>
      <c r="M10" s="126" t="n">
        <v>45443</v>
      </c>
      <c r="N10" s="127">
        <f>IFERROR(IF(G10&lt;&gt;"",IF(I10=TRUE,0,IF(U10=TRUE,0,L10-M10)),0),0)</f>
        <v/>
      </c>
      <c r="O10" s="127">
        <f>IF(N10&gt;0,IF(N10&lt;=180,N10,0),0)</f>
        <v/>
      </c>
      <c r="P10" s="125">
        <f>IF(AND(N10&lt;90,N10&gt;0),Q10,0)</f>
        <v/>
      </c>
      <c r="Q10" s="125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25">
        <f>IF(AND(H10=TRUE,I10=FALSE),Q10,0)</f>
        <v/>
      </c>
      <c r="S10" s="125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26">
        <f>IF(U10=TRUE,$J10,"")</f>
        <v/>
      </c>
      <c r="U10" s="124" t="b">
        <v>0</v>
      </c>
      <c r="V10" s="125">
        <f>IF(AND(H10=TRUE,OR(K10="",K10&gt;M10)),S10,0)</f>
        <v/>
      </c>
      <c r="W10" s="124" t="n">
        <v>0</v>
      </c>
      <c r="X10" s="124" t="b">
        <v>0</v>
      </c>
      <c r="Y10" s="127">
        <f>IF(H10=FALSE,VLOOKUP($C10,Sales!$C:$F,4,FALSE),1)</f>
        <v/>
      </c>
      <c r="Z10" s="124">
        <f>IF(Y10=0,"Release",IF(AND(L10&lt;J10,Y10=1,H10=FALSE,U10=FALSE,MONTH(L10)&amp;"/"&amp;YEAR(L10)&lt;&gt;MONTH(J10)&amp;"/"&amp;YEAR(J10)),"Release",""))</f>
        <v/>
      </c>
      <c r="AA10" s="128">
        <f>_xlfn.minifs($L:$L,$C:$C,$C10,$F:$F,"&lt;&gt;0")</f>
        <v/>
      </c>
      <c r="AB10" s="128">
        <f>C10&amp;"-"&amp;A10</f>
        <v/>
      </c>
      <c r="AC10" s="128">
        <f>L10</f>
        <v/>
      </c>
    </row>
    <row r="11">
      <c r="A11" s="124" t="inlineStr">
        <is>
          <t>ZDEB01</t>
        </is>
      </c>
      <c r="B11" s="124" t="n">
        <v>5</v>
      </c>
      <c r="C11" s="124" t="inlineStr">
        <is>
          <t>HFA104</t>
        </is>
      </c>
      <c r="D11" s="124" t="inlineStr">
        <is>
          <t>A</t>
        </is>
      </c>
      <c r="E11" s="124" t="inlineStr">
        <is>
          <t>De Beer William Henry</t>
        </is>
      </c>
      <c r="F11" s="125">
        <f>SUMIFS(Investors!$M:$M, Investors!$I:$I, "&lt;=" &amp; 'NSST Print'!$B$3, Investors!$K:$K, "&gt;" &amp; 'NSST Print'!$B$3, Investors!$A:$A, 'Investor Exit List'!A11, Investors!$E:$E, 'Investor Exit List'!C11)</f>
        <v/>
      </c>
      <c r="G11" s="126" t="n">
        <v>44352</v>
      </c>
      <c r="H11" s="124">
        <f>VLOOKUP($C11,Sales!$C:$E,2,FALSE)</f>
        <v/>
      </c>
      <c r="I11" s="124">
        <f>VLOOKUP($C11,Sales!$C:$E,3,FALSE)</f>
        <v/>
      </c>
      <c r="J11" s="126">
        <f>SUMIFS(Sales!$H:$H,Sales!$C:$C,'Investor Exit List'!$C11)</f>
        <v/>
      </c>
      <c r="K11" s="126">
        <f>IF(I11=TRUE,J11,"")</f>
        <v/>
      </c>
      <c r="L11" s="126">
        <f>G11+730</f>
        <v/>
      </c>
      <c r="M11" s="126" t="n">
        <v>45443</v>
      </c>
      <c r="N11" s="127">
        <f>IFERROR(IF(G11&lt;&gt;"",IF(I11=TRUE,0,IF(U11=TRUE,0,L11-M11)),0),0)</f>
        <v/>
      </c>
      <c r="O11" s="127">
        <f>IF(N11&gt;0,IF(N11&lt;=180,N11,0),0)</f>
        <v/>
      </c>
      <c r="P11" s="125">
        <f>IF(AND(N11&lt;90,N11&gt;0),Q11,0)</f>
        <v/>
      </c>
      <c r="Q11" s="125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25">
        <f>IF(AND(H11=TRUE,I11=FALSE),Q11,0)</f>
        <v/>
      </c>
      <c r="S11" s="125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26">
        <f>IF(U11=TRUE,$J11,"")</f>
        <v/>
      </c>
      <c r="U11" s="124" t="b">
        <v>0</v>
      </c>
      <c r="V11" s="125">
        <f>IF(AND(H11=TRUE,OR(K11="",K11&gt;M11)),S11,0)</f>
        <v/>
      </c>
      <c r="W11" s="124" t="n">
        <v>0</v>
      </c>
      <c r="X11" s="124" t="b">
        <v>0</v>
      </c>
      <c r="Y11" s="127">
        <f>IF(H11=FALSE,VLOOKUP($C11,Sales!$C:$F,4,FALSE),1)</f>
        <v/>
      </c>
      <c r="Z11" s="124">
        <f>IF(Y11=0,"Release",IF(AND(L11&lt;J11,Y11=1,H11=FALSE,U11=FALSE,MONTH(L11)&amp;"/"&amp;YEAR(L11)&lt;&gt;MONTH(J11)&amp;"/"&amp;YEAR(J11)),"Release",""))</f>
        <v/>
      </c>
      <c r="AA11" s="128">
        <f>_xlfn.minifs($L:$L,$C:$C,$C11,$F:$F,"&lt;&gt;0")</f>
        <v/>
      </c>
      <c r="AB11" s="128">
        <f>C11&amp;"-"&amp;A11</f>
        <v/>
      </c>
      <c r="AC11" s="128">
        <f>L11</f>
        <v/>
      </c>
    </row>
    <row r="12">
      <c r="A12" s="124" t="inlineStr">
        <is>
          <t>ZBLO01</t>
        </is>
      </c>
      <c r="B12" s="124" t="n">
        <v>1</v>
      </c>
      <c r="C12" s="124" t="inlineStr">
        <is>
          <t>HFA105</t>
        </is>
      </c>
      <c r="D12" s="124" t="inlineStr">
        <is>
          <t>A</t>
        </is>
      </c>
      <c r="E12" s="124" t="inlineStr">
        <is>
          <t>Blows Robert Errol</t>
        </is>
      </c>
      <c r="F12" s="125">
        <f>SUMIFS(Investors!$M:$M, Investors!$I:$I, "&lt;=" &amp; 'NSST Print'!$B$3, Investors!$K:$K, "&gt;" &amp; 'NSST Print'!$B$3, Investors!$A:$A, 'Investor Exit List'!A12, Investors!$E:$E, 'Investor Exit List'!C12)</f>
        <v/>
      </c>
      <c r="G12" s="126" t="n">
        <v>44352</v>
      </c>
      <c r="H12" s="124">
        <f>VLOOKUP($C12,Sales!$C:$E,2,FALSE)</f>
        <v/>
      </c>
      <c r="I12" s="124">
        <f>VLOOKUP($C12,Sales!$C:$E,3,FALSE)</f>
        <v/>
      </c>
      <c r="J12" s="126">
        <f>SUMIFS(Sales!$H:$H,Sales!$C:$C,'Investor Exit List'!$C12)</f>
        <v/>
      </c>
      <c r="K12" s="126">
        <f>IF(I12=TRUE,J12,"")</f>
        <v/>
      </c>
      <c r="L12" s="126">
        <f>G12+730</f>
        <v/>
      </c>
      <c r="M12" s="126" t="n">
        <v>45443</v>
      </c>
      <c r="N12" s="127">
        <f>IFERROR(IF(G12&lt;&gt;"",IF(I12=TRUE,0,IF(U12=TRUE,0,L12-M12)),0),0)</f>
        <v/>
      </c>
      <c r="O12" s="127">
        <f>IF(N12&gt;0,IF(N12&lt;=180,N12,0),0)</f>
        <v/>
      </c>
      <c r="P12" s="125">
        <f>IF(AND(N12&lt;90,N12&gt;0),Q12,0)</f>
        <v/>
      </c>
      <c r="Q12" s="125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25">
        <f>IF(AND(H12=TRUE,I12=FALSE),Q12,0)</f>
        <v/>
      </c>
      <c r="S12" s="125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26">
        <f>IF(U12=TRUE,$J12,"")</f>
        <v/>
      </c>
      <c r="U12" s="124" t="b">
        <v>0</v>
      </c>
      <c r="V12" s="125">
        <f>IF(AND(H12=TRUE,OR(K12="",K12&gt;M12)),S12,0)</f>
        <v/>
      </c>
      <c r="W12" s="124" t="n">
        <v>0</v>
      </c>
      <c r="X12" s="124" t="b">
        <v>0</v>
      </c>
      <c r="Y12" s="127">
        <f>IF(H12=FALSE,VLOOKUP($C12,Sales!$C:$F,4,FALSE),1)</f>
        <v/>
      </c>
      <c r="Z12" s="124">
        <f>IF(Y12=0,"Release",IF(AND(L12&lt;J12,Y12=1,H12=FALSE,U12=FALSE,MONTH(L12)&amp;"/"&amp;YEAR(L12)&lt;&gt;MONTH(J12)&amp;"/"&amp;YEAR(J12)),"Release",""))</f>
        <v/>
      </c>
      <c r="AA12" s="128">
        <f>_xlfn.minifs($L:$L,$C:$C,$C12,$F:$F,"&lt;&gt;0")</f>
        <v/>
      </c>
      <c r="AB12" s="128">
        <f>C12&amp;"-"&amp;A12</f>
        <v/>
      </c>
      <c r="AC12" s="128">
        <f>L12</f>
        <v/>
      </c>
    </row>
    <row r="13">
      <c r="A13" s="124" t="inlineStr">
        <is>
          <t>ZCRO01</t>
        </is>
      </c>
      <c r="B13" s="124" t="n">
        <v>1</v>
      </c>
      <c r="C13" s="124" t="inlineStr">
        <is>
          <t>HFA105</t>
        </is>
      </c>
      <c r="D13" s="124" t="inlineStr">
        <is>
          <t>A</t>
        </is>
      </c>
      <c r="E13" s="124" t="inlineStr">
        <is>
          <t>Lunau Marc</t>
        </is>
      </c>
      <c r="F13" s="125">
        <f>SUMIFS(Investors!$M:$M, Investors!$I:$I, "&lt;=" &amp; 'NSST Print'!$B$3, Investors!$K:$K, "&gt;" &amp; 'NSST Print'!$B$3, Investors!$A:$A, 'Investor Exit List'!A13, Investors!$E:$E, 'Investor Exit List'!C13)</f>
        <v/>
      </c>
      <c r="G13" s="126" t="n">
        <v>44352</v>
      </c>
      <c r="H13" s="124">
        <f>VLOOKUP($C13,Sales!$C:$E,2,FALSE)</f>
        <v/>
      </c>
      <c r="I13" s="124">
        <f>VLOOKUP($C13,Sales!$C:$E,3,FALSE)</f>
        <v/>
      </c>
      <c r="J13" s="126">
        <f>SUMIFS(Sales!$H:$H,Sales!$C:$C,'Investor Exit List'!$C13)</f>
        <v/>
      </c>
      <c r="K13" s="126">
        <f>IF(I13=TRUE,J13,"")</f>
        <v/>
      </c>
      <c r="L13" s="126">
        <f>G13+730</f>
        <v/>
      </c>
      <c r="M13" s="126" t="n">
        <v>45443</v>
      </c>
      <c r="N13" s="127">
        <f>IFERROR(IF(G13&lt;&gt;"",IF(I13=TRUE,0,IF(U13=TRUE,0,L13-M13)),0),0)</f>
        <v/>
      </c>
      <c r="O13" s="127">
        <f>IF(N13&gt;0,IF(N13&lt;=180,N13,0),0)</f>
        <v/>
      </c>
      <c r="P13" s="125">
        <f>IF(AND(N13&lt;90,N13&gt;0),Q13,0)</f>
        <v/>
      </c>
      <c r="Q13" s="125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25">
        <f>IF(AND(H13=TRUE,I13=FALSE),Q13,0)</f>
        <v/>
      </c>
      <c r="S13" s="125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26">
        <f>IF(U13=TRUE,$J13,"")</f>
        <v/>
      </c>
      <c r="U13" s="124" t="b">
        <v>0</v>
      </c>
      <c r="V13" s="125">
        <f>IF(AND(H13=TRUE,OR(K13="",K13&gt;M13)),S13,0)</f>
        <v/>
      </c>
      <c r="W13" s="124" t="n">
        <v>0</v>
      </c>
      <c r="X13" s="124" t="b">
        <v>0</v>
      </c>
      <c r="Y13" s="127">
        <f>IF(H13=FALSE,VLOOKUP($C13,Sales!$C:$F,4,FALSE),1)</f>
        <v/>
      </c>
      <c r="Z13" s="124">
        <f>IF(Y13=0,"Release",IF(AND(L13&lt;J13,Y13=1,H13=FALSE,U13=FALSE,MONTH(L13)&amp;"/"&amp;YEAR(L13)&lt;&gt;MONTH(J13)&amp;"/"&amp;YEAR(J13)),"Release",""))</f>
        <v/>
      </c>
      <c r="AA13" s="128">
        <f>_xlfn.minifs($L:$L,$C:$C,$C13,$F:$F,"&lt;&gt;0")</f>
        <v/>
      </c>
      <c r="AB13" s="128">
        <f>C13&amp;"-"&amp;A13</f>
        <v/>
      </c>
      <c r="AC13" s="128">
        <f>L13</f>
        <v/>
      </c>
    </row>
    <row r="14">
      <c r="A14" s="124" t="inlineStr">
        <is>
          <t>ZDEB01</t>
        </is>
      </c>
      <c r="B14" s="124" t="n">
        <v>6</v>
      </c>
      <c r="C14" s="124" t="inlineStr">
        <is>
          <t>HFA105</t>
        </is>
      </c>
      <c r="D14" s="124" t="inlineStr">
        <is>
          <t>A</t>
        </is>
      </c>
      <c r="E14" s="124" t="inlineStr">
        <is>
          <t>De Beer William Henry</t>
        </is>
      </c>
      <c r="F14" s="125">
        <f>SUMIFS(Investors!$M:$M, Investors!$I:$I, "&lt;=" &amp; 'NSST Print'!$B$3, Investors!$K:$K, "&gt;" &amp; 'NSST Print'!$B$3, Investors!$A:$A, 'Investor Exit List'!A14, Investors!$E:$E, 'Investor Exit List'!C14)</f>
        <v/>
      </c>
      <c r="G14" s="126" t="n">
        <v>44352</v>
      </c>
      <c r="H14" s="124">
        <f>VLOOKUP($C14,Sales!$C:$E,2,FALSE)</f>
        <v/>
      </c>
      <c r="I14" s="124">
        <f>VLOOKUP($C14,Sales!$C:$E,3,FALSE)</f>
        <v/>
      </c>
      <c r="J14" s="126">
        <f>SUMIFS(Sales!$H:$H,Sales!$C:$C,'Investor Exit List'!$C14)</f>
        <v/>
      </c>
      <c r="K14" s="126">
        <f>IF(I14=TRUE,J14,"")</f>
        <v/>
      </c>
      <c r="L14" s="126">
        <f>G14+730</f>
        <v/>
      </c>
      <c r="M14" s="126" t="n">
        <v>45443</v>
      </c>
      <c r="N14" s="127">
        <f>IFERROR(IF(G14&lt;&gt;"",IF(I14=TRUE,0,IF(U14=TRUE,0,L14-M14)),0),0)</f>
        <v/>
      </c>
      <c r="O14" s="127">
        <f>IF(N14&gt;0,IF(N14&lt;=180,N14,0),0)</f>
        <v/>
      </c>
      <c r="P14" s="125">
        <f>IF(AND(N14&lt;90,N14&gt;0),Q14,0)</f>
        <v/>
      </c>
      <c r="Q14" s="125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25">
        <f>IF(AND(H14=TRUE,I14=FALSE),Q14,0)</f>
        <v/>
      </c>
      <c r="S14" s="125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26">
        <f>IF(U14=TRUE,$J14,"")</f>
        <v/>
      </c>
      <c r="U14" s="124" t="b">
        <v>0</v>
      </c>
      <c r="V14" s="125">
        <f>IF(AND(H14=TRUE,OR(K14="",K14&gt;M14)),S14,0)</f>
        <v/>
      </c>
      <c r="W14" s="124" t="n">
        <v>0</v>
      </c>
      <c r="X14" s="124" t="b">
        <v>0</v>
      </c>
      <c r="Y14" s="127">
        <f>IF(H14=FALSE,VLOOKUP($C14,Sales!$C:$F,4,FALSE),1)</f>
        <v/>
      </c>
      <c r="Z14" s="124">
        <f>IF(Y14=0,"Release",IF(AND(L14&lt;J14,Y14=1,H14=FALSE,U14=FALSE,MONTH(L14)&amp;"/"&amp;YEAR(L14)&lt;&gt;MONTH(J14)&amp;"/"&amp;YEAR(J14)),"Release",""))</f>
        <v/>
      </c>
      <c r="AA14" s="128">
        <f>_xlfn.minifs($L:$L,$C:$C,$C14,$F:$F,"&lt;&gt;0")</f>
        <v/>
      </c>
      <c r="AB14" s="128">
        <f>C14&amp;"-"&amp;A14</f>
        <v/>
      </c>
      <c r="AC14" s="128">
        <f>L14</f>
        <v/>
      </c>
    </row>
    <row r="15">
      <c r="A15" s="124" t="inlineStr">
        <is>
          <t>ZLAB02</t>
        </is>
      </c>
      <c r="B15" s="124" t="n">
        <v>1</v>
      </c>
      <c r="C15" s="124" t="inlineStr">
        <is>
          <t>HFA105</t>
        </is>
      </c>
      <c r="D15" s="124" t="inlineStr">
        <is>
          <t>A</t>
        </is>
      </c>
      <c r="E15" s="124" t="inlineStr">
        <is>
          <t>Labuschagne Jandre</t>
        </is>
      </c>
      <c r="F15" s="125">
        <f>SUMIFS(Investors!$M:$M, Investors!$I:$I, "&lt;=" &amp; 'NSST Print'!$B$3, Investors!$K:$K, "&gt;" &amp; 'NSST Print'!$B$3, Investors!$A:$A, 'Investor Exit List'!A15, Investors!$E:$E, 'Investor Exit List'!C15)</f>
        <v/>
      </c>
      <c r="G15" s="126" t="n">
        <v>44618</v>
      </c>
      <c r="H15" s="124">
        <f>VLOOKUP($C15,Sales!$C:$E,2,FALSE)</f>
        <v/>
      </c>
      <c r="I15" s="124">
        <f>VLOOKUP($C15,Sales!$C:$E,3,FALSE)</f>
        <v/>
      </c>
      <c r="J15" s="126">
        <f>SUMIFS(Sales!$H:$H,Sales!$C:$C,'Investor Exit List'!$C15)</f>
        <v/>
      </c>
      <c r="K15" s="126">
        <f>IF(I15=TRUE,J15,"")</f>
        <v/>
      </c>
      <c r="L15" s="126">
        <f>G15+730</f>
        <v/>
      </c>
      <c r="M15" s="126" t="n">
        <v>45443</v>
      </c>
      <c r="N15" s="127">
        <f>IFERROR(IF(G15&lt;&gt;"",IF(I15=TRUE,0,IF(U15=TRUE,0,L15-M15)),0),0)</f>
        <v/>
      </c>
      <c r="O15" s="127">
        <f>IF(N15&gt;0,IF(N15&lt;=180,N15,0),0)</f>
        <v/>
      </c>
      <c r="P15" s="125">
        <f>IF(AND(N15&lt;90,N15&gt;0),Q15,0)</f>
        <v/>
      </c>
      <c r="Q15" s="125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25">
        <f>IF(AND(H15=TRUE,I15=FALSE),Q15,0)</f>
        <v/>
      </c>
      <c r="S15" s="125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26">
        <f>IF(U15=TRUE,$J15,"")</f>
        <v/>
      </c>
      <c r="U15" s="124" t="b">
        <v>0</v>
      </c>
      <c r="V15" s="125">
        <f>IF(AND(H15=TRUE,OR(K15="",K15&gt;M15)),S15,0)</f>
        <v/>
      </c>
      <c r="W15" s="124" t="n">
        <v>0</v>
      </c>
      <c r="X15" s="124" t="b">
        <v>0</v>
      </c>
      <c r="Y15" s="127">
        <f>IF(H15=FALSE,VLOOKUP($C15,Sales!$C:$F,4,FALSE),1)</f>
        <v/>
      </c>
      <c r="Z15" s="124">
        <f>IF(Y15=0,"Release",IF(AND(L15&lt;J15,Y15=1,H15=FALSE,U15=FALSE,MONTH(L15)&amp;"/"&amp;YEAR(L15)&lt;&gt;MONTH(J15)&amp;"/"&amp;YEAR(J15)),"Release",""))</f>
        <v/>
      </c>
      <c r="AA15" s="128">
        <f>_xlfn.minifs($L:$L,$C:$C,$C15,$F:$F,"&lt;&gt;0")</f>
        <v/>
      </c>
      <c r="AB15" s="128">
        <f>C15&amp;"-"&amp;A15</f>
        <v/>
      </c>
      <c r="AC15" s="128">
        <f>L15</f>
        <v/>
      </c>
    </row>
    <row r="16">
      <c r="A16" s="124" t="inlineStr">
        <is>
          <t>ZLUN01</t>
        </is>
      </c>
      <c r="B16" s="124" t="n">
        <v>2</v>
      </c>
      <c r="C16" s="124" t="inlineStr">
        <is>
          <t>HFA105</t>
        </is>
      </c>
      <c r="D16" s="124" t="inlineStr">
        <is>
          <t>A</t>
        </is>
      </c>
      <c r="E16" s="124" t="inlineStr">
        <is>
          <t>Lunau Marc</t>
        </is>
      </c>
      <c r="F16" s="125">
        <f>SUMIFS(Investors!$M:$M, Investors!$I:$I, "&lt;=" &amp; 'NSST Print'!$B$3, Investors!$K:$K, "&gt;" &amp; 'NSST Print'!$B$3, Investors!$A:$A, 'Investor Exit List'!A16, Investors!$E:$E, 'Investor Exit List'!C16)</f>
        <v/>
      </c>
      <c r="G16" s="126" t="n">
        <v>44352</v>
      </c>
      <c r="H16" s="124">
        <f>VLOOKUP($C16,Sales!$C:$E,2,FALSE)</f>
        <v/>
      </c>
      <c r="I16" s="124">
        <f>VLOOKUP($C16,Sales!$C:$E,3,FALSE)</f>
        <v/>
      </c>
      <c r="J16" s="126">
        <f>SUMIFS(Sales!$H:$H,Sales!$C:$C,'Investor Exit List'!$C16)</f>
        <v/>
      </c>
      <c r="K16" s="126">
        <f>IF(I16=TRUE,J16,"")</f>
        <v/>
      </c>
      <c r="L16" s="126">
        <f>G16+730</f>
        <v/>
      </c>
      <c r="M16" s="126" t="n">
        <v>45443</v>
      </c>
      <c r="N16" s="127">
        <f>IFERROR(IF(G16&lt;&gt;"",IF(I16=TRUE,0,IF(U16=TRUE,0,L16-M16)),0),0)</f>
        <v/>
      </c>
      <c r="O16" s="127">
        <f>IF(N16&gt;0,IF(N16&lt;=180,N16,0),0)</f>
        <v/>
      </c>
      <c r="P16" s="125">
        <f>IF(AND(N16&lt;90,N16&gt;0),Q16,0)</f>
        <v/>
      </c>
      <c r="Q16" s="125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25">
        <f>IF(AND(H16=TRUE,I16=FALSE),Q16,0)</f>
        <v/>
      </c>
      <c r="S16" s="125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26">
        <f>IF(U16=TRUE,$J16,"")</f>
        <v/>
      </c>
      <c r="U16" s="124" t="b">
        <v>0</v>
      </c>
      <c r="V16" s="125">
        <f>IF(AND(H16=TRUE,OR(K16="",K16&gt;M16)),S16,0)</f>
        <v/>
      </c>
      <c r="W16" s="124" t="n">
        <v>0</v>
      </c>
      <c r="X16" s="124" t="b">
        <v>0</v>
      </c>
      <c r="Y16" s="127">
        <f>IF(H16=FALSE,VLOOKUP($C16,Sales!$C:$F,4,FALSE),1)</f>
        <v/>
      </c>
      <c r="Z16" s="124">
        <f>IF(Y16=0,"Release",IF(AND(L16&lt;J16,Y16=1,H16=FALSE,U16=FALSE,MONTH(L16)&amp;"/"&amp;YEAR(L16)&lt;&gt;MONTH(J16)&amp;"/"&amp;YEAR(J16)),"Release",""))</f>
        <v/>
      </c>
      <c r="AA16" s="128">
        <f>_xlfn.minifs($L:$L,$C:$C,$C16,$F:$F,"&lt;&gt;0")</f>
        <v/>
      </c>
      <c r="AB16" s="128">
        <f>C16&amp;"-"&amp;A16</f>
        <v/>
      </c>
      <c r="AC16" s="128">
        <f>L16</f>
        <v/>
      </c>
    </row>
    <row r="17">
      <c r="A17" s="124" t="inlineStr">
        <is>
          <t>ZRAN01</t>
        </is>
      </c>
      <c r="B17" s="124" t="n">
        <v>19</v>
      </c>
      <c r="C17" s="124" t="inlineStr">
        <is>
          <t>HFA105</t>
        </is>
      </c>
      <c r="D17" s="124" t="inlineStr">
        <is>
          <t>A</t>
        </is>
      </c>
      <c r="E17" s="124" t="inlineStr">
        <is>
          <t>Rankin Ross Partick Gemill</t>
        </is>
      </c>
      <c r="F17" s="125">
        <f>SUMIFS(Investors!$M:$M, Investors!$I:$I, "&lt;=" &amp; 'NSST Print'!$B$3, Investors!$K:$K, "&gt;" &amp; 'NSST Print'!$B$3, Investors!$A:$A, 'Investor Exit List'!A17, Investors!$E:$E, 'Investor Exit List'!C17)</f>
        <v/>
      </c>
      <c r="G17" s="126" t="n">
        <v>44378</v>
      </c>
      <c r="H17" s="124">
        <f>VLOOKUP($C17,Sales!$C:$E,2,FALSE)</f>
        <v/>
      </c>
      <c r="I17" s="124">
        <f>VLOOKUP($C17,Sales!$C:$E,3,FALSE)</f>
        <v/>
      </c>
      <c r="J17" s="126">
        <f>SUMIFS(Sales!$H:$H,Sales!$C:$C,'Investor Exit List'!$C17)</f>
        <v/>
      </c>
      <c r="K17" s="126">
        <f>IF(I17=TRUE,J17,"")</f>
        <v/>
      </c>
      <c r="L17" s="126">
        <f>G17+730</f>
        <v/>
      </c>
      <c r="M17" s="126" t="n">
        <v>45443</v>
      </c>
      <c r="N17" s="127">
        <f>IFERROR(IF(G17&lt;&gt;"",IF(I17=TRUE,0,IF(U17=TRUE,0,L17-M17)),0),0)</f>
        <v/>
      </c>
      <c r="O17" s="127">
        <f>IF(N17&gt;0,IF(N17&lt;=180,N17,0),0)</f>
        <v/>
      </c>
      <c r="P17" s="125">
        <f>IF(AND(N17&lt;90,N17&gt;0),Q17,0)</f>
        <v/>
      </c>
      <c r="Q17" s="125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25">
        <f>IF(AND(H17=TRUE,I17=FALSE),Q17,0)</f>
        <v/>
      </c>
      <c r="S17" s="125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26">
        <f>IF(U17=TRUE,$J17,"")</f>
        <v/>
      </c>
      <c r="U17" s="124" t="b">
        <v>0</v>
      </c>
      <c r="V17" s="125">
        <f>IF(AND(H17=TRUE,OR(K17="",K17&gt;M17)),S17,0)</f>
        <v/>
      </c>
      <c r="W17" s="124" t="n">
        <v>0</v>
      </c>
      <c r="X17" s="124" t="b">
        <v>0</v>
      </c>
      <c r="Y17" s="127">
        <f>IF(H17=FALSE,VLOOKUP($C17,Sales!$C:$F,4,FALSE),1)</f>
        <v/>
      </c>
      <c r="Z17" s="124">
        <f>IF(Y17=0,"Release",IF(AND(L17&lt;J17,Y17=1,H17=FALSE,U17=FALSE,MONTH(L17)&amp;"/"&amp;YEAR(L17)&lt;&gt;MONTH(J17)&amp;"/"&amp;YEAR(J17)),"Release",""))</f>
        <v/>
      </c>
      <c r="AA17" s="128">
        <f>_xlfn.minifs($L:$L,$C:$C,$C17,$F:$F,"&lt;&gt;0")</f>
        <v/>
      </c>
      <c r="AB17" s="128">
        <f>C17&amp;"-"&amp;A17</f>
        <v/>
      </c>
      <c r="AC17" s="128">
        <f>L17</f>
        <v/>
      </c>
    </row>
    <row r="18">
      <c r="A18" s="124" t="inlineStr">
        <is>
          <t>ZSPE01</t>
        </is>
      </c>
      <c r="B18" s="124" t="n">
        <v>3</v>
      </c>
      <c r="C18" s="124" t="inlineStr">
        <is>
          <t>HFA105</t>
        </is>
      </c>
      <c r="D18" s="124" t="inlineStr">
        <is>
          <t>A</t>
        </is>
      </c>
      <c r="E18" s="124" t="inlineStr">
        <is>
          <t>Speelman Mosiuoa Samuel</t>
        </is>
      </c>
      <c r="F18" s="125">
        <f>SUMIFS(Investors!$M:$M, Investors!$I:$I, "&lt;=" &amp; 'NSST Print'!$B$3, Investors!$K:$K, "&gt;" &amp; 'NSST Print'!$B$3, Investors!$A:$A, 'Investor Exit List'!A18, Investors!$E:$E, 'Investor Exit List'!C18)</f>
        <v/>
      </c>
      <c r="G18" s="126" t="n">
        <v>44378</v>
      </c>
      <c r="H18" s="124">
        <f>VLOOKUP($C18,Sales!$C:$E,2,FALSE)</f>
        <v/>
      </c>
      <c r="I18" s="124">
        <f>VLOOKUP($C18,Sales!$C:$E,3,FALSE)</f>
        <v/>
      </c>
      <c r="J18" s="126">
        <f>SUMIFS(Sales!$H:$H,Sales!$C:$C,'Investor Exit List'!$C18)</f>
        <v/>
      </c>
      <c r="K18" s="126">
        <f>IF(I18=TRUE,J18,"")</f>
        <v/>
      </c>
      <c r="L18" s="126">
        <f>G18+730</f>
        <v/>
      </c>
      <c r="M18" s="126" t="n">
        <v>45443</v>
      </c>
      <c r="N18" s="127">
        <f>IFERROR(IF(G18&lt;&gt;"",IF(I18=TRUE,0,IF(U18=TRUE,0,L18-M18)),0),0)</f>
        <v/>
      </c>
      <c r="O18" s="127">
        <f>IF(N18&gt;0,IF(N18&lt;=180,N18,0),0)</f>
        <v/>
      </c>
      <c r="P18" s="125">
        <f>IF(AND(N18&lt;90,N18&gt;0),Q18,0)</f>
        <v/>
      </c>
      <c r="Q18" s="125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25">
        <f>IF(AND(H18=TRUE,I18=FALSE),Q18,0)</f>
        <v/>
      </c>
      <c r="S18" s="125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26">
        <f>IF(U18=TRUE,$J18,"")</f>
        <v/>
      </c>
      <c r="U18" s="124" t="b">
        <v>0</v>
      </c>
      <c r="V18" s="125">
        <f>IF(AND(H18=TRUE,OR(K18="",K18&gt;M18)),S18,0)</f>
        <v/>
      </c>
      <c r="W18" s="124" t="n">
        <v>0</v>
      </c>
      <c r="X18" s="124" t="b">
        <v>0</v>
      </c>
      <c r="Y18" s="127">
        <f>IF(H18=FALSE,VLOOKUP($C18,Sales!$C:$F,4,FALSE),1)</f>
        <v/>
      </c>
      <c r="Z18" s="124">
        <f>IF(Y18=0,"Release",IF(AND(L18&lt;J18,Y18=1,H18=FALSE,U18=FALSE,MONTH(L18)&amp;"/"&amp;YEAR(L18)&lt;&gt;MONTH(J18)&amp;"/"&amp;YEAR(J18)),"Release",""))</f>
        <v/>
      </c>
      <c r="AA18" s="128">
        <f>_xlfn.minifs($L:$L,$C:$C,$C18,$F:$F,"&lt;&gt;0")</f>
        <v/>
      </c>
      <c r="AB18" s="128">
        <f>C18&amp;"-"&amp;A18</f>
        <v/>
      </c>
      <c r="AC18" s="128">
        <f>L18</f>
        <v/>
      </c>
    </row>
    <row r="19">
      <c r="A19" s="124" t="inlineStr">
        <is>
          <t>ZCOL01</t>
        </is>
      </c>
      <c r="B19" s="124" t="n">
        <v>2</v>
      </c>
      <c r="C19" s="124" t="inlineStr">
        <is>
          <t>HFA106</t>
        </is>
      </c>
      <c r="D19" s="124" t="inlineStr">
        <is>
          <t>A</t>
        </is>
      </c>
      <c r="E19" s="124" t="inlineStr">
        <is>
          <t>Collins Christine</t>
        </is>
      </c>
      <c r="F19" s="125">
        <f>SUMIFS(Investors!$M:$M, Investors!$I:$I, "&lt;=" &amp; 'NSST Print'!$B$3, Investors!$K:$K, "&gt;" &amp; 'NSST Print'!$B$3, Investors!$A:$A, 'Investor Exit List'!A19, Investors!$E:$E, 'Investor Exit List'!C19)</f>
        <v/>
      </c>
      <c r="G19" s="126" t="n">
        <v>44352</v>
      </c>
      <c r="H19" s="124">
        <f>VLOOKUP($C19,Sales!$C:$E,2,FALSE)</f>
        <v/>
      </c>
      <c r="I19" s="124">
        <f>VLOOKUP($C19,Sales!$C:$E,3,FALSE)</f>
        <v/>
      </c>
      <c r="J19" s="126">
        <f>SUMIFS(Sales!$H:$H,Sales!$C:$C,'Investor Exit List'!$C19)</f>
        <v/>
      </c>
      <c r="K19" s="126">
        <f>IF(I19=TRUE,J19,"")</f>
        <v/>
      </c>
      <c r="L19" s="126">
        <f>G19+730</f>
        <v/>
      </c>
      <c r="M19" s="126" t="n">
        <v>45443</v>
      </c>
      <c r="N19" s="127">
        <f>IFERROR(IF(G19&lt;&gt;"",IF(I19=TRUE,0,IF(U19=TRUE,0,L19-M19)),0),0)</f>
        <v/>
      </c>
      <c r="O19" s="127">
        <f>IF(N19&gt;0,IF(N19&lt;=180,N19,0),0)</f>
        <v/>
      </c>
      <c r="P19" s="125">
        <f>IF(AND(N19&lt;90,N19&gt;0),Q19,0)</f>
        <v/>
      </c>
      <c r="Q19" s="125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25">
        <f>IF(AND(H19=TRUE,I19=FALSE),Q19,0)</f>
        <v/>
      </c>
      <c r="S19" s="125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26">
        <f>IF(U19=TRUE,$J19,"")</f>
        <v/>
      </c>
      <c r="U19" s="124" t="b">
        <v>0</v>
      </c>
      <c r="V19" s="125">
        <f>IF(AND(H19=TRUE,OR(K19="",K19&gt;M19)),S19,0)</f>
        <v/>
      </c>
      <c r="W19" s="124" t="n">
        <v>0</v>
      </c>
      <c r="X19" s="124" t="b">
        <v>0</v>
      </c>
      <c r="Y19" s="127">
        <f>IF(H19=FALSE,VLOOKUP($C19,Sales!$C:$F,4,FALSE),1)</f>
        <v/>
      </c>
      <c r="Z19" s="124">
        <f>IF(Y19=0,"Release",IF(AND(L19&lt;J19,Y19=1,H19=FALSE,U19=FALSE,MONTH(L19)&amp;"/"&amp;YEAR(L19)&lt;&gt;MONTH(J19)&amp;"/"&amp;YEAR(J19)),"Release",""))</f>
        <v/>
      </c>
      <c r="AA19" s="128">
        <f>_xlfn.minifs($L:$L,$C:$C,$C19,$F:$F,"&lt;&gt;0")</f>
        <v/>
      </c>
      <c r="AB19" s="128">
        <f>C19&amp;"-"&amp;A19</f>
        <v/>
      </c>
      <c r="AC19" s="128">
        <f>L19</f>
        <v/>
      </c>
    </row>
    <row r="20">
      <c r="A20" s="124" t="inlineStr">
        <is>
          <t>ZCOL01</t>
        </is>
      </c>
      <c r="B20" s="124" t="n">
        <v>3</v>
      </c>
      <c r="C20" s="124" t="inlineStr">
        <is>
          <t>HFA106</t>
        </is>
      </c>
      <c r="D20" s="124" t="inlineStr">
        <is>
          <t>A</t>
        </is>
      </c>
      <c r="E20" s="124" t="inlineStr">
        <is>
          <t>Collins Christine</t>
        </is>
      </c>
      <c r="F20" s="125">
        <f>SUMIFS(Investors!$M:$M, Investors!$I:$I, "&lt;=" &amp; 'NSST Print'!$B$3, Investors!$K:$K, "&gt;" &amp; 'NSST Print'!$B$3, Investors!$A:$A, 'Investor Exit List'!A20, Investors!$E:$E, 'Investor Exit List'!C20)</f>
        <v/>
      </c>
      <c r="G20" s="126" t="n">
        <v>44352</v>
      </c>
      <c r="H20" s="124">
        <f>VLOOKUP($C20,Sales!$C:$E,2,FALSE)</f>
        <v/>
      </c>
      <c r="I20" s="124">
        <f>VLOOKUP($C20,Sales!$C:$E,3,FALSE)</f>
        <v/>
      </c>
      <c r="J20" s="126">
        <f>SUMIFS(Sales!$H:$H,Sales!$C:$C,'Investor Exit List'!$C20)</f>
        <v/>
      </c>
      <c r="K20" s="126">
        <f>IF(I20=TRUE,J20,"")</f>
        <v/>
      </c>
      <c r="L20" s="126">
        <f>G20+730</f>
        <v/>
      </c>
      <c r="M20" s="126" t="n">
        <v>45443</v>
      </c>
      <c r="N20" s="127">
        <f>IFERROR(IF(G20&lt;&gt;"",IF(I20=TRUE,0,IF(U20=TRUE,0,L20-M20)),0),0)</f>
        <v/>
      </c>
      <c r="O20" s="127">
        <f>IF(N20&gt;0,IF(N20&lt;=180,N20,0),0)</f>
        <v/>
      </c>
      <c r="P20" s="125">
        <f>IF(AND(N20&lt;90,N20&gt;0),Q20,0)</f>
        <v/>
      </c>
      <c r="Q20" s="125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25">
        <f>IF(AND(H20=TRUE,I20=FALSE),Q20,0)</f>
        <v/>
      </c>
      <c r="S20" s="125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26">
        <f>IF(U20=TRUE,$J20,"")</f>
        <v/>
      </c>
      <c r="U20" s="124" t="b">
        <v>0</v>
      </c>
      <c r="V20" s="125">
        <f>IF(AND(H20=TRUE,OR(K20="",K20&gt;M20)),S20,0)</f>
        <v/>
      </c>
      <c r="W20" s="124" t="n">
        <v>0</v>
      </c>
      <c r="X20" s="124" t="b">
        <v>0</v>
      </c>
      <c r="Y20" s="127">
        <f>IF(H20=FALSE,VLOOKUP($C20,Sales!$C:$F,4,FALSE),1)</f>
        <v/>
      </c>
      <c r="Z20" s="124">
        <f>IF(Y20=0,"Release",IF(AND(L20&lt;J20,Y20=1,H20=FALSE,U20=FALSE,MONTH(L20)&amp;"/"&amp;YEAR(L20)&lt;&gt;MONTH(J20)&amp;"/"&amp;YEAR(J20)),"Release",""))</f>
        <v/>
      </c>
      <c r="AA20" s="128">
        <f>_xlfn.minifs($L:$L,$C:$C,$C20,$F:$F,"&lt;&gt;0")</f>
        <v/>
      </c>
      <c r="AB20" s="128">
        <f>C20&amp;"-"&amp;A20</f>
        <v/>
      </c>
      <c r="AC20" s="128">
        <f>L20</f>
        <v/>
      </c>
    </row>
    <row r="21">
      <c r="A21" s="124" t="inlineStr">
        <is>
          <t>ZJOH01</t>
        </is>
      </c>
      <c r="B21" s="124" t="n">
        <v>1</v>
      </c>
      <c r="C21" s="124" t="inlineStr">
        <is>
          <t>HFA106</t>
        </is>
      </c>
      <c r="D21" s="124" t="inlineStr">
        <is>
          <t>A</t>
        </is>
      </c>
      <c r="E21" s="124" t="inlineStr">
        <is>
          <t>Johns Lisa-Marie Natalie</t>
        </is>
      </c>
      <c r="F21" s="125">
        <f>SUMIFS(Investors!$M:$M, Investors!$I:$I, "&lt;=" &amp; 'NSST Print'!$B$3, Investors!$K:$K, "&gt;" &amp; 'NSST Print'!$B$3, Investors!$A:$A, 'Investor Exit List'!A21, Investors!$E:$E, 'Investor Exit List'!C21)</f>
        <v/>
      </c>
      <c r="G21" s="126" t="n">
        <v>44316</v>
      </c>
      <c r="H21" s="124">
        <f>VLOOKUP($C21,Sales!$C:$E,2,FALSE)</f>
        <v/>
      </c>
      <c r="I21" s="124">
        <f>VLOOKUP($C21,Sales!$C:$E,3,FALSE)</f>
        <v/>
      </c>
      <c r="J21" s="126">
        <f>SUMIFS(Sales!$H:$H,Sales!$C:$C,'Investor Exit List'!$C21)</f>
        <v/>
      </c>
      <c r="K21" s="126">
        <f>IF(I21=TRUE,J21,"")</f>
        <v/>
      </c>
      <c r="L21" s="126">
        <f>G21+730</f>
        <v/>
      </c>
      <c r="M21" s="126" t="n">
        <v>45443</v>
      </c>
      <c r="N21" s="127">
        <f>IFERROR(IF(G21&lt;&gt;"",IF(I21=TRUE,0,IF(U21=TRUE,0,L21-M21)),0),0)</f>
        <v/>
      </c>
      <c r="O21" s="127">
        <f>IF(N21&gt;0,IF(N21&lt;=180,N21,0),0)</f>
        <v/>
      </c>
      <c r="P21" s="125">
        <f>IF(AND(N21&lt;90,N21&gt;0),Q21,0)</f>
        <v/>
      </c>
      <c r="Q21" s="125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25">
        <f>IF(AND(H21=TRUE,I21=FALSE),Q21,0)</f>
        <v/>
      </c>
      <c r="S21" s="125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26">
        <f>IF(U21=TRUE,$J21,"")</f>
        <v/>
      </c>
      <c r="U21" s="124" t="b">
        <v>0</v>
      </c>
      <c r="V21" s="125">
        <f>IF(AND(H21=TRUE,OR(K21="",K21&gt;M21)),S21,0)</f>
        <v/>
      </c>
      <c r="W21" s="124" t="n">
        <v>0</v>
      </c>
      <c r="X21" s="124" t="b">
        <v>0</v>
      </c>
      <c r="Y21" s="127">
        <f>IF(H21=FALSE,VLOOKUP($C21,Sales!$C:$F,4,FALSE),1)</f>
        <v/>
      </c>
      <c r="Z21" s="124">
        <f>IF(Y21=0,"Release",IF(AND(L21&lt;J21,Y21=1,H21=FALSE,U21=FALSE,MONTH(L21)&amp;"/"&amp;YEAR(L21)&lt;&gt;MONTH(J21)&amp;"/"&amp;YEAR(J21)),"Release",""))</f>
        <v/>
      </c>
      <c r="AA21" s="128">
        <f>_xlfn.minifs($L:$L,$C:$C,$C21,$F:$F,"&lt;&gt;0")</f>
        <v/>
      </c>
      <c r="AB21" s="128">
        <f>C21&amp;"-"&amp;A21</f>
        <v/>
      </c>
      <c r="AC21" s="128">
        <f>L21</f>
        <v/>
      </c>
    </row>
    <row r="22">
      <c r="A22" s="124" t="inlineStr">
        <is>
          <t>ZLOU01</t>
        </is>
      </c>
      <c r="B22" s="124" t="n">
        <v>1</v>
      </c>
      <c r="C22" s="124" t="inlineStr">
        <is>
          <t>HFA106</t>
        </is>
      </c>
      <c r="D22" s="124" t="inlineStr">
        <is>
          <t>A</t>
        </is>
      </c>
      <c r="E22" s="124" t="inlineStr">
        <is>
          <t>Louw Ricardo Brandon</t>
        </is>
      </c>
      <c r="F22" s="125">
        <f>SUMIFS(Investors!$M:$M, Investors!$I:$I, "&lt;=" &amp; 'NSST Print'!$B$3, Investors!$K:$K, "&gt;" &amp; 'NSST Print'!$B$3, Investors!$A:$A, 'Investor Exit List'!A22, Investors!$E:$E, 'Investor Exit List'!C22)</f>
        <v/>
      </c>
      <c r="G22" s="126" t="n">
        <v>44352</v>
      </c>
      <c r="H22" s="124">
        <f>VLOOKUP($C22,Sales!$C:$E,2,FALSE)</f>
        <v/>
      </c>
      <c r="I22" s="124">
        <f>VLOOKUP($C22,Sales!$C:$E,3,FALSE)</f>
        <v/>
      </c>
      <c r="J22" s="126">
        <f>SUMIFS(Sales!$H:$H,Sales!$C:$C,'Investor Exit List'!$C22)</f>
        <v/>
      </c>
      <c r="K22" s="126">
        <f>IF(I22=TRUE,J22,"")</f>
        <v/>
      </c>
      <c r="L22" s="126">
        <f>G22+730</f>
        <v/>
      </c>
      <c r="M22" s="126" t="n">
        <v>45443</v>
      </c>
      <c r="N22" s="127">
        <f>IFERROR(IF(G22&lt;&gt;"",IF(I22=TRUE,0,IF(U22=TRUE,0,L22-M22)),0),0)</f>
        <v/>
      </c>
      <c r="O22" s="127">
        <f>IF(N22&gt;0,IF(N22&lt;=180,N22,0),0)</f>
        <v/>
      </c>
      <c r="P22" s="125">
        <f>IF(AND(N22&lt;90,N22&gt;0),Q22,0)</f>
        <v/>
      </c>
      <c r="Q22" s="125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25">
        <f>IF(AND(H22=TRUE,I22=FALSE),Q22,0)</f>
        <v/>
      </c>
      <c r="S22" s="125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26">
        <f>IF(U22=TRUE,$J22,"")</f>
        <v/>
      </c>
      <c r="U22" s="124" t="b">
        <v>0</v>
      </c>
      <c r="V22" s="125">
        <f>IF(AND(H22=TRUE,OR(K22="",K22&gt;M22)),S22,0)</f>
        <v/>
      </c>
      <c r="W22" s="124" t="n">
        <v>0</v>
      </c>
      <c r="X22" s="124" t="b">
        <v>0</v>
      </c>
      <c r="Y22" s="127">
        <f>IF(H22=FALSE,VLOOKUP($C22,Sales!$C:$F,4,FALSE),1)</f>
        <v/>
      </c>
      <c r="Z22" s="124">
        <f>IF(Y22=0,"Release",IF(AND(L22&lt;J22,Y22=1,H22=FALSE,U22=FALSE,MONTH(L22)&amp;"/"&amp;YEAR(L22)&lt;&gt;MONTH(J22)&amp;"/"&amp;YEAR(J22)),"Release",""))</f>
        <v/>
      </c>
      <c r="AA22" s="128">
        <f>_xlfn.minifs($L:$L,$C:$C,$C22,$F:$F,"&lt;&gt;0")</f>
        <v/>
      </c>
      <c r="AB22" s="128">
        <f>C22&amp;"-"&amp;A22</f>
        <v/>
      </c>
      <c r="AC22" s="128">
        <f>L22</f>
        <v/>
      </c>
    </row>
    <row r="23">
      <c r="A23" s="124" t="inlineStr">
        <is>
          <t>ZVZY01</t>
        </is>
      </c>
      <c r="B23" s="124" t="n">
        <v>1</v>
      </c>
      <c r="C23" s="124" t="inlineStr">
        <is>
          <t>HFA106</t>
        </is>
      </c>
      <c r="D23" s="124" t="inlineStr">
        <is>
          <t>A</t>
        </is>
      </c>
      <c r="E23" s="124" t="inlineStr">
        <is>
          <t>van Zyl Jacques Petrus</t>
        </is>
      </c>
      <c r="F23" s="125">
        <f>SUMIFS(Investors!$M:$M, Investors!$I:$I, "&lt;=" &amp; 'NSST Print'!$B$3, Investors!$K:$K, "&gt;" &amp; 'NSST Print'!$B$3, Investors!$A:$A, 'Investor Exit List'!A23, Investors!$E:$E, 'Investor Exit List'!C23)</f>
        <v/>
      </c>
      <c r="G23" s="126" t="n">
        <v>44352</v>
      </c>
      <c r="H23" s="124">
        <f>VLOOKUP($C23,Sales!$C:$E,2,FALSE)</f>
        <v/>
      </c>
      <c r="I23" s="124">
        <f>VLOOKUP($C23,Sales!$C:$E,3,FALSE)</f>
        <v/>
      </c>
      <c r="J23" s="126">
        <f>SUMIFS(Sales!$H:$H,Sales!$C:$C,'Investor Exit List'!$C23)</f>
        <v/>
      </c>
      <c r="K23" s="126">
        <f>IF(I23=TRUE,J23,"")</f>
        <v/>
      </c>
      <c r="L23" s="126">
        <f>G23+730</f>
        <v/>
      </c>
      <c r="M23" s="126" t="n">
        <v>45443</v>
      </c>
      <c r="N23" s="127">
        <f>IFERROR(IF(G23&lt;&gt;"",IF(I23=TRUE,0,IF(U23=TRUE,0,L23-M23)),0),0)</f>
        <v/>
      </c>
      <c r="O23" s="127">
        <f>IF(N23&gt;0,IF(N23&lt;=180,N23,0),0)</f>
        <v/>
      </c>
      <c r="P23" s="125">
        <f>IF(AND(N23&lt;90,N23&gt;0),Q23,0)</f>
        <v/>
      </c>
      <c r="Q23" s="125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25">
        <f>IF(AND(H23=TRUE,I23=FALSE),Q23,0)</f>
        <v/>
      </c>
      <c r="S23" s="125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26">
        <f>IF(U23=TRUE,$J23,"")</f>
        <v/>
      </c>
      <c r="U23" s="124" t="b">
        <v>0</v>
      </c>
      <c r="V23" s="125">
        <f>IF(AND(H23=TRUE,OR(K23="",K23&gt;M23)),S23,0)</f>
        <v/>
      </c>
      <c r="W23" s="124" t="n">
        <v>0</v>
      </c>
      <c r="X23" s="124" t="b">
        <v>0</v>
      </c>
      <c r="Y23" s="127">
        <f>IF(H23=FALSE,VLOOKUP($C23,Sales!$C:$F,4,FALSE),1)</f>
        <v/>
      </c>
      <c r="Z23" s="124">
        <f>IF(Y23=0,"Release",IF(AND(L23&lt;J23,Y23=1,H23=FALSE,U23=FALSE,MONTH(L23)&amp;"/"&amp;YEAR(L23)&lt;&gt;MONTH(J23)&amp;"/"&amp;YEAR(J23)),"Release",""))</f>
        <v/>
      </c>
      <c r="AA23" s="128">
        <f>_xlfn.minifs($L:$L,$C:$C,$C23,$F:$F,"&lt;&gt;0")</f>
        <v/>
      </c>
      <c r="AB23" s="128">
        <f>C23&amp;"-"&amp;A23</f>
        <v/>
      </c>
      <c r="AC23" s="128">
        <f>L23</f>
        <v/>
      </c>
    </row>
    <row r="24">
      <c r="A24" s="124" t="inlineStr">
        <is>
          <t>ZDAD01</t>
        </is>
      </c>
      <c r="B24" s="124" t="n">
        <v>1</v>
      </c>
      <c r="C24" s="124" t="inlineStr">
        <is>
          <t>HFA201</t>
        </is>
      </c>
      <c r="D24" s="124" t="inlineStr">
        <is>
          <t>A</t>
        </is>
      </c>
      <c r="E24" s="124" t="inlineStr">
        <is>
          <t>Dadoo Feroz</t>
        </is>
      </c>
      <c r="F24" s="125">
        <f>SUMIFS(Investors!$M:$M, Investors!$I:$I, "&lt;=" &amp; 'NSST Print'!$B$3, Investors!$K:$K, "&gt;" &amp; 'NSST Print'!$B$3, Investors!$A:$A, 'Investor Exit List'!A24, Investors!$E:$E, 'Investor Exit List'!C24)</f>
        <v/>
      </c>
      <c r="G24" s="126" t="n">
        <v>44352</v>
      </c>
      <c r="H24" s="124">
        <f>VLOOKUP($C24,Sales!$C:$E,2,FALSE)</f>
        <v/>
      </c>
      <c r="I24" s="124">
        <f>VLOOKUP($C24,Sales!$C:$E,3,FALSE)</f>
        <v/>
      </c>
      <c r="J24" s="126">
        <f>SUMIFS(Sales!$H:$H,Sales!$C:$C,'Investor Exit List'!$C24)</f>
        <v/>
      </c>
      <c r="K24" s="126">
        <f>IF(I24=TRUE,J24,"")</f>
        <v/>
      </c>
      <c r="L24" s="126">
        <f>G24+730</f>
        <v/>
      </c>
      <c r="M24" s="126" t="n">
        <v>45443</v>
      </c>
      <c r="N24" s="127">
        <f>IFERROR(IF(G24&lt;&gt;"",IF(I24=TRUE,0,IF(U24=TRUE,0,L24-M24)),0),0)</f>
        <v/>
      </c>
      <c r="O24" s="127">
        <f>IF(N24&gt;0,IF(N24&lt;=180,N24,0),0)</f>
        <v/>
      </c>
      <c r="P24" s="125">
        <f>IF(AND(N24&lt;90,N24&gt;0),Q24,0)</f>
        <v/>
      </c>
      <c r="Q24" s="125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25">
        <f>IF(AND(H24=TRUE,I24=FALSE),Q24,0)</f>
        <v/>
      </c>
      <c r="S24" s="125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26">
        <f>IF(U24=TRUE,$J24,"")</f>
        <v/>
      </c>
      <c r="U24" s="124" t="b">
        <v>0</v>
      </c>
      <c r="V24" s="125">
        <f>IF(AND(H24=TRUE,OR(K24="",K24&gt;M24)),S24,0)</f>
        <v/>
      </c>
      <c r="W24" s="124" t="n">
        <v>0</v>
      </c>
      <c r="X24" s="124" t="b">
        <v>0</v>
      </c>
      <c r="Y24" s="127">
        <f>IF(H24=FALSE,VLOOKUP($C24,Sales!$C:$F,4,FALSE),1)</f>
        <v/>
      </c>
      <c r="Z24" s="124">
        <f>IF(Y24=0,"Release",IF(AND(L24&lt;J24,Y24=1,H24=FALSE,U24=FALSE,MONTH(L24)&amp;"/"&amp;YEAR(L24)&lt;&gt;MONTH(J24)&amp;"/"&amp;YEAR(J24)),"Release",""))</f>
        <v/>
      </c>
      <c r="AA24" s="128">
        <f>_xlfn.minifs($L:$L,$C:$C,$C24,$F:$F,"&lt;&gt;0")</f>
        <v/>
      </c>
      <c r="AB24" s="128">
        <f>C24&amp;"-"&amp;A24</f>
        <v/>
      </c>
      <c r="AC24" s="128">
        <f>L24</f>
        <v/>
      </c>
    </row>
    <row r="25">
      <c r="A25" s="124" t="inlineStr">
        <is>
          <t>ZDAM01</t>
        </is>
      </c>
      <c r="B25" s="124" t="n">
        <v>2</v>
      </c>
      <c r="C25" s="124" t="inlineStr">
        <is>
          <t>HFA201</t>
        </is>
      </c>
      <c r="D25" s="124" t="inlineStr">
        <is>
          <t>A</t>
        </is>
      </c>
      <c r="E25" s="124" t="inlineStr">
        <is>
          <t>Damane Lisbeth</t>
        </is>
      </c>
      <c r="F25" s="125">
        <f>SUMIFS(Investors!$M:$M, Investors!$I:$I, "&lt;=" &amp; 'NSST Print'!$B$3, Investors!$K:$K, "&gt;" &amp; 'NSST Print'!$B$3, Investors!$A:$A, 'Investor Exit List'!A25, Investors!$E:$E, 'Investor Exit List'!C25)</f>
        <v/>
      </c>
      <c r="G25" s="126" t="n">
        <v>44316</v>
      </c>
      <c r="H25" s="124">
        <f>VLOOKUP($C25,Sales!$C:$E,2,FALSE)</f>
        <v/>
      </c>
      <c r="I25" s="124">
        <f>VLOOKUP($C25,Sales!$C:$E,3,FALSE)</f>
        <v/>
      </c>
      <c r="J25" s="126">
        <f>SUMIFS(Sales!$H:$H,Sales!$C:$C,'Investor Exit List'!$C25)</f>
        <v/>
      </c>
      <c r="K25" s="126">
        <f>IF(I25=TRUE,J25,"")</f>
        <v/>
      </c>
      <c r="L25" s="126">
        <f>G25+730</f>
        <v/>
      </c>
      <c r="M25" s="126" t="n">
        <v>45443</v>
      </c>
      <c r="N25" s="127">
        <f>IFERROR(IF(G25&lt;&gt;"",IF(I25=TRUE,0,IF(U25=TRUE,0,L25-M25)),0),0)</f>
        <v/>
      </c>
      <c r="O25" s="127">
        <f>IF(N25&gt;0,IF(N25&lt;=180,N25,0),0)</f>
        <v/>
      </c>
      <c r="P25" s="125">
        <f>IF(AND(N25&lt;90,N25&gt;0),Q25,0)</f>
        <v/>
      </c>
      <c r="Q25" s="125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25">
        <f>IF(AND(H25=TRUE,I25=FALSE),Q25,0)</f>
        <v/>
      </c>
      <c r="S25" s="125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26">
        <f>IF(U25=TRUE,$J25,"")</f>
        <v/>
      </c>
      <c r="U25" s="124" t="b">
        <v>0</v>
      </c>
      <c r="V25" s="125">
        <f>IF(AND(H25=TRUE,OR(K25="",K25&gt;M25)),S25,0)</f>
        <v/>
      </c>
      <c r="W25" s="124" t="n">
        <v>0</v>
      </c>
      <c r="X25" s="124" t="b">
        <v>0</v>
      </c>
      <c r="Y25" s="127">
        <f>IF(H25=FALSE,VLOOKUP($C25,Sales!$C:$F,4,FALSE),1)</f>
        <v/>
      </c>
      <c r="Z25" s="124">
        <f>IF(Y25=0,"Release",IF(AND(L25&lt;J25,Y25=1,H25=FALSE,U25=FALSE,MONTH(L25)&amp;"/"&amp;YEAR(L25)&lt;&gt;MONTH(J25)&amp;"/"&amp;YEAR(J25)),"Release",""))</f>
        <v/>
      </c>
      <c r="AA25" s="128">
        <f>_xlfn.minifs($L:$L,$C:$C,$C25,$F:$F,"&lt;&gt;0")</f>
        <v/>
      </c>
      <c r="AB25" s="128">
        <f>C25&amp;"-"&amp;A25</f>
        <v/>
      </c>
      <c r="AC25" s="128">
        <f>L25</f>
        <v/>
      </c>
    </row>
    <row r="26">
      <c r="A26" s="124" t="inlineStr">
        <is>
          <t>ZBEL01</t>
        </is>
      </c>
      <c r="B26" s="124" t="n">
        <v>2</v>
      </c>
      <c r="C26" s="124" t="inlineStr">
        <is>
          <t>HFA202</t>
        </is>
      </c>
      <c r="D26" s="124" t="inlineStr">
        <is>
          <t>A</t>
        </is>
      </c>
      <c r="E26" s="124" t="inlineStr">
        <is>
          <t>Belford Helen Constance</t>
        </is>
      </c>
      <c r="F26" s="125">
        <f>SUMIFS(Investors!$M:$M, Investors!$I:$I, "&lt;=" &amp; 'NSST Print'!$B$3, Investors!$K:$K, "&gt;" &amp; 'NSST Print'!$B$3, Investors!$A:$A, 'Investor Exit List'!A26, Investors!$E:$E, 'Investor Exit List'!C26)</f>
        <v/>
      </c>
      <c r="G26" s="126" t="n">
        <v>44316</v>
      </c>
      <c r="H26" s="124">
        <f>VLOOKUP($C26,Sales!$C:$E,2,FALSE)</f>
        <v/>
      </c>
      <c r="I26" s="124">
        <f>VLOOKUP($C26,Sales!$C:$E,3,FALSE)</f>
        <v/>
      </c>
      <c r="J26" s="126">
        <f>SUMIFS(Sales!$H:$H,Sales!$C:$C,'Investor Exit List'!$C26)</f>
        <v/>
      </c>
      <c r="K26" s="126">
        <f>IF(I26=TRUE,J26,"")</f>
        <v/>
      </c>
      <c r="L26" s="126">
        <f>G26+730</f>
        <v/>
      </c>
      <c r="M26" s="126" t="n">
        <v>45443</v>
      </c>
      <c r="N26" s="127">
        <f>IFERROR(IF(G26&lt;&gt;"",IF(I26=TRUE,0,IF(U26=TRUE,0,L26-M26)),0),0)</f>
        <v/>
      </c>
      <c r="O26" s="127">
        <f>IF(N26&gt;0,IF(N26&lt;=180,N26,0),0)</f>
        <v/>
      </c>
      <c r="P26" s="125">
        <f>IF(AND(N26&lt;90,N26&gt;0),Q26,0)</f>
        <v/>
      </c>
      <c r="Q26" s="125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25">
        <f>IF(AND(H26=TRUE,I26=FALSE),Q26,0)</f>
        <v/>
      </c>
      <c r="S26" s="125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26">
        <f>IF(U26=TRUE,$J26,"")</f>
        <v/>
      </c>
      <c r="U26" s="124" t="b">
        <v>1</v>
      </c>
      <c r="V26" s="125">
        <f>IF(AND(H26=TRUE,OR(K26="",K26&gt;M26)),S26,0)</f>
        <v/>
      </c>
      <c r="W26" s="124" t="n">
        <v>0</v>
      </c>
      <c r="X26" s="124" t="b">
        <v>0</v>
      </c>
      <c r="Y26" s="127">
        <f>IF(H26=FALSE,VLOOKUP($C26,Sales!$C:$F,4,FALSE),1)</f>
        <v/>
      </c>
      <c r="Z26" s="124">
        <f>IF(Y26=0,"Release",IF(AND(L26&lt;J26,Y26=1,H26=FALSE,U26=FALSE,MONTH(L26)&amp;"/"&amp;YEAR(L26)&lt;&gt;MONTH(J26)&amp;"/"&amp;YEAR(J26)),"Release",""))</f>
        <v/>
      </c>
      <c r="AA26" s="128">
        <f>_xlfn.minifs($L:$L,$C:$C,$C26,$F:$F,"&lt;&gt;0")</f>
        <v/>
      </c>
      <c r="AB26" s="128">
        <f>C26&amp;"-"&amp;A26</f>
        <v/>
      </c>
      <c r="AC26" s="128">
        <f>L26</f>
        <v/>
      </c>
    </row>
    <row r="27">
      <c r="A27" s="124" t="inlineStr">
        <is>
          <t>ZHUN01</t>
        </is>
      </c>
      <c r="B27" s="124" t="n">
        <v>2</v>
      </c>
      <c r="C27" s="124" t="inlineStr">
        <is>
          <t>HFA202</t>
        </is>
      </c>
      <c r="D27" s="124" t="inlineStr">
        <is>
          <t>A</t>
        </is>
      </c>
      <c r="E27" s="124" t="inlineStr">
        <is>
          <t>Hunter Lance</t>
        </is>
      </c>
      <c r="F27" s="125">
        <f>SUMIFS(Investors!$M:$M, Investors!$I:$I, "&lt;=" &amp; 'NSST Print'!$B$3, Investors!$K:$K, "&gt;" &amp; 'NSST Print'!$B$3, Investors!$A:$A, 'Investor Exit List'!A27, Investors!$E:$E, 'Investor Exit List'!C27)</f>
        <v/>
      </c>
      <c r="G27" s="126" t="n">
        <v>44316</v>
      </c>
      <c r="H27" s="124">
        <f>VLOOKUP($C27,Sales!$C:$E,2,FALSE)</f>
        <v/>
      </c>
      <c r="I27" s="124">
        <f>VLOOKUP($C27,Sales!$C:$E,3,FALSE)</f>
        <v/>
      </c>
      <c r="J27" s="126">
        <f>SUMIFS(Sales!$H:$H,Sales!$C:$C,'Investor Exit List'!$C27)</f>
        <v/>
      </c>
      <c r="K27" s="126">
        <f>IF(I27=TRUE,J27,"")</f>
        <v/>
      </c>
      <c r="L27" s="126">
        <f>G27+730</f>
        <v/>
      </c>
      <c r="M27" s="126" t="n">
        <v>45443</v>
      </c>
      <c r="N27" s="127">
        <f>IFERROR(IF(G27&lt;&gt;"",IF(I27=TRUE,0,IF(U27=TRUE,0,L27-M27)),0),0)</f>
        <v/>
      </c>
      <c r="O27" s="127">
        <f>IF(N27&gt;0,IF(N27&lt;=180,N27,0),0)</f>
        <v/>
      </c>
      <c r="P27" s="125">
        <f>IF(AND(N27&lt;90,N27&gt;0),Q27,0)</f>
        <v/>
      </c>
      <c r="Q27" s="125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25">
        <f>IF(AND(H27=TRUE,I27=FALSE),Q27,0)</f>
        <v/>
      </c>
      <c r="S27" s="125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26">
        <f>IF(U27=TRUE,$J27,"")</f>
        <v/>
      </c>
      <c r="U27" s="124" t="b">
        <v>1</v>
      </c>
      <c r="V27" s="125">
        <f>IF(AND(H27=TRUE,OR(K27="",K27&gt;M27)),S27,0)</f>
        <v/>
      </c>
      <c r="W27" s="124" t="n">
        <v>0</v>
      </c>
      <c r="X27" s="124" t="b">
        <v>0</v>
      </c>
      <c r="Y27" s="127">
        <f>IF(H27=FALSE,VLOOKUP($C27,Sales!$C:$F,4,FALSE),1)</f>
        <v/>
      </c>
      <c r="Z27" s="124">
        <f>IF(Y27=0,"Release",IF(AND(L27&lt;J27,Y27=1,H27=FALSE,U27=FALSE,MONTH(L27)&amp;"/"&amp;YEAR(L27)&lt;&gt;MONTH(J27)&amp;"/"&amp;YEAR(J27)),"Release",""))</f>
        <v/>
      </c>
      <c r="AA27" s="128">
        <f>_xlfn.minifs($L:$L,$C:$C,$C27,$F:$F,"&lt;&gt;0")</f>
        <v/>
      </c>
      <c r="AB27" s="128">
        <f>C27&amp;"-"&amp;A27</f>
        <v/>
      </c>
      <c r="AC27" s="128">
        <f>L27</f>
        <v/>
      </c>
    </row>
    <row r="28">
      <c r="A28" s="124" t="inlineStr">
        <is>
          <t>ZHUN01</t>
        </is>
      </c>
      <c r="B28" s="124" t="n">
        <v>3</v>
      </c>
      <c r="C28" s="124" t="inlineStr">
        <is>
          <t>HFA202</t>
        </is>
      </c>
      <c r="D28" s="124" t="inlineStr">
        <is>
          <t>A</t>
        </is>
      </c>
      <c r="E28" s="124" t="inlineStr">
        <is>
          <t>Hunter Lance</t>
        </is>
      </c>
      <c r="F28" s="125">
        <f>SUMIFS(Investors!$M:$M, Investors!$I:$I, "&lt;=" &amp; 'NSST Print'!$B$3, Investors!$K:$K, "&gt;" &amp; 'NSST Print'!$B$3, Investors!$A:$A, 'Investor Exit List'!A28, Investors!$E:$E, 'Investor Exit List'!C28)</f>
        <v/>
      </c>
      <c r="G28" s="126" t="n">
        <v>44316</v>
      </c>
      <c r="H28" s="124">
        <f>VLOOKUP($C28,Sales!$C:$E,2,FALSE)</f>
        <v/>
      </c>
      <c r="I28" s="124">
        <f>VLOOKUP($C28,Sales!$C:$E,3,FALSE)</f>
        <v/>
      </c>
      <c r="J28" s="126">
        <f>SUMIFS(Sales!$H:$H,Sales!$C:$C,'Investor Exit List'!$C28)</f>
        <v/>
      </c>
      <c r="K28" s="126">
        <f>IF(I28=TRUE,J28,"")</f>
        <v/>
      </c>
      <c r="L28" s="126">
        <f>G28+730</f>
        <v/>
      </c>
      <c r="M28" s="126" t="n">
        <v>45443</v>
      </c>
      <c r="N28" s="127">
        <f>IFERROR(IF(G28&lt;&gt;"",IF(I28=TRUE,0,IF(U28=TRUE,0,L28-M28)),0),0)</f>
        <v/>
      </c>
      <c r="O28" s="127">
        <f>IF(N28&gt;0,IF(N28&lt;=180,N28,0),0)</f>
        <v/>
      </c>
      <c r="P28" s="125">
        <f>IF(AND(N28&lt;90,N28&gt;0),Q28,0)</f>
        <v/>
      </c>
      <c r="Q28" s="125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25">
        <f>IF(AND(H28=TRUE,I28=FALSE),Q28,0)</f>
        <v/>
      </c>
      <c r="S28" s="125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26">
        <f>IF(U28=TRUE,$J28,"")</f>
        <v/>
      </c>
      <c r="U28" s="124" t="b">
        <v>1</v>
      </c>
      <c r="V28" s="125">
        <f>IF(AND(H28=TRUE,OR(K28="",K28&gt;M28)),S28,0)</f>
        <v/>
      </c>
      <c r="W28" s="124" t="n">
        <v>0</v>
      </c>
      <c r="X28" s="124" t="b">
        <v>0</v>
      </c>
      <c r="Y28" s="127">
        <f>IF(H28=FALSE,VLOOKUP($C28,Sales!$C:$F,4,FALSE),1)</f>
        <v/>
      </c>
      <c r="Z28" s="124">
        <f>IF(Y28=0,"Release",IF(AND(L28&lt;J28,Y28=1,H28=FALSE,U28=FALSE,MONTH(L28)&amp;"/"&amp;YEAR(L28)&lt;&gt;MONTH(J28)&amp;"/"&amp;YEAR(J28)),"Release",""))</f>
        <v/>
      </c>
      <c r="AA28" s="128">
        <f>_xlfn.minifs($L:$L,$C:$C,$C28,$F:$F,"&lt;&gt;0")</f>
        <v/>
      </c>
      <c r="AB28" s="128">
        <f>C28&amp;"-"&amp;A28</f>
        <v/>
      </c>
      <c r="AC28" s="128">
        <f>L28</f>
        <v/>
      </c>
    </row>
    <row r="29">
      <c r="A29" s="124" t="inlineStr">
        <is>
          <t>ZLEW01</t>
        </is>
      </c>
      <c r="B29" s="124" t="n">
        <v>4</v>
      </c>
      <c r="C29" s="124" t="inlineStr">
        <is>
          <t>HFA202</t>
        </is>
      </c>
      <c r="D29" s="124" t="inlineStr">
        <is>
          <t>A</t>
        </is>
      </c>
      <c r="E29" s="124" t="inlineStr">
        <is>
          <t>Lewis Martina Christina</t>
        </is>
      </c>
      <c r="F29" s="125">
        <f>SUMIFS(Investors!$M:$M, Investors!$I:$I, "&lt;=" &amp; 'NSST Print'!$B$3, Investors!$K:$K, "&gt;" &amp; 'NSST Print'!$B$3, Investors!$A:$A, 'Investor Exit List'!A29, Investors!$E:$E, 'Investor Exit List'!C29)</f>
        <v/>
      </c>
      <c r="G29" s="126" t="n">
        <v>44352</v>
      </c>
      <c r="H29" s="124">
        <f>VLOOKUP($C29,Sales!$C:$E,2,FALSE)</f>
        <v/>
      </c>
      <c r="I29" s="124">
        <f>VLOOKUP($C29,Sales!$C:$E,3,FALSE)</f>
        <v/>
      </c>
      <c r="J29" s="126">
        <f>SUMIFS(Sales!$H:$H,Sales!$C:$C,'Investor Exit List'!$C29)</f>
        <v/>
      </c>
      <c r="K29" s="126">
        <f>IF(I29=TRUE,J29,"")</f>
        <v/>
      </c>
      <c r="L29" s="126">
        <f>G29+730</f>
        <v/>
      </c>
      <c r="M29" s="126" t="n">
        <v>45443</v>
      </c>
      <c r="N29" s="127">
        <f>IFERROR(IF(G29&lt;&gt;"",IF(I29=TRUE,0,IF(U29=TRUE,0,L29-M29)),0),0)</f>
        <v/>
      </c>
      <c r="O29" s="127">
        <f>IF(N29&gt;0,IF(N29&lt;=180,N29,0),0)</f>
        <v/>
      </c>
      <c r="P29" s="125">
        <f>IF(AND(N29&lt;90,N29&gt;0),Q29,0)</f>
        <v/>
      </c>
      <c r="Q29" s="125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25">
        <f>IF(AND(H29=TRUE,I29=FALSE),Q29,0)</f>
        <v/>
      </c>
      <c r="S29" s="125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26">
        <f>IF(U29=TRUE,$J29,"")</f>
        <v/>
      </c>
      <c r="U29" s="124" t="b">
        <v>1</v>
      </c>
      <c r="V29" s="125">
        <f>IF(AND(H29=TRUE,OR(K29="",K29&gt;M29)),S29,0)</f>
        <v/>
      </c>
      <c r="W29" s="124" t="n">
        <v>0</v>
      </c>
      <c r="X29" s="124" t="b">
        <v>0</v>
      </c>
      <c r="Y29" s="127">
        <f>IF(H29=FALSE,VLOOKUP($C29,Sales!$C:$F,4,FALSE),1)</f>
        <v/>
      </c>
      <c r="Z29" s="124">
        <f>IF(Y29=0,"Release",IF(AND(L29&lt;J29,Y29=1,H29=FALSE,U29=FALSE,MONTH(L29)&amp;"/"&amp;YEAR(L29)&lt;&gt;MONTH(J29)&amp;"/"&amp;YEAR(J29)),"Release",""))</f>
        <v/>
      </c>
      <c r="AA29" s="128">
        <f>_xlfn.minifs($L:$L,$C:$C,$C29,$F:$F,"&lt;&gt;0")</f>
        <v/>
      </c>
      <c r="AB29" s="128">
        <f>C29&amp;"-"&amp;A29</f>
        <v/>
      </c>
      <c r="AC29" s="128">
        <f>L29</f>
        <v/>
      </c>
    </row>
    <row r="30">
      <c r="A30" s="124" t="inlineStr">
        <is>
          <t>ZMAR01</t>
        </is>
      </c>
      <c r="B30" s="124" t="n">
        <v>2</v>
      </c>
      <c r="C30" s="124" t="inlineStr">
        <is>
          <t>HFA202</t>
        </is>
      </c>
      <c r="D30" s="124" t="inlineStr">
        <is>
          <t>A</t>
        </is>
      </c>
      <c r="E30" s="124" t="inlineStr">
        <is>
          <t>Martin Beverley-Ann Kinsla</t>
        </is>
      </c>
      <c r="F30" s="125">
        <f>SUMIFS(Investors!$M:$M, Investors!$I:$I, "&lt;=" &amp; 'NSST Print'!$B$3, Investors!$K:$K, "&gt;" &amp; 'NSST Print'!$B$3, Investors!$A:$A, 'Investor Exit List'!A30, Investors!$E:$E, 'Investor Exit List'!C30)</f>
        <v/>
      </c>
      <c r="G30" s="126" t="n">
        <v>44316</v>
      </c>
      <c r="H30" s="124">
        <f>VLOOKUP($C30,Sales!$C:$E,2,FALSE)</f>
        <v/>
      </c>
      <c r="I30" s="124">
        <f>VLOOKUP($C30,Sales!$C:$E,3,FALSE)</f>
        <v/>
      </c>
      <c r="J30" s="126">
        <f>SUMIFS(Sales!$H:$H,Sales!$C:$C,'Investor Exit List'!$C30)</f>
        <v/>
      </c>
      <c r="K30" s="126">
        <f>IF(I30=TRUE,J30,"")</f>
        <v/>
      </c>
      <c r="L30" s="126">
        <f>G30+730</f>
        <v/>
      </c>
      <c r="M30" s="126" t="n">
        <v>45443</v>
      </c>
      <c r="N30" s="127">
        <f>IFERROR(IF(G30&lt;&gt;"",IF(I30=TRUE,0,IF(U30=TRUE,0,L30-M30)),0),0)</f>
        <v/>
      </c>
      <c r="O30" s="127">
        <f>IF(N30&gt;0,IF(N30&lt;=180,N30,0),0)</f>
        <v/>
      </c>
      <c r="P30" s="125">
        <f>IF(AND(N30&lt;90,N30&gt;0),Q30,0)</f>
        <v/>
      </c>
      <c r="Q30" s="125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25">
        <f>IF(AND(H30=TRUE,I30=FALSE),Q30,0)</f>
        <v/>
      </c>
      <c r="S30" s="125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26">
        <f>IF(U30=TRUE,$J30,"")</f>
        <v/>
      </c>
      <c r="U30" s="124" t="b">
        <v>1</v>
      </c>
      <c r="V30" s="125">
        <f>IF(AND(H30=TRUE,OR(K30="",K30&gt;M30)),S30,0)</f>
        <v/>
      </c>
      <c r="W30" s="124" t="n">
        <v>0</v>
      </c>
      <c r="X30" s="124" t="b">
        <v>0</v>
      </c>
      <c r="Y30" s="127">
        <f>IF(H30=FALSE,VLOOKUP($C30,Sales!$C:$F,4,FALSE),1)</f>
        <v/>
      </c>
      <c r="Z30" s="124">
        <f>IF(Y30=0,"Release",IF(AND(L30&lt;J30,Y30=1,H30=FALSE,U30=FALSE,MONTH(L30)&amp;"/"&amp;YEAR(L30)&lt;&gt;MONTH(J30)&amp;"/"&amp;YEAR(J30)),"Release",""))</f>
        <v/>
      </c>
      <c r="AA30" s="128">
        <f>_xlfn.minifs($L:$L,$C:$C,$C30,$F:$F,"&lt;&gt;0")</f>
        <v/>
      </c>
      <c r="AB30" s="128">
        <f>C30&amp;"-"&amp;A30</f>
        <v/>
      </c>
      <c r="AC30" s="128">
        <f>L30</f>
        <v/>
      </c>
    </row>
    <row r="31">
      <c r="A31" s="124" t="inlineStr">
        <is>
          <t>ZBAR01</t>
        </is>
      </c>
      <c r="B31" s="124" t="n">
        <v>1</v>
      </c>
      <c r="C31" s="124" t="inlineStr">
        <is>
          <t>HFA203</t>
        </is>
      </c>
      <c r="D31" s="124" t="inlineStr">
        <is>
          <t>A</t>
        </is>
      </c>
      <c r="E31" s="124" t="inlineStr">
        <is>
          <t>Barr Stuart Christopher</t>
        </is>
      </c>
      <c r="F31" s="125">
        <f>SUMIFS(Investors!$M:$M, Investors!$I:$I, "&lt;=" &amp; 'NSST Print'!$B$3, Investors!$K:$K, "&gt;" &amp; 'NSST Print'!$B$3, Investors!$A:$A, 'Investor Exit List'!A31, Investors!$E:$E, 'Investor Exit List'!C31)</f>
        <v/>
      </c>
      <c r="G31" s="126" t="n">
        <v>44352</v>
      </c>
      <c r="H31" s="124">
        <f>VLOOKUP($C31,Sales!$C:$E,2,FALSE)</f>
        <v/>
      </c>
      <c r="I31" s="124">
        <f>VLOOKUP($C31,Sales!$C:$E,3,FALSE)</f>
        <v/>
      </c>
      <c r="J31" s="126">
        <f>SUMIFS(Sales!$H:$H,Sales!$C:$C,'Investor Exit List'!$C31)</f>
        <v/>
      </c>
      <c r="K31" s="126">
        <f>IF(I31=TRUE,J31,"")</f>
        <v/>
      </c>
      <c r="L31" s="126">
        <f>G31+730</f>
        <v/>
      </c>
      <c r="M31" s="126" t="n">
        <v>45443</v>
      </c>
      <c r="N31" s="127">
        <f>IFERROR(IF(G31&lt;&gt;"",IF(I31=TRUE,0,IF(U31=TRUE,0,L31-M31)),0),0)</f>
        <v/>
      </c>
      <c r="O31" s="127">
        <f>IF(N31&gt;0,IF(N31&lt;=180,N31,0),0)</f>
        <v/>
      </c>
      <c r="P31" s="125">
        <f>IF(AND(N31&lt;90,N31&gt;0),Q31,0)</f>
        <v/>
      </c>
      <c r="Q31" s="125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25">
        <f>IF(AND(H31=TRUE,I31=FALSE),Q31,0)</f>
        <v/>
      </c>
      <c r="S31" s="125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26">
        <f>IF(U31=TRUE,$J31,"")</f>
        <v/>
      </c>
      <c r="U31" s="124" t="b">
        <v>0</v>
      </c>
      <c r="V31" s="125">
        <f>IF(AND(H31=TRUE,OR(K31="",K31&gt;M31)),S31,0)</f>
        <v/>
      </c>
      <c r="W31" s="124" t="n">
        <v>0</v>
      </c>
      <c r="X31" s="124" t="b">
        <v>0</v>
      </c>
      <c r="Y31" s="127">
        <f>IF(H31=FALSE,VLOOKUP($C31,Sales!$C:$F,4,FALSE),1)</f>
        <v/>
      </c>
      <c r="Z31" s="124">
        <f>IF(Y31=0,"Release",IF(AND(L31&lt;J31,Y31=1,H31=FALSE,U31=FALSE,MONTH(L31)&amp;"/"&amp;YEAR(L31)&lt;&gt;MONTH(J31)&amp;"/"&amp;YEAR(J31)),"Release",""))</f>
        <v/>
      </c>
      <c r="AA31" s="128">
        <f>_xlfn.minifs($L:$L,$C:$C,$C31,$F:$F,"&lt;&gt;0")</f>
        <v/>
      </c>
      <c r="AB31" s="128">
        <f>C31&amp;"-"&amp;A31</f>
        <v/>
      </c>
      <c r="AC31" s="128">
        <f>L31</f>
        <v/>
      </c>
    </row>
    <row r="32">
      <c r="A32" s="124" t="inlineStr">
        <is>
          <t>ZDAV01</t>
        </is>
      </c>
      <c r="B32" s="124" t="n">
        <v>2</v>
      </c>
      <c r="C32" s="124" t="inlineStr">
        <is>
          <t>HFA203</t>
        </is>
      </c>
      <c r="D32" s="124" t="inlineStr">
        <is>
          <t>A</t>
        </is>
      </c>
      <c r="E32" s="124" t="inlineStr">
        <is>
          <t>Davies Heather Mary Lyn</t>
        </is>
      </c>
      <c r="F32" s="125">
        <f>SUMIFS(Investors!$M:$M, Investors!$I:$I, "&lt;=" &amp; 'NSST Print'!$B$3, Investors!$K:$K, "&gt;" &amp; 'NSST Print'!$B$3, Investors!$A:$A, 'Investor Exit List'!A32, Investors!$E:$E, 'Investor Exit List'!C32)</f>
        <v/>
      </c>
      <c r="G32" s="126" t="n">
        <v>44352</v>
      </c>
      <c r="H32" s="124">
        <f>VLOOKUP($C32,Sales!$C:$E,2,FALSE)</f>
        <v/>
      </c>
      <c r="I32" s="124">
        <f>VLOOKUP($C32,Sales!$C:$E,3,FALSE)</f>
        <v/>
      </c>
      <c r="J32" s="126">
        <f>SUMIFS(Sales!$H:$H,Sales!$C:$C,'Investor Exit List'!$C32)</f>
        <v/>
      </c>
      <c r="K32" s="126">
        <f>IF(I32=TRUE,J32,"")</f>
        <v/>
      </c>
      <c r="L32" s="126">
        <f>G32+730</f>
        <v/>
      </c>
      <c r="M32" s="126" t="n">
        <v>45443</v>
      </c>
      <c r="N32" s="127">
        <f>IFERROR(IF(G32&lt;&gt;"",IF(I32=TRUE,0,IF(U32=TRUE,0,L32-M32)),0),0)</f>
        <v/>
      </c>
      <c r="O32" s="127">
        <f>IF(N32&gt;0,IF(N32&lt;=180,N32,0),0)</f>
        <v/>
      </c>
      <c r="P32" s="125">
        <f>IF(AND(N32&lt;90,N32&gt;0),Q32,0)</f>
        <v/>
      </c>
      <c r="Q32" s="125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25">
        <f>IF(AND(H32=TRUE,I32=FALSE),Q32,0)</f>
        <v/>
      </c>
      <c r="S32" s="125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26">
        <f>IF(U32=TRUE,$J32,"")</f>
        <v/>
      </c>
      <c r="U32" s="124" t="b">
        <v>0</v>
      </c>
      <c r="V32" s="125">
        <f>IF(AND(H32=TRUE,OR(K32="",K32&gt;M32)),S32,0)</f>
        <v/>
      </c>
      <c r="W32" s="124" t="n">
        <v>0</v>
      </c>
      <c r="X32" s="124" t="b">
        <v>0</v>
      </c>
      <c r="Y32" s="127">
        <f>IF(H32=FALSE,VLOOKUP($C32,Sales!$C:$F,4,FALSE),1)</f>
        <v/>
      </c>
      <c r="Z32" s="124">
        <f>IF(Y32=0,"Release",IF(AND(L32&lt;J32,Y32=1,H32=FALSE,U32=FALSE,MONTH(L32)&amp;"/"&amp;YEAR(L32)&lt;&gt;MONTH(J32)&amp;"/"&amp;YEAR(J32)),"Release",""))</f>
        <v/>
      </c>
      <c r="AA32" s="128">
        <f>_xlfn.minifs($L:$L,$C:$C,$C32,$F:$F,"&lt;&gt;0")</f>
        <v/>
      </c>
      <c r="AB32" s="128">
        <f>C32&amp;"-"&amp;A32</f>
        <v/>
      </c>
      <c r="AC32" s="128">
        <f>L32</f>
        <v/>
      </c>
    </row>
    <row r="33">
      <c r="A33" s="124" t="inlineStr">
        <is>
          <t>ZNGO01</t>
        </is>
      </c>
      <c r="B33" s="124" t="n">
        <v>2</v>
      </c>
      <c r="C33" s="124" t="inlineStr">
        <is>
          <t>HFA203</t>
        </is>
      </c>
      <c r="D33" s="124" t="inlineStr">
        <is>
          <t>A</t>
        </is>
      </c>
      <c r="E33" s="124" t="inlineStr">
        <is>
          <t>Ngomane Khula Moses</t>
        </is>
      </c>
      <c r="F33" s="125">
        <f>SUMIFS(Investors!$M:$M, Investors!$I:$I, "&lt;=" &amp; 'NSST Print'!$B$3, Investors!$K:$K, "&gt;" &amp; 'NSST Print'!$B$3, Investors!$A:$A, 'Investor Exit List'!A33, Investors!$E:$E, 'Investor Exit List'!C33)</f>
        <v/>
      </c>
      <c r="G33" s="126" t="n">
        <v>44352</v>
      </c>
      <c r="H33" s="124">
        <f>VLOOKUP($C33,Sales!$C:$E,2,FALSE)</f>
        <v/>
      </c>
      <c r="I33" s="124">
        <f>VLOOKUP($C33,Sales!$C:$E,3,FALSE)</f>
        <v/>
      </c>
      <c r="J33" s="126">
        <f>SUMIFS(Sales!$H:$H,Sales!$C:$C,'Investor Exit List'!$C33)</f>
        <v/>
      </c>
      <c r="K33" s="126">
        <f>IF(I33=TRUE,J33,"")</f>
        <v/>
      </c>
      <c r="L33" s="126">
        <f>G33+730</f>
        <v/>
      </c>
      <c r="M33" s="126" t="n">
        <v>45443</v>
      </c>
      <c r="N33" s="127">
        <f>IFERROR(IF(G33&lt;&gt;"",IF(I33=TRUE,0,IF(U33=TRUE,0,L33-M33)),0),0)</f>
        <v/>
      </c>
      <c r="O33" s="127">
        <f>IF(N33&gt;0,IF(N33&lt;=180,N33,0),0)</f>
        <v/>
      </c>
      <c r="P33" s="125">
        <f>IF(AND(N33&lt;90,N33&gt;0),Q33,0)</f>
        <v/>
      </c>
      <c r="Q33" s="125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25">
        <f>IF(AND(H33=TRUE,I33=FALSE),Q33,0)</f>
        <v/>
      </c>
      <c r="S33" s="125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26">
        <f>IF(U33=TRUE,$J33,"")</f>
        <v/>
      </c>
      <c r="U33" s="124" t="b">
        <v>0</v>
      </c>
      <c r="V33" s="125">
        <f>IF(AND(H33=TRUE,OR(K33="",K33&gt;M33)),S33,0)</f>
        <v/>
      </c>
      <c r="W33" s="124" t="n">
        <v>0</v>
      </c>
      <c r="X33" s="124" t="b">
        <v>0</v>
      </c>
      <c r="Y33" s="127">
        <f>IF(H33=FALSE,VLOOKUP($C33,Sales!$C:$F,4,FALSE),1)</f>
        <v/>
      </c>
      <c r="Z33" s="124">
        <f>IF(Y33=0,"Release",IF(AND(L33&lt;J33,Y33=1,H33=FALSE,U33=FALSE,MONTH(L33)&amp;"/"&amp;YEAR(L33)&lt;&gt;MONTH(J33)&amp;"/"&amp;YEAR(J33)),"Release",""))</f>
        <v/>
      </c>
      <c r="AA33" s="128">
        <f>_xlfn.minifs($L:$L,$C:$C,$C33,$F:$F,"&lt;&gt;0")</f>
        <v/>
      </c>
      <c r="AB33" s="128">
        <f>C33&amp;"-"&amp;A33</f>
        <v/>
      </c>
      <c r="AC33" s="128">
        <f>L33</f>
        <v/>
      </c>
    </row>
    <row r="34">
      <c r="A34" s="124" t="inlineStr">
        <is>
          <t>ZRAN01</t>
        </is>
      </c>
      <c r="B34" s="124" t="n">
        <v>18</v>
      </c>
      <c r="C34" s="124" t="inlineStr">
        <is>
          <t>HFA203</t>
        </is>
      </c>
      <c r="D34" s="124" t="inlineStr">
        <is>
          <t>A</t>
        </is>
      </c>
      <c r="E34" s="124" t="inlineStr">
        <is>
          <t>Rankin Ross Partick Gemill</t>
        </is>
      </c>
      <c r="F34" s="125">
        <f>SUMIFS(Investors!$M:$M, Investors!$I:$I, "&lt;=" &amp; 'NSST Print'!$B$3, Investors!$K:$K, "&gt;" &amp; 'NSST Print'!$B$3, Investors!$A:$A, 'Investor Exit List'!A34, Investors!$E:$E, 'Investor Exit List'!C34)</f>
        <v/>
      </c>
      <c r="G34" s="126" t="n">
        <v>44378</v>
      </c>
      <c r="H34" s="124">
        <f>VLOOKUP($C34,Sales!$C:$E,2,FALSE)</f>
        <v/>
      </c>
      <c r="I34" s="124">
        <f>VLOOKUP($C34,Sales!$C:$E,3,FALSE)</f>
        <v/>
      </c>
      <c r="J34" s="126">
        <f>SUMIFS(Sales!$H:$H,Sales!$C:$C,'Investor Exit List'!$C34)</f>
        <v/>
      </c>
      <c r="K34" s="126">
        <f>IF(I34=TRUE,J34,"")</f>
        <v/>
      </c>
      <c r="L34" s="126">
        <f>G34+730</f>
        <v/>
      </c>
      <c r="M34" s="126" t="n">
        <v>45443</v>
      </c>
      <c r="N34" s="127">
        <f>IFERROR(IF(G34&lt;&gt;"",IF(I34=TRUE,0,IF(U34=TRUE,0,L34-M34)),0),0)</f>
        <v/>
      </c>
      <c r="O34" s="127">
        <f>IF(N34&gt;0,IF(N34&lt;=180,N34,0),0)</f>
        <v/>
      </c>
      <c r="P34" s="125">
        <f>IF(AND(N34&lt;90,N34&gt;0),Q34,0)</f>
        <v/>
      </c>
      <c r="Q34" s="125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25">
        <f>IF(AND(H34=TRUE,I34=FALSE),Q34,0)</f>
        <v/>
      </c>
      <c r="S34" s="125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26">
        <f>IF(U34=TRUE,$J34,"")</f>
        <v/>
      </c>
      <c r="U34" s="124" t="b">
        <v>0</v>
      </c>
      <c r="V34" s="125">
        <f>IF(AND(H34=TRUE,OR(K34="",K34&gt;M34)),S34,0)</f>
        <v/>
      </c>
      <c r="W34" s="124" t="n">
        <v>0</v>
      </c>
      <c r="X34" s="124" t="b">
        <v>0</v>
      </c>
      <c r="Y34" s="127">
        <f>IF(H34=FALSE,VLOOKUP($C34,Sales!$C:$F,4,FALSE),1)</f>
        <v/>
      </c>
      <c r="Z34" s="124">
        <f>IF(Y34=0,"Release",IF(AND(L34&lt;J34,Y34=1,H34=FALSE,U34=FALSE,MONTH(L34)&amp;"/"&amp;YEAR(L34)&lt;&gt;MONTH(J34)&amp;"/"&amp;YEAR(J34)),"Release",""))</f>
        <v/>
      </c>
      <c r="AA34" s="128">
        <f>_xlfn.minifs($L:$L,$C:$C,$C34,$F:$F,"&lt;&gt;0")</f>
        <v/>
      </c>
      <c r="AB34" s="128">
        <f>C34&amp;"-"&amp;A34</f>
        <v/>
      </c>
      <c r="AC34" s="128">
        <f>L34</f>
        <v/>
      </c>
    </row>
    <row r="35">
      <c r="A35" s="124" t="inlineStr">
        <is>
          <t>ZVBL01</t>
        </is>
      </c>
      <c r="B35" s="124" t="n">
        <v>1</v>
      </c>
      <c r="C35" s="124" t="inlineStr">
        <is>
          <t>HFA203</t>
        </is>
      </c>
      <c r="D35" s="124" t="inlineStr">
        <is>
          <t>A</t>
        </is>
      </c>
      <c r="E35" s="124" t="inlineStr">
        <is>
          <t>van Blerk Glenda</t>
        </is>
      </c>
      <c r="F35" s="125">
        <f>SUMIFS(Investors!$M:$M, Investors!$I:$I, "&lt;=" &amp; 'NSST Print'!$B$3, Investors!$K:$K, "&gt;" &amp; 'NSST Print'!$B$3, Investors!$A:$A, 'Investor Exit List'!A35, Investors!$E:$E, 'Investor Exit List'!C35)</f>
        <v/>
      </c>
      <c r="G35" s="126" t="n">
        <v>44352</v>
      </c>
      <c r="H35" s="124">
        <f>VLOOKUP($C35,Sales!$C:$E,2,FALSE)</f>
        <v/>
      </c>
      <c r="I35" s="124">
        <f>VLOOKUP($C35,Sales!$C:$E,3,FALSE)</f>
        <v/>
      </c>
      <c r="J35" s="126">
        <f>SUMIFS(Sales!$H:$H,Sales!$C:$C,'Investor Exit List'!$C35)</f>
        <v/>
      </c>
      <c r="K35" s="126">
        <f>IF(I35=TRUE,J35,"")</f>
        <v/>
      </c>
      <c r="L35" s="126">
        <f>G35+730</f>
        <v/>
      </c>
      <c r="M35" s="126" t="n">
        <v>45443</v>
      </c>
      <c r="N35" s="127">
        <f>IFERROR(IF(G35&lt;&gt;"",IF(I35=TRUE,0,IF(U35=TRUE,0,L35-M35)),0),0)</f>
        <v/>
      </c>
      <c r="O35" s="127">
        <f>IF(N35&gt;0,IF(N35&lt;=180,N35,0),0)</f>
        <v/>
      </c>
      <c r="P35" s="125">
        <f>IF(AND(N35&lt;90,N35&gt;0),Q35,0)</f>
        <v/>
      </c>
      <c r="Q35" s="125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25">
        <f>IF(AND(H35=TRUE,I35=FALSE),Q35,0)</f>
        <v/>
      </c>
      <c r="S35" s="125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26">
        <f>IF(U35=TRUE,$J35,"")</f>
        <v/>
      </c>
      <c r="U35" s="124" t="b">
        <v>0</v>
      </c>
      <c r="V35" s="125">
        <f>IF(AND(H35=TRUE,OR(K35="",K35&gt;M35)),S35,0)</f>
        <v/>
      </c>
      <c r="W35" s="124" t="n">
        <v>0</v>
      </c>
      <c r="X35" s="124" t="b">
        <v>0</v>
      </c>
      <c r="Y35" s="127">
        <f>IF(H35=FALSE,VLOOKUP($C35,Sales!$C:$F,4,FALSE),1)</f>
        <v/>
      </c>
      <c r="Z35" s="124">
        <f>IF(Y35=0,"Release",IF(AND(L35&lt;J35,Y35=1,H35=FALSE,U35=FALSE,MONTH(L35)&amp;"/"&amp;YEAR(L35)&lt;&gt;MONTH(J35)&amp;"/"&amp;YEAR(J35)),"Release",""))</f>
        <v/>
      </c>
      <c r="AA35" s="128">
        <f>_xlfn.minifs($L:$L,$C:$C,$C35,$F:$F,"&lt;&gt;0")</f>
        <v/>
      </c>
      <c r="AB35" s="128">
        <f>C35&amp;"-"&amp;A35</f>
        <v/>
      </c>
      <c r="AC35" s="128">
        <f>L35</f>
        <v/>
      </c>
    </row>
    <row r="36">
      <c r="A36" s="124" t="inlineStr">
        <is>
          <t>ZFEM01</t>
        </is>
      </c>
      <c r="B36" s="124" t="n">
        <v>1</v>
      </c>
      <c r="C36" s="124" t="inlineStr">
        <is>
          <t>HFA204</t>
        </is>
      </c>
      <c r="D36" s="124" t="inlineStr">
        <is>
          <t>A</t>
        </is>
      </c>
      <c r="E36" s="124" t="inlineStr">
        <is>
          <t>Morkel Francina Elisabeth</t>
        </is>
      </c>
      <c r="F36" s="125">
        <f>SUMIFS(Investors!$M:$M, Investors!$I:$I, "&lt;=" &amp; 'NSST Print'!$B$3, Investors!$K:$K, "&gt;" &amp; 'NSST Print'!$B$3, Investors!$A:$A, 'Investor Exit List'!A36, Investors!$E:$E, 'Investor Exit List'!C36)</f>
        <v/>
      </c>
      <c r="G36" s="126" t="n">
        <v>44352</v>
      </c>
      <c r="H36" s="124">
        <f>VLOOKUP($C36,Sales!$C:$E,2,FALSE)</f>
        <v/>
      </c>
      <c r="I36" s="124">
        <f>VLOOKUP($C36,Sales!$C:$E,3,FALSE)</f>
        <v/>
      </c>
      <c r="J36" s="126">
        <f>SUMIFS(Sales!$H:$H,Sales!$C:$C,'Investor Exit List'!$C36)</f>
        <v/>
      </c>
      <c r="K36" s="126">
        <f>IF(I36=TRUE,J36,"")</f>
        <v/>
      </c>
      <c r="L36" s="126">
        <f>G36+730</f>
        <v/>
      </c>
      <c r="M36" s="126" t="n">
        <v>45443</v>
      </c>
      <c r="N36" s="127">
        <f>IFERROR(IF(G36&lt;&gt;"",IF(I36=TRUE,0,IF(U36=TRUE,0,L36-M36)),0),0)</f>
        <v/>
      </c>
      <c r="O36" s="127">
        <f>IF(N36&gt;0,IF(N36&lt;=180,N36,0),0)</f>
        <v/>
      </c>
      <c r="P36" s="125">
        <f>IF(AND(N36&lt;90,N36&gt;0),Q36,0)</f>
        <v/>
      </c>
      <c r="Q36" s="125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25">
        <f>IF(AND(H36=TRUE,I36=FALSE),Q36,0)</f>
        <v/>
      </c>
      <c r="S36" s="125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26">
        <f>IF(U36=TRUE,$J36,"")</f>
        <v/>
      </c>
      <c r="U36" s="124" t="b">
        <v>0</v>
      </c>
      <c r="V36" s="125">
        <f>IF(AND(H36=TRUE,OR(K36="",K36&gt;M36)),S36,0)</f>
        <v/>
      </c>
      <c r="W36" s="124" t="n">
        <v>0</v>
      </c>
      <c r="X36" s="124" t="b">
        <v>0</v>
      </c>
      <c r="Y36" s="127">
        <f>IF(H36=FALSE,VLOOKUP($C36,Sales!$C:$F,4,FALSE),1)</f>
        <v/>
      </c>
      <c r="Z36" s="124">
        <f>IF(Y36=0,"Release",IF(AND(L36&lt;J36,Y36=1,H36=FALSE,U36=FALSE,MONTH(L36)&amp;"/"&amp;YEAR(L36)&lt;&gt;MONTH(J36)&amp;"/"&amp;YEAR(J36)),"Release",""))</f>
        <v/>
      </c>
      <c r="AA36" s="128">
        <f>_xlfn.minifs($L:$L,$C:$C,$C36,$F:$F,"&lt;&gt;0")</f>
        <v/>
      </c>
      <c r="AB36" s="128">
        <f>C36&amp;"-"&amp;A36</f>
        <v/>
      </c>
      <c r="AC36" s="128">
        <f>L36</f>
        <v/>
      </c>
    </row>
    <row r="37">
      <c r="A37" s="124" t="inlineStr">
        <is>
          <t>ZJBM01</t>
        </is>
      </c>
      <c r="B37" s="124" t="n">
        <v>1</v>
      </c>
      <c r="C37" s="124" t="inlineStr">
        <is>
          <t>HFA204</t>
        </is>
      </c>
      <c r="D37" s="124" t="inlineStr">
        <is>
          <t>A</t>
        </is>
      </c>
      <c r="E37" s="124" t="inlineStr">
        <is>
          <t>Morkel Jacobus Bruwer</t>
        </is>
      </c>
      <c r="F37" s="125">
        <f>SUMIFS(Investors!$M:$M, Investors!$I:$I, "&lt;=" &amp; 'NSST Print'!$B$3, Investors!$K:$K, "&gt;" &amp; 'NSST Print'!$B$3, Investors!$A:$A, 'Investor Exit List'!A37, Investors!$E:$E, 'Investor Exit List'!C37)</f>
        <v/>
      </c>
      <c r="G37" s="126" t="n">
        <v>44352</v>
      </c>
      <c r="H37" s="124">
        <f>VLOOKUP($C37,Sales!$C:$E,2,FALSE)</f>
        <v/>
      </c>
      <c r="I37" s="124">
        <f>VLOOKUP($C37,Sales!$C:$E,3,FALSE)</f>
        <v/>
      </c>
      <c r="J37" s="126">
        <f>SUMIFS(Sales!$H:$H,Sales!$C:$C,'Investor Exit List'!$C37)</f>
        <v/>
      </c>
      <c r="K37" s="126">
        <f>IF(I37=TRUE,J37,"")</f>
        <v/>
      </c>
      <c r="L37" s="126">
        <f>G37+730</f>
        <v/>
      </c>
      <c r="M37" s="126" t="n">
        <v>45443</v>
      </c>
      <c r="N37" s="127">
        <f>IFERROR(IF(G37&lt;&gt;"",IF(I37=TRUE,0,IF(U37=TRUE,0,L37-M37)),0),0)</f>
        <v/>
      </c>
      <c r="O37" s="127">
        <f>IF(N37&gt;0,IF(N37&lt;=180,N37,0),0)</f>
        <v/>
      </c>
      <c r="P37" s="125">
        <f>IF(AND(N37&lt;90,N37&gt;0),Q37,0)</f>
        <v/>
      </c>
      <c r="Q37" s="125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25">
        <f>IF(AND(H37=TRUE,I37=FALSE),Q37,0)</f>
        <v/>
      </c>
      <c r="S37" s="125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26">
        <f>IF(U37=TRUE,$J37,"")</f>
        <v/>
      </c>
      <c r="U37" s="124" t="b">
        <v>0</v>
      </c>
      <c r="V37" s="125">
        <f>IF(AND(H37=TRUE,OR(K37="",K37&gt;M37)),S37,0)</f>
        <v/>
      </c>
      <c r="W37" s="124" t="n">
        <v>0</v>
      </c>
      <c r="X37" s="124" t="b">
        <v>0</v>
      </c>
      <c r="Y37" s="127">
        <f>IF(H37=FALSE,VLOOKUP($C37,Sales!$C:$F,4,FALSE),1)</f>
        <v/>
      </c>
      <c r="Z37" s="124">
        <f>IF(Y37=0,"Release",IF(AND(L37&lt;J37,Y37=1,H37=FALSE,U37=FALSE,MONTH(L37)&amp;"/"&amp;YEAR(L37)&lt;&gt;MONTH(J37)&amp;"/"&amp;YEAR(J37)),"Release",""))</f>
        <v/>
      </c>
      <c r="AA37" s="128">
        <f>_xlfn.minifs($L:$L,$C:$C,$C37,$F:$F,"&lt;&gt;0")</f>
        <v/>
      </c>
      <c r="AB37" s="128">
        <f>C37&amp;"-"&amp;A37</f>
        <v/>
      </c>
      <c r="AC37" s="128">
        <f>L37</f>
        <v/>
      </c>
    </row>
    <row r="38">
      <c r="A38" s="124" t="inlineStr">
        <is>
          <t>ZKOO01</t>
        </is>
      </c>
      <c r="B38" s="124" t="n">
        <v>1</v>
      </c>
      <c r="C38" s="124" t="inlineStr">
        <is>
          <t>HFA204</t>
        </is>
      </c>
      <c r="D38" s="124" t="inlineStr">
        <is>
          <t>A</t>
        </is>
      </c>
      <c r="E38" s="124" t="inlineStr">
        <is>
          <t>Koovarjee Jayprakash Brijbukhandas</t>
        </is>
      </c>
      <c r="F38" s="125">
        <f>SUMIFS(Investors!$M:$M, Investors!$I:$I, "&lt;=" &amp; 'NSST Print'!$B$3, Investors!$K:$K, "&gt;" &amp; 'NSST Print'!$B$3, Investors!$A:$A, 'Investor Exit List'!A38, Investors!$E:$E, 'Investor Exit List'!C38)</f>
        <v/>
      </c>
      <c r="G38" s="126" t="n">
        <v>44352</v>
      </c>
      <c r="H38" s="124">
        <f>VLOOKUP($C38,Sales!$C:$E,2,FALSE)</f>
        <v/>
      </c>
      <c r="I38" s="124">
        <f>VLOOKUP($C38,Sales!$C:$E,3,FALSE)</f>
        <v/>
      </c>
      <c r="J38" s="126">
        <f>SUMIFS(Sales!$H:$H,Sales!$C:$C,'Investor Exit List'!$C38)</f>
        <v/>
      </c>
      <c r="K38" s="126">
        <f>IF(I38=TRUE,J38,"")</f>
        <v/>
      </c>
      <c r="L38" s="126">
        <f>G38+730</f>
        <v/>
      </c>
      <c r="M38" s="126" t="n">
        <v>45443</v>
      </c>
      <c r="N38" s="127">
        <f>IFERROR(IF(G38&lt;&gt;"",IF(I38=TRUE,0,IF(U38=TRUE,0,L38-M38)),0),0)</f>
        <v/>
      </c>
      <c r="O38" s="127">
        <f>IF(N38&gt;0,IF(N38&lt;=180,N38,0),0)</f>
        <v/>
      </c>
      <c r="P38" s="125">
        <f>IF(AND(N38&lt;90,N38&gt;0),Q38,0)</f>
        <v/>
      </c>
      <c r="Q38" s="125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25">
        <f>IF(AND(H38=TRUE,I38=FALSE),Q38,0)</f>
        <v/>
      </c>
      <c r="S38" s="125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26">
        <f>IF(U38=TRUE,$J38,"")</f>
        <v/>
      </c>
      <c r="U38" s="124" t="b">
        <v>0</v>
      </c>
      <c r="V38" s="125">
        <f>IF(AND(H38=TRUE,OR(K38="",K38&gt;M38)),S38,0)</f>
        <v/>
      </c>
      <c r="W38" s="124" t="n">
        <v>0</v>
      </c>
      <c r="X38" s="124" t="b">
        <v>0</v>
      </c>
      <c r="Y38" s="127">
        <f>IF(H38=FALSE,VLOOKUP($C38,Sales!$C:$F,4,FALSE),1)</f>
        <v/>
      </c>
      <c r="Z38" s="124">
        <f>IF(Y38=0,"Release",IF(AND(L38&lt;J38,Y38=1,H38=FALSE,U38=FALSE,MONTH(L38)&amp;"/"&amp;YEAR(L38)&lt;&gt;MONTH(J38)&amp;"/"&amp;YEAR(J38)),"Release",""))</f>
        <v/>
      </c>
      <c r="AA38" s="128">
        <f>_xlfn.minifs($L:$L,$C:$C,$C38,$F:$F,"&lt;&gt;0")</f>
        <v/>
      </c>
      <c r="AB38" s="128">
        <f>C38&amp;"-"&amp;A38</f>
        <v/>
      </c>
      <c r="AC38" s="128">
        <f>L38</f>
        <v/>
      </c>
    </row>
    <row r="39">
      <c r="A39" s="124" t="inlineStr">
        <is>
          <t>ZVAN01</t>
        </is>
      </c>
      <c r="B39" s="124" t="n">
        <v>1</v>
      </c>
      <c r="C39" s="124" t="inlineStr">
        <is>
          <t>HFA204</t>
        </is>
      </c>
      <c r="D39" s="124" t="inlineStr">
        <is>
          <t>A</t>
        </is>
      </c>
      <c r="E39" s="124" t="inlineStr">
        <is>
          <t>van Rensburg Gerhard Andre</t>
        </is>
      </c>
      <c r="F39" s="125">
        <f>SUMIFS(Investors!$M:$M, Investors!$I:$I, "&lt;=" &amp; 'NSST Print'!$B$3, Investors!$K:$K, "&gt;" &amp; 'NSST Print'!$B$3, Investors!$A:$A, 'Investor Exit List'!A39, Investors!$E:$E, 'Investor Exit List'!C39)</f>
        <v/>
      </c>
      <c r="G39" s="126" t="n">
        <v>44352</v>
      </c>
      <c r="H39" s="124">
        <f>VLOOKUP($C39,Sales!$C:$E,2,FALSE)</f>
        <v/>
      </c>
      <c r="I39" s="124">
        <f>VLOOKUP($C39,Sales!$C:$E,3,FALSE)</f>
        <v/>
      </c>
      <c r="J39" s="126">
        <f>SUMIFS(Sales!$H:$H,Sales!$C:$C,'Investor Exit List'!$C39)</f>
        <v/>
      </c>
      <c r="K39" s="126">
        <f>IF(I39=TRUE,J39,"")</f>
        <v/>
      </c>
      <c r="L39" s="126">
        <f>G39+730</f>
        <v/>
      </c>
      <c r="M39" s="126" t="n">
        <v>45443</v>
      </c>
      <c r="N39" s="127">
        <f>IFERROR(IF(G39&lt;&gt;"",IF(I39=TRUE,0,IF(U39=TRUE,0,L39-M39)),0),0)</f>
        <v/>
      </c>
      <c r="O39" s="127">
        <f>IF(N39&gt;0,IF(N39&lt;=180,N39,0),0)</f>
        <v/>
      </c>
      <c r="P39" s="125">
        <f>IF(AND(N39&lt;90,N39&gt;0),Q39,0)</f>
        <v/>
      </c>
      <c r="Q39" s="125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25">
        <f>IF(AND(H39=TRUE,I39=FALSE),Q39,0)</f>
        <v/>
      </c>
      <c r="S39" s="125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26">
        <f>IF(U39=TRUE,$J39,"")</f>
        <v/>
      </c>
      <c r="U39" s="124" t="b">
        <v>0</v>
      </c>
      <c r="V39" s="125">
        <f>IF(AND(H39=TRUE,OR(K39="",K39&gt;M39)),S39,0)</f>
        <v/>
      </c>
      <c r="W39" s="124" t="n">
        <v>0</v>
      </c>
      <c r="X39" s="124" t="b">
        <v>0</v>
      </c>
      <c r="Y39" s="127">
        <f>IF(H39=FALSE,VLOOKUP($C39,Sales!$C:$F,4,FALSE),1)</f>
        <v/>
      </c>
      <c r="Z39" s="124">
        <f>IF(Y39=0,"Release",IF(AND(L39&lt;J39,Y39=1,H39=FALSE,U39=FALSE,MONTH(L39)&amp;"/"&amp;YEAR(L39)&lt;&gt;MONTH(J39)&amp;"/"&amp;YEAR(J39)),"Release",""))</f>
        <v/>
      </c>
      <c r="AA39" s="128">
        <f>_xlfn.minifs($L:$L,$C:$C,$C39,$F:$F,"&lt;&gt;0")</f>
        <v/>
      </c>
      <c r="AB39" s="128">
        <f>C39&amp;"-"&amp;A39</f>
        <v/>
      </c>
      <c r="AC39" s="128">
        <f>L39</f>
        <v/>
      </c>
    </row>
    <row r="40">
      <c r="A40" s="124" t="inlineStr">
        <is>
          <t>ZHEI01</t>
        </is>
      </c>
      <c r="B40" s="124" t="n">
        <v>10</v>
      </c>
      <c r="C40" s="124" t="inlineStr">
        <is>
          <t>HFA205</t>
        </is>
      </c>
      <c r="D40" s="124" t="inlineStr">
        <is>
          <t>A</t>
        </is>
      </c>
      <c r="E40" s="124" t="inlineStr">
        <is>
          <t>Heinze Dieter Raimund</t>
        </is>
      </c>
      <c r="F40" s="125">
        <f>SUMIFS(Investors!$M:$M, Investors!$I:$I, "&lt;=" &amp; 'NSST Print'!$B$3, Investors!$K:$K, "&gt;" &amp; 'NSST Print'!$B$3, Investors!$A:$A, 'Investor Exit List'!A40, Investors!$E:$E, 'Investor Exit List'!C40)</f>
        <v/>
      </c>
      <c r="G40" s="126" t="n">
        <v>44772</v>
      </c>
      <c r="H40" s="124">
        <f>VLOOKUP($C40,Sales!$C:$E,2,FALSE)</f>
        <v/>
      </c>
      <c r="I40" s="124">
        <f>VLOOKUP($C40,Sales!$C:$E,3,FALSE)</f>
        <v/>
      </c>
      <c r="J40" s="126">
        <f>SUMIFS(Sales!$H:$H,Sales!$C:$C,'Investor Exit List'!$C40)</f>
        <v/>
      </c>
      <c r="K40" s="126">
        <f>IF(I40=TRUE,J40,"")</f>
        <v/>
      </c>
      <c r="L40" s="126">
        <f>G40+730</f>
        <v/>
      </c>
      <c r="M40" s="126" t="n">
        <v>45443</v>
      </c>
      <c r="N40" s="127">
        <f>IFERROR(IF(G40&lt;&gt;"",IF(I40=TRUE,0,IF(U40=TRUE,0,L40-M40)),0),0)</f>
        <v/>
      </c>
      <c r="O40" s="127">
        <f>IF(N40&gt;0,IF(N40&lt;=180,N40,0),0)</f>
        <v/>
      </c>
      <c r="P40" s="125">
        <f>IF(AND(N40&lt;90,N40&gt;0),Q40,0)</f>
        <v/>
      </c>
      <c r="Q40" s="125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25">
        <f>IF(AND(H40=TRUE,I40=FALSE),Q40,0)</f>
        <v/>
      </c>
      <c r="S40" s="125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26">
        <f>IF(U40=TRUE,$J40,"")</f>
        <v/>
      </c>
      <c r="U40" s="124" t="b">
        <v>0</v>
      </c>
      <c r="V40" s="125">
        <f>IF(AND(H40=TRUE,OR(K40="",K40&gt;M40)),S40,0)</f>
        <v/>
      </c>
      <c r="W40" s="124" t="n">
        <v>0</v>
      </c>
      <c r="X40" s="124" t="b">
        <v>0</v>
      </c>
      <c r="Y40" s="127">
        <f>IF(H40=FALSE,VLOOKUP($C40,Sales!$C:$F,4,FALSE),1)</f>
        <v/>
      </c>
      <c r="Z40" s="124">
        <f>IF(Y40=0,"Release",IF(AND(L40&lt;J40,Y40=1,H40=FALSE,U40=FALSE,MONTH(L40)&amp;"/"&amp;YEAR(L40)&lt;&gt;MONTH(J40)&amp;"/"&amp;YEAR(J40)),"Release",""))</f>
        <v/>
      </c>
      <c r="AA40" s="128">
        <f>_xlfn.minifs($L:$L,$C:$C,$C40,$F:$F,"&lt;&gt;0")</f>
        <v/>
      </c>
      <c r="AB40" s="128">
        <f>C40&amp;"-"&amp;A40</f>
        <v/>
      </c>
      <c r="AC40" s="128">
        <f>L40</f>
        <v/>
      </c>
    </row>
    <row r="41">
      <c r="A41" s="124" t="inlineStr">
        <is>
          <t>ZHEY01</t>
        </is>
      </c>
      <c r="B41" s="124" t="n">
        <v>1</v>
      </c>
      <c r="C41" s="124" t="inlineStr">
        <is>
          <t>HFA205</t>
        </is>
      </c>
      <c r="D41" s="124" t="inlineStr">
        <is>
          <t>A</t>
        </is>
      </c>
      <c r="E41" s="124" t="inlineStr">
        <is>
          <t>Heynes Vincent Derick</t>
        </is>
      </c>
      <c r="F41" s="125">
        <f>SUMIFS(Investors!$M:$M, Investors!$I:$I, "&lt;=" &amp; 'NSST Print'!$B$3, Investors!$K:$K, "&gt;" &amp; 'NSST Print'!$B$3, Investors!$A:$A, 'Investor Exit List'!A41, Investors!$E:$E, 'Investor Exit List'!C41)</f>
        <v/>
      </c>
      <c r="G41" s="126" t="n">
        <v>44352</v>
      </c>
      <c r="H41" s="124">
        <f>VLOOKUP($C41,Sales!$C:$E,2,FALSE)</f>
        <v/>
      </c>
      <c r="I41" s="124">
        <f>VLOOKUP($C41,Sales!$C:$E,3,FALSE)</f>
        <v/>
      </c>
      <c r="J41" s="126">
        <f>SUMIFS(Sales!$H:$H,Sales!$C:$C,'Investor Exit List'!$C41)</f>
        <v/>
      </c>
      <c r="K41" s="126">
        <f>IF(I41=TRUE,J41,"")</f>
        <v/>
      </c>
      <c r="L41" s="126">
        <f>G41+730</f>
        <v/>
      </c>
      <c r="M41" s="126" t="n">
        <v>45443</v>
      </c>
      <c r="N41" s="127">
        <f>IFERROR(IF(G41&lt;&gt;"",IF(I41=TRUE,0,IF(U41=TRUE,0,L41-M41)),0),0)</f>
        <v/>
      </c>
      <c r="O41" s="127">
        <f>IF(N41&gt;0,IF(N41&lt;=180,N41,0),0)</f>
        <v/>
      </c>
      <c r="P41" s="125">
        <f>IF(AND(N41&lt;90,N41&gt;0),Q41,0)</f>
        <v/>
      </c>
      <c r="Q41" s="125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25">
        <f>IF(AND(H41=TRUE,I41=FALSE),Q41,0)</f>
        <v/>
      </c>
      <c r="S41" s="125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26">
        <f>IF(U41=TRUE,$J41,"")</f>
        <v/>
      </c>
      <c r="U41" s="124" t="b">
        <v>1</v>
      </c>
      <c r="V41" s="125">
        <f>IF(AND(H41=TRUE,OR(K41="",K41&gt;M41)),S41,0)</f>
        <v/>
      </c>
      <c r="W41" s="124" t="n">
        <v>0</v>
      </c>
      <c r="X41" s="124" t="b">
        <v>0</v>
      </c>
      <c r="Y41" s="127">
        <f>IF(H41=FALSE,VLOOKUP($C41,Sales!$C:$F,4,FALSE),1)</f>
        <v/>
      </c>
      <c r="Z41" s="124">
        <f>IF(Y41=0,"Release",IF(AND(L41&lt;J41,Y41=1,H41=FALSE,U41=FALSE,MONTH(L41)&amp;"/"&amp;YEAR(L41)&lt;&gt;MONTH(J41)&amp;"/"&amp;YEAR(J41)),"Release",""))</f>
        <v/>
      </c>
      <c r="AA41" s="128">
        <f>_xlfn.minifs($L:$L,$C:$C,$C41,$F:$F,"&lt;&gt;0")</f>
        <v/>
      </c>
      <c r="AB41" s="128">
        <f>C41&amp;"-"&amp;A41</f>
        <v/>
      </c>
      <c r="AC41" s="128">
        <f>L41</f>
        <v/>
      </c>
    </row>
    <row r="42">
      <c r="A42" s="124" t="inlineStr">
        <is>
          <t>ZKOO01</t>
        </is>
      </c>
      <c r="B42" s="124" t="n">
        <v>2</v>
      </c>
      <c r="C42" s="124" t="inlineStr">
        <is>
          <t>HFA205</t>
        </is>
      </c>
      <c r="D42" s="124" t="inlineStr">
        <is>
          <t>A</t>
        </is>
      </c>
      <c r="E42" s="124" t="inlineStr">
        <is>
          <t>Koovarjee Jayprakash Brijbukhandas</t>
        </is>
      </c>
      <c r="F42" s="125">
        <f>SUMIFS(Investors!$M:$M, Investors!$I:$I, "&lt;=" &amp; 'NSST Print'!$B$3, Investors!$K:$K, "&gt;" &amp; 'NSST Print'!$B$3, Investors!$A:$A, 'Investor Exit List'!A42, Investors!$E:$E, 'Investor Exit List'!C42)</f>
        <v/>
      </c>
      <c r="G42" s="126" t="n">
        <v>44352</v>
      </c>
      <c r="H42" s="124">
        <f>VLOOKUP($C42,Sales!$C:$E,2,FALSE)</f>
        <v/>
      </c>
      <c r="I42" s="124">
        <f>VLOOKUP($C42,Sales!$C:$E,3,FALSE)</f>
        <v/>
      </c>
      <c r="J42" s="126">
        <f>SUMIFS(Sales!$H:$H,Sales!$C:$C,'Investor Exit List'!$C42)</f>
        <v/>
      </c>
      <c r="K42" s="126">
        <f>IF(I42=TRUE,J42,"")</f>
        <v/>
      </c>
      <c r="L42" s="126">
        <f>G42+730</f>
        <v/>
      </c>
      <c r="M42" s="126" t="n">
        <v>45443</v>
      </c>
      <c r="N42" s="127">
        <f>IFERROR(IF(G42&lt;&gt;"",IF(I42=TRUE,0,IF(U42=TRUE,0,L42-M42)),0),0)</f>
        <v/>
      </c>
      <c r="O42" s="127">
        <f>IF(N42&gt;0,IF(N42&lt;=180,N42,0),0)</f>
        <v/>
      </c>
      <c r="P42" s="125">
        <f>IF(AND(N42&lt;90,N42&gt;0),Q42,0)</f>
        <v/>
      </c>
      <c r="Q42" s="125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25">
        <f>IF(AND(H42=TRUE,I42=FALSE),Q42,0)</f>
        <v/>
      </c>
      <c r="S42" s="125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26">
        <f>IF(U42=TRUE,$J42,"")</f>
        <v/>
      </c>
      <c r="U42" s="124" t="b">
        <v>0</v>
      </c>
      <c r="V42" s="125">
        <f>IF(AND(H42=TRUE,OR(K42="",K42&gt;M42)),S42,0)</f>
        <v/>
      </c>
      <c r="W42" s="124" t="n">
        <v>0</v>
      </c>
      <c r="X42" s="124" t="b">
        <v>0</v>
      </c>
      <c r="Y42" s="127">
        <f>IF(H42=FALSE,VLOOKUP($C42,Sales!$C:$F,4,FALSE),1)</f>
        <v/>
      </c>
      <c r="Z42" s="124">
        <f>IF(Y42=0,"Release",IF(AND(L42&lt;J42,Y42=1,H42=FALSE,U42=FALSE,MONTH(L42)&amp;"/"&amp;YEAR(L42)&lt;&gt;MONTH(J42)&amp;"/"&amp;YEAR(J42)),"Release",""))</f>
        <v/>
      </c>
      <c r="AA42" s="128">
        <f>_xlfn.minifs($L:$L,$C:$C,$C42,$F:$F,"&lt;&gt;0")</f>
        <v/>
      </c>
      <c r="AB42" s="128">
        <f>C42&amp;"-"&amp;A42</f>
        <v/>
      </c>
      <c r="AC42" s="128">
        <f>L42</f>
        <v/>
      </c>
    </row>
    <row r="43">
      <c r="A43" s="124" t="inlineStr">
        <is>
          <t>ZTPI01</t>
        </is>
      </c>
      <c r="B43" s="124" t="n">
        <v>1</v>
      </c>
      <c r="C43" s="124" t="inlineStr">
        <is>
          <t>HFA205</t>
        </is>
      </c>
      <c r="D43" s="124" t="inlineStr">
        <is>
          <t>A</t>
        </is>
      </c>
      <c r="E43" s="124" t="inlineStr">
        <is>
          <t>Matlala Raisibe Ellen</t>
        </is>
      </c>
      <c r="F43" s="125">
        <f>SUMIFS(Investors!$M:$M, Investors!$I:$I, "&lt;=" &amp; 'NSST Print'!$B$3, Investors!$K:$K, "&gt;" &amp; 'NSST Print'!$B$3, Investors!$A:$A, 'Investor Exit List'!A43, Investors!$E:$E, 'Investor Exit List'!C43)</f>
        <v/>
      </c>
      <c r="G43" s="126" t="n">
        <v>44378</v>
      </c>
      <c r="H43" s="124">
        <f>VLOOKUP($C43,Sales!$C:$E,2,FALSE)</f>
        <v/>
      </c>
      <c r="I43" s="124">
        <f>VLOOKUP($C43,Sales!$C:$E,3,FALSE)</f>
        <v/>
      </c>
      <c r="J43" s="126">
        <f>SUMIFS(Sales!$H:$H,Sales!$C:$C,'Investor Exit List'!$C43)</f>
        <v/>
      </c>
      <c r="K43" s="126">
        <f>IF(I43=TRUE,J43,"")</f>
        <v/>
      </c>
      <c r="L43" s="126">
        <f>G43+730</f>
        <v/>
      </c>
      <c r="M43" s="126" t="n">
        <v>45443</v>
      </c>
      <c r="N43" s="127">
        <f>IFERROR(IF(G43&lt;&gt;"",IF(I43=TRUE,0,IF(U43=TRUE,0,L43-M43)),0),0)</f>
        <v/>
      </c>
      <c r="O43" s="127">
        <f>IF(N43&gt;0,IF(N43&lt;=180,N43,0),0)</f>
        <v/>
      </c>
      <c r="P43" s="125">
        <f>IF(AND(N43&lt;90,N43&gt;0),Q43,0)</f>
        <v/>
      </c>
      <c r="Q43" s="125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25">
        <f>IF(AND(H43=TRUE,I43=FALSE),Q43,0)</f>
        <v/>
      </c>
      <c r="S43" s="125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26">
        <f>IF(U43=TRUE,$J43,"")</f>
        <v/>
      </c>
      <c r="U43" s="124" t="b">
        <v>0</v>
      </c>
      <c r="V43" s="125">
        <f>IF(AND(H43=TRUE,OR(K43="",K43&gt;M43)),S43,0)</f>
        <v/>
      </c>
      <c r="W43" s="124" t="n">
        <v>0</v>
      </c>
      <c r="X43" s="124" t="b">
        <v>0</v>
      </c>
      <c r="Y43" s="127">
        <f>IF(H43=FALSE,VLOOKUP($C43,Sales!$C:$F,4,FALSE),1)</f>
        <v/>
      </c>
      <c r="Z43" s="124">
        <f>IF(Y43=0,"Release",IF(AND(L43&lt;J43,Y43=1,H43=FALSE,U43=FALSE,MONTH(L43)&amp;"/"&amp;YEAR(L43)&lt;&gt;MONTH(J43)&amp;"/"&amp;YEAR(J43)),"Release",""))</f>
        <v/>
      </c>
      <c r="AA43" s="128">
        <f>_xlfn.minifs($L:$L,$C:$C,$C43,$F:$F,"&lt;&gt;0")</f>
        <v/>
      </c>
      <c r="AB43" s="128">
        <f>C43&amp;"-"&amp;A43</f>
        <v/>
      </c>
      <c r="AC43" s="128">
        <f>L43</f>
        <v/>
      </c>
    </row>
    <row r="44">
      <c r="A44" s="124" t="inlineStr">
        <is>
          <t>ZBOH01</t>
        </is>
      </c>
      <c r="B44" s="124" t="n">
        <v>1</v>
      </c>
      <c r="C44" s="124" t="inlineStr">
        <is>
          <t>HFA206</t>
        </is>
      </c>
      <c r="D44" s="124" t="inlineStr">
        <is>
          <t>A</t>
        </is>
      </c>
      <c r="E44" s="124" t="inlineStr">
        <is>
          <t>Brenda Bohme Werner Hugo Bohme &amp;</t>
        </is>
      </c>
      <c r="F44" s="125">
        <f>SUMIFS(Investors!$M:$M, Investors!$I:$I, "&lt;=" &amp; 'NSST Print'!$B$3, Investors!$K:$K, "&gt;" &amp; 'NSST Print'!$B$3, Investors!$A:$A, 'Investor Exit List'!A44, Investors!$E:$E, 'Investor Exit List'!C44)</f>
        <v/>
      </c>
      <c r="G44" s="126" t="n">
        <v>44352</v>
      </c>
      <c r="H44" s="124">
        <f>VLOOKUP($C44,Sales!$C:$E,2,FALSE)</f>
        <v/>
      </c>
      <c r="I44" s="124">
        <f>VLOOKUP($C44,Sales!$C:$E,3,FALSE)</f>
        <v/>
      </c>
      <c r="J44" s="126">
        <f>SUMIFS(Sales!$H:$H,Sales!$C:$C,'Investor Exit List'!$C44)</f>
        <v/>
      </c>
      <c r="K44" s="126">
        <f>IF(I44=TRUE,J44,"")</f>
        <v/>
      </c>
      <c r="L44" s="126">
        <f>G44+730</f>
        <v/>
      </c>
      <c r="M44" s="126" t="n">
        <v>45443</v>
      </c>
      <c r="N44" s="127">
        <f>IFERROR(IF(G44&lt;&gt;"",IF(I44=TRUE,0,IF(U44=TRUE,0,L44-M44)),0),0)</f>
        <v/>
      </c>
      <c r="O44" s="127">
        <f>IF(N44&gt;0,IF(N44&lt;=180,N44,0),0)</f>
        <v/>
      </c>
      <c r="P44" s="125">
        <f>IF(AND(N44&lt;90,N44&gt;0),Q44,0)</f>
        <v/>
      </c>
      <c r="Q44" s="125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25">
        <f>IF(AND(H44=TRUE,I44=FALSE),Q44,0)</f>
        <v/>
      </c>
      <c r="S44" s="125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26">
        <f>IF(U44=TRUE,$J44,"")</f>
        <v/>
      </c>
      <c r="U44" s="124" t="b">
        <v>0</v>
      </c>
      <c r="V44" s="125">
        <f>IF(AND(H44=TRUE,OR(K44="",K44&gt;M44)),S44,0)</f>
        <v/>
      </c>
      <c r="W44" s="124" t="n">
        <v>0</v>
      </c>
      <c r="X44" s="124" t="b">
        <v>0</v>
      </c>
      <c r="Y44" s="127">
        <f>IF(H44=FALSE,VLOOKUP($C44,Sales!$C:$F,4,FALSE),1)</f>
        <v/>
      </c>
      <c r="Z44" s="124">
        <f>IF(Y44=0,"Release",IF(AND(L44&lt;J44,Y44=1,H44=FALSE,U44=FALSE,MONTH(L44)&amp;"/"&amp;YEAR(L44)&lt;&gt;MONTH(J44)&amp;"/"&amp;YEAR(J44)),"Release",""))</f>
        <v/>
      </c>
      <c r="AA44" s="128">
        <f>_xlfn.minifs($L:$L,$C:$C,$C44,$F:$F,"&lt;&gt;0")</f>
        <v/>
      </c>
      <c r="AB44" s="128">
        <f>C44&amp;"-"&amp;A44</f>
        <v/>
      </c>
      <c r="AC44" s="128">
        <f>L44</f>
        <v/>
      </c>
    </row>
    <row r="45">
      <c r="A45" s="124" t="inlineStr">
        <is>
          <t>ZLEW02</t>
        </is>
      </c>
      <c r="B45" s="124" t="n">
        <v>1</v>
      </c>
      <c r="C45" s="124" t="inlineStr">
        <is>
          <t>HFA206</t>
        </is>
      </c>
      <c r="D45" s="124" t="inlineStr">
        <is>
          <t>A</t>
        </is>
      </c>
      <c r="E45" s="124" t="inlineStr">
        <is>
          <t>Lewis Leon</t>
        </is>
      </c>
      <c r="F45" s="125">
        <f>SUMIFS(Investors!$M:$M, Investors!$I:$I, "&lt;=" &amp; 'NSST Print'!$B$3, Investors!$K:$K, "&gt;" &amp; 'NSST Print'!$B$3, Investors!$A:$A, 'Investor Exit List'!A45, Investors!$E:$E, 'Investor Exit List'!C45)</f>
        <v/>
      </c>
      <c r="G45" s="126" t="n">
        <v>44352</v>
      </c>
      <c r="H45" s="124">
        <f>VLOOKUP($C45,Sales!$C:$E,2,FALSE)</f>
        <v/>
      </c>
      <c r="I45" s="124">
        <f>VLOOKUP($C45,Sales!$C:$E,3,FALSE)</f>
        <v/>
      </c>
      <c r="J45" s="126">
        <f>SUMIFS(Sales!$H:$H,Sales!$C:$C,'Investor Exit List'!$C45)</f>
        <v/>
      </c>
      <c r="K45" s="126">
        <f>IF(I45=TRUE,J45,"")</f>
        <v/>
      </c>
      <c r="L45" s="126">
        <f>G45+730</f>
        <v/>
      </c>
      <c r="M45" s="126" t="n">
        <v>45443</v>
      </c>
      <c r="N45" s="127">
        <f>IFERROR(IF(G45&lt;&gt;"",IF(I45=TRUE,0,IF(U45=TRUE,0,L45-M45)),0),0)</f>
        <v/>
      </c>
      <c r="O45" s="127">
        <f>IF(N45&gt;0,IF(N45&lt;=180,N45,0),0)</f>
        <v/>
      </c>
      <c r="P45" s="125">
        <f>IF(AND(N45&lt;90,N45&gt;0),Q45,0)</f>
        <v/>
      </c>
      <c r="Q45" s="125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25">
        <f>IF(AND(H45=TRUE,I45=FALSE),Q45,0)</f>
        <v/>
      </c>
      <c r="S45" s="125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26">
        <f>IF(U45=TRUE,$J45,"")</f>
        <v/>
      </c>
      <c r="U45" s="124" t="b">
        <v>0</v>
      </c>
      <c r="V45" s="125">
        <f>IF(AND(H45=TRUE,OR(K45="",K45&gt;M45)),S45,0)</f>
        <v/>
      </c>
      <c r="W45" s="124" t="n">
        <v>0</v>
      </c>
      <c r="X45" s="124" t="b">
        <v>0</v>
      </c>
      <c r="Y45" s="127">
        <f>IF(H45=FALSE,VLOOKUP($C45,Sales!$C:$F,4,FALSE),1)</f>
        <v/>
      </c>
      <c r="Z45" s="124">
        <f>IF(Y45=0,"Release",IF(AND(L45&lt;J45,Y45=1,H45=FALSE,U45=FALSE,MONTH(L45)&amp;"/"&amp;YEAR(L45)&lt;&gt;MONTH(J45)&amp;"/"&amp;YEAR(J45)),"Release",""))</f>
        <v/>
      </c>
      <c r="AA45" s="128">
        <f>_xlfn.minifs($L:$L,$C:$C,$C45,$F:$F,"&lt;&gt;0")</f>
        <v/>
      </c>
      <c r="AB45" s="128">
        <f>C45&amp;"-"&amp;A45</f>
        <v/>
      </c>
      <c r="AC45" s="128">
        <f>L45</f>
        <v/>
      </c>
    </row>
    <row r="46">
      <c r="A46" s="124" t="inlineStr">
        <is>
          <t>ZMAG01</t>
        </is>
      </c>
      <c r="B46" s="124" t="n">
        <v>3</v>
      </c>
      <c r="C46" s="124" t="inlineStr">
        <is>
          <t>HFA206</t>
        </is>
      </c>
      <c r="D46" s="124" t="inlineStr">
        <is>
          <t>A</t>
        </is>
      </c>
      <c r="E46" s="124" t="inlineStr">
        <is>
          <t>Psomotragos Petro</t>
        </is>
      </c>
      <c r="F46" s="125">
        <f>SUMIFS(Investors!$M:$M, Investors!$I:$I, "&lt;=" &amp; 'NSST Print'!$B$3, Investors!$K:$K, "&gt;" &amp; 'NSST Print'!$B$3, Investors!$A:$A, 'Investor Exit List'!A46, Investors!$E:$E, 'Investor Exit List'!C46)</f>
        <v/>
      </c>
      <c r="G46" s="126" t="n">
        <v>44378</v>
      </c>
      <c r="H46" s="124">
        <f>VLOOKUP($C46,Sales!$C:$E,2,FALSE)</f>
        <v/>
      </c>
      <c r="I46" s="124">
        <f>VLOOKUP($C46,Sales!$C:$E,3,FALSE)</f>
        <v/>
      </c>
      <c r="J46" s="126">
        <f>SUMIFS(Sales!$H:$H,Sales!$C:$C,'Investor Exit List'!$C46)</f>
        <v/>
      </c>
      <c r="K46" s="126">
        <f>IF(I46=TRUE,J46,"")</f>
        <v/>
      </c>
      <c r="L46" s="126">
        <f>G46+730</f>
        <v/>
      </c>
      <c r="M46" s="126" t="n">
        <v>45443</v>
      </c>
      <c r="N46" s="127">
        <f>IFERROR(IF(G46&lt;&gt;"",IF(I46=TRUE,0,IF(U46=TRUE,0,L46-M46)),0),0)</f>
        <v/>
      </c>
      <c r="O46" s="127">
        <f>IF(N46&gt;0,IF(N46&lt;=180,N46,0),0)</f>
        <v/>
      </c>
      <c r="P46" s="125">
        <f>IF(AND(N46&lt;90,N46&gt;0),Q46,0)</f>
        <v/>
      </c>
      <c r="Q46" s="125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25">
        <f>IF(AND(H46=TRUE,I46=FALSE),Q46,0)</f>
        <v/>
      </c>
      <c r="S46" s="125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26">
        <f>IF(U46=TRUE,$J46,"")</f>
        <v/>
      </c>
      <c r="U46" s="124" t="b">
        <v>0</v>
      </c>
      <c r="V46" s="125">
        <f>IF(AND(H46=TRUE,OR(K46="",K46&gt;M46)),S46,0)</f>
        <v/>
      </c>
      <c r="W46" s="124" t="n">
        <v>0</v>
      </c>
      <c r="X46" s="124" t="b">
        <v>0</v>
      </c>
      <c r="Y46" s="127">
        <f>IF(H46=FALSE,VLOOKUP($C46,Sales!$C:$F,4,FALSE),1)</f>
        <v/>
      </c>
      <c r="Z46" s="124">
        <f>IF(Y46=0,"Release",IF(AND(L46&lt;J46,Y46=1,H46=FALSE,U46=FALSE,MONTH(L46)&amp;"/"&amp;YEAR(L46)&lt;&gt;MONTH(J46)&amp;"/"&amp;YEAR(J46)),"Release",""))</f>
        <v/>
      </c>
      <c r="AA46" s="128">
        <f>_xlfn.minifs($L:$L,$C:$C,$C46,$F:$F,"&lt;&gt;0")</f>
        <v/>
      </c>
      <c r="AB46" s="128">
        <f>C46&amp;"-"&amp;A46</f>
        <v/>
      </c>
      <c r="AC46" s="128">
        <f>L46</f>
        <v/>
      </c>
    </row>
    <row r="47">
      <c r="A47" s="124" t="inlineStr">
        <is>
          <t>ZVDM01</t>
        </is>
      </c>
      <c r="B47" s="124" t="n">
        <v>3</v>
      </c>
      <c r="C47" s="124" t="inlineStr">
        <is>
          <t>HFA206</t>
        </is>
      </c>
      <c r="D47" s="124" t="inlineStr">
        <is>
          <t>A</t>
        </is>
      </c>
      <c r="E47" s="124" t="inlineStr">
        <is>
          <t>van der Mescht Paula</t>
        </is>
      </c>
      <c r="F47" s="125">
        <f>SUMIFS(Investors!$M:$M, Investors!$I:$I, "&lt;=" &amp; 'NSST Print'!$B$3, Investors!$K:$K, "&gt;" &amp; 'NSST Print'!$B$3, Investors!$A:$A, 'Investor Exit List'!A47, Investors!$E:$E, 'Investor Exit List'!C47)</f>
        <v/>
      </c>
      <c r="G47" s="126" t="n">
        <v>44316</v>
      </c>
      <c r="H47" s="124">
        <f>VLOOKUP($C47,Sales!$C:$E,2,FALSE)</f>
        <v/>
      </c>
      <c r="I47" s="124">
        <f>VLOOKUP($C47,Sales!$C:$E,3,FALSE)</f>
        <v/>
      </c>
      <c r="J47" s="126">
        <f>SUMIFS(Sales!$H:$H,Sales!$C:$C,'Investor Exit List'!$C47)</f>
        <v/>
      </c>
      <c r="K47" s="126">
        <f>IF(I47=TRUE,J47,"")</f>
        <v/>
      </c>
      <c r="L47" s="126">
        <f>G47+730</f>
        <v/>
      </c>
      <c r="M47" s="126" t="n">
        <v>45443</v>
      </c>
      <c r="N47" s="127">
        <f>IFERROR(IF(G47&lt;&gt;"",IF(I47=TRUE,0,IF(U47=TRUE,0,L47-M47)),0),0)</f>
        <v/>
      </c>
      <c r="O47" s="127">
        <f>IF(N47&gt;0,IF(N47&lt;=180,N47,0),0)</f>
        <v/>
      </c>
      <c r="P47" s="125">
        <f>IF(AND(N47&lt;90,N47&gt;0),Q47,0)</f>
        <v/>
      </c>
      <c r="Q47" s="125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25">
        <f>IF(AND(H47=TRUE,I47=FALSE),Q47,0)</f>
        <v/>
      </c>
      <c r="S47" s="125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26">
        <f>IF(U47=TRUE,$J47,"")</f>
        <v/>
      </c>
      <c r="U47" s="124" t="b">
        <v>0</v>
      </c>
      <c r="V47" s="125">
        <f>IF(AND(H47=TRUE,OR(K47="",K47&gt;M47)),S47,0)</f>
        <v/>
      </c>
      <c r="W47" s="124" t="n">
        <v>0</v>
      </c>
      <c r="X47" s="124" t="b">
        <v>0</v>
      </c>
      <c r="Y47" s="127">
        <f>IF(H47=FALSE,VLOOKUP($C47,Sales!$C:$F,4,FALSE),1)</f>
        <v/>
      </c>
      <c r="Z47" s="124">
        <f>IF(Y47=0,"Release",IF(AND(L47&lt;J47,Y47=1,H47=FALSE,U47=FALSE,MONTH(L47)&amp;"/"&amp;YEAR(L47)&lt;&gt;MONTH(J47)&amp;"/"&amp;YEAR(J47)),"Release",""))</f>
        <v/>
      </c>
      <c r="AA47" s="128">
        <f>_xlfn.minifs($L:$L,$C:$C,$C47,$F:$F,"&lt;&gt;0")</f>
        <v/>
      </c>
      <c r="AB47" s="128">
        <f>C47&amp;"-"&amp;A47</f>
        <v/>
      </c>
      <c r="AC47" s="128">
        <f>L47</f>
        <v/>
      </c>
    </row>
    <row r="48">
      <c r="A48" s="124" t="inlineStr">
        <is>
          <t>ZMAT01</t>
        </is>
      </c>
      <c r="B48" s="124" t="n">
        <v>4</v>
      </c>
      <c r="C48" s="124" t="inlineStr">
        <is>
          <t>HFA301</t>
        </is>
      </c>
      <c r="D48" s="124" t="inlineStr">
        <is>
          <t>A</t>
        </is>
      </c>
      <c r="E48" s="124" t="inlineStr">
        <is>
          <t>Matthews Natalie</t>
        </is>
      </c>
      <c r="F48" s="125">
        <f>SUMIFS(Investors!$M:$M, Investors!$I:$I, "&lt;=" &amp; 'NSST Print'!$B$3, Investors!$K:$K, "&gt;" &amp; 'NSST Print'!$B$3, Investors!$A:$A, 'Investor Exit List'!A48, Investors!$E:$E, 'Investor Exit List'!C48)</f>
        <v/>
      </c>
      <c r="G48" s="126" t="n">
        <v>44378</v>
      </c>
      <c r="H48" s="124">
        <f>VLOOKUP($C48,Sales!$C:$E,2,FALSE)</f>
        <v/>
      </c>
      <c r="I48" s="124">
        <f>VLOOKUP($C48,Sales!$C:$E,3,FALSE)</f>
        <v/>
      </c>
      <c r="J48" s="126">
        <f>SUMIFS(Sales!$H:$H,Sales!$C:$C,'Investor Exit List'!$C48)</f>
        <v/>
      </c>
      <c r="K48" s="126">
        <f>IF(I48=TRUE,J48,"")</f>
        <v/>
      </c>
      <c r="L48" s="126">
        <f>G48+730</f>
        <v/>
      </c>
      <c r="M48" s="126" t="n">
        <v>45443</v>
      </c>
      <c r="N48" s="127">
        <f>IFERROR(IF(G48&lt;&gt;"",IF(I48=TRUE,0,IF(U48=TRUE,0,L48-M48)),0),0)</f>
        <v/>
      </c>
      <c r="O48" s="127">
        <f>IF(N48&gt;0,IF(N48&lt;=180,N48,0),0)</f>
        <v/>
      </c>
      <c r="P48" s="125">
        <f>IF(AND(N48&lt;90,N48&gt;0),Q48,0)</f>
        <v/>
      </c>
      <c r="Q48" s="125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25">
        <f>IF(AND(H48=TRUE,I48=FALSE),Q48,0)</f>
        <v/>
      </c>
      <c r="S48" s="125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26">
        <f>IF(U48=TRUE,$J48,"")</f>
        <v/>
      </c>
      <c r="U48" s="124" t="b">
        <v>0</v>
      </c>
      <c r="V48" s="125">
        <f>IF(AND(H48=TRUE,OR(K48="",K48&gt;M48)),S48,0)</f>
        <v/>
      </c>
      <c r="W48" s="124" t="n">
        <v>0</v>
      </c>
      <c r="X48" s="124" t="b">
        <v>0</v>
      </c>
      <c r="Y48" s="127">
        <f>IF(H48=FALSE,VLOOKUP($C48,Sales!$C:$F,4,FALSE),1)</f>
        <v/>
      </c>
      <c r="Z48" s="124">
        <f>IF(Y48=0,"Release",IF(AND(L48&lt;J48,Y48=1,H48=FALSE,U48=FALSE,MONTH(L48)&amp;"/"&amp;YEAR(L48)&lt;&gt;MONTH(J48)&amp;"/"&amp;YEAR(J48)),"Release",""))</f>
        <v/>
      </c>
      <c r="AA48" s="128">
        <f>_xlfn.minifs($L:$L,$C:$C,$C48,$F:$F,"&lt;&gt;0")</f>
        <v/>
      </c>
      <c r="AB48" s="128">
        <f>C48&amp;"-"&amp;A48</f>
        <v/>
      </c>
      <c r="AC48" s="128">
        <f>L48</f>
        <v/>
      </c>
    </row>
    <row r="49">
      <c r="A49" s="124" t="inlineStr">
        <is>
          <t>ZSCH01</t>
        </is>
      </c>
      <c r="B49" s="124" t="n">
        <v>11</v>
      </c>
      <c r="C49" s="124" t="inlineStr">
        <is>
          <t>HFA301</t>
        </is>
      </c>
      <c r="D49" s="124" t="inlineStr">
        <is>
          <t>A</t>
        </is>
      </c>
      <c r="E49" s="124" t="inlineStr">
        <is>
          <t>Schubert Inge</t>
        </is>
      </c>
      <c r="F49" s="125">
        <f>SUMIFS(Investors!$M:$M, Investors!$I:$I, "&lt;=" &amp; 'NSST Print'!$B$3, Investors!$K:$K, "&gt;" &amp; 'NSST Print'!$B$3, Investors!$A:$A, 'Investor Exit List'!A49, Investors!$E:$E, 'Investor Exit List'!C49)</f>
        <v/>
      </c>
      <c r="G49" s="126" t="n">
        <v>44352</v>
      </c>
      <c r="H49" s="124">
        <f>VLOOKUP($C49,Sales!$C:$E,2,FALSE)</f>
        <v/>
      </c>
      <c r="I49" s="124">
        <f>VLOOKUP($C49,Sales!$C:$E,3,FALSE)</f>
        <v/>
      </c>
      <c r="J49" s="126">
        <f>SUMIFS(Sales!$H:$H,Sales!$C:$C,'Investor Exit List'!$C49)</f>
        <v/>
      </c>
      <c r="K49" s="126">
        <f>IF(I49=TRUE,J49,"")</f>
        <v/>
      </c>
      <c r="L49" s="126">
        <f>G49+730</f>
        <v/>
      </c>
      <c r="M49" s="126" t="n">
        <v>45443</v>
      </c>
      <c r="N49" s="127">
        <f>IFERROR(IF(G49&lt;&gt;"",IF(I49=TRUE,0,IF(U49=TRUE,0,L49-M49)),0),0)</f>
        <v/>
      </c>
      <c r="O49" s="127">
        <f>IF(N49&gt;0,IF(N49&lt;=180,N49,0),0)</f>
        <v/>
      </c>
      <c r="P49" s="125">
        <f>IF(AND(N49&lt;90,N49&gt;0),Q49,0)</f>
        <v/>
      </c>
      <c r="Q49" s="125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25">
        <f>IF(AND(H49=TRUE,I49=FALSE),Q49,0)</f>
        <v/>
      </c>
      <c r="S49" s="125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26">
        <f>IF(U49=TRUE,$J49,"")</f>
        <v/>
      </c>
      <c r="U49" s="124" t="b">
        <v>0</v>
      </c>
      <c r="V49" s="125">
        <f>IF(AND(H49=TRUE,OR(K49="",K49&gt;M49)),S49,0)</f>
        <v/>
      </c>
      <c r="W49" s="124" t="n">
        <v>0</v>
      </c>
      <c r="X49" s="124" t="b">
        <v>0</v>
      </c>
      <c r="Y49" s="127">
        <f>IF(H49=FALSE,VLOOKUP($C49,Sales!$C:$F,4,FALSE),1)</f>
        <v/>
      </c>
      <c r="Z49" s="124">
        <f>IF(Y49=0,"Release",IF(AND(L49&lt;J49,Y49=1,H49=FALSE,U49=FALSE,MONTH(L49)&amp;"/"&amp;YEAR(L49)&lt;&gt;MONTH(J49)&amp;"/"&amp;YEAR(J49)),"Release",""))</f>
        <v/>
      </c>
      <c r="AA49" s="128">
        <f>_xlfn.minifs($L:$L,$C:$C,$C49,$F:$F,"&lt;&gt;0")</f>
        <v/>
      </c>
      <c r="AB49" s="128">
        <f>C49&amp;"-"&amp;A49</f>
        <v/>
      </c>
      <c r="AC49" s="128">
        <f>L49</f>
        <v/>
      </c>
    </row>
    <row r="50">
      <c r="A50" s="124" t="inlineStr">
        <is>
          <t>ZTSH01</t>
        </is>
      </c>
      <c r="B50" s="124" t="n">
        <v>1</v>
      </c>
      <c r="C50" s="124" t="inlineStr">
        <is>
          <t>HFA301</t>
        </is>
      </c>
      <c r="D50" s="124" t="inlineStr">
        <is>
          <t>A</t>
        </is>
      </c>
      <c r="E50" s="124" t="inlineStr">
        <is>
          <t>Tshabalala Thandeka Patience</t>
        </is>
      </c>
      <c r="F50" s="125">
        <f>SUMIFS(Investors!$M:$M, Investors!$I:$I, "&lt;=" &amp; 'NSST Print'!$B$3, Investors!$K:$K, "&gt;" &amp; 'NSST Print'!$B$3, Investors!$A:$A, 'Investor Exit List'!A50, Investors!$E:$E, 'Investor Exit List'!C50)</f>
        <v/>
      </c>
      <c r="G50" s="126" t="n">
        <v>44378</v>
      </c>
      <c r="H50" s="124">
        <f>VLOOKUP($C50,Sales!$C:$E,2,FALSE)</f>
        <v/>
      </c>
      <c r="I50" s="124">
        <f>VLOOKUP($C50,Sales!$C:$E,3,FALSE)</f>
        <v/>
      </c>
      <c r="J50" s="126">
        <f>SUMIFS(Sales!$H:$H,Sales!$C:$C,'Investor Exit List'!$C50)</f>
        <v/>
      </c>
      <c r="K50" s="126">
        <f>IF(I50=TRUE,J50,"")</f>
        <v/>
      </c>
      <c r="L50" s="126">
        <f>G50+730</f>
        <v/>
      </c>
      <c r="M50" s="126" t="n">
        <v>45443</v>
      </c>
      <c r="N50" s="127">
        <f>IFERROR(IF(G50&lt;&gt;"",IF(I50=TRUE,0,IF(U50=TRUE,0,L50-M50)),0),0)</f>
        <v/>
      </c>
      <c r="O50" s="127">
        <f>IF(N50&gt;0,IF(N50&lt;=180,N50,0),0)</f>
        <v/>
      </c>
      <c r="P50" s="125">
        <f>IF(AND(N50&lt;90,N50&gt;0),Q50,0)</f>
        <v/>
      </c>
      <c r="Q50" s="125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25">
        <f>IF(AND(H50=TRUE,I50=FALSE),Q50,0)</f>
        <v/>
      </c>
      <c r="S50" s="125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26">
        <f>IF(U50=TRUE,$J50,"")</f>
        <v/>
      </c>
      <c r="U50" s="124" t="b">
        <v>0</v>
      </c>
      <c r="V50" s="125">
        <f>IF(AND(H50=TRUE,OR(K50="",K50&gt;M50)),S50,0)</f>
        <v/>
      </c>
      <c r="W50" s="124" t="n">
        <v>0</v>
      </c>
      <c r="X50" s="124" t="b">
        <v>0</v>
      </c>
      <c r="Y50" s="127">
        <f>IF(H50=FALSE,VLOOKUP($C50,Sales!$C:$F,4,FALSE),1)</f>
        <v/>
      </c>
      <c r="Z50" s="124">
        <f>IF(Y50=0,"Release",IF(AND(L50&lt;J50,Y50=1,H50=FALSE,U50=FALSE,MONTH(L50)&amp;"/"&amp;YEAR(L50)&lt;&gt;MONTH(J50)&amp;"/"&amp;YEAR(J50)),"Release",""))</f>
        <v/>
      </c>
      <c r="AA50" s="128">
        <f>_xlfn.minifs($L:$L,$C:$C,$C50,$F:$F,"&lt;&gt;0")</f>
        <v/>
      </c>
      <c r="AB50" s="128">
        <f>C50&amp;"-"&amp;A50</f>
        <v/>
      </c>
      <c r="AC50" s="128">
        <f>L50</f>
        <v/>
      </c>
    </row>
    <row r="51">
      <c r="A51" s="124" t="inlineStr">
        <is>
          <t>ZASD01</t>
        </is>
      </c>
      <c r="B51" s="124" t="n">
        <v>1</v>
      </c>
      <c r="C51" s="124" t="inlineStr">
        <is>
          <t>HFA302</t>
        </is>
      </c>
      <c r="D51" s="124" t="inlineStr">
        <is>
          <t>A</t>
        </is>
      </c>
      <c r="E51" s="124" t="inlineStr">
        <is>
          <t>Bendall Stuart Charles</t>
        </is>
      </c>
      <c r="F51" s="125">
        <f>SUMIFS(Investors!$M:$M, Investors!$I:$I, "&lt;=" &amp; 'NSST Print'!$B$3, Investors!$K:$K, "&gt;" &amp; 'NSST Print'!$B$3, Investors!$A:$A, 'Investor Exit List'!A51, Investors!$E:$E, 'Investor Exit List'!C51)</f>
        <v/>
      </c>
      <c r="G51" s="126" t="n">
        <v>44352</v>
      </c>
      <c r="H51" s="124">
        <f>VLOOKUP($C51,Sales!$C:$E,2,FALSE)</f>
        <v/>
      </c>
      <c r="I51" s="124">
        <f>VLOOKUP($C51,Sales!$C:$E,3,FALSE)</f>
        <v/>
      </c>
      <c r="J51" s="126">
        <f>SUMIFS(Sales!$H:$H,Sales!$C:$C,'Investor Exit List'!$C51)</f>
        <v/>
      </c>
      <c r="K51" s="126">
        <f>IF(I51=TRUE,J51,"")</f>
        <v/>
      </c>
      <c r="L51" s="126">
        <f>G51+730</f>
        <v/>
      </c>
      <c r="M51" s="126" t="n">
        <v>45443</v>
      </c>
      <c r="N51" s="127">
        <f>IFERROR(IF(G51&lt;&gt;"",IF(I51=TRUE,0,IF(U51=TRUE,0,L51-M51)),0),0)</f>
        <v/>
      </c>
      <c r="O51" s="127">
        <f>IF(N51&gt;0,IF(N51&lt;=180,N51,0),0)</f>
        <v/>
      </c>
      <c r="P51" s="125">
        <f>IF(AND(N51&lt;90,N51&gt;0),Q51,0)</f>
        <v/>
      </c>
      <c r="Q51" s="125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25">
        <f>IF(AND(H51=TRUE,I51=FALSE),Q51,0)</f>
        <v/>
      </c>
      <c r="S51" s="125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26">
        <f>IF(U51=TRUE,$J51,"")</f>
        <v/>
      </c>
      <c r="U51" s="124" t="b">
        <v>0</v>
      </c>
      <c r="V51" s="125">
        <f>IF(AND(H51=TRUE,OR(K51="",K51&gt;M51)),S51,0)</f>
        <v/>
      </c>
      <c r="W51" s="124" t="n">
        <v>0</v>
      </c>
      <c r="X51" s="124" t="b">
        <v>0</v>
      </c>
      <c r="Y51" s="127">
        <f>IF(H51=FALSE,VLOOKUP($C51,Sales!$C:$F,4,FALSE),1)</f>
        <v/>
      </c>
      <c r="Z51" s="124">
        <f>IF(Y51=0,"Release",IF(AND(L51&lt;J51,Y51=1,H51=FALSE,U51=FALSE,MONTH(L51)&amp;"/"&amp;YEAR(L51)&lt;&gt;MONTH(J51)&amp;"/"&amp;YEAR(J51)),"Release",""))</f>
        <v/>
      </c>
      <c r="AA51" s="128">
        <f>_xlfn.minifs($L:$L,$C:$C,$C51,$F:$F,"&lt;&gt;0")</f>
        <v/>
      </c>
      <c r="AB51" s="128">
        <f>C51&amp;"-"&amp;A51</f>
        <v/>
      </c>
      <c r="AC51" s="128">
        <f>L51</f>
        <v/>
      </c>
    </row>
    <row r="52">
      <c r="A52" s="124" t="inlineStr">
        <is>
          <t>ZMCK01</t>
        </is>
      </c>
      <c r="B52" s="124" t="n">
        <v>2</v>
      </c>
      <c r="C52" s="124" t="inlineStr">
        <is>
          <t>HFA302</t>
        </is>
      </c>
      <c r="D52" s="124" t="inlineStr">
        <is>
          <t>A</t>
        </is>
      </c>
      <c r="E52" s="124" t="inlineStr">
        <is>
          <t>MacKenzie-Jones Caitlin</t>
        </is>
      </c>
      <c r="F52" s="125">
        <f>SUMIFS(Investors!$M:$M, Investors!$I:$I, "&lt;=" &amp; 'NSST Print'!$B$3, Investors!$K:$K, "&gt;" &amp; 'NSST Print'!$B$3, Investors!$A:$A, 'Investor Exit List'!A52, Investors!$E:$E, 'Investor Exit List'!C52)</f>
        <v/>
      </c>
      <c r="G52" s="126" t="n">
        <v>44352</v>
      </c>
      <c r="H52" s="124">
        <f>VLOOKUP($C52,Sales!$C:$E,2,FALSE)</f>
        <v/>
      </c>
      <c r="I52" s="124">
        <f>VLOOKUP($C52,Sales!$C:$E,3,FALSE)</f>
        <v/>
      </c>
      <c r="J52" s="126">
        <f>SUMIFS(Sales!$H:$H,Sales!$C:$C,'Investor Exit List'!$C52)</f>
        <v/>
      </c>
      <c r="K52" s="126">
        <f>IF(I52=TRUE,J52,"")</f>
        <v/>
      </c>
      <c r="L52" s="126">
        <f>G52+730</f>
        <v/>
      </c>
      <c r="M52" s="126" t="n">
        <v>45443</v>
      </c>
      <c r="N52" s="127">
        <f>IFERROR(IF(G52&lt;&gt;"",IF(I52=TRUE,0,IF(U52=TRUE,0,L52-M52)),0),0)</f>
        <v/>
      </c>
      <c r="O52" s="127">
        <f>IF(N52&gt;0,IF(N52&lt;=180,N52,0),0)</f>
        <v/>
      </c>
      <c r="P52" s="125">
        <f>IF(AND(N52&lt;90,N52&gt;0),Q52,0)</f>
        <v/>
      </c>
      <c r="Q52" s="125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25">
        <f>IF(AND(H52=TRUE,I52=FALSE),Q52,0)</f>
        <v/>
      </c>
      <c r="S52" s="125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26">
        <f>IF(U52=TRUE,$J52,"")</f>
        <v/>
      </c>
      <c r="U52" s="124" t="b">
        <v>0</v>
      </c>
      <c r="V52" s="125">
        <f>IF(AND(H52=TRUE,OR(K52="",K52&gt;M52)),S52,0)</f>
        <v/>
      </c>
      <c r="W52" s="124" t="n">
        <v>0</v>
      </c>
      <c r="X52" s="124" t="b">
        <v>0</v>
      </c>
      <c r="Y52" s="127">
        <f>IF(H52=FALSE,VLOOKUP($C52,Sales!$C:$F,4,FALSE),1)</f>
        <v/>
      </c>
      <c r="Z52" s="124">
        <f>IF(Y52=0,"Release",IF(AND(L52&lt;J52,Y52=1,H52=FALSE,U52=FALSE,MONTH(L52)&amp;"/"&amp;YEAR(L52)&lt;&gt;MONTH(J52)&amp;"/"&amp;YEAR(J52)),"Release",""))</f>
        <v/>
      </c>
      <c r="AA52" s="128">
        <f>_xlfn.minifs($L:$L,$C:$C,$C52,$F:$F,"&lt;&gt;0")</f>
        <v/>
      </c>
      <c r="AB52" s="128">
        <f>C52&amp;"-"&amp;A52</f>
        <v/>
      </c>
      <c r="AC52" s="128">
        <f>L52</f>
        <v/>
      </c>
    </row>
    <row r="53">
      <c r="A53" s="124" t="inlineStr">
        <is>
          <t>ZGMA01</t>
        </is>
      </c>
      <c r="B53" s="124" t="n">
        <v>1</v>
      </c>
      <c r="C53" s="124" t="inlineStr">
        <is>
          <t>HFA303</t>
        </is>
      </c>
      <c r="D53" s="124" t="inlineStr">
        <is>
          <t>A</t>
        </is>
      </c>
      <c r="E53" s="124" t="inlineStr">
        <is>
          <t>Matthee Gerald Adriaan Odendal</t>
        </is>
      </c>
      <c r="F53" s="125">
        <f>SUMIFS(Investors!$M:$M, Investors!$I:$I, "&lt;=" &amp; 'NSST Print'!$B$3, Investors!$K:$K, "&gt;" &amp; 'NSST Print'!$B$3, Investors!$A:$A, 'Investor Exit List'!A53, Investors!$E:$E, 'Investor Exit List'!C53)</f>
        <v/>
      </c>
      <c r="G53" s="126" t="n">
        <v>44352</v>
      </c>
      <c r="H53" s="124">
        <f>VLOOKUP($C53,Sales!$C:$E,2,FALSE)</f>
        <v/>
      </c>
      <c r="I53" s="124">
        <f>VLOOKUP($C53,Sales!$C:$E,3,FALSE)</f>
        <v/>
      </c>
      <c r="J53" s="126">
        <f>SUMIFS(Sales!$H:$H,Sales!$C:$C,'Investor Exit List'!$C53)</f>
        <v/>
      </c>
      <c r="K53" s="126">
        <f>IF(I53=TRUE,J53,"")</f>
        <v/>
      </c>
      <c r="L53" s="126">
        <f>G53+730</f>
        <v/>
      </c>
      <c r="M53" s="126" t="n">
        <v>45443</v>
      </c>
      <c r="N53" s="127">
        <f>IFERROR(IF(G53&lt;&gt;"",IF(I53=TRUE,0,IF(U53=TRUE,0,L53-M53)),0),0)</f>
        <v/>
      </c>
      <c r="O53" s="127">
        <f>IF(N53&gt;0,IF(N53&lt;=180,N53,0),0)</f>
        <v/>
      </c>
      <c r="P53" s="125">
        <f>IF(AND(N53&lt;90,N53&gt;0),Q53,0)</f>
        <v/>
      </c>
      <c r="Q53" s="125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25">
        <f>IF(AND(H53=TRUE,I53=FALSE),Q53,0)</f>
        <v/>
      </c>
      <c r="S53" s="125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26">
        <f>IF(U53=TRUE,$J53,"")</f>
        <v/>
      </c>
      <c r="U53" s="124" t="b">
        <v>0</v>
      </c>
      <c r="V53" s="125">
        <f>IF(AND(H53=TRUE,OR(K53="",K53&gt;M53)),S53,0)</f>
        <v/>
      </c>
      <c r="W53" s="124" t="n">
        <v>0</v>
      </c>
      <c r="X53" s="124" t="b">
        <v>0</v>
      </c>
      <c r="Y53" s="127">
        <f>IF(H53=FALSE,VLOOKUP($C53,Sales!$C:$F,4,FALSE),1)</f>
        <v/>
      </c>
      <c r="Z53" s="124">
        <f>IF(Y53=0,"Release",IF(AND(L53&lt;J53,Y53=1,H53=FALSE,U53=FALSE,MONTH(L53)&amp;"/"&amp;YEAR(L53)&lt;&gt;MONTH(J53)&amp;"/"&amp;YEAR(J53)),"Release",""))</f>
        <v/>
      </c>
      <c r="AA53" s="128">
        <f>_xlfn.minifs($L:$L,$C:$C,$C53,$F:$F,"&lt;&gt;0")</f>
        <v/>
      </c>
      <c r="AB53" s="128">
        <f>C53&amp;"-"&amp;A53</f>
        <v/>
      </c>
      <c r="AC53" s="128">
        <f>L53</f>
        <v/>
      </c>
    </row>
    <row r="54">
      <c r="A54" s="124" t="inlineStr">
        <is>
          <t>ZLMA01</t>
        </is>
      </c>
      <c r="B54" s="124" t="n">
        <v>1</v>
      </c>
      <c r="C54" s="124" t="inlineStr">
        <is>
          <t>HFA303</t>
        </is>
      </c>
      <c r="D54" s="124" t="inlineStr">
        <is>
          <t>A</t>
        </is>
      </c>
      <c r="E54" s="124" t="inlineStr">
        <is>
          <t>Magwaza Luvo</t>
        </is>
      </c>
      <c r="F54" s="125">
        <f>SUMIFS(Investors!$M:$M, Investors!$I:$I, "&lt;=" &amp; 'NSST Print'!$B$3, Investors!$K:$K, "&gt;" &amp; 'NSST Print'!$B$3, Investors!$A:$A, 'Investor Exit List'!A54, Investors!$E:$E, 'Investor Exit List'!C54)</f>
        <v/>
      </c>
      <c r="G54" s="126" t="n">
        <v>44352</v>
      </c>
      <c r="H54" s="124">
        <f>VLOOKUP($C54,Sales!$C:$E,2,FALSE)</f>
        <v/>
      </c>
      <c r="I54" s="124">
        <f>VLOOKUP($C54,Sales!$C:$E,3,FALSE)</f>
        <v/>
      </c>
      <c r="J54" s="126">
        <f>SUMIFS(Sales!$H:$H,Sales!$C:$C,'Investor Exit List'!$C54)</f>
        <v/>
      </c>
      <c r="K54" s="126">
        <f>IF(I54=TRUE,J54,"")</f>
        <v/>
      </c>
      <c r="L54" s="126">
        <f>G54+730</f>
        <v/>
      </c>
      <c r="M54" s="126" t="n">
        <v>45443</v>
      </c>
      <c r="N54" s="127">
        <f>IFERROR(IF(G54&lt;&gt;"",IF(I54=TRUE,0,IF(U54=TRUE,0,L54-M54)),0),0)</f>
        <v/>
      </c>
      <c r="O54" s="127">
        <f>IF(N54&gt;0,IF(N54&lt;=180,N54,0),0)</f>
        <v/>
      </c>
      <c r="P54" s="125">
        <f>IF(AND(N54&lt;90,N54&gt;0),Q54,0)</f>
        <v/>
      </c>
      <c r="Q54" s="125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25">
        <f>IF(AND(H54=TRUE,I54=FALSE),Q54,0)</f>
        <v/>
      </c>
      <c r="S54" s="125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26">
        <f>IF(U54=TRUE,$J54,"")</f>
        <v/>
      </c>
      <c r="U54" s="124" t="b">
        <v>0</v>
      </c>
      <c r="V54" s="125">
        <f>IF(AND(H54=TRUE,OR(K54="",K54&gt;M54)),S54,0)</f>
        <v/>
      </c>
      <c r="W54" s="124" t="n">
        <v>0</v>
      </c>
      <c r="X54" s="124" t="b">
        <v>0</v>
      </c>
      <c r="Y54" s="127">
        <f>IF(H54=FALSE,VLOOKUP($C54,Sales!$C:$F,4,FALSE),1)</f>
        <v/>
      </c>
      <c r="Z54" s="124">
        <f>IF(Y54=0,"Release",IF(AND(L54&lt;J54,Y54=1,H54=FALSE,U54=FALSE,MONTH(L54)&amp;"/"&amp;YEAR(L54)&lt;&gt;MONTH(J54)&amp;"/"&amp;YEAR(J54)),"Release",""))</f>
        <v/>
      </c>
      <c r="AA54" s="128">
        <f>_xlfn.minifs($L:$L,$C:$C,$C54,$F:$F,"&lt;&gt;0")</f>
        <v/>
      </c>
      <c r="AB54" s="128">
        <f>C54&amp;"-"&amp;A54</f>
        <v/>
      </c>
      <c r="AC54" s="128">
        <f>L54</f>
        <v/>
      </c>
    </row>
    <row r="55">
      <c r="A55" s="124" t="inlineStr">
        <is>
          <t>ZSMI01</t>
        </is>
      </c>
      <c r="B55" s="124" t="n">
        <v>1</v>
      </c>
      <c r="C55" s="124" t="inlineStr">
        <is>
          <t>HFA303</t>
        </is>
      </c>
      <c r="D55" s="124" t="inlineStr">
        <is>
          <t>A</t>
        </is>
      </c>
      <c r="E55" s="124" t="inlineStr">
        <is>
          <t>Smit Eugene Patrick</t>
        </is>
      </c>
      <c r="F55" s="125">
        <f>SUMIFS(Investors!$M:$M, Investors!$I:$I, "&lt;=" &amp; 'NSST Print'!$B$3, Investors!$K:$K, "&gt;" &amp; 'NSST Print'!$B$3, Investors!$A:$A, 'Investor Exit List'!A55, Investors!$E:$E, 'Investor Exit List'!C55)</f>
        <v/>
      </c>
      <c r="G55" s="126" t="n">
        <v>44352</v>
      </c>
      <c r="H55" s="124">
        <f>VLOOKUP($C55,Sales!$C:$E,2,FALSE)</f>
        <v/>
      </c>
      <c r="I55" s="124">
        <f>VLOOKUP($C55,Sales!$C:$E,3,FALSE)</f>
        <v/>
      </c>
      <c r="J55" s="126">
        <f>SUMIFS(Sales!$H:$H,Sales!$C:$C,'Investor Exit List'!$C55)</f>
        <v/>
      </c>
      <c r="K55" s="126">
        <f>IF(I55=TRUE,J55,"")</f>
        <v/>
      </c>
      <c r="L55" s="126">
        <f>G55+730</f>
        <v/>
      </c>
      <c r="M55" s="126" t="n">
        <v>45443</v>
      </c>
      <c r="N55" s="127">
        <f>IFERROR(IF(G55&lt;&gt;"",IF(I55=TRUE,0,IF(U55=TRUE,0,L55-M55)),0),0)</f>
        <v/>
      </c>
      <c r="O55" s="127">
        <f>IF(N55&gt;0,IF(N55&lt;=180,N55,0),0)</f>
        <v/>
      </c>
      <c r="P55" s="125">
        <f>IF(AND(N55&lt;90,N55&gt;0),Q55,0)</f>
        <v/>
      </c>
      <c r="Q55" s="125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25">
        <f>IF(AND(H55=TRUE,I55=FALSE),Q55,0)</f>
        <v/>
      </c>
      <c r="S55" s="125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26">
        <f>IF(U55=TRUE,$J55,"")</f>
        <v/>
      </c>
      <c r="U55" s="124" t="b">
        <v>0</v>
      </c>
      <c r="V55" s="125">
        <f>IF(AND(H55=TRUE,OR(K55="",K55&gt;M55)),S55,0)</f>
        <v/>
      </c>
      <c r="W55" s="124" t="n">
        <v>0</v>
      </c>
      <c r="X55" s="124" t="b">
        <v>0</v>
      </c>
      <c r="Y55" s="127">
        <f>IF(H55=FALSE,VLOOKUP($C55,Sales!$C:$F,4,FALSE),1)</f>
        <v/>
      </c>
      <c r="Z55" s="124">
        <f>IF(Y55=0,"Release",IF(AND(L55&lt;J55,Y55=1,H55=FALSE,U55=FALSE,MONTH(L55)&amp;"/"&amp;YEAR(L55)&lt;&gt;MONTH(J55)&amp;"/"&amp;YEAR(J55)),"Release",""))</f>
        <v/>
      </c>
      <c r="AA55" s="128">
        <f>_xlfn.minifs($L:$L,$C:$C,$C55,$F:$F,"&lt;&gt;0")</f>
        <v/>
      </c>
      <c r="AB55" s="128">
        <f>C55&amp;"-"&amp;A55</f>
        <v/>
      </c>
      <c r="AC55" s="128">
        <f>L55</f>
        <v/>
      </c>
    </row>
    <row r="56">
      <c r="A56" s="124" t="inlineStr">
        <is>
          <t>ZVDW01</t>
        </is>
      </c>
      <c r="B56" s="124" t="n">
        <v>1</v>
      </c>
      <c r="C56" s="124" t="inlineStr">
        <is>
          <t>HFA303</t>
        </is>
      </c>
      <c r="D56" s="124" t="inlineStr">
        <is>
          <t>A</t>
        </is>
      </c>
      <c r="E56" s="124" t="inlineStr">
        <is>
          <t>van der Walt  Philip</t>
        </is>
      </c>
      <c r="F56" s="125">
        <f>SUMIFS(Investors!$M:$M, Investors!$I:$I, "&lt;=" &amp; 'NSST Print'!$B$3, Investors!$K:$K, "&gt;" &amp; 'NSST Print'!$B$3, Investors!$A:$A, 'Investor Exit List'!A56, Investors!$E:$E, 'Investor Exit List'!C56)</f>
        <v/>
      </c>
      <c r="G56" s="126" t="n">
        <v>44352</v>
      </c>
      <c r="H56" s="124">
        <f>VLOOKUP($C56,Sales!$C:$E,2,FALSE)</f>
        <v/>
      </c>
      <c r="I56" s="124">
        <f>VLOOKUP($C56,Sales!$C:$E,3,FALSE)</f>
        <v/>
      </c>
      <c r="J56" s="126">
        <f>SUMIFS(Sales!$H:$H,Sales!$C:$C,'Investor Exit List'!$C56)</f>
        <v/>
      </c>
      <c r="K56" s="126">
        <f>IF(I56=TRUE,J56,"")</f>
        <v/>
      </c>
      <c r="L56" s="126">
        <f>G56+730</f>
        <v/>
      </c>
      <c r="M56" s="126" t="n">
        <v>45443</v>
      </c>
      <c r="N56" s="127">
        <f>IFERROR(IF(G56&lt;&gt;"",IF(I56=TRUE,0,IF(U56=TRUE,0,L56-M56)),0),0)</f>
        <v/>
      </c>
      <c r="O56" s="127">
        <f>IF(N56&gt;0,IF(N56&lt;=180,N56,0),0)</f>
        <v/>
      </c>
      <c r="P56" s="125">
        <f>IF(AND(N56&lt;90,N56&gt;0),Q56,0)</f>
        <v/>
      </c>
      <c r="Q56" s="125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25">
        <f>IF(AND(H56=TRUE,I56=FALSE),Q56,0)</f>
        <v/>
      </c>
      <c r="S56" s="125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26">
        <f>IF(U56=TRUE,$J56,"")</f>
        <v/>
      </c>
      <c r="U56" s="124" t="b">
        <v>0</v>
      </c>
      <c r="V56" s="125">
        <f>IF(AND(H56=TRUE,OR(K56="",K56&gt;M56)),S56,0)</f>
        <v/>
      </c>
      <c r="W56" s="124" t="n">
        <v>0</v>
      </c>
      <c r="X56" s="124" t="b">
        <v>0</v>
      </c>
      <c r="Y56" s="127">
        <f>IF(H56=FALSE,VLOOKUP($C56,Sales!$C:$F,4,FALSE),1)</f>
        <v/>
      </c>
      <c r="Z56" s="124">
        <f>IF(Y56=0,"Release",IF(AND(L56&lt;J56,Y56=1,H56=FALSE,U56=FALSE,MONTH(L56)&amp;"/"&amp;YEAR(L56)&lt;&gt;MONTH(J56)&amp;"/"&amp;YEAR(J56)),"Release",""))</f>
        <v/>
      </c>
      <c r="AA56" s="128">
        <f>_xlfn.minifs($L:$L,$C:$C,$C56,$F:$F,"&lt;&gt;0")</f>
        <v/>
      </c>
      <c r="AB56" s="128">
        <f>C56&amp;"-"&amp;A56</f>
        <v/>
      </c>
      <c r="AC56" s="128">
        <f>L56</f>
        <v/>
      </c>
    </row>
    <row r="57">
      <c r="A57" s="124" t="inlineStr">
        <is>
          <t>ZJHO01</t>
        </is>
      </c>
      <c r="B57" s="124" t="n">
        <v>2</v>
      </c>
      <c r="C57" s="124" t="inlineStr">
        <is>
          <t>HFA304</t>
        </is>
      </c>
      <c r="D57" s="124" t="inlineStr">
        <is>
          <t>A</t>
        </is>
      </c>
      <c r="E57" s="124" t="inlineStr">
        <is>
          <t>Hoets Jean</t>
        </is>
      </c>
      <c r="F57" s="125">
        <f>SUMIFS(Investors!$M:$M, Investors!$I:$I, "&lt;=" &amp; 'NSST Print'!$B$3, Investors!$K:$K, "&gt;" &amp; 'NSST Print'!$B$3, Investors!$A:$A, 'Investor Exit List'!A57, Investors!$E:$E, 'Investor Exit List'!C57)</f>
        <v/>
      </c>
      <c r="G57" s="126" t="n">
        <v>44855</v>
      </c>
      <c r="H57" s="124">
        <f>VLOOKUP($C57,Sales!$C:$E,2,FALSE)</f>
        <v/>
      </c>
      <c r="I57" s="124">
        <f>VLOOKUP($C57,Sales!$C:$E,3,FALSE)</f>
        <v/>
      </c>
      <c r="J57" s="126">
        <f>SUMIFS(Sales!$H:$H,Sales!$C:$C,'Investor Exit List'!$C57)</f>
        <v/>
      </c>
      <c r="K57" s="126">
        <f>IF(I57=TRUE,J57,"")</f>
        <v/>
      </c>
      <c r="L57" s="126">
        <f>G57+730</f>
        <v/>
      </c>
      <c r="M57" s="126" t="n">
        <v>45443</v>
      </c>
      <c r="N57" s="127">
        <f>IFERROR(IF(G57&lt;&gt;"",IF(I57=TRUE,0,IF(U57=TRUE,0,L57-M57)),0),0)</f>
        <v/>
      </c>
      <c r="O57" s="127">
        <f>IF(N57&gt;0,IF(N57&lt;=180,N57,0),0)</f>
        <v/>
      </c>
      <c r="P57" s="125">
        <f>IF(AND(N57&lt;90,N57&gt;0),Q57,0)</f>
        <v/>
      </c>
      <c r="Q57" s="125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25">
        <f>IF(AND(H57=TRUE,I57=FALSE),Q57,0)</f>
        <v/>
      </c>
      <c r="S57" s="125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26">
        <f>IF(U57=TRUE,$J57,"")</f>
        <v/>
      </c>
      <c r="U57" s="124" t="b">
        <v>1</v>
      </c>
      <c r="V57" s="125">
        <f>IF(AND(H57=TRUE,OR(K57="",K57&gt;M57)),S57,0)</f>
        <v/>
      </c>
      <c r="W57" s="124" t="n">
        <v>0</v>
      </c>
      <c r="X57" s="124" t="b">
        <v>0</v>
      </c>
      <c r="Y57" s="127">
        <f>IF(H57=FALSE,VLOOKUP($C57,Sales!$C:$F,4,FALSE),1)</f>
        <v/>
      </c>
      <c r="Z57" s="124">
        <f>IF(Y57=0,"Release",IF(AND(L57&lt;J57,Y57=1,H57=FALSE,U57=FALSE,MONTH(L57)&amp;"/"&amp;YEAR(L57)&lt;&gt;MONTH(J57)&amp;"/"&amp;YEAR(J57)),"Release",""))</f>
        <v/>
      </c>
      <c r="AA57" s="128">
        <f>_xlfn.minifs($L:$L,$C:$C,$C57,$F:$F,"&lt;&gt;0")</f>
        <v/>
      </c>
      <c r="AB57" s="128">
        <f>C57&amp;"-"&amp;A57</f>
        <v/>
      </c>
      <c r="AC57" s="128">
        <f>L57</f>
        <v/>
      </c>
    </row>
    <row r="58">
      <c r="A58" s="124" t="inlineStr">
        <is>
          <t>ZKRO01</t>
        </is>
      </c>
      <c r="B58" s="124" t="n">
        <v>1</v>
      </c>
      <c r="C58" s="124" t="inlineStr">
        <is>
          <t>HFA304</t>
        </is>
      </c>
      <c r="D58" s="124" t="inlineStr">
        <is>
          <t>A</t>
        </is>
      </c>
      <c r="E58" s="124" t="inlineStr">
        <is>
          <t>van der Merwe Frans</t>
        </is>
      </c>
      <c r="F58" s="125">
        <f>SUMIFS(Investors!$M:$M, Investors!$I:$I, "&lt;=" &amp; 'NSST Print'!$B$3, Investors!$K:$K, "&gt;" &amp; 'NSST Print'!$B$3, Investors!$A:$A, 'Investor Exit List'!A58, Investors!$E:$E, 'Investor Exit List'!C58)</f>
        <v/>
      </c>
      <c r="G58" s="126" t="n">
        <v>44352</v>
      </c>
      <c r="H58" s="124">
        <f>VLOOKUP($C58,Sales!$C:$E,2,FALSE)</f>
        <v/>
      </c>
      <c r="I58" s="124">
        <f>VLOOKUP($C58,Sales!$C:$E,3,FALSE)</f>
        <v/>
      </c>
      <c r="J58" s="126">
        <f>SUMIFS(Sales!$H:$H,Sales!$C:$C,'Investor Exit List'!$C58)</f>
        <v/>
      </c>
      <c r="K58" s="126">
        <f>IF(I58=TRUE,J58,"")</f>
        <v/>
      </c>
      <c r="L58" s="126">
        <f>G58+730</f>
        <v/>
      </c>
      <c r="M58" s="126" t="n">
        <v>45443</v>
      </c>
      <c r="N58" s="127">
        <f>IFERROR(IF(G58&lt;&gt;"",IF(I58=TRUE,0,IF(U58=TRUE,0,L58-M58)),0),0)</f>
        <v/>
      </c>
      <c r="O58" s="127">
        <f>IF(N58&gt;0,IF(N58&lt;=180,N58,0),0)</f>
        <v/>
      </c>
      <c r="P58" s="125">
        <f>IF(AND(N58&lt;90,N58&gt;0),Q58,0)</f>
        <v/>
      </c>
      <c r="Q58" s="125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25">
        <f>IF(AND(H58=TRUE,I58=FALSE),Q58,0)</f>
        <v/>
      </c>
      <c r="S58" s="125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26">
        <f>IF(U58=TRUE,$J58,"")</f>
        <v/>
      </c>
      <c r="U58" s="124" t="b">
        <v>1</v>
      </c>
      <c r="V58" s="125">
        <f>IF(AND(H58=TRUE,OR(K58="",K58&gt;M58)),S58,0)</f>
        <v/>
      </c>
      <c r="W58" s="124" t="n">
        <v>0</v>
      </c>
      <c r="X58" s="124" t="b">
        <v>0</v>
      </c>
      <c r="Y58" s="127">
        <f>IF(H58=FALSE,VLOOKUP($C58,Sales!$C:$F,4,FALSE),1)</f>
        <v/>
      </c>
      <c r="Z58" s="124">
        <f>IF(Y58=0,"Release",IF(AND(L58&lt;J58,Y58=1,H58=FALSE,U58=FALSE,MONTH(L58)&amp;"/"&amp;YEAR(L58)&lt;&gt;MONTH(J58)&amp;"/"&amp;YEAR(J58)),"Release",""))</f>
        <v/>
      </c>
      <c r="AA58" s="128">
        <f>_xlfn.minifs($L:$L,$C:$C,$C58,$F:$F,"&lt;&gt;0")</f>
        <v/>
      </c>
      <c r="AB58" s="128">
        <f>C58&amp;"-"&amp;A58</f>
        <v/>
      </c>
      <c r="AC58" s="128">
        <f>L58</f>
        <v/>
      </c>
    </row>
    <row r="59">
      <c r="A59" s="124" t="inlineStr">
        <is>
          <t>ZPED01</t>
        </is>
      </c>
      <c r="B59" s="124" t="n">
        <v>1</v>
      </c>
      <c r="C59" s="124" t="inlineStr">
        <is>
          <t>HFA304</t>
        </is>
      </c>
      <c r="D59" s="124" t="inlineStr">
        <is>
          <t>A</t>
        </is>
      </c>
      <c r="E59" s="124" t="inlineStr">
        <is>
          <t>Pedersen Wendy</t>
        </is>
      </c>
      <c r="F59" s="125">
        <f>SUMIFS(Investors!$M:$M, Investors!$I:$I, "&lt;=" &amp; 'NSST Print'!$B$3, Investors!$K:$K, "&gt;" &amp; 'NSST Print'!$B$3, Investors!$A:$A, 'Investor Exit List'!A59, Investors!$E:$E, 'Investor Exit List'!C59)</f>
        <v/>
      </c>
      <c r="G59" s="126" t="n">
        <v>44352</v>
      </c>
      <c r="H59" s="124">
        <f>VLOOKUP($C59,Sales!$C:$E,2,FALSE)</f>
        <v/>
      </c>
      <c r="I59" s="124">
        <f>VLOOKUP($C59,Sales!$C:$E,3,FALSE)</f>
        <v/>
      </c>
      <c r="J59" s="126">
        <f>SUMIFS(Sales!$H:$H,Sales!$C:$C,'Investor Exit List'!$C59)</f>
        <v/>
      </c>
      <c r="K59" s="126">
        <f>IF(I59=TRUE,J59,"")</f>
        <v/>
      </c>
      <c r="L59" s="126">
        <f>G59+730</f>
        <v/>
      </c>
      <c r="M59" s="126" t="n">
        <v>45443</v>
      </c>
      <c r="N59" s="127">
        <f>IFERROR(IF(G59&lt;&gt;"",IF(I59=TRUE,0,IF(U59=TRUE,0,L59-M59)),0),0)</f>
        <v/>
      </c>
      <c r="O59" s="127">
        <f>IF(N59&gt;0,IF(N59&lt;=180,N59,0),0)</f>
        <v/>
      </c>
      <c r="P59" s="125">
        <f>IF(AND(N59&lt;90,N59&gt;0),Q59,0)</f>
        <v/>
      </c>
      <c r="Q59" s="125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25">
        <f>IF(AND(H59=TRUE,I59=FALSE),Q59,0)</f>
        <v/>
      </c>
      <c r="S59" s="125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26">
        <f>IF(U59=TRUE,$J59,"")</f>
        <v/>
      </c>
      <c r="U59" s="124" t="b">
        <v>1</v>
      </c>
      <c r="V59" s="125">
        <f>IF(AND(H59=TRUE,OR(K59="",K59&gt;M59)),S59,0)</f>
        <v/>
      </c>
      <c r="W59" s="124" t="n">
        <v>0</v>
      </c>
      <c r="X59" s="124" t="b">
        <v>0</v>
      </c>
      <c r="Y59" s="127">
        <f>IF(H59=FALSE,VLOOKUP($C59,Sales!$C:$F,4,FALSE),1)</f>
        <v/>
      </c>
      <c r="Z59" s="124">
        <f>IF(Y59=0,"Release",IF(AND(L59&lt;J59,Y59=1,H59=FALSE,U59=FALSE,MONTH(L59)&amp;"/"&amp;YEAR(L59)&lt;&gt;MONTH(J59)&amp;"/"&amp;YEAR(J59)),"Release",""))</f>
        <v/>
      </c>
      <c r="AA59" s="128">
        <f>_xlfn.minifs($L:$L,$C:$C,$C59,$F:$F,"&lt;&gt;0")</f>
        <v/>
      </c>
      <c r="AB59" s="128">
        <f>C59&amp;"-"&amp;A59</f>
        <v/>
      </c>
      <c r="AC59" s="128">
        <f>L59</f>
        <v/>
      </c>
    </row>
    <row r="60">
      <c r="A60" s="124" t="inlineStr">
        <is>
          <t>ZSOU02</t>
        </is>
      </c>
      <c r="B60" s="124" t="n">
        <v>1</v>
      </c>
      <c r="C60" s="124" t="inlineStr">
        <is>
          <t>HFA304</t>
        </is>
      </c>
      <c r="D60" s="124" t="inlineStr">
        <is>
          <t>A</t>
        </is>
      </c>
      <c r="E60" s="124" t="inlineStr">
        <is>
          <t>Sourgen Frances Leathem</t>
        </is>
      </c>
      <c r="F60" s="125">
        <f>SUMIFS(Investors!$M:$M, Investors!$I:$I, "&lt;=" &amp; 'NSST Print'!$B$3, Investors!$K:$K, "&gt;" &amp; 'NSST Print'!$B$3, Investors!$A:$A, 'Investor Exit List'!A60, Investors!$E:$E, 'Investor Exit List'!C60)</f>
        <v/>
      </c>
      <c r="G60" s="126" t="n">
        <v>44508</v>
      </c>
      <c r="H60" s="124">
        <f>VLOOKUP($C60,Sales!$C:$E,2,FALSE)</f>
        <v/>
      </c>
      <c r="I60" s="124">
        <f>VLOOKUP($C60,Sales!$C:$E,3,FALSE)</f>
        <v/>
      </c>
      <c r="J60" s="126">
        <f>SUMIFS(Sales!$H:$H,Sales!$C:$C,'Investor Exit List'!$C60)</f>
        <v/>
      </c>
      <c r="K60" s="126">
        <f>IF(I60=TRUE,J60,"")</f>
        <v/>
      </c>
      <c r="L60" s="126">
        <f>G60+730</f>
        <v/>
      </c>
      <c r="M60" s="126" t="n">
        <v>45443</v>
      </c>
      <c r="N60" s="127">
        <f>IFERROR(IF(G60&lt;&gt;"",IF(I60=TRUE,0,IF(U60=TRUE,0,L60-M60)),0),0)</f>
        <v/>
      </c>
      <c r="O60" s="127">
        <f>IF(N60&gt;0,IF(N60&lt;=180,N60,0),0)</f>
        <v/>
      </c>
      <c r="P60" s="125">
        <f>IF(AND(N60&lt;90,N60&gt;0),Q60,0)</f>
        <v/>
      </c>
      <c r="Q60" s="125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25">
        <f>IF(AND(H60=TRUE,I60=FALSE),Q60,0)</f>
        <v/>
      </c>
      <c r="S60" s="125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26">
        <f>IF(U60=TRUE,$J60,"")</f>
        <v/>
      </c>
      <c r="U60" s="124" t="b">
        <v>1</v>
      </c>
      <c r="V60" s="125">
        <f>IF(AND(H60=TRUE,OR(K60="",K60&gt;M60)),S60,0)</f>
        <v/>
      </c>
      <c r="W60" s="124" t="n">
        <v>0</v>
      </c>
      <c r="X60" s="124" t="b">
        <v>0</v>
      </c>
      <c r="Y60" s="127">
        <f>IF(H60=FALSE,VLOOKUP($C60,Sales!$C:$F,4,FALSE),1)</f>
        <v/>
      </c>
      <c r="Z60" s="124">
        <f>IF(Y60=0,"Release",IF(AND(L60&lt;J60,Y60=1,H60=FALSE,U60=FALSE,MONTH(L60)&amp;"/"&amp;YEAR(L60)&lt;&gt;MONTH(J60)&amp;"/"&amp;YEAR(J60)),"Release",""))</f>
        <v/>
      </c>
      <c r="AA60" s="128">
        <f>_xlfn.minifs($L:$L,$C:$C,$C60,$F:$F,"&lt;&gt;0")</f>
        <v/>
      </c>
      <c r="AB60" s="128">
        <f>C60&amp;"-"&amp;A60</f>
        <v/>
      </c>
      <c r="AC60" s="128">
        <f>L60</f>
        <v/>
      </c>
    </row>
    <row r="61">
      <c r="A61" s="124" t="inlineStr">
        <is>
          <t>ZVER02</t>
        </is>
      </c>
      <c r="B61" s="124" t="n">
        <v>2</v>
      </c>
      <c r="C61" s="124" t="inlineStr">
        <is>
          <t>HFA304</t>
        </is>
      </c>
      <c r="D61" s="124" t="inlineStr">
        <is>
          <t>A</t>
        </is>
      </c>
      <c r="E61" s="124" t="inlineStr">
        <is>
          <t>Verhaeghe Jean-Jacques EP</t>
        </is>
      </c>
      <c r="F61" s="125">
        <f>SUMIFS(Investors!$M:$M, Investors!$I:$I, "&lt;=" &amp; 'NSST Print'!$B$3, Investors!$K:$K, "&gt;" &amp; 'NSST Print'!$B$3, Investors!$A:$A, 'Investor Exit List'!A61, Investors!$E:$E, 'Investor Exit List'!C61)</f>
        <v/>
      </c>
      <c r="G61" s="126" t="n">
        <v>44508</v>
      </c>
      <c r="H61" s="124">
        <f>VLOOKUP($C61,Sales!$C:$E,2,FALSE)</f>
        <v/>
      </c>
      <c r="I61" s="124">
        <f>VLOOKUP($C61,Sales!$C:$E,3,FALSE)</f>
        <v/>
      </c>
      <c r="J61" s="126">
        <f>SUMIFS(Sales!$H:$H,Sales!$C:$C,'Investor Exit List'!$C61)</f>
        <v/>
      </c>
      <c r="K61" s="126">
        <f>IF(I61=TRUE,J61,"")</f>
        <v/>
      </c>
      <c r="L61" s="126">
        <f>G61+730</f>
        <v/>
      </c>
      <c r="M61" s="126" t="n">
        <v>45443</v>
      </c>
      <c r="N61" s="127">
        <f>IFERROR(IF(G61&lt;&gt;"",IF(I61=TRUE,0,IF(U61=TRUE,0,L61-M61)),0),0)</f>
        <v/>
      </c>
      <c r="O61" s="127">
        <f>IF(N61&gt;0,IF(N61&lt;=180,N61,0),0)</f>
        <v/>
      </c>
      <c r="P61" s="125">
        <f>IF(AND(N61&lt;90,N61&gt;0),Q61,0)</f>
        <v/>
      </c>
      <c r="Q61" s="125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25">
        <f>IF(AND(H61=TRUE,I61=FALSE),Q61,0)</f>
        <v/>
      </c>
      <c r="S61" s="125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26">
        <f>IF(U61=TRUE,$J61,"")</f>
        <v/>
      </c>
      <c r="U61" s="124" t="b">
        <v>1</v>
      </c>
      <c r="V61" s="125">
        <f>IF(AND(H61=TRUE,OR(K61="",K61&gt;M61)),S61,0)</f>
        <v/>
      </c>
      <c r="W61" s="124" t="n">
        <v>0</v>
      </c>
      <c r="X61" s="124" t="b">
        <v>0</v>
      </c>
      <c r="Y61" s="127">
        <f>IF(H61=FALSE,VLOOKUP($C61,Sales!$C:$F,4,FALSE),1)</f>
        <v/>
      </c>
      <c r="Z61" s="124">
        <f>IF(Y61=0,"Release",IF(AND(L61&lt;J61,Y61=1,H61=FALSE,U61=FALSE,MONTH(L61)&amp;"/"&amp;YEAR(L61)&lt;&gt;MONTH(J61)&amp;"/"&amp;YEAR(J61)),"Release",""))</f>
        <v/>
      </c>
      <c r="AA61" s="128">
        <f>_xlfn.minifs($L:$L,$C:$C,$C61,$F:$F,"&lt;&gt;0")</f>
        <v/>
      </c>
      <c r="AB61" s="128">
        <f>C61&amp;"-"&amp;A61</f>
        <v/>
      </c>
      <c r="AC61" s="128">
        <f>L61</f>
        <v/>
      </c>
    </row>
    <row r="62">
      <c r="A62" s="124" t="inlineStr">
        <is>
          <t>ZKRO03</t>
        </is>
      </c>
      <c r="B62" s="124" t="n">
        <v>1</v>
      </c>
      <c r="C62" s="124" t="inlineStr">
        <is>
          <t>HFA305</t>
        </is>
      </c>
      <c r="D62" s="124" t="inlineStr">
        <is>
          <t>A</t>
        </is>
      </c>
      <c r="E62" s="124" t="inlineStr">
        <is>
          <t>Krohn Jacqueline</t>
        </is>
      </c>
      <c r="F62" s="125">
        <f>SUMIFS(Investors!$M:$M, Investors!$I:$I, "&lt;=" &amp; 'NSST Print'!$B$3, Investors!$K:$K, "&gt;" &amp; 'NSST Print'!$B$3, Investors!$A:$A, 'Investor Exit List'!A62, Investors!$E:$E, 'Investor Exit List'!C62)</f>
        <v/>
      </c>
      <c r="G62" s="126" t="n">
        <v>44352</v>
      </c>
      <c r="H62" s="124">
        <f>VLOOKUP($C62,Sales!$C:$E,2,FALSE)</f>
        <v/>
      </c>
      <c r="I62" s="124">
        <f>VLOOKUP($C62,Sales!$C:$E,3,FALSE)</f>
        <v/>
      </c>
      <c r="J62" s="126">
        <f>SUMIFS(Sales!$H:$H,Sales!$C:$C,'Investor Exit List'!$C62)</f>
        <v/>
      </c>
      <c r="K62" s="126">
        <f>IF(I62=TRUE,J62,"")</f>
        <v/>
      </c>
      <c r="L62" s="126">
        <f>G62+730</f>
        <v/>
      </c>
      <c r="M62" s="126" t="n">
        <v>45443</v>
      </c>
      <c r="N62" s="127">
        <f>IFERROR(IF(G62&lt;&gt;"",IF(I62=TRUE,0,IF(U62=TRUE,0,L62-M62)),0),0)</f>
        <v/>
      </c>
      <c r="O62" s="127">
        <f>IF(N62&gt;0,IF(N62&lt;=180,N62,0),0)</f>
        <v/>
      </c>
      <c r="P62" s="125">
        <f>IF(AND(N62&lt;90,N62&gt;0),Q62,0)</f>
        <v/>
      </c>
      <c r="Q62" s="125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25">
        <f>IF(AND(H62=TRUE,I62=FALSE),Q62,0)</f>
        <v/>
      </c>
      <c r="S62" s="125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26">
        <f>IF(U62=TRUE,$J62,"")</f>
        <v/>
      </c>
      <c r="U62" s="124" t="b">
        <v>1</v>
      </c>
      <c r="V62" s="125">
        <f>IF(AND(H62=TRUE,OR(K62="",K62&gt;M62)),S62,0)</f>
        <v/>
      </c>
      <c r="W62" s="124" t="n">
        <v>0</v>
      </c>
      <c r="X62" s="124" t="b">
        <v>0</v>
      </c>
      <c r="Y62" s="127">
        <f>IF(H62=FALSE,VLOOKUP($C62,Sales!$C:$F,4,FALSE),1)</f>
        <v/>
      </c>
      <c r="Z62" s="124">
        <f>IF(Y62=0,"Release",IF(AND(L62&lt;J62,Y62=1,H62=FALSE,U62=FALSE,MONTH(L62)&amp;"/"&amp;YEAR(L62)&lt;&gt;MONTH(J62)&amp;"/"&amp;YEAR(J62)),"Release",""))</f>
        <v/>
      </c>
      <c r="AA62" s="128">
        <f>_xlfn.minifs($L:$L,$C:$C,$C62,$F:$F,"&lt;&gt;0")</f>
        <v/>
      </c>
      <c r="AB62" s="128">
        <f>C62&amp;"-"&amp;A62</f>
        <v/>
      </c>
      <c r="AC62" s="128">
        <f>L62</f>
        <v/>
      </c>
    </row>
    <row r="63">
      <c r="A63" s="124" t="inlineStr">
        <is>
          <t>ZMUS01</t>
        </is>
      </c>
      <c r="B63" s="124" t="n">
        <v>1</v>
      </c>
      <c r="C63" s="124" t="inlineStr">
        <is>
          <t>HFA305</t>
        </is>
      </c>
      <c r="D63" s="124" t="inlineStr">
        <is>
          <t>A</t>
        </is>
      </c>
      <c r="E63" s="124" t="inlineStr">
        <is>
          <t>Musson Claire Louise</t>
        </is>
      </c>
      <c r="F63" s="125">
        <f>SUMIFS(Investors!$M:$M, Investors!$I:$I, "&lt;=" &amp; 'NSST Print'!$B$3, Investors!$K:$K, "&gt;" &amp; 'NSST Print'!$B$3, Investors!$A:$A, 'Investor Exit List'!A63, Investors!$E:$E, 'Investor Exit List'!C63)</f>
        <v/>
      </c>
      <c r="G63" s="126" t="n">
        <v>44618</v>
      </c>
      <c r="H63" s="124">
        <f>VLOOKUP($C63,Sales!$C:$E,2,FALSE)</f>
        <v/>
      </c>
      <c r="I63" s="124">
        <f>VLOOKUP($C63,Sales!$C:$E,3,FALSE)</f>
        <v/>
      </c>
      <c r="J63" s="126">
        <f>SUMIFS(Sales!$H:$H,Sales!$C:$C,'Investor Exit List'!$C63)</f>
        <v/>
      </c>
      <c r="K63" s="126">
        <f>IF(I63=TRUE,J63,"")</f>
        <v/>
      </c>
      <c r="L63" s="126">
        <f>G63+730</f>
        <v/>
      </c>
      <c r="M63" s="126" t="n">
        <v>45443</v>
      </c>
      <c r="N63" s="127">
        <f>IFERROR(IF(G63&lt;&gt;"",IF(I63=TRUE,0,IF(U63=TRUE,0,L63-M63)),0),0)</f>
        <v/>
      </c>
      <c r="O63" s="127">
        <f>IF(N63&gt;0,IF(N63&lt;=180,N63,0),0)</f>
        <v/>
      </c>
      <c r="P63" s="125">
        <f>IF(AND(N63&lt;90,N63&gt;0),Q63,0)</f>
        <v/>
      </c>
      <c r="Q63" s="125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25">
        <f>IF(AND(H63=TRUE,I63=FALSE),Q63,0)</f>
        <v/>
      </c>
      <c r="S63" s="125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26">
        <f>IF(U63=TRUE,$J63,"")</f>
        <v/>
      </c>
      <c r="U63" s="124" t="b">
        <v>0</v>
      </c>
      <c r="V63" s="125">
        <f>IF(AND(H63=TRUE,OR(K63="",K63&gt;M63)),S63,0)</f>
        <v/>
      </c>
      <c r="W63" s="124" t="n">
        <v>0</v>
      </c>
      <c r="X63" s="124" t="b">
        <v>0</v>
      </c>
      <c r="Y63" s="127">
        <f>IF(H63=FALSE,VLOOKUP($C63,Sales!$C:$F,4,FALSE),1)</f>
        <v/>
      </c>
      <c r="Z63" s="124">
        <f>IF(Y63=0,"Release",IF(AND(L63&lt;J63,Y63=1,H63=FALSE,U63=FALSE,MONTH(L63)&amp;"/"&amp;YEAR(L63)&lt;&gt;MONTH(J63)&amp;"/"&amp;YEAR(J63)),"Release",""))</f>
        <v/>
      </c>
      <c r="AA63" s="128">
        <f>_xlfn.minifs($L:$L,$C:$C,$C63,$F:$F,"&lt;&gt;0")</f>
        <v/>
      </c>
      <c r="AB63" s="128">
        <f>C63&amp;"-"&amp;A63</f>
        <v/>
      </c>
      <c r="AC63" s="128">
        <f>L63</f>
        <v/>
      </c>
    </row>
    <row r="64">
      <c r="A64" s="124" t="inlineStr">
        <is>
          <t>ZPRE01</t>
        </is>
      </c>
      <c r="B64" s="124" t="n">
        <v>1</v>
      </c>
      <c r="C64" s="124" t="inlineStr">
        <is>
          <t>HFA305</t>
        </is>
      </c>
      <c r="D64" s="124" t="inlineStr">
        <is>
          <t>A</t>
        </is>
      </c>
      <c r="E64" s="124" t="inlineStr">
        <is>
          <t>Pretorius Magdalena</t>
        </is>
      </c>
      <c r="F64" s="125">
        <f>SUMIFS(Investors!$M:$M, Investors!$I:$I, "&lt;=" &amp; 'NSST Print'!$B$3, Investors!$K:$K, "&gt;" &amp; 'NSST Print'!$B$3, Investors!$A:$A, 'Investor Exit List'!A64, Investors!$E:$E, 'Investor Exit List'!C64)</f>
        <v/>
      </c>
      <c r="G64" s="126" t="n">
        <v>44590</v>
      </c>
      <c r="H64" s="124">
        <f>VLOOKUP($C64,Sales!$C:$E,2,FALSE)</f>
        <v/>
      </c>
      <c r="I64" s="124">
        <f>VLOOKUP($C64,Sales!$C:$E,3,FALSE)</f>
        <v/>
      </c>
      <c r="J64" s="126">
        <f>SUMIFS(Sales!$H:$H,Sales!$C:$C,'Investor Exit List'!$C64)</f>
        <v/>
      </c>
      <c r="K64" s="126">
        <f>IF(I64=TRUE,J64,"")</f>
        <v/>
      </c>
      <c r="L64" s="126">
        <f>G64+730</f>
        <v/>
      </c>
      <c r="M64" s="126" t="n">
        <v>45443</v>
      </c>
      <c r="N64" s="127">
        <f>IFERROR(IF(G64&lt;&gt;"",IF(I64=TRUE,0,IF(U64=TRUE,0,L64-M64)),0),0)</f>
        <v/>
      </c>
      <c r="O64" s="127">
        <f>IF(N64&gt;0,IF(N64&lt;=180,N64,0),0)</f>
        <v/>
      </c>
      <c r="P64" s="125">
        <f>IF(AND(N64&lt;90,N64&gt;0),Q64,0)</f>
        <v/>
      </c>
      <c r="Q64" s="125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25">
        <f>IF(AND(H64=TRUE,I64=FALSE),Q64,0)</f>
        <v/>
      </c>
      <c r="S64" s="125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26">
        <f>IF(U64=TRUE,$J64,"")</f>
        <v/>
      </c>
      <c r="U64" s="124" t="b">
        <v>0</v>
      </c>
      <c r="V64" s="125">
        <f>IF(AND(H64=TRUE,OR(K64="",K64&gt;M64)),S64,0)</f>
        <v/>
      </c>
      <c r="W64" s="124" t="n">
        <v>0</v>
      </c>
      <c r="X64" s="124" t="b">
        <v>0</v>
      </c>
      <c r="Y64" s="127">
        <f>IF(H64=FALSE,VLOOKUP($C64,Sales!$C:$F,4,FALSE),1)</f>
        <v/>
      </c>
      <c r="Z64" s="124">
        <f>IF(Y64=0,"Release",IF(AND(L64&lt;J64,Y64=1,H64=FALSE,U64=FALSE,MONTH(L64)&amp;"/"&amp;YEAR(L64)&lt;&gt;MONTH(J64)&amp;"/"&amp;YEAR(J64)),"Release",""))</f>
        <v/>
      </c>
      <c r="AA64" s="128">
        <f>_xlfn.minifs($L:$L,$C:$C,$C64,$F:$F,"&lt;&gt;0")</f>
        <v/>
      </c>
      <c r="AB64" s="128">
        <f>C64&amp;"-"&amp;A64</f>
        <v/>
      </c>
      <c r="AC64" s="128">
        <f>L64</f>
        <v/>
      </c>
    </row>
    <row r="65">
      <c r="A65" s="124" t="inlineStr">
        <is>
          <t>ZDEB01</t>
        </is>
      </c>
      <c r="B65" s="124" t="n">
        <v>1</v>
      </c>
      <c r="C65" s="124" t="inlineStr">
        <is>
          <t>HFA306</t>
        </is>
      </c>
      <c r="D65" s="124" t="inlineStr">
        <is>
          <t>A</t>
        </is>
      </c>
      <c r="E65" s="124" t="inlineStr">
        <is>
          <t>De Beer William Henry</t>
        </is>
      </c>
      <c r="F65" s="125">
        <f>SUMIFS(Investors!$M:$M, Investors!$I:$I, "&lt;=" &amp; 'NSST Print'!$B$3, Investors!$K:$K, "&gt;" &amp; 'NSST Print'!$B$3, Investors!$A:$A, 'Investor Exit List'!A65, Investors!$E:$E, 'Investor Exit List'!C65)</f>
        <v/>
      </c>
      <c r="G65" s="126" t="n">
        <v>44352</v>
      </c>
      <c r="H65" s="124">
        <f>VLOOKUP($C65,Sales!$C:$E,2,FALSE)</f>
        <v/>
      </c>
      <c r="I65" s="124">
        <f>VLOOKUP($C65,Sales!$C:$E,3,FALSE)</f>
        <v/>
      </c>
      <c r="J65" s="126">
        <f>SUMIFS(Sales!$H:$H,Sales!$C:$C,'Investor Exit List'!$C65)</f>
        <v/>
      </c>
      <c r="K65" s="126">
        <f>IF(I65=TRUE,J65,"")</f>
        <v/>
      </c>
      <c r="L65" s="126">
        <f>G65+730</f>
        <v/>
      </c>
      <c r="M65" s="126" t="n">
        <v>45443</v>
      </c>
      <c r="N65" s="127">
        <f>IFERROR(IF(G65&lt;&gt;"",IF(I65=TRUE,0,IF(U65=TRUE,0,L65-M65)),0),0)</f>
        <v/>
      </c>
      <c r="O65" s="127">
        <f>IF(N65&gt;0,IF(N65&lt;=180,N65,0),0)</f>
        <v/>
      </c>
      <c r="P65" s="125">
        <f>IF(AND(N65&lt;90,N65&gt;0),Q65,0)</f>
        <v/>
      </c>
      <c r="Q65" s="125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25">
        <f>IF(AND(H65=TRUE,I65=FALSE),Q65,0)</f>
        <v/>
      </c>
      <c r="S65" s="125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26">
        <f>IF(U65=TRUE,$J65,"")</f>
        <v/>
      </c>
      <c r="U65" s="124" t="b">
        <v>0</v>
      </c>
      <c r="V65" s="125">
        <f>IF(AND(H65=TRUE,OR(K65="",K65&gt;M65)),S65,0)</f>
        <v/>
      </c>
      <c r="W65" s="124" t="n">
        <v>0</v>
      </c>
      <c r="X65" s="124" t="b">
        <v>0</v>
      </c>
      <c r="Y65" s="127">
        <f>IF(H65=FALSE,VLOOKUP($C65,Sales!$C:$F,4,FALSE),1)</f>
        <v/>
      </c>
      <c r="Z65" s="124">
        <f>IF(Y65=0,"Release",IF(AND(L65&lt;J65,Y65=1,H65=FALSE,U65=FALSE,MONTH(L65)&amp;"/"&amp;YEAR(L65)&lt;&gt;MONTH(J65)&amp;"/"&amp;YEAR(J65)),"Release",""))</f>
        <v/>
      </c>
      <c r="AA65" s="128">
        <f>_xlfn.minifs($L:$L,$C:$C,$C65,$F:$F,"&lt;&gt;0")</f>
        <v/>
      </c>
      <c r="AB65" s="128">
        <f>C65&amp;"-"&amp;A65</f>
        <v/>
      </c>
      <c r="AC65" s="128">
        <f>L65</f>
        <v/>
      </c>
    </row>
    <row r="66">
      <c r="A66" s="124" t="inlineStr">
        <is>
          <t>ZFOU01</t>
        </is>
      </c>
      <c r="B66" s="124" t="n">
        <v>1</v>
      </c>
      <c r="C66" s="124" t="inlineStr">
        <is>
          <t>HFA306</t>
        </is>
      </c>
      <c r="D66" s="124" t="inlineStr">
        <is>
          <t>A</t>
        </is>
      </c>
      <c r="E66" s="124" t="inlineStr">
        <is>
          <t>Fourie Hester Magrietha</t>
        </is>
      </c>
      <c r="F66" s="125">
        <f>SUMIFS(Investors!$M:$M, Investors!$I:$I, "&lt;=" &amp; 'NSST Print'!$B$3, Investors!$K:$K, "&gt;" &amp; 'NSST Print'!$B$3, Investors!$A:$A, 'Investor Exit List'!A66, Investors!$E:$E, 'Investor Exit List'!C66)</f>
        <v/>
      </c>
      <c r="G66" s="126" t="n">
        <v>44352</v>
      </c>
      <c r="H66" s="124">
        <f>VLOOKUP($C66,Sales!$C:$E,2,FALSE)</f>
        <v/>
      </c>
      <c r="I66" s="124">
        <f>VLOOKUP($C66,Sales!$C:$E,3,FALSE)</f>
        <v/>
      </c>
      <c r="J66" s="126">
        <f>SUMIFS(Sales!$H:$H,Sales!$C:$C,'Investor Exit List'!$C66)</f>
        <v/>
      </c>
      <c r="K66" s="126">
        <f>IF(I66=TRUE,J66,"")</f>
        <v/>
      </c>
      <c r="L66" s="126">
        <f>G66+730</f>
        <v/>
      </c>
      <c r="M66" s="126" t="n">
        <v>45443</v>
      </c>
      <c r="N66" s="127">
        <f>IFERROR(IF(G66&lt;&gt;"",IF(I66=TRUE,0,IF(U66=TRUE,0,L66-M66)),0),0)</f>
        <v/>
      </c>
      <c r="O66" s="127">
        <f>IF(N66&gt;0,IF(N66&lt;=180,N66,0),0)</f>
        <v/>
      </c>
      <c r="P66" s="125">
        <f>IF(AND(N66&lt;90,N66&gt;0),Q66,0)</f>
        <v/>
      </c>
      <c r="Q66" s="125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25">
        <f>IF(AND(H66=TRUE,I66=FALSE),Q66,0)</f>
        <v/>
      </c>
      <c r="S66" s="125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26">
        <f>IF(U66=TRUE,$J66,"")</f>
        <v/>
      </c>
      <c r="U66" s="124" t="b">
        <v>0</v>
      </c>
      <c r="V66" s="125">
        <f>IF(AND(H66=TRUE,OR(K66="",K66&gt;M66)),S66,0)</f>
        <v/>
      </c>
      <c r="W66" s="124" t="n">
        <v>0</v>
      </c>
      <c r="X66" s="124" t="b">
        <v>0</v>
      </c>
      <c r="Y66" s="127">
        <f>IF(H66=FALSE,VLOOKUP($C66,Sales!$C:$F,4,FALSE),1)</f>
        <v/>
      </c>
      <c r="Z66" s="124">
        <f>IF(Y66=0,"Release",IF(AND(L66&lt;J66,Y66=1,H66=FALSE,U66=FALSE,MONTH(L66)&amp;"/"&amp;YEAR(L66)&lt;&gt;MONTH(J66)&amp;"/"&amp;YEAR(J66)),"Release",""))</f>
        <v/>
      </c>
      <c r="AA66" s="128">
        <f>_xlfn.minifs($L:$L,$C:$C,$C66,$F:$F,"&lt;&gt;0")</f>
        <v/>
      </c>
      <c r="AB66" s="128">
        <f>C66&amp;"-"&amp;A66</f>
        <v/>
      </c>
      <c r="AC66" s="128">
        <f>L66</f>
        <v/>
      </c>
    </row>
    <row r="67">
      <c r="A67" s="124" t="inlineStr">
        <is>
          <t>ZMAT03</t>
        </is>
      </c>
      <c r="B67" s="124" t="n">
        <v>2</v>
      </c>
      <c r="C67" s="124" t="inlineStr">
        <is>
          <t>HFA306</t>
        </is>
      </c>
      <c r="D67" s="124" t="inlineStr">
        <is>
          <t>A</t>
        </is>
      </c>
      <c r="E67" s="124" t="inlineStr">
        <is>
          <t>Matthee Delia</t>
        </is>
      </c>
      <c r="F67" s="125">
        <f>SUMIFS(Investors!$M:$M, Investors!$I:$I, "&lt;=" &amp; 'NSST Print'!$B$3, Investors!$K:$K, "&gt;" &amp; 'NSST Print'!$B$3, Investors!$A:$A, 'Investor Exit List'!A67, Investors!$E:$E, 'Investor Exit List'!C67)</f>
        <v/>
      </c>
      <c r="G67" s="126" t="n">
        <v>44550</v>
      </c>
      <c r="H67" s="124">
        <f>VLOOKUP($C67,Sales!$C:$E,2,FALSE)</f>
        <v/>
      </c>
      <c r="I67" s="124">
        <f>VLOOKUP($C67,Sales!$C:$E,3,FALSE)</f>
        <v/>
      </c>
      <c r="J67" s="126">
        <f>SUMIFS(Sales!$H:$H,Sales!$C:$C,'Investor Exit List'!$C67)</f>
        <v/>
      </c>
      <c r="K67" s="126">
        <f>IF(I67=TRUE,J67,"")</f>
        <v/>
      </c>
      <c r="L67" s="126">
        <f>G67+730</f>
        <v/>
      </c>
      <c r="M67" s="126" t="n">
        <v>45443</v>
      </c>
      <c r="N67" s="127">
        <f>IFERROR(IF(G67&lt;&gt;"",IF(I67=TRUE,0,IF(U67=TRUE,0,L67-M67)),0),0)</f>
        <v/>
      </c>
      <c r="O67" s="127">
        <f>IF(N67&gt;0,IF(N67&lt;=180,N67,0),0)</f>
        <v/>
      </c>
      <c r="P67" s="125">
        <f>IF(AND(N67&lt;90,N67&gt;0),Q67,0)</f>
        <v/>
      </c>
      <c r="Q67" s="125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25">
        <f>IF(AND(H67=TRUE,I67=FALSE),Q67,0)</f>
        <v/>
      </c>
      <c r="S67" s="125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26">
        <f>IF(U67=TRUE,$J67,"")</f>
        <v/>
      </c>
      <c r="U67" s="124" t="b">
        <v>0</v>
      </c>
      <c r="V67" s="125">
        <f>IF(AND(H67=TRUE,OR(K67="",K67&gt;M67)),S67,0)</f>
        <v/>
      </c>
      <c r="W67" s="124" t="n">
        <v>0</v>
      </c>
      <c r="X67" s="124" t="b">
        <v>0</v>
      </c>
      <c r="Y67" s="127">
        <f>IF(H67=FALSE,VLOOKUP($C67,Sales!$C:$F,4,FALSE),1)</f>
        <v/>
      </c>
      <c r="Z67" s="124">
        <f>IF(Y67=0,"Release",IF(AND(L67&lt;J67,Y67=1,H67=FALSE,U67=FALSE,MONTH(L67)&amp;"/"&amp;YEAR(L67)&lt;&gt;MONTH(J67)&amp;"/"&amp;YEAR(J67)),"Release",""))</f>
        <v/>
      </c>
      <c r="AA67" s="128">
        <f>_xlfn.minifs($L:$L,$C:$C,$C67,$F:$F,"&lt;&gt;0")</f>
        <v/>
      </c>
      <c r="AB67" s="128">
        <f>C67&amp;"-"&amp;A67</f>
        <v/>
      </c>
      <c r="AC67" s="128">
        <f>L67</f>
        <v/>
      </c>
    </row>
    <row r="68">
      <c r="A68" s="124" t="inlineStr">
        <is>
          <t>ZVOL01</t>
        </is>
      </c>
      <c r="B68" s="124" t="n">
        <v>2</v>
      </c>
      <c r="C68" s="124" t="inlineStr">
        <is>
          <t>HFA306</t>
        </is>
      </c>
      <c r="D68" s="124" t="inlineStr">
        <is>
          <t>A</t>
        </is>
      </c>
      <c r="E68" s="124" t="inlineStr">
        <is>
          <t>Volschenk Gideon Cornelius</t>
        </is>
      </c>
      <c r="F68" s="125">
        <f>SUMIFS(Investors!$M:$M, Investors!$I:$I, "&lt;=" &amp; 'NSST Print'!$B$3, Investors!$K:$K, "&gt;" &amp; 'NSST Print'!$B$3, Investors!$A:$A, 'Investor Exit List'!A68, Investors!$E:$E, 'Investor Exit List'!C68)</f>
        <v/>
      </c>
      <c r="G68" s="126" t="n">
        <v>44590</v>
      </c>
      <c r="H68" s="124">
        <f>VLOOKUP($C68,Sales!$C:$E,2,FALSE)</f>
        <v/>
      </c>
      <c r="I68" s="124">
        <f>VLOOKUP($C68,Sales!$C:$E,3,FALSE)</f>
        <v/>
      </c>
      <c r="J68" s="126">
        <f>SUMIFS(Sales!$H:$H,Sales!$C:$C,'Investor Exit List'!$C68)</f>
        <v/>
      </c>
      <c r="K68" s="126">
        <f>IF(I68=TRUE,J68,"")</f>
        <v/>
      </c>
      <c r="L68" s="126">
        <f>G68+730</f>
        <v/>
      </c>
      <c r="M68" s="126" t="n">
        <v>45443</v>
      </c>
      <c r="N68" s="127">
        <f>IFERROR(IF(G68&lt;&gt;"",IF(I68=TRUE,0,IF(U68=TRUE,0,L68-M68)),0),0)</f>
        <v/>
      </c>
      <c r="O68" s="127">
        <f>IF(N68&gt;0,IF(N68&lt;=180,N68,0),0)</f>
        <v/>
      </c>
      <c r="P68" s="125">
        <f>IF(AND(N68&lt;90,N68&gt;0),Q68,0)</f>
        <v/>
      </c>
      <c r="Q68" s="125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25">
        <f>IF(AND(H68=TRUE,I68=FALSE),Q68,0)</f>
        <v/>
      </c>
      <c r="S68" s="125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26">
        <f>IF(U68=TRUE,$J68,"")</f>
        <v/>
      </c>
      <c r="U68" s="124" t="b">
        <v>0</v>
      </c>
      <c r="V68" s="125">
        <f>IF(AND(H68=TRUE,OR(K68="",K68&gt;M68)),S68,0)</f>
        <v/>
      </c>
      <c r="W68" s="124" t="n">
        <v>0</v>
      </c>
      <c r="X68" s="124" t="b">
        <v>0</v>
      </c>
      <c r="Y68" s="127">
        <f>IF(H68=FALSE,VLOOKUP($C68,Sales!$C:$F,4,FALSE),1)</f>
        <v/>
      </c>
      <c r="Z68" s="124">
        <f>IF(Y68=0,"Release",IF(AND(L68&lt;J68,Y68=1,H68=FALSE,U68=FALSE,MONTH(L68)&amp;"/"&amp;YEAR(L68)&lt;&gt;MONTH(J68)&amp;"/"&amp;YEAR(J68)),"Release",""))</f>
        <v/>
      </c>
      <c r="AA68" s="128">
        <f>_xlfn.minifs($L:$L,$C:$C,$C68,$F:$F,"&lt;&gt;0")</f>
        <v/>
      </c>
      <c r="AB68" s="128">
        <f>C68&amp;"-"&amp;A68</f>
        <v/>
      </c>
      <c r="AC68" s="128">
        <f>L68</f>
        <v/>
      </c>
    </row>
    <row r="69">
      <c r="A69" s="124" t="inlineStr">
        <is>
          <t>ZINT01</t>
        </is>
      </c>
      <c r="B69" s="124" t="n">
        <v>8</v>
      </c>
      <c r="C69" s="124" t="inlineStr">
        <is>
          <t>HFB101</t>
        </is>
      </c>
      <c r="D69" s="124" t="inlineStr">
        <is>
          <t>B</t>
        </is>
      </c>
      <c r="E69" s="124" t="inlineStr">
        <is>
          <t>Lunau Marc</t>
        </is>
      </c>
      <c r="F69" s="125">
        <f>SUMIFS(Investors!$M:$M, Investors!$I:$I, "&lt;=" &amp; 'NSST Print'!$B$3, Investors!$K:$K, "&gt;" &amp; 'NSST Print'!$B$3, Investors!$A:$A, 'Investor Exit List'!A69, Investors!$E:$E, 'Investor Exit List'!C69)</f>
        <v/>
      </c>
      <c r="G69" s="126" t="n">
        <v>44352</v>
      </c>
      <c r="H69" s="124">
        <f>VLOOKUP($C69,Sales!$C:$E,2,FALSE)</f>
        <v/>
      </c>
      <c r="I69" s="124">
        <f>VLOOKUP($C69,Sales!$C:$E,3,FALSE)</f>
        <v/>
      </c>
      <c r="J69" s="126">
        <f>SUMIFS(Sales!$H:$H,Sales!$C:$C,'Investor Exit List'!$C69)</f>
        <v/>
      </c>
      <c r="K69" s="126">
        <f>IF(I69=TRUE,J69,"")</f>
        <v/>
      </c>
      <c r="L69" s="126">
        <f>G69+730</f>
        <v/>
      </c>
      <c r="M69" s="126" t="n">
        <v>45443</v>
      </c>
      <c r="N69" s="127">
        <f>IFERROR(IF(G69&lt;&gt;"",IF(I69=TRUE,0,IF(U69=TRUE,0,L69-M69)),0),0)</f>
        <v/>
      </c>
      <c r="O69" s="127">
        <f>IF(N69&gt;0,IF(N69&lt;=180,N69,0),0)</f>
        <v/>
      </c>
      <c r="P69" s="125">
        <f>IF(AND(N69&lt;90,N69&gt;0),Q69,0)</f>
        <v/>
      </c>
      <c r="Q69" s="125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25">
        <f>IF(AND(H69=TRUE,I69=FALSE),Q69,0)</f>
        <v/>
      </c>
      <c r="S69" s="125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26">
        <f>IF(U69=TRUE,$J69,"")</f>
        <v/>
      </c>
      <c r="U69" s="124" t="b">
        <v>0</v>
      </c>
      <c r="V69" s="125">
        <f>IF(AND(H69=TRUE,OR(K69="",K69&gt;M69)),S69,0)</f>
        <v/>
      </c>
      <c r="W69" s="124" t="n">
        <v>0</v>
      </c>
      <c r="X69" s="124" t="b">
        <v>0</v>
      </c>
      <c r="Y69" s="127">
        <f>IF(H69=FALSE,VLOOKUP($C69,Sales!$C:$F,4,FALSE),1)</f>
        <v/>
      </c>
      <c r="Z69" s="124">
        <f>IF(Y69=0,"Release",IF(AND(L69&lt;J69,Y69=1,H69=FALSE,U69=FALSE,MONTH(L69)&amp;"/"&amp;YEAR(L69)&lt;&gt;MONTH(J69)&amp;"/"&amp;YEAR(J69)),"Release",""))</f>
        <v/>
      </c>
      <c r="AA69" s="128">
        <f>_xlfn.minifs($L:$L,$C:$C,$C69,$F:$F,"&lt;&gt;0")</f>
        <v/>
      </c>
      <c r="AB69" s="128">
        <f>C69&amp;"-"&amp;A69</f>
        <v/>
      </c>
      <c r="AC69" s="128">
        <f>L69</f>
        <v/>
      </c>
    </row>
    <row r="70">
      <c r="A70" s="124" t="inlineStr">
        <is>
          <t>ZKFT01</t>
        </is>
      </c>
      <c r="B70" s="124" t="n">
        <v>1</v>
      </c>
      <c r="C70" s="124" t="inlineStr">
        <is>
          <t>HFB101</t>
        </is>
      </c>
      <c r="D70" s="124" t="inlineStr">
        <is>
          <t>B</t>
        </is>
      </c>
      <c r="E70" s="124" t="inlineStr">
        <is>
          <t>Koovarjee Koovarjee Family Trust</t>
        </is>
      </c>
      <c r="F70" s="125">
        <f>SUMIFS(Investors!$M:$M, Investors!$I:$I, "&lt;=" &amp; 'NSST Print'!$B$3, Investors!$K:$K, "&gt;" &amp; 'NSST Print'!$B$3, Investors!$A:$A, 'Investor Exit List'!A70, Investors!$E:$E, 'Investor Exit List'!C70)</f>
        <v/>
      </c>
      <c r="G70" s="126" t="n">
        <v>44352</v>
      </c>
      <c r="H70" s="124">
        <f>VLOOKUP($C70,Sales!$C:$E,2,FALSE)</f>
        <v/>
      </c>
      <c r="I70" s="124">
        <f>VLOOKUP($C70,Sales!$C:$E,3,FALSE)</f>
        <v/>
      </c>
      <c r="J70" s="126">
        <f>SUMIFS(Sales!$H:$H,Sales!$C:$C,'Investor Exit List'!$C70)</f>
        <v/>
      </c>
      <c r="K70" s="126">
        <f>IF(I70=TRUE,J70,"")</f>
        <v/>
      </c>
      <c r="L70" s="126">
        <f>G70+730</f>
        <v/>
      </c>
      <c r="M70" s="126" t="n">
        <v>45443</v>
      </c>
      <c r="N70" s="127">
        <f>IFERROR(IF(G70&lt;&gt;"",IF(I70=TRUE,0,IF(U70=TRUE,0,L70-M70)),0),0)</f>
        <v/>
      </c>
      <c r="O70" s="127">
        <f>IF(N70&gt;0,IF(N70&lt;=180,N70,0),0)</f>
        <v/>
      </c>
      <c r="P70" s="125">
        <f>IF(AND(N70&lt;90,N70&gt;0),Q70,0)</f>
        <v/>
      </c>
      <c r="Q70" s="125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25">
        <f>IF(AND(H70=TRUE,I70=FALSE),Q70,0)</f>
        <v/>
      </c>
      <c r="S70" s="125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26">
        <f>IF(U70=TRUE,$J70,"")</f>
        <v/>
      </c>
      <c r="U70" s="124" t="b">
        <v>0</v>
      </c>
      <c r="V70" s="125">
        <f>IF(AND(H70=TRUE,OR(K70="",K70&gt;M70)),S70,0)</f>
        <v/>
      </c>
      <c r="W70" s="124" t="n">
        <v>0</v>
      </c>
      <c r="X70" s="124" t="b">
        <v>0</v>
      </c>
      <c r="Y70" s="127">
        <f>IF(H70=FALSE,VLOOKUP($C70,Sales!$C:$F,4,FALSE),1)</f>
        <v/>
      </c>
      <c r="Z70" s="124">
        <f>IF(Y70=0,"Release",IF(AND(L70&lt;J70,Y70=1,H70=FALSE,U70=FALSE,MONTH(L70)&amp;"/"&amp;YEAR(L70)&lt;&gt;MONTH(J70)&amp;"/"&amp;YEAR(J70)),"Release",""))</f>
        <v/>
      </c>
      <c r="AA70" s="128">
        <f>_xlfn.minifs($L:$L,$C:$C,$C70,$F:$F,"&lt;&gt;0")</f>
        <v/>
      </c>
      <c r="AB70" s="128">
        <f>C70&amp;"-"&amp;A70</f>
        <v/>
      </c>
      <c r="AC70" s="128">
        <f>L70</f>
        <v/>
      </c>
    </row>
    <row r="71">
      <c r="A71" s="124" t="inlineStr">
        <is>
          <t>ZLUN01</t>
        </is>
      </c>
      <c r="B71" s="124" t="n">
        <v>3</v>
      </c>
      <c r="C71" s="124" t="inlineStr">
        <is>
          <t>HFB101</t>
        </is>
      </c>
      <c r="D71" s="124" t="inlineStr">
        <is>
          <t>B</t>
        </is>
      </c>
      <c r="E71" s="124" t="inlineStr">
        <is>
          <t>Lunau Marc</t>
        </is>
      </c>
      <c r="F71" s="125">
        <f>SUMIFS(Investors!$M:$M, Investors!$I:$I, "&lt;=" &amp; 'NSST Print'!$B$3, Investors!$K:$K, "&gt;" &amp; 'NSST Print'!$B$3, Investors!$A:$A, 'Investor Exit List'!A71, Investors!$E:$E, 'Investor Exit List'!C71)</f>
        <v/>
      </c>
      <c r="G71" s="126" t="n">
        <v>44316</v>
      </c>
      <c r="H71" s="124">
        <f>VLOOKUP($C71,Sales!$C:$E,2,FALSE)</f>
        <v/>
      </c>
      <c r="I71" s="124">
        <f>VLOOKUP($C71,Sales!$C:$E,3,FALSE)</f>
        <v/>
      </c>
      <c r="J71" s="126">
        <f>SUMIFS(Sales!$H:$H,Sales!$C:$C,'Investor Exit List'!$C71)</f>
        <v/>
      </c>
      <c r="K71" s="126">
        <f>IF(I71=TRUE,J71,"")</f>
        <v/>
      </c>
      <c r="L71" s="126">
        <f>G71+730</f>
        <v/>
      </c>
      <c r="M71" s="126" t="n">
        <v>45443</v>
      </c>
      <c r="N71" s="127">
        <f>IFERROR(IF(G71&lt;&gt;"",IF(I71=TRUE,0,IF(U71=TRUE,0,L71-M71)),0),0)</f>
        <v/>
      </c>
      <c r="O71" s="127">
        <f>IF(N71&gt;0,IF(N71&lt;=180,N71,0),0)</f>
        <v/>
      </c>
      <c r="P71" s="125">
        <f>IF(AND(N71&lt;90,N71&gt;0),Q71,0)</f>
        <v/>
      </c>
      <c r="Q71" s="125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25">
        <f>IF(AND(H71=TRUE,I71=FALSE),Q71,0)</f>
        <v/>
      </c>
      <c r="S71" s="125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26">
        <f>IF(U71=TRUE,$J71,"")</f>
        <v/>
      </c>
      <c r="U71" s="124" t="b">
        <v>0</v>
      </c>
      <c r="V71" s="125">
        <f>IF(AND(H71=TRUE,OR(K71="",K71&gt;M71)),S71,0)</f>
        <v/>
      </c>
      <c r="W71" s="124" t="n">
        <v>0</v>
      </c>
      <c r="X71" s="124" t="b">
        <v>0</v>
      </c>
      <c r="Y71" s="127">
        <f>IF(H71=FALSE,VLOOKUP($C71,Sales!$C:$F,4,FALSE),1)</f>
        <v/>
      </c>
      <c r="Z71" s="124">
        <f>IF(Y71=0,"Release",IF(AND(L71&lt;J71,Y71=1,H71=FALSE,U71=FALSE,MONTH(L71)&amp;"/"&amp;YEAR(L71)&lt;&gt;MONTH(J71)&amp;"/"&amp;YEAR(J71)),"Release",""))</f>
        <v/>
      </c>
      <c r="AA71" s="128">
        <f>_xlfn.minifs($L:$L,$C:$C,$C71,$F:$F,"&lt;&gt;0")</f>
        <v/>
      </c>
      <c r="AB71" s="128">
        <f>C71&amp;"-"&amp;A71</f>
        <v/>
      </c>
      <c r="AC71" s="128">
        <f>L71</f>
        <v/>
      </c>
    </row>
    <row r="72">
      <c r="A72" s="124" t="inlineStr">
        <is>
          <t>ZMEH01</t>
        </is>
      </c>
      <c r="B72" s="124" t="n">
        <v>1</v>
      </c>
      <c r="C72" s="124" t="inlineStr">
        <is>
          <t>HFB101</t>
        </is>
      </c>
      <c r="D72" s="124" t="inlineStr">
        <is>
          <t>B</t>
        </is>
      </c>
      <c r="E72" s="124" t="inlineStr">
        <is>
          <t>Mehl Ralph Graham</t>
        </is>
      </c>
      <c r="F72" s="125">
        <f>SUMIFS(Investors!$M:$M, Investors!$I:$I, "&lt;=" &amp; 'NSST Print'!$B$3, Investors!$K:$K, "&gt;" &amp; 'NSST Print'!$B$3, Investors!$A:$A, 'Investor Exit List'!A72, Investors!$E:$E, 'Investor Exit List'!C72)</f>
        <v/>
      </c>
      <c r="G72" s="126" t="n">
        <v>44532</v>
      </c>
      <c r="H72" s="124">
        <f>VLOOKUP($C72,Sales!$C:$E,2,FALSE)</f>
        <v/>
      </c>
      <c r="I72" s="124">
        <f>VLOOKUP($C72,Sales!$C:$E,3,FALSE)</f>
        <v/>
      </c>
      <c r="J72" s="126">
        <f>SUMIFS(Sales!$H:$H,Sales!$C:$C,'Investor Exit List'!$C72)</f>
        <v/>
      </c>
      <c r="K72" s="126">
        <f>IF(I72=TRUE,J72,"")</f>
        <v/>
      </c>
      <c r="L72" s="126">
        <f>G72+730</f>
        <v/>
      </c>
      <c r="M72" s="126" t="n">
        <v>45443</v>
      </c>
      <c r="N72" s="127">
        <f>IFERROR(IF(G72&lt;&gt;"",IF(I72=TRUE,0,IF(U72=TRUE,0,L72-M72)),0),0)</f>
        <v/>
      </c>
      <c r="O72" s="127">
        <f>IF(N72&gt;0,IF(N72&lt;=180,N72,0),0)</f>
        <v/>
      </c>
      <c r="P72" s="125">
        <f>IF(AND(N72&lt;90,N72&gt;0),Q72,0)</f>
        <v/>
      </c>
      <c r="Q72" s="125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25">
        <f>IF(AND(H72=TRUE,I72=FALSE),Q72,0)</f>
        <v/>
      </c>
      <c r="S72" s="125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26">
        <f>IF(U72=TRUE,$J72,"")</f>
        <v/>
      </c>
      <c r="U72" s="124" t="b">
        <v>0</v>
      </c>
      <c r="V72" s="125">
        <f>IF(AND(H72=TRUE,OR(K72="",K72&gt;M72)),S72,0)</f>
        <v/>
      </c>
      <c r="W72" s="124" t="n">
        <v>0</v>
      </c>
      <c r="X72" s="124" t="b">
        <v>0</v>
      </c>
      <c r="Y72" s="127">
        <f>IF(H72=FALSE,VLOOKUP($C72,Sales!$C:$F,4,FALSE),1)</f>
        <v/>
      </c>
      <c r="Z72" s="124">
        <f>IF(Y72=0,"Release",IF(AND(L72&lt;J72,Y72=1,H72=FALSE,U72=FALSE,MONTH(L72)&amp;"/"&amp;YEAR(L72)&lt;&gt;MONTH(J72)&amp;"/"&amp;YEAR(J72)),"Release",""))</f>
        <v/>
      </c>
      <c r="AA72" s="128">
        <f>_xlfn.minifs($L:$L,$C:$C,$C72,$F:$F,"&lt;&gt;0")</f>
        <v/>
      </c>
      <c r="AB72" s="128">
        <f>C72&amp;"-"&amp;A72</f>
        <v/>
      </c>
      <c r="AC72" s="128">
        <f>L72</f>
        <v/>
      </c>
    </row>
    <row r="73">
      <c r="A73" s="124" t="inlineStr">
        <is>
          <t>ZTHO01</t>
        </is>
      </c>
      <c r="B73" s="124" t="n">
        <v>1</v>
      </c>
      <c r="C73" s="124" t="inlineStr">
        <is>
          <t>HFB101</t>
        </is>
      </c>
      <c r="D73" s="124" t="inlineStr">
        <is>
          <t>B</t>
        </is>
      </c>
      <c r="E73" s="124" t="inlineStr">
        <is>
          <t>Hoets Tamzin</t>
        </is>
      </c>
      <c r="F73" s="125">
        <f>SUMIFS(Investors!$M:$M, Investors!$I:$I, "&lt;=" &amp; 'NSST Print'!$B$3, Investors!$K:$K, "&gt;" &amp; 'NSST Print'!$B$3, Investors!$A:$A, 'Investor Exit List'!A73, Investors!$E:$E, 'Investor Exit List'!C73)</f>
        <v/>
      </c>
      <c r="G73" s="126" t="n">
        <v>44352</v>
      </c>
      <c r="H73" s="124">
        <f>VLOOKUP($C73,Sales!$C:$E,2,FALSE)</f>
        <v/>
      </c>
      <c r="I73" s="124">
        <f>VLOOKUP($C73,Sales!$C:$E,3,FALSE)</f>
        <v/>
      </c>
      <c r="J73" s="126">
        <f>SUMIFS(Sales!$H:$H,Sales!$C:$C,'Investor Exit List'!$C73)</f>
        <v/>
      </c>
      <c r="K73" s="126">
        <f>IF(I73=TRUE,J73,"")</f>
        <v/>
      </c>
      <c r="L73" s="126">
        <f>G73+730</f>
        <v/>
      </c>
      <c r="M73" s="126" t="n">
        <v>45443</v>
      </c>
      <c r="N73" s="127">
        <f>IFERROR(IF(G73&lt;&gt;"",IF(I73=TRUE,0,IF(U73=TRUE,0,L73-M73)),0),0)</f>
        <v/>
      </c>
      <c r="O73" s="127">
        <f>IF(N73&gt;0,IF(N73&lt;=180,N73,0),0)</f>
        <v/>
      </c>
      <c r="P73" s="125">
        <f>IF(AND(N73&lt;90,N73&gt;0),Q73,0)</f>
        <v/>
      </c>
      <c r="Q73" s="125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25">
        <f>IF(AND(H73=TRUE,I73=FALSE),Q73,0)</f>
        <v/>
      </c>
      <c r="S73" s="125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26">
        <f>IF(U73=TRUE,$J73,"")</f>
        <v/>
      </c>
      <c r="U73" s="124" t="b">
        <v>0</v>
      </c>
      <c r="V73" s="125">
        <f>IF(AND(H73=TRUE,OR(K73="",K73&gt;M73)),S73,0)</f>
        <v/>
      </c>
      <c r="W73" s="124" t="n">
        <v>0</v>
      </c>
      <c r="X73" s="124" t="b">
        <v>0</v>
      </c>
      <c r="Y73" s="127">
        <f>IF(H73=FALSE,VLOOKUP($C73,Sales!$C:$F,4,FALSE),1)</f>
        <v/>
      </c>
      <c r="Z73" s="124">
        <f>IF(Y73=0,"Release",IF(AND(L73&lt;J73,Y73=1,H73=FALSE,U73=FALSE,MONTH(L73)&amp;"/"&amp;YEAR(L73)&lt;&gt;MONTH(J73)&amp;"/"&amp;YEAR(J73)),"Release",""))</f>
        <v/>
      </c>
      <c r="AA73" s="128">
        <f>_xlfn.minifs($L:$L,$C:$C,$C73,$F:$F,"&lt;&gt;0")</f>
        <v/>
      </c>
      <c r="AB73" s="128">
        <f>C73&amp;"-"&amp;A73</f>
        <v/>
      </c>
      <c r="AC73" s="128">
        <f>L73</f>
        <v/>
      </c>
    </row>
    <row r="74">
      <c r="A74" s="124" t="inlineStr">
        <is>
          <t>ZCRO01</t>
        </is>
      </c>
      <c r="B74" s="124" t="n">
        <v>2</v>
      </c>
      <c r="C74" s="124" t="inlineStr">
        <is>
          <t>HFB102</t>
        </is>
      </c>
      <c r="D74" s="124" t="inlineStr">
        <is>
          <t>B</t>
        </is>
      </c>
      <c r="E74" s="124" t="inlineStr">
        <is>
          <t>Lunau Marc</t>
        </is>
      </c>
      <c r="F74" s="125">
        <f>SUMIFS(Investors!$M:$M, Investors!$I:$I, "&lt;=" &amp; 'NSST Print'!$B$3, Investors!$K:$K, "&gt;" &amp; 'NSST Print'!$B$3, Investors!$A:$A, 'Investor Exit List'!A74, Investors!$E:$E, 'Investor Exit List'!C74)</f>
        <v/>
      </c>
      <c r="G74" s="126" t="n">
        <v>44352</v>
      </c>
      <c r="H74" s="124">
        <f>VLOOKUP($C74,Sales!$C:$E,2,FALSE)</f>
        <v/>
      </c>
      <c r="I74" s="124">
        <f>VLOOKUP($C74,Sales!$C:$E,3,FALSE)</f>
        <v/>
      </c>
      <c r="J74" s="126">
        <f>SUMIFS(Sales!$H:$H,Sales!$C:$C,'Investor Exit List'!$C74)</f>
        <v/>
      </c>
      <c r="K74" s="126">
        <f>IF(I74=TRUE,J74,"")</f>
        <v/>
      </c>
      <c r="L74" s="126">
        <f>G74+730</f>
        <v/>
      </c>
      <c r="M74" s="126" t="n">
        <v>45443</v>
      </c>
      <c r="N74" s="127">
        <f>IFERROR(IF(G74&lt;&gt;"",IF(I74=TRUE,0,IF(U74=TRUE,0,L74-M74)),0),0)</f>
        <v/>
      </c>
      <c r="O74" s="127">
        <f>IF(N74&gt;0,IF(N74&lt;=180,N74,0),0)</f>
        <v/>
      </c>
      <c r="P74" s="125">
        <f>IF(AND(N74&lt;90,N74&gt;0),Q74,0)</f>
        <v/>
      </c>
      <c r="Q74" s="125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25">
        <f>IF(AND(H74=TRUE,I74=FALSE),Q74,0)</f>
        <v/>
      </c>
      <c r="S74" s="125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26">
        <f>IF(U74=TRUE,$J74,"")</f>
        <v/>
      </c>
      <c r="U74" s="124" t="b">
        <v>0</v>
      </c>
      <c r="V74" s="125">
        <f>IF(AND(H74=TRUE,OR(K74="",K74&gt;M74)),S74,0)</f>
        <v/>
      </c>
      <c r="W74" s="124" t="n">
        <v>0</v>
      </c>
      <c r="X74" s="124" t="b">
        <v>0</v>
      </c>
      <c r="Y74" s="127">
        <f>IF(H74=FALSE,VLOOKUP($C74,Sales!$C:$F,4,FALSE),1)</f>
        <v/>
      </c>
      <c r="Z74" s="124">
        <f>IF(Y74=0,"Release",IF(AND(L74&lt;J74,Y74=1,H74=FALSE,U74=FALSE,MONTH(L74)&amp;"/"&amp;YEAR(L74)&lt;&gt;MONTH(J74)&amp;"/"&amp;YEAR(J74)),"Release",""))</f>
        <v/>
      </c>
      <c r="AA74" s="128">
        <f>_xlfn.minifs($L:$L,$C:$C,$C74,$F:$F,"&lt;&gt;0")</f>
        <v/>
      </c>
      <c r="AB74" s="128">
        <f>C74&amp;"-"&amp;A74</f>
        <v/>
      </c>
      <c r="AC74" s="128">
        <f>L74</f>
        <v/>
      </c>
    </row>
    <row r="75">
      <c r="A75" s="124" t="inlineStr">
        <is>
          <t>ZGOV01</t>
        </is>
      </c>
      <c r="B75" s="124" t="n">
        <v>1</v>
      </c>
      <c r="C75" s="124" t="inlineStr">
        <is>
          <t>HFB102</t>
        </is>
      </c>
      <c r="D75" s="124" t="inlineStr">
        <is>
          <t>B</t>
        </is>
      </c>
      <c r="E75" s="124" t="inlineStr">
        <is>
          <t>Govender Preshnee</t>
        </is>
      </c>
      <c r="F75" s="125">
        <f>SUMIFS(Investors!$M:$M, Investors!$I:$I, "&lt;=" &amp; 'NSST Print'!$B$3, Investors!$K:$K, "&gt;" &amp; 'NSST Print'!$B$3, Investors!$A:$A, 'Investor Exit List'!A75, Investors!$E:$E, 'Investor Exit List'!C75)</f>
        <v/>
      </c>
      <c r="G75" s="126" t="n">
        <v>44352</v>
      </c>
      <c r="H75" s="124">
        <f>VLOOKUP($C75,Sales!$C:$E,2,FALSE)</f>
        <v/>
      </c>
      <c r="I75" s="124">
        <f>VLOOKUP($C75,Sales!$C:$E,3,FALSE)</f>
        <v/>
      </c>
      <c r="J75" s="126">
        <f>SUMIFS(Sales!$H:$H,Sales!$C:$C,'Investor Exit List'!$C75)</f>
        <v/>
      </c>
      <c r="K75" s="126">
        <f>IF(I75=TRUE,J75,"")</f>
        <v/>
      </c>
      <c r="L75" s="126">
        <f>G75+730</f>
        <v/>
      </c>
      <c r="M75" s="126" t="n">
        <v>45443</v>
      </c>
      <c r="N75" s="127">
        <f>IFERROR(IF(G75&lt;&gt;"",IF(I75=TRUE,0,IF(U75=TRUE,0,L75-M75)),0),0)</f>
        <v/>
      </c>
      <c r="O75" s="127">
        <f>IF(N75&gt;0,IF(N75&lt;=180,N75,0),0)</f>
        <v/>
      </c>
      <c r="P75" s="125">
        <f>IF(AND(N75&lt;90,N75&gt;0),Q75,0)</f>
        <v/>
      </c>
      <c r="Q75" s="125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25">
        <f>IF(AND(H75=TRUE,I75=FALSE),Q75,0)</f>
        <v/>
      </c>
      <c r="S75" s="125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26">
        <f>IF(U75=TRUE,$J75,"")</f>
        <v/>
      </c>
      <c r="U75" s="124" t="b">
        <v>0</v>
      </c>
      <c r="V75" s="125">
        <f>IF(AND(H75=TRUE,OR(K75="",K75&gt;M75)),S75,0)</f>
        <v/>
      </c>
      <c r="W75" s="124" t="n">
        <v>0</v>
      </c>
      <c r="X75" s="124" t="b">
        <v>0</v>
      </c>
      <c r="Y75" s="127">
        <f>IF(H75=FALSE,VLOOKUP($C75,Sales!$C:$F,4,FALSE),1)</f>
        <v/>
      </c>
      <c r="Z75" s="124">
        <f>IF(Y75=0,"Release",IF(AND(L75&lt;J75,Y75=1,H75=FALSE,U75=FALSE,MONTH(L75)&amp;"/"&amp;YEAR(L75)&lt;&gt;MONTH(J75)&amp;"/"&amp;YEAR(J75)),"Release",""))</f>
        <v/>
      </c>
      <c r="AA75" s="128">
        <f>_xlfn.minifs($L:$L,$C:$C,$C75,$F:$F,"&lt;&gt;0")</f>
        <v/>
      </c>
      <c r="AB75" s="128">
        <f>C75&amp;"-"&amp;A75</f>
        <v/>
      </c>
      <c r="AC75" s="128">
        <f>L75</f>
        <v/>
      </c>
    </row>
    <row r="76">
      <c r="A76" s="124" t="inlineStr">
        <is>
          <t>ZINT01</t>
        </is>
      </c>
      <c r="B76" s="124" t="n">
        <v>7</v>
      </c>
      <c r="C76" s="124" t="inlineStr">
        <is>
          <t>HFB102</t>
        </is>
      </c>
      <c r="D76" s="124" t="inlineStr">
        <is>
          <t>B</t>
        </is>
      </c>
      <c r="E76" s="124" t="inlineStr">
        <is>
          <t>Lunau Marc</t>
        </is>
      </c>
      <c r="F76" s="125">
        <f>SUMIFS(Investors!$M:$M, Investors!$I:$I, "&lt;=" &amp; 'NSST Print'!$B$3, Investors!$K:$K, "&gt;" &amp; 'NSST Print'!$B$3, Investors!$A:$A, 'Investor Exit List'!A76, Investors!$E:$E, 'Investor Exit List'!C76)</f>
        <v/>
      </c>
      <c r="G76" s="126" t="n">
        <v>44352</v>
      </c>
      <c r="H76" s="124">
        <f>VLOOKUP($C76,Sales!$C:$E,2,FALSE)</f>
        <v/>
      </c>
      <c r="I76" s="124">
        <f>VLOOKUP($C76,Sales!$C:$E,3,FALSE)</f>
        <v/>
      </c>
      <c r="J76" s="126">
        <f>SUMIFS(Sales!$H:$H,Sales!$C:$C,'Investor Exit List'!$C76)</f>
        <v/>
      </c>
      <c r="K76" s="126">
        <f>IF(I76=TRUE,J76,"")</f>
        <v/>
      </c>
      <c r="L76" s="126">
        <f>G76+730</f>
        <v/>
      </c>
      <c r="M76" s="126" t="n">
        <v>45443</v>
      </c>
      <c r="N76" s="127">
        <f>IFERROR(IF(G76&lt;&gt;"",IF(I76=TRUE,0,IF(U76=TRUE,0,L76-M76)),0),0)</f>
        <v/>
      </c>
      <c r="O76" s="127">
        <f>IF(N76&gt;0,IF(N76&lt;=180,N76,0),0)</f>
        <v/>
      </c>
      <c r="P76" s="125">
        <f>IF(AND(N76&lt;90,N76&gt;0),Q76,0)</f>
        <v/>
      </c>
      <c r="Q76" s="125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25">
        <f>IF(AND(H76=TRUE,I76=FALSE),Q76,0)</f>
        <v/>
      </c>
      <c r="S76" s="125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26">
        <f>IF(U76=TRUE,$J76,"")</f>
        <v/>
      </c>
      <c r="U76" s="124" t="b">
        <v>0</v>
      </c>
      <c r="V76" s="125">
        <f>IF(AND(H76=TRUE,OR(K76="",K76&gt;M76)),S76,0)</f>
        <v/>
      </c>
      <c r="W76" s="124" t="n">
        <v>0</v>
      </c>
      <c r="X76" s="124" t="b">
        <v>0</v>
      </c>
      <c r="Y76" s="127">
        <f>IF(H76=FALSE,VLOOKUP($C76,Sales!$C:$F,4,FALSE),1)</f>
        <v/>
      </c>
      <c r="Z76" s="124">
        <f>IF(Y76=0,"Release",IF(AND(L76&lt;J76,Y76=1,H76=FALSE,U76=FALSE,MONTH(L76)&amp;"/"&amp;YEAR(L76)&lt;&gt;MONTH(J76)&amp;"/"&amp;YEAR(J76)),"Release",""))</f>
        <v/>
      </c>
      <c r="AA76" s="128">
        <f>_xlfn.minifs($L:$L,$C:$C,$C76,$F:$F,"&lt;&gt;0")</f>
        <v/>
      </c>
      <c r="AB76" s="128">
        <f>C76&amp;"-"&amp;A76</f>
        <v/>
      </c>
      <c r="AC76" s="128">
        <f>L76</f>
        <v/>
      </c>
    </row>
    <row r="77">
      <c r="A77" s="124" t="inlineStr">
        <is>
          <t>ZJOH01</t>
        </is>
      </c>
      <c r="B77" s="124" t="n">
        <v>2</v>
      </c>
      <c r="C77" s="124" t="inlineStr">
        <is>
          <t>HFB102</t>
        </is>
      </c>
      <c r="D77" s="124" t="inlineStr">
        <is>
          <t>B</t>
        </is>
      </c>
      <c r="E77" s="124" t="inlineStr">
        <is>
          <t>Johns Lisa-Marie Natalie</t>
        </is>
      </c>
      <c r="F77" s="125">
        <f>SUMIFS(Investors!$M:$M, Investors!$I:$I, "&lt;=" &amp; 'NSST Print'!$B$3, Investors!$K:$K, "&gt;" &amp; 'NSST Print'!$B$3, Investors!$A:$A, 'Investor Exit List'!A77, Investors!$E:$E, 'Investor Exit List'!C77)</f>
        <v/>
      </c>
      <c r="G77" s="126" t="n">
        <v>44316</v>
      </c>
      <c r="H77" s="124">
        <f>VLOOKUP($C77,Sales!$C:$E,2,FALSE)</f>
        <v/>
      </c>
      <c r="I77" s="124">
        <f>VLOOKUP($C77,Sales!$C:$E,3,FALSE)</f>
        <v/>
      </c>
      <c r="J77" s="126">
        <f>SUMIFS(Sales!$H:$H,Sales!$C:$C,'Investor Exit List'!$C77)</f>
        <v/>
      </c>
      <c r="K77" s="126">
        <f>IF(I77=TRUE,J77,"")</f>
        <v/>
      </c>
      <c r="L77" s="126">
        <f>G77+730</f>
        <v/>
      </c>
      <c r="M77" s="126" t="n">
        <v>45443</v>
      </c>
      <c r="N77" s="127">
        <f>IFERROR(IF(G77&lt;&gt;"",IF(I77=TRUE,0,IF(U77=TRUE,0,L77-M77)),0),0)</f>
        <v/>
      </c>
      <c r="O77" s="127">
        <f>IF(N77&gt;0,IF(N77&lt;=180,N77,0),0)</f>
        <v/>
      </c>
      <c r="P77" s="125">
        <f>IF(AND(N77&lt;90,N77&gt;0),Q77,0)</f>
        <v/>
      </c>
      <c r="Q77" s="125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25">
        <f>IF(AND(H77=TRUE,I77=FALSE),Q77,0)</f>
        <v/>
      </c>
      <c r="S77" s="125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26">
        <f>IF(U77=TRUE,$J77,"")</f>
        <v/>
      </c>
      <c r="U77" s="124" t="b">
        <v>0</v>
      </c>
      <c r="V77" s="125">
        <f>IF(AND(H77=TRUE,OR(K77="",K77&gt;M77)),S77,0)</f>
        <v/>
      </c>
      <c r="W77" s="124" t="n">
        <v>0</v>
      </c>
      <c r="X77" s="124" t="b">
        <v>0</v>
      </c>
      <c r="Y77" s="127">
        <f>IF(H77=FALSE,VLOOKUP($C77,Sales!$C:$F,4,FALSE),1)</f>
        <v/>
      </c>
      <c r="Z77" s="124">
        <f>IF(Y77=0,"Release",IF(AND(L77&lt;J77,Y77=1,H77=FALSE,U77=FALSE,MONTH(L77)&amp;"/"&amp;YEAR(L77)&lt;&gt;MONTH(J77)&amp;"/"&amp;YEAR(J77)),"Release",""))</f>
        <v/>
      </c>
      <c r="AA77" s="128">
        <f>_xlfn.minifs($L:$L,$C:$C,$C77,$F:$F,"&lt;&gt;0")</f>
        <v/>
      </c>
      <c r="AB77" s="128">
        <f>C77&amp;"-"&amp;A77</f>
        <v/>
      </c>
      <c r="AC77" s="128">
        <f>L77</f>
        <v/>
      </c>
    </row>
    <row r="78">
      <c r="A78" s="124" t="inlineStr">
        <is>
          <t>ZSCH02</t>
        </is>
      </c>
      <c r="B78" s="124" t="n">
        <v>1</v>
      </c>
      <c r="C78" s="124" t="inlineStr">
        <is>
          <t>HFB102</t>
        </is>
      </c>
      <c r="D78" s="124" t="inlineStr">
        <is>
          <t>B</t>
        </is>
      </c>
      <c r="E78" s="124" t="inlineStr">
        <is>
          <t>van Schalkwyk Zeldre</t>
        </is>
      </c>
      <c r="F78" s="125">
        <f>SUMIFS(Investors!$M:$M, Investors!$I:$I, "&lt;=" &amp; 'NSST Print'!$B$3, Investors!$K:$K, "&gt;" &amp; 'NSST Print'!$B$3, Investors!$A:$A, 'Investor Exit List'!A78, Investors!$E:$E, 'Investor Exit List'!C78)</f>
        <v/>
      </c>
      <c r="G78" s="126" t="n">
        <v>44352</v>
      </c>
      <c r="H78" s="124">
        <f>VLOOKUP($C78,Sales!$C:$E,2,FALSE)</f>
        <v/>
      </c>
      <c r="I78" s="124">
        <f>VLOOKUP($C78,Sales!$C:$E,3,FALSE)</f>
        <v/>
      </c>
      <c r="J78" s="126">
        <f>SUMIFS(Sales!$H:$H,Sales!$C:$C,'Investor Exit List'!$C78)</f>
        <v/>
      </c>
      <c r="K78" s="126">
        <f>IF(I78=TRUE,J78,"")</f>
        <v/>
      </c>
      <c r="L78" s="126">
        <f>G78+730</f>
        <v/>
      </c>
      <c r="M78" s="126" t="n">
        <v>45443</v>
      </c>
      <c r="N78" s="127">
        <f>IFERROR(IF(G78&lt;&gt;"",IF(I78=TRUE,0,IF(U78=TRUE,0,L78-M78)),0),0)</f>
        <v/>
      </c>
      <c r="O78" s="127">
        <f>IF(N78&gt;0,IF(N78&lt;=180,N78,0),0)</f>
        <v/>
      </c>
      <c r="P78" s="125">
        <f>IF(AND(N78&lt;90,N78&gt;0),Q78,0)</f>
        <v/>
      </c>
      <c r="Q78" s="125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25">
        <f>IF(AND(H78=TRUE,I78=FALSE),Q78,0)</f>
        <v/>
      </c>
      <c r="S78" s="125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26">
        <f>IF(U78=TRUE,$J78,"")</f>
        <v/>
      </c>
      <c r="U78" s="124" t="b">
        <v>0</v>
      </c>
      <c r="V78" s="125">
        <f>IF(AND(H78=TRUE,OR(K78="",K78&gt;M78)),S78,0)</f>
        <v/>
      </c>
      <c r="W78" s="124" t="n">
        <v>0</v>
      </c>
      <c r="X78" s="124" t="b">
        <v>0</v>
      </c>
      <c r="Y78" s="127">
        <f>IF(H78=FALSE,VLOOKUP($C78,Sales!$C:$F,4,FALSE),1)</f>
        <v/>
      </c>
      <c r="Z78" s="124">
        <f>IF(Y78=0,"Release",IF(AND(L78&lt;J78,Y78=1,H78=FALSE,U78=FALSE,MONTH(L78)&amp;"/"&amp;YEAR(L78)&lt;&gt;MONTH(J78)&amp;"/"&amp;YEAR(J78)),"Release",""))</f>
        <v/>
      </c>
      <c r="AA78" s="128">
        <f>_xlfn.minifs($L:$L,$C:$C,$C78,$F:$F,"&lt;&gt;0")</f>
        <v/>
      </c>
      <c r="AB78" s="128">
        <f>C78&amp;"-"&amp;A78</f>
        <v/>
      </c>
      <c r="AC78" s="128">
        <f>L78</f>
        <v/>
      </c>
    </row>
    <row r="79">
      <c r="A79" s="124" t="inlineStr">
        <is>
          <t>ZBET02</t>
        </is>
      </c>
      <c r="B79" s="124" t="n">
        <v>1</v>
      </c>
      <c r="C79" s="124" t="inlineStr">
        <is>
          <t>HFB103</t>
        </is>
      </c>
      <c r="D79" s="124" t="inlineStr">
        <is>
          <t>B</t>
        </is>
      </c>
      <c r="E79" s="124" t="inlineStr">
        <is>
          <t>Bester Dawie Izak</t>
        </is>
      </c>
      <c r="F79" s="125">
        <f>SUMIFS(Investors!$M:$M, Investors!$I:$I, "&lt;=" &amp; 'NSST Print'!$B$3, Investors!$K:$K, "&gt;" &amp; 'NSST Print'!$B$3, Investors!$A:$A, 'Investor Exit List'!A79, Investors!$E:$E, 'Investor Exit List'!C79)</f>
        <v/>
      </c>
      <c r="G79" s="126" t="n">
        <v>44352</v>
      </c>
      <c r="H79" s="124">
        <f>VLOOKUP($C79,Sales!$C:$E,2,FALSE)</f>
        <v/>
      </c>
      <c r="I79" s="124">
        <f>VLOOKUP($C79,Sales!$C:$E,3,FALSE)</f>
        <v/>
      </c>
      <c r="J79" s="126">
        <f>SUMIFS(Sales!$H:$H,Sales!$C:$C,'Investor Exit List'!$C79)</f>
        <v/>
      </c>
      <c r="K79" s="126">
        <f>IF(I79=TRUE,J79,"")</f>
        <v/>
      </c>
      <c r="L79" s="126">
        <f>G79+730</f>
        <v/>
      </c>
      <c r="M79" s="126" t="n">
        <v>45443</v>
      </c>
      <c r="N79" s="127">
        <f>IFERROR(IF(G79&lt;&gt;"",IF(I79=TRUE,0,IF(U79=TRUE,0,L79-M79)),0),0)</f>
        <v/>
      </c>
      <c r="O79" s="127">
        <f>IF(N79&gt;0,IF(N79&lt;=180,N79,0),0)</f>
        <v/>
      </c>
      <c r="P79" s="125">
        <f>IF(AND(N79&lt;90,N79&gt;0),Q79,0)</f>
        <v/>
      </c>
      <c r="Q79" s="125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25">
        <f>IF(AND(H79=TRUE,I79=FALSE),Q79,0)</f>
        <v/>
      </c>
      <c r="S79" s="125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26">
        <f>IF(U79=TRUE,$J79,"")</f>
        <v/>
      </c>
      <c r="U79" s="124" t="b">
        <v>0</v>
      </c>
      <c r="V79" s="125">
        <f>IF(AND(H79=TRUE,OR(K79="",K79&gt;M79)),S79,0)</f>
        <v/>
      </c>
      <c r="W79" s="124" t="n">
        <v>0</v>
      </c>
      <c r="X79" s="124" t="b">
        <v>0</v>
      </c>
      <c r="Y79" s="127">
        <f>IF(H79=FALSE,VLOOKUP($C79,Sales!$C:$F,4,FALSE),1)</f>
        <v/>
      </c>
      <c r="Z79" s="124">
        <f>IF(Y79=0,"Release",IF(AND(L79&lt;J79,Y79=1,H79=FALSE,U79=FALSE,MONTH(L79)&amp;"/"&amp;YEAR(L79)&lt;&gt;MONTH(J79)&amp;"/"&amp;YEAR(J79)),"Release",""))</f>
        <v/>
      </c>
      <c r="AA79" s="128">
        <f>_xlfn.minifs($L:$L,$C:$C,$C79,$F:$F,"&lt;&gt;0")</f>
        <v/>
      </c>
      <c r="AB79" s="128">
        <f>C79&amp;"-"&amp;A79</f>
        <v/>
      </c>
      <c r="AC79" s="128">
        <f>L79</f>
        <v/>
      </c>
    </row>
    <row r="80">
      <c r="A80" s="124" t="inlineStr">
        <is>
          <t>ZINT01</t>
        </is>
      </c>
      <c r="B80" s="124" t="n">
        <v>4</v>
      </c>
      <c r="C80" s="124" t="inlineStr">
        <is>
          <t>HFB103</t>
        </is>
      </c>
      <c r="D80" s="124" t="inlineStr">
        <is>
          <t>B</t>
        </is>
      </c>
      <c r="E80" s="124" t="inlineStr">
        <is>
          <t>Lunau Marc</t>
        </is>
      </c>
      <c r="F80" s="125">
        <f>SUMIFS(Investors!$M:$M, Investors!$I:$I, "&lt;=" &amp; 'NSST Print'!$B$3, Investors!$K:$K, "&gt;" &amp; 'NSST Print'!$B$3, Investors!$A:$A, 'Investor Exit List'!A80, Investors!$E:$E, 'Investor Exit List'!C80)</f>
        <v/>
      </c>
      <c r="G80" s="126" t="n">
        <v>44316</v>
      </c>
      <c r="H80" s="124">
        <f>VLOOKUP($C80,Sales!$C:$E,2,FALSE)</f>
        <v/>
      </c>
      <c r="I80" s="124">
        <f>VLOOKUP($C80,Sales!$C:$E,3,FALSE)</f>
        <v/>
      </c>
      <c r="J80" s="126">
        <f>SUMIFS(Sales!$H:$H,Sales!$C:$C,'Investor Exit List'!$C80)</f>
        <v/>
      </c>
      <c r="K80" s="126">
        <f>IF(I80=TRUE,J80,"")</f>
        <v/>
      </c>
      <c r="L80" s="126">
        <f>G80+730</f>
        <v/>
      </c>
      <c r="M80" s="126" t="n">
        <v>45443</v>
      </c>
      <c r="N80" s="127">
        <f>IFERROR(IF(G80&lt;&gt;"",IF(I80=TRUE,0,IF(U80=TRUE,0,L80-M80)),0),0)</f>
        <v/>
      </c>
      <c r="O80" s="127">
        <f>IF(N80&gt;0,IF(N80&lt;=180,N80,0),0)</f>
        <v/>
      </c>
      <c r="P80" s="125">
        <f>IF(AND(N80&lt;90,N80&gt;0),Q80,0)</f>
        <v/>
      </c>
      <c r="Q80" s="125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25">
        <f>IF(AND(H80=TRUE,I80=FALSE),Q80,0)</f>
        <v/>
      </c>
      <c r="S80" s="125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26">
        <f>IF(U80=TRUE,$J80,"")</f>
        <v/>
      </c>
      <c r="U80" s="124" t="b">
        <v>0</v>
      </c>
      <c r="V80" s="125">
        <f>IF(AND(H80=TRUE,OR(K80="",K80&gt;M80)),S80,0)</f>
        <v/>
      </c>
      <c r="W80" s="124" t="n">
        <v>0</v>
      </c>
      <c r="X80" s="124" t="b">
        <v>0</v>
      </c>
      <c r="Y80" s="127">
        <f>IF(H80=FALSE,VLOOKUP($C80,Sales!$C:$F,4,FALSE),1)</f>
        <v/>
      </c>
      <c r="Z80" s="124">
        <f>IF(Y80=0,"Release",IF(AND(L80&lt;J80,Y80=1,H80=FALSE,U80=FALSE,MONTH(L80)&amp;"/"&amp;YEAR(L80)&lt;&gt;MONTH(J80)&amp;"/"&amp;YEAR(J80)),"Release",""))</f>
        <v/>
      </c>
      <c r="AA80" s="128">
        <f>_xlfn.minifs($L:$L,$C:$C,$C80,$F:$F,"&lt;&gt;0")</f>
        <v/>
      </c>
      <c r="AB80" s="128">
        <f>C80&amp;"-"&amp;A80</f>
        <v/>
      </c>
      <c r="AC80" s="128">
        <f>L80</f>
        <v/>
      </c>
    </row>
    <row r="81">
      <c r="A81" s="124" t="inlineStr">
        <is>
          <t>ZMCK01</t>
        </is>
      </c>
      <c r="B81" s="124" t="n">
        <v>3</v>
      </c>
      <c r="C81" s="124" t="inlineStr">
        <is>
          <t>HFB103</t>
        </is>
      </c>
      <c r="D81" s="124" t="inlineStr">
        <is>
          <t>B</t>
        </is>
      </c>
      <c r="E81" s="124" t="inlineStr">
        <is>
          <t>MacKenzie-Jones Caitlin</t>
        </is>
      </c>
      <c r="F81" s="125">
        <f>SUMIFS(Investors!$M:$M, Investors!$I:$I, "&lt;=" &amp; 'NSST Print'!$B$3, Investors!$K:$K, "&gt;" &amp; 'NSST Print'!$B$3, Investors!$A:$A, 'Investor Exit List'!A81, Investors!$E:$E, 'Investor Exit List'!C81)</f>
        <v/>
      </c>
      <c r="G81" s="126" t="n">
        <v>44352</v>
      </c>
      <c r="H81" s="124">
        <f>VLOOKUP($C81,Sales!$C:$E,2,FALSE)</f>
        <v/>
      </c>
      <c r="I81" s="124">
        <f>VLOOKUP($C81,Sales!$C:$E,3,FALSE)</f>
        <v/>
      </c>
      <c r="J81" s="126">
        <f>SUMIFS(Sales!$H:$H,Sales!$C:$C,'Investor Exit List'!$C81)</f>
        <v/>
      </c>
      <c r="K81" s="126">
        <f>IF(I81=TRUE,J81,"")</f>
        <v/>
      </c>
      <c r="L81" s="126">
        <f>G81+730</f>
        <v/>
      </c>
      <c r="M81" s="126" t="n">
        <v>45443</v>
      </c>
      <c r="N81" s="127">
        <f>IFERROR(IF(G81&lt;&gt;"",IF(I81=TRUE,0,IF(U81=TRUE,0,L81-M81)),0),0)</f>
        <v/>
      </c>
      <c r="O81" s="127">
        <f>IF(N81&gt;0,IF(N81&lt;=180,N81,0),0)</f>
        <v/>
      </c>
      <c r="P81" s="125">
        <f>IF(AND(N81&lt;90,N81&gt;0),Q81,0)</f>
        <v/>
      </c>
      <c r="Q81" s="125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25">
        <f>IF(AND(H81=TRUE,I81=FALSE),Q81,0)</f>
        <v/>
      </c>
      <c r="S81" s="125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26">
        <f>IF(U81=TRUE,$J81,"")</f>
        <v/>
      </c>
      <c r="U81" s="124" t="b">
        <v>0</v>
      </c>
      <c r="V81" s="125">
        <f>IF(AND(H81=TRUE,OR(K81="",K81&gt;M81)),S81,0)</f>
        <v/>
      </c>
      <c r="W81" s="124" t="n">
        <v>0</v>
      </c>
      <c r="X81" s="124" t="b">
        <v>0</v>
      </c>
      <c r="Y81" s="127">
        <f>IF(H81=FALSE,VLOOKUP($C81,Sales!$C:$F,4,FALSE),1)</f>
        <v/>
      </c>
      <c r="Z81" s="124">
        <f>IF(Y81=0,"Release",IF(AND(L81&lt;J81,Y81=1,H81=FALSE,U81=FALSE,MONTH(L81)&amp;"/"&amp;YEAR(L81)&lt;&gt;MONTH(J81)&amp;"/"&amp;YEAR(J81)),"Release",""))</f>
        <v/>
      </c>
      <c r="AA81" s="128">
        <f>_xlfn.minifs($L:$L,$C:$C,$C81,$F:$F,"&lt;&gt;0")</f>
        <v/>
      </c>
      <c r="AB81" s="128">
        <f>C81&amp;"-"&amp;A81</f>
        <v/>
      </c>
      <c r="AC81" s="128">
        <f>L81</f>
        <v/>
      </c>
    </row>
    <row r="82">
      <c r="A82" s="124" t="inlineStr">
        <is>
          <t>ZZYL02</t>
        </is>
      </c>
      <c r="B82" s="124" t="n">
        <v>1</v>
      </c>
      <c r="C82" s="124" t="inlineStr">
        <is>
          <t>HFB103</t>
        </is>
      </c>
      <c r="D82" s="124" t="inlineStr">
        <is>
          <t>B</t>
        </is>
      </c>
      <c r="E82" s="124" t="inlineStr">
        <is>
          <t>Zylstra Petronella Johanna</t>
        </is>
      </c>
      <c r="F82" s="125">
        <f>SUMIFS(Investors!$M:$M, Investors!$I:$I, "&lt;=" &amp; 'NSST Print'!$B$3, Investors!$K:$K, "&gt;" &amp; 'NSST Print'!$B$3, Investors!$A:$A, 'Investor Exit List'!A82, Investors!$E:$E, 'Investor Exit List'!C82)</f>
        <v/>
      </c>
      <c r="G82" s="126" t="n">
        <v>44352</v>
      </c>
      <c r="H82" s="124">
        <f>VLOOKUP($C82,Sales!$C:$E,2,FALSE)</f>
        <v/>
      </c>
      <c r="I82" s="124">
        <f>VLOOKUP($C82,Sales!$C:$E,3,FALSE)</f>
        <v/>
      </c>
      <c r="J82" s="126">
        <f>SUMIFS(Sales!$H:$H,Sales!$C:$C,'Investor Exit List'!$C82)</f>
        <v/>
      </c>
      <c r="K82" s="126">
        <f>IF(I82=TRUE,J82,"")</f>
        <v/>
      </c>
      <c r="L82" s="126">
        <f>G82+730</f>
        <v/>
      </c>
      <c r="M82" s="126" t="n">
        <v>45443</v>
      </c>
      <c r="N82" s="127">
        <f>IFERROR(IF(G82&lt;&gt;"",IF(I82=TRUE,0,IF(U82=TRUE,0,L82-M82)),0),0)</f>
        <v/>
      </c>
      <c r="O82" s="127">
        <f>IF(N82&gt;0,IF(N82&lt;=180,N82,0),0)</f>
        <v/>
      </c>
      <c r="P82" s="125">
        <f>IF(AND(N82&lt;90,N82&gt;0),Q82,0)</f>
        <v/>
      </c>
      <c r="Q82" s="125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25">
        <f>IF(AND(H82=TRUE,I82=FALSE),Q82,0)</f>
        <v/>
      </c>
      <c r="S82" s="125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26">
        <f>IF(U82=TRUE,$J82,"")</f>
        <v/>
      </c>
      <c r="U82" s="124" t="b">
        <v>0</v>
      </c>
      <c r="V82" s="125">
        <f>IF(AND(H82=TRUE,OR(K82="",K82&gt;M82)),S82,0)</f>
        <v/>
      </c>
      <c r="W82" s="124" t="n">
        <v>0</v>
      </c>
      <c r="X82" s="124" t="b">
        <v>0</v>
      </c>
      <c r="Y82" s="127">
        <f>IF(H82=FALSE,VLOOKUP($C82,Sales!$C:$F,4,FALSE),1)</f>
        <v/>
      </c>
      <c r="Z82" s="124">
        <f>IF(Y82=0,"Release",IF(AND(L82&lt;J82,Y82=1,H82=FALSE,U82=FALSE,MONTH(L82)&amp;"/"&amp;YEAR(L82)&lt;&gt;MONTH(J82)&amp;"/"&amp;YEAR(J82)),"Release",""))</f>
        <v/>
      </c>
      <c r="AA82" s="128">
        <f>_xlfn.minifs($L:$L,$C:$C,$C82,$F:$F,"&lt;&gt;0")</f>
        <v/>
      </c>
      <c r="AB82" s="128">
        <f>C82&amp;"-"&amp;A82</f>
        <v/>
      </c>
      <c r="AC82" s="128">
        <f>L82</f>
        <v/>
      </c>
    </row>
    <row r="83">
      <c r="A83" s="124" t="inlineStr">
        <is>
          <t>ZLUN01</t>
        </is>
      </c>
      <c r="B83" s="124" t="n">
        <v>4</v>
      </c>
      <c r="C83" s="124" t="inlineStr">
        <is>
          <t>HFB104</t>
        </is>
      </c>
      <c r="D83" s="124" t="inlineStr">
        <is>
          <t>B</t>
        </is>
      </c>
      <c r="E83" s="124" t="inlineStr">
        <is>
          <t>Lunau Marc</t>
        </is>
      </c>
      <c r="F83" s="125">
        <f>SUMIFS(Investors!$M:$M, Investors!$I:$I, "&lt;=" &amp; 'NSST Print'!$B$3, Investors!$K:$K, "&gt;" &amp; 'NSST Print'!$B$3, Investors!$A:$A, 'Investor Exit List'!A83, Investors!$E:$E, 'Investor Exit List'!C83)</f>
        <v/>
      </c>
      <c r="G83" s="126" t="n">
        <v>44352</v>
      </c>
      <c r="H83" s="124">
        <f>VLOOKUP($C83,Sales!$C:$E,2,FALSE)</f>
        <v/>
      </c>
      <c r="I83" s="124">
        <f>VLOOKUP($C83,Sales!$C:$E,3,FALSE)</f>
        <v/>
      </c>
      <c r="J83" s="126">
        <f>SUMIFS(Sales!$H:$H,Sales!$C:$C,'Investor Exit List'!$C83)</f>
        <v/>
      </c>
      <c r="K83" s="126">
        <f>IF(I83=TRUE,J83,"")</f>
        <v/>
      </c>
      <c r="L83" s="126">
        <f>G83+730</f>
        <v/>
      </c>
      <c r="M83" s="126" t="n">
        <v>45443</v>
      </c>
      <c r="N83" s="127">
        <f>IFERROR(IF(G83&lt;&gt;"",IF(I83=TRUE,0,IF(U83=TRUE,0,L83-M83)),0),0)</f>
        <v/>
      </c>
      <c r="O83" s="127">
        <f>IF(N83&gt;0,IF(N83&lt;=180,N83,0),0)</f>
        <v/>
      </c>
      <c r="P83" s="125">
        <f>IF(AND(N83&lt;90,N83&gt;0),Q83,0)</f>
        <v/>
      </c>
      <c r="Q83" s="125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25">
        <f>IF(AND(H83=TRUE,I83=FALSE),Q83,0)</f>
        <v/>
      </c>
      <c r="S83" s="125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26">
        <f>IF(U83=TRUE,$J83,"")</f>
        <v/>
      </c>
      <c r="U83" s="124" t="b">
        <v>1</v>
      </c>
      <c r="V83" s="125">
        <f>IF(AND(H83=TRUE,OR(K83="",K83&gt;M83)),S83,0)</f>
        <v/>
      </c>
      <c r="W83" s="124" t="n">
        <v>0</v>
      </c>
      <c r="X83" s="124" t="b">
        <v>0</v>
      </c>
      <c r="Y83" s="127">
        <f>IF(H83=FALSE,VLOOKUP($C83,Sales!$C:$F,4,FALSE),1)</f>
        <v/>
      </c>
      <c r="Z83" s="124">
        <f>IF(Y83=0,"Release",IF(AND(L83&lt;J83,Y83=1,H83=FALSE,U83=FALSE,MONTH(L83)&amp;"/"&amp;YEAR(L83)&lt;&gt;MONTH(J83)&amp;"/"&amp;YEAR(J83)),"Release",""))</f>
        <v/>
      </c>
      <c r="AA83" s="128">
        <f>_xlfn.minifs($L:$L,$C:$C,$C83,$F:$F,"&lt;&gt;0")</f>
        <v/>
      </c>
      <c r="AB83" s="128">
        <f>C83&amp;"-"&amp;A83</f>
        <v/>
      </c>
      <c r="AC83" s="128">
        <f>L83</f>
        <v/>
      </c>
    </row>
    <row r="84">
      <c r="A84" s="124" t="inlineStr">
        <is>
          <t>ZMCD01</t>
        </is>
      </c>
      <c r="B84" s="124" t="n">
        <v>6</v>
      </c>
      <c r="C84" s="124" t="inlineStr">
        <is>
          <t>HFB104</t>
        </is>
      </c>
      <c r="D84" s="124" t="inlineStr">
        <is>
          <t>B</t>
        </is>
      </c>
      <c r="E84" s="124" t="inlineStr">
        <is>
          <t>McDonald Veronica Agnes</t>
        </is>
      </c>
      <c r="F84" s="125">
        <f>SUMIFS(Investors!$M:$M, Investors!$I:$I, "&lt;=" &amp; 'NSST Print'!$B$3, Investors!$K:$K, "&gt;" &amp; 'NSST Print'!$B$3, Investors!$A:$A, 'Investor Exit List'!A84, Investors!$E:$E, 'Investor Exit List'!C84)</f>
        <v/>
      </c>
      <c r="G84" s="126" t="n">
        <v>44352</v>
      </c>
      <c r="H84" s="124">
        <f>VLOOKUP($C84,Sales!$C:$E,2,FALSE)</f>
        <v/>
      </c>
      <c r="I84" s="124">
        <f>VLOOKUP($C84,Sales!$C:$E,3,FALSE)</f>
        <v/>
      </c>
      <c r="J84" s="126">
        <f>SUMIFS(Sales!$H:$H,Sales!$C:$C,'Investor Exit List'!$C84)</f>
        <v/>
      </c>
      <c r="K84" s="126">
        <f>IF(I84=TRUE,J84,"")</f>
        <v/>
      </c>
      <c r="L84" s="126">
        <f>G84+730</f>
        <v/>
      </c>
      <c r="M84" s="126" t="n">
        <v>45443</v>
      </c>
      <c r="N84" s="127">
        <f>IFERROR(IF(G84&lt;&gt;"",IF(I84=TRUE,0,IF(U84=TRUE,0,L84-M84)),0),0)</f>
        <v/>
      </c>
      <c r="O84" s="127">
        <f>IF(N84&gt;0,IF(N84&lt;=180,N84,0),0)</f>
        <v/>
      </c>
      <c r="P84" s="125">
        <f>IF(AND(N84&lt;90,N84&gt;0),Q84,0)</f>
        <v/>
      </c>
      <c r="Q84" s="125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25">
        <f>IF(AND(H84=TRUE,I84=FALSE),Q84,0)</f>
        <v/>
      </c>
      <c r="S84" s="125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26">
        <f>IF(U84=TRUE,$J84,"")</f>
        <v/>
      </c>
      <c r="U84" s="124" t="b">
        <v>1</v>
      </c>
      <c r="V84" s="125">
        <f>IF(AND(H84=TRUE,OR(K84="",K84&gt;M84)),S84,0)</f>
        <v/>
      </c>
      <c r="W84" s="124" t="n">
        <v>0</v>
      </c>
      <c r="X84" s="124" t="b">
        <v>0</v>
      </c>
      <c r="Y84" s="127">
        <f>IF(H84=FALSE,VLOOKUP($C84,Sales!$C:$F,4,FALSE),1)</f>
        <v/>
      </c>
      <c r="Z84" s="124">
        <f>IF(Y84=0,"Release",IF(AND(L84&lt;J84,Y84=1,H84=FALSE,U84=FALSE,MONTH(L84)&amp;"/"&amp;YEAR(L84)&lt;&gt;MONTH(J84)&amp;"/"&amp;YEAR(J84)),"Release",""))</f>
        <v/>
      </c>
      <c r="AA84" s="128">
        <f>_xlfn.minifs($L:$L,$C:$C,$C84,$F:$F,"&lt;&gt;0")</f>
        <v/>
      </c>
      <c r="AB84" s="128">
        <f>C84&amp;"-"&amp;A84</f>
        <v/>
      </c>
      <c r="AC84" s="128">
        <f>L84</f>
        <v/>
      </c>
    </row>
    <row r="85">
      <c r="A85" s="124" t="inlineStr">
        <is>
          <t>ZRAN01</t>
        </is>
      </c>
      <c r="B85" s="124" t="n">
        <v>21</v>
      </c>
      <c r="C85" s="124" t="inlineStr">
        <is>
          <t>HFB104</t>
        </is>
      </c>
      <c r="D85" s="124" t="inlineStr">
        <is>
          <t>B</t>
        </is>
      </c>
      <c r="E85" s="124" t="inlineStr">
        <is>
          <t>Rankin Ross Partick Gemill</t>
        </is>
      </c>
      <c r="F85" s="125">
        <f>SUMIFS(Investors!$M:$M, Investors!$I:$I, "&lt;=" &amp; 'NSST Print'!$B$3, Investors!$K:$K, "&gt;" &amp; 'NSST Print'!$B$3, Investors!$A:$A, 'Investor Exit List'!A85, Investors!$E:$E, 'Investor Exit List'!C85)</f>
        <v/>
      </c>
      <c r="G85" s="126" t="n">
        <v>44664</v>
      </c>
      <c r="H85" s="124">
        <f>VLOOKUP($C85,Sales!$C:$E,2,FALSE)</f>
        <v/>
      </c>
      <c r="I85" s="124">
        <f>VLOOKUP($C85,Sales!$C:$E,3,FALSE)</f>
        <v/>
      </c>
      <c r="J85" s="126">
        <f>SUMIFS(Sales!$H:$H,Sales!$C:$C,'Investor Exit List'!$C85)</f>
        <v/>
      </c>
      <c r="K85" s="126">
        <f>IF(I85=TRUE,J85,"")</f>
        <v/>
      </c>
      <c r="L85" s="126">
        <f>G85+730</f>
        <v/>
      </c>
      <c r="M85" s="126" t="n">
        <v>45443</v>
      </c>
      <c r="N85" s="127">
        <f>IFERROR(IF(G85&lt;&gt;"",IF(I85=TRUE,0,IF(U85=TRUE,0,L85-M85)),0),0)</f>
        <v/>
      </c>
      <c r="O85" s="127">
        <f>IF(N85&gt;0,IF(N85&lt;=180,N85,0),0)</f>
        <v/>
      </c>
      <c r="P85" s="125">
        <f>IF(AND(N85&lt;90,N85&gt;0),Q85,0)</f>
        <v/>
      </c>
      <c r="Q85" s="125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25">
        <f>IF(AND(H85=TRUE,I85=FALSE),Q85,0)</f>
        <v/>
      </c>
      <c r="S85" s="125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26">
        <f>IF(U85=TRUE,$J85,"")</f>
        <v/>
      </c>
      <c r="U85" s="124" t="b">
        <v>1</v>
      </c>
      <c r="V85" s="125">
        <f>IF(AND(H85=TRUE,OR(K85="",K85&gt;M85)),S85,0)</f>
        <v/>
      </c>
      <c r="W85" s="124" t="n">
        <v>0</v>
      </c>
      <c r="X85" s="124" t="b">
        <v>0</v>
      </c>
      <c r="Y85" s="127">
        <f>IF(H85=FALSE,VLOOKUP($C85,Sales!$C:$F,4,FALSE),1)</f>
        <v/>
      </c>
      <c r="Z85" s="124">
        <f>IF(Y85=0,"Release",IF(AND(L85&lt;J85,Y85=1,H85=FALSE,U85=FALSE,MONTH(L85)&amp;"/"&amp;YEAR(L85)&lt;&gt;MONTH(J85)&amp;"/"&amp;YEAR(J85)),"Release",""))</f>
        <v/>
      </c>
      <c r="AA85" s="128">
        <f>_xlfn.minifs($L:$L,$C:$C,$C85,$F:$F,"&lt;&gt;0")</f>
        <v/>
      </c>
      <c r="AB85" s="128">
        <f>C85&amp;"-"&amp;A85</f>
        <v/>
      </c>
      <c r="AC85" s="128">
        <f>L85</f>
        <v/>
      </c>
    </row>
    <row r="86">
      <c r="A86" s="124" t="inlineStr">
        <is>
          <t>ZRIB01</t>
        </is>
      </c>
      <c r="B86" s="124" t="n">
        <v>1</v>
      </c>
      <c r="C86" s="124" t="inlineStr">
        <is>
          <t>HFB104</t>
        </is>
      </c>
      <c r="D86" s="124" t="inlineStr">
        <is>
          <t>B</t>
        </is>
      </c>
      <c r="E86" s="124" t="inlineStr">
        <is>
          <t>Ribeiro Paulo Sergio Da Silva</t>
        </is>
      </c>
      <c r="F86" s="125">
        <f>SUMIFS(Investors!$M:$M, Investors!$I:$I, "&lt;=" &amp; 'NSST Print'!$B$3, Investors!$K:$K, "&gt;" &amp; 'NSST Print'!$B$3, Investors!$A:$A, 'Investor Exit List'!A86, Investors!$E:$E, 'Investor Exit List'!C86)</f>
        <v/>
      </c>
      <c r="G86" s="126" t="n">
        <v>44352</v>
      </c>
      <c r="H86" s="124">
        <f>VLOOKUP($C86,Sales!$C:$E,2,FALSE)</f>
        <v/>
      </c>
      <c r="I86" s="124">
        <f>VLOOKUP($C86,Sales!$C:$E,3,FALSE)</f>
        <v/>
      </c>
      <c r="J86" s="126">
        <f>SUMIFS(Sales!$H:$H,Sales!$C:$C,'Investor Exit List'!$C86)</f>
        <v/>
      </c>
      <c r="K86" s="126">
        <f>IF(I86=TRUE,J86,"")</f>
        <v/>
      </c>
      <c r="L86" s="126">
        <f>G86+730</f>
        <v/>
      </c>
      <c r="M86" s="126" t="n">
        <v>45443</v>
      </c>
      <c r="N86" s="127">
        <f>IFERROR(IF(G86&lt;&gt;"",IF(I86=TRUE,0,IF(U86=TRUE,0,L86-M86)),0),0)</f>
        <v/>
      </c>
      <c r="O86" s="127">
        <f>IF(N86&gt;0,IF(N86&lt;=180,N86,0),0)</f>
        <v/>
      </c>
      <c r="P86" s="125">
        <f>IF(AND(N86&lt;90,N86&gt;0),Q86,0)</f>
        <v/>
      </c>
      <c r="Q86" s="125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25">
        <f>IF(AND(H86=TRUE,I86=FALSE),Q86,0)</f>
        <v/>
      </c>
      <c r="S86" s="125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26">
        <f>IF(U86=TRUE,$J86,"")</f>
        <v/>
      </c>
      <c r="U86" s="124" t="b">
        <v>0</v>
      </c>
      <c r="V86" s="125">
        <f>IF(AND(H86=TRUE,OR(K86="",K86&gt;M86)),S86,0)</f>
        <v/>
      </c>
      <c r="W86" s="124" t="n">
        <v>0</v>
      </c>
      <c r="X86" s="124" t="b">
        <v>0</v>
      </c>
      <c r="Y86" s="127">
        <f>IF(H86=FALSE,VLOOKUP($C86,Sales!$C:$F,4,FALSE),1)</f>
        <v/>
      </c>
      <c r="Z86" s="124">
        <f>IF(Y86=0,"Release",IF(AND(L86&lt;J86,Y86=1,H86=FALSE,U86=FALSE,MONTH(L86)&amp;"/"&amp;YEAR(L86)&lt;&gt;MONTH(J86)&amp;"/"&amp;YEAR(J86)),"Release",""))</f>
        <v/>
      </c>
      <c r="AA86" s="128">
        <f>_xlfn.minifs($L:$L,$C:$C,$C86,$F:$F,"&lt;&gt;0")</f>
        <v/>
      </c>
      <c r="AB86" s="128">
        <f>C86&amp;"-"&amp;A86</f>
        <v/>
      </c>
      <c r="AC86" s="128">
        <f>L86</f>
        <v/>
      </c>
    </row>
    <row r="87">
      <c r="A87" s="124" t="inlineStr">
        <is>
          <t>ZBUR01</t>
        </is>
      </c>
      <c r="B87" s="124" t="n">
        <v>1</v>
      </c>
      <c r="C87" s="124" t="inlineStr">
        <is>
          <t>HFB105</t>
        </is>
      </c>
      <c r="D87" s="124" t="inlineStr">
        <is>
          <t>B</t>
        </is>
      </c>
      <c r="E87" s="124" t="inlineStr">
        <is>
          <t>Burger Barend Frederik</t>
        </is>
      </c>
      <c r="F87" s="125">
        <f>SUMIFS(Investors!$M:$M, Investors!$I:$I, "&lt;=" &amp; 'NSST Print'!$B$3, Investors!$K:$K, "&gt;" &amp; 'NSST Print'!$B$3, Investors!$A:$A, 'Investor Exit List'!A87, Investors!$E:$E, 'Investor Exit List'!C87)</f>
        <v/>
      </c>
      <c r="G87" s="126" t="n">
        <v>44352</v>
      </c>
      <c r="H87" s="124">
        <f>VLOOKUP($C87,Sales!$C:$E,2,FALSE)</f>
        <v/>
      </c>
      <c r="I87" s="124">
        <f>VLOOKUP($C87,Sales!$C:$E,3,FALSE)</f>
        <v/>
      </c>
      <c r="J87" s="126">
        <f>SUMIFS(Sales!$H:$H,Sales!$C:$C,'Investor Exit List'!$C87)</f>
        <v/>
      </c>
      <c r="K87" s="126">
        <f>IF(I87=TRUE,J87,"")</f>
        <v/>
      </c>
      <c r="L87" s="126">
        <f>G87+730</f>
        <v/>
      </c>
      <c r="M87" s="126" t="n">
        <v>45443</v>
      </c>
      <c r="N87" s="127">
        <f>IFERROR(IF(G87&lt;&gt;"",IF(I87=TRUE,0,IF(U87=TRUE,0,L87-M87)),0),0)</f>
        <v/>
      </c>
      <c r="O87" s="127">
        <f>IF(N87&gt;0,IF(N87&lt;=180,N87,0),0)</f>
        <v/>
      </c>
      <c r="P87" s="125">
        <f>IF(AND(N87&lt;90,N87&gt;0),Q87,0)</f>
        <v/>
      </c>
      <c r="Q87" s="125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25">
        <f>IF(AND(H87=TRUE,I87=FALSE),Q87,0)</f>
        <v/>
      </c>
      <c r="S87" s="125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26">
        <f>IF(U87=TRUE,$J87,"")</f>
        <v/>
      </c>
      <c r="U87" s="124" t="b">
        <v>0</v>
      </c>
      <c r="V87" s="125">
        <f>IF(AND(H87=TRUE,OR(K87="",K87&gt;M87)),S87,0)</f>
        <v/>
      </c>
      <c r="W87" s="124" t="n">
        <v>0</v>
      </c>
      <c r="X87" s="124" t="b">
        <v>0</v>
      </c>
      <c r="Y87" s="127">
        <f>IF(H87=FALSE,VLOOKUP($C87,Sales!$C:$F,4,FALSE),1)</f>
        <v/>
      </c>
      <c r="Z87" s="124">
        <f>IF(Y87=0,"Release",IF(AND(L87&lt;J87,Y87=1,H87=FALSE,U87=FALSE,MONTH(L87)&amp;"/"&amp;YEAR(L87)&lt;&gt;MONTH(J87)&amp;"/"&amp;YEAR(J87)),"Release",""))</f>
        <v/>
      </c>
      <c r="AA87" s="128">
        <f>_xlfn.minifs($L:$L,$C:$C,$C87,$F:$F,"&lt;&gt;0")</f>
        <v/>
      </c>
      <c r="AB87" s="128">
        <f>C87&amp;"-"&amp;A87</f>
        <v/>
      </c>
      <c r="AC87" s="128">
        <f>L87</f>
        <v/>
      </c>
    </row>
    <row r="88">
      <c r="A88" s="124" t="inlineStr">
        <is>
          <t>ZJOH01</t>
        </is>
      </c>
      <c r="B88" s="124" t="n">
        <v>3</v>
      </c>
      <c r="C88" s="124" t="inlineStr">
        <is>
          <t>HFB105</t>
        </is>
      </c>
      <c r="D88" s="124" t="inlineStr">
        <is>
          <t>B</t>
        </is>
      </c>
      <c r="E88" s="124" t="inlineStr">
        <is>
          <t>Johns Lisa-Marie Natalie</t>
        </is>
      </c>
      <c r="F88" s="125">
        <f>SUMIFS(Investors!$M:$M, Investors!$I:$I, "&lt;=" &amp; 'NSST Print'!$B$3, Investors!$K:$K, "&gt;" &amp; 'NSST Print'!$B$3, Investors!$A:$A, 'Investor Exit List'!A88, Investors!$E:$E, 'Investor Exit List'!C88)</f>
        <v/>
      </c>
      <c r="G88" s="126" t="n">
        <v>44316</v>
      </c>
      <c r="H88" s="124">
        <f>VLOOKUP($C88,Sales!$C:$E,2,FALSE)</f>
        <v/>
      </c>
      <c r="I88" s="124">
        <f>VLOOKUP($C88,Sales!$C:$E,3,FALSE)</f>
        <v/>
      </c>
      <c r="J88" s="126">
        <f>SUMIFS(Sales!$H:$H,Sales!$C:$C,'Investor Exit List'!$C88)</f>
        <v/>
      </c>
      <c r="K88" s="126">
        <f>IF(I88=TRUE,J88,"")</f>
        <v/>
      </c>
      <c r="L88" s="126">
        <f>G88+730</f>
        <v/>
      </c>
      <c r="M88" s="126" t="n">
        <v>45443</v>
      </c>
      <c r="N88" s="127">
        <f>IFERROR(IF(G88&lt;&gt;"",IF(I88=TRUE,0,IF(U88=TRUE,0,L88-M88)),0),0)</f>
        <v/>
      </c>
      <c r="O88" s="127">
        <f>IF(N88&gt;0,IF(N88&lt;=180,N88,0),0)</f>
        <v/>
      </c>
      <c r="P88" s="125">
        <f>IF(AND(N88&lt;90,N88&gt;0),Q88,0)</f>
        <v/>
      </c>
      <c r="Q88" s="125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25">
        <f>IF(AND(H88=TRUE,I88=FALSE),Q88,0)</f>
        <v/>
      </c>
      <c r="S88" s="125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26">
        <f>IF(U88=TRUE,$J88,"")</f>
        <v/>
      </c>
      <c r="U88" s="124" t="b">
        <v>1</v>
      </c>
      <c r="V88" s="125">
        <f>IF(AND(H88=TRUE,OR(K88="",K88&gt;M88)),S88,0)</f>
        <v/>
      </c>
      <c r="W88" s="124" t="n">
        <v>0</v>
      </c>
      <c r="X88" s="124" t="b">
        <v>0</v>
      </c>
      <c r="Y88" s="127">
        <f>IF(H88=FALSE,VLOOKUP($C88,Sales!$C:$F,4,FALSE),1)</f>
        <v/>
      </c>
      <c r="Z88" s="124">
        <f>IF(Y88=0,"Release",IF(AND(L88&lt;J88,Y88=1,H88=FALSE,U88=FALSE,MONTH(L88)&amp;"/"&amp;YEAR(L88)&lt;&gt;MONTH(J88)&amp;"/"&amp;YEAR(J88)),"Release",""))</f>
        <v/>
      </c>
      <c r="AA88" s="128">
        <f>_xlfn.minifs($L:$L,$C:$C,$C88,$F:$F,"&lt;&gt;0")</f>
        <v/>
      </c>
      <c r="AB88" s="128">
        <f>C88&amp;"-"&amp;A88</f>
        <v/>
      </c>
      <c r="AC88" s="128">
        <f>L88</f>
        <v/>
      </c>
    </row>
    <row r="89">
      <c r="A89" s="124" t="inlineStr">
        <is>
          <t>ZKRU01</t>
        </is>
      </c>
      <c r="B89" s="124" t="n">
        <v>4</v>
      </c>
      <c r="C89" s="124" t="inlineStr">
        <is>
          <t>HFB105</t>
        </is>
      </c>
      <c r="D89" s="124" t="inlineStr">
        <is>
          <t>B</t>
        </is>
      </c>
      <c r="E89" s="124" t="inlineStr">
        <is>
          <t>Kruger Jurgen</t>
        </is>
      </c>
      <c r="F89" s="125">
        <f>SUMIFS(Investors!$M:$M, Investors!$I:$I, "&lt;=" &amp; 'NSST Print'!$B$3, Investors!$K:$K, "&gt;" &amp; 'NSST Print'!$B$3, Investors!$A:$A, 'Investor Exit List'!A89, Investors!$E:$E, 'Investor Exit List'!C89)</f>
        <v/>
      </c>
      <c r="G89" s="126" t="n">
        <v>44378</v>
      </c>
      <c r="H89" s="124">
        <f>VLOOKUP($C89,Sales!$C:$E,2,FALSE)</f>
        <v/>
      </c>
      <c r="I89" s="124">
        <f>VLOOKUP($C89,Sales!$C:$E,3,FALSE)</f>
        <v/>
      </c>
      <c r="J89" s="126">
        <f>SUMIFS(Sales!$H:$H,Sales!$C:$C,'Investor Exit List'!$C89)</f>
        <v/>
      </c>
      <c r="K89" s="126">
        <f>IF(I89=TRUE,J89,"")</f>
        <v/>
      </c>
      <c r="L89" s="126">
        <f>G89+730</f>
        <v/>
      </c>
      <c r="M89" s="126" t="n">
        <v>45443</v>
      </c>
      <c r="N89" s="127">
        <f>IFERROR(IF(G89&lt;&gt;"",IF(I89=TRUE,0,IF(U89=TRUE,0,L89-M89)),0),0)</f>
        <v/>
      </c>
      <c r="O89" s="127">
        <f>IF(N89&gt;0,IF(N89&lt;=180,N89,0),0)</f>
        <v/>
      </c>
      <c r="P89" s="125">
        <f>IF(AND(N89&lt;90,N89&gt;0),Q89,0)</f>
        <v/>
      </c>
      <c r="Q89" s="125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25">
        <f>IF(AND(H89=TRUE,I89=FALSE),Q89,0)</f>
        <v/>
      </c>
      <c r="S89" s="125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26">
        <f>IF(U89=TRUE,$J89,"")</f>
        <v/>
      </c>
      <c r="U89" s="124" t="b">
        <v>1</v>
      </c>
      <c r="V89" s="125">
        <f>IF(AND(H89=TRUE,OR(K89="",K89&gt;M89)),S89,0)</f>
        <v/>
      </c>
      <c r="W89" s="124" t="n">
        <v>0</v>
      </c>
      <c r="X89" s="124" t="b">
        <v>0</v>
      </c>
      <c r="Y89" s="127">
        <f>IF(H89=FALSE,VLOOKUP($C89,Sales!$C:$F,4,FALSE),1)</f>
        <v/>
      </c>
      <c r="Z89" s="124">
        <f>IF(Y89=0,"Release",IF(AND(L89&lt;J89,Y89=1,H89=FALSE,U89=FALSE,MONTH(L89)&amp;"/"&amp;YEAR(L89)&lt;&gt;MONTH(J89)&amp;"/"&amp;YEAR(J89)),"Release",""))</f>
        <v/>
      </c>
      <c r="AA89" s="128">
        <f>_xlfn.minifs($L:$L,$C:$C,$C89,$F:$F,"&lt;&gt;0")</f>
        <v/>
      </c>
      <c r="AB89" s="128">
        <f>C89&amp;"-"&amp;A89</f>
        <v/>
      </c>
      <c r="AC89" s="128">
        <f>L89</f>
        <v/>
      </c>
    </row>
    <row r="90">
      <c r="A90" s="124" t="inlineStr">
        <is>
          <t>ZBAR02</t>
        </is>
      </c>
      <c r="B90" s="124" t="n">
        <v>1</v>
      </c>
      <c r="C90" s="124" t="inlineStr">
        <is>
          <t>HFB106</t>
        </is>
      </c>
      <c r="D90" s="124" t="inlineStr">
        <is>
          <t>B</t>
        </is>
      </c>
      <c r="E90" s="124" t="inlineStr">
        <is>
          <t>Barkhuysen Nicolaas Jacobus (Jaco)</t>
        </is>
      </c>
      <c r="F90" s="125">
        <f>SUMIFS(Investors!$M:$M, Investors!$I:$I, "&lt;=" &amp; 'NSST Print'!$B$3, Investors!$K:$K, "&gt;" &amp; 'NSST Print'!$B$3, Investors!$A:$A, 'Investor Exit List'!A90, Investors!$E:$E, 'Investor Exit List'!C90)</f>
        <v/>
      </c>
      <c r="G90" s="126" t="n">
        <v>44352</v>
      </c>
      <c r="H90" s="124">
        <f>VLOOKUP($C90,Sales!$C:$E,2,FALSE)</f>
        <v/>
      </c>
      <c r="I90" s="124">
        <f>VLOOKUP($C90,Sales!$C:$E,3,FALSE)</f>
        <v/>
      </c>
      <c r="J90" s="126">
        <f>SUMIFS(Sales!$H:$H,Sales!$C:$C,'Investor Exit List'!$C90)</f>
        <v/>
      </c>
      <c r="K90" s="126">
        <f>IF(I90=TRUE,J90,"")</f>
        <v/>
      </c>
      <c r="L90" s="126">
        <f>G90+730</f>
        <v/>
      </c>
      <c r="M90" s="126" t="n">
        <v>45443</v>
      </c>
      <c r="N90" s="127">
        <f>IFERROR(IF(G90&lt;&gt;"",IF(I90=TRUE,0,IF(U90=TRUE,0,L90-M90)),0),0)</f>
        <v/>
      </c>
      <c r="O90" s="127">
        <f>IF(N90&gt;0,IF(N90&lt;=180,N90,0),0)</f>
        <v/>
      </c>
      <c r="P90" s="125">
        <f>IF(AND(N90&lt;90,N90&gt;0),Q90,0)</f>
        <v/>
      </c>
      <c r="Q90" s="125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25">
        <f>IF(AND(H90=TRUE,I90=FALSE),Q90,0)</f>
        <v/>
      </c>
      <c r="S90" s="125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26">
        <f>IF(U90=TRUE,$J90,"")</f>
        <v/>
      </c>
      <c r="U90" s="124" t="b">
        <v>0</v>
      </c>
      <c r="V90" s="125">
        <f>IF(AND(H90=TRUE,OR(K90="",K90&gt;M90)),S90,0)</f>
        <v/>
      </c>
      <c r="W90" s="124" t="n">
        <v>0</v>
      </c>
      <c r="X90" s="124" t="b">
        <v>0</v>
      </c>
      <c r="Y90" s="127">
        <f>IF(H90=FALSE,VLOOKUP($C90,Sales!$C:$F,4,FALSE),1)</f>
        <v/>
      </c>
      <c r="Z90" s="124">
        <f>IF(Y90=0,"Release",IF(AND(L90&lt;J90,Y90=1,H90=FALSE,U90=FALSE,MONTH(L90)&amp;"/"&amp;YEAR(L90)&lt;&gt;MONTH(J90)&amp;"/"&amp;YEAR(J90)),"Release",""))</f>
        <v/>
      </c>
      <c r="AA90" s="128">
        <f>_xlfn.minifs($L:$L,$C:$C,$C90,$F:$F,"&lt;&gt;0")</f>
        <v/>
      </c>
      <c r="AB90" s="128">
        <f>C90&amp;"-"&amp;A90</f>
        <v/>
      </c>
      <c r="AC90" s="128">
        <f>L90</f>
        <v/>
      </c>
    </row>
    <row r="91">
      <c r="A91" s="124" t="inlineStr">
        <is>
          <t>ZINT01</t>
        </is>
      </c>
      <c r="B91" s="124" t="n">
        <v>5</v>
      </c>
      <c r="C91" s="124" t="inlineStr">
        <is>
          <t>HFB106</t>
        </is>
      </c>
      <c r="D91" s="124" t="inlineStr">
        <is>
          <t>B</t>
        </is>
      </c>
      <c r="E91" s="124" t="inlineStr">
        <is>
          <t>Lunau Marc</t>
        </is>
      </c>
      <c r="F91" s="125">
        <f>SUMIFS(Investors!$M:$M, Investors!$I:$I, "&lt;=" &amp; 'NSST Print'!$B$3, Investors!$K:$K, "&gt;" &amp; 'NSST Print'!$B$3, Investors!$A:$A, 'Investor Exit List'!A91, Investors!$E:$E, 'Investor Exit List'!C91)</f>
        <v/>
      </c>
      <c r="G91" s="126" t="n">
        <v>44316</v>
      </c>
      <c r="H91" s="124">
        <f>VLOOKUP($C91,Sales!$C:$E,2,FALSE)</f>
        <v/>
      </c>
      <c r="I91" s="124">
        <f>VLOOKUP($C91,Sales!$C:$E,3,FALSE)</f>
        <v/>
      </c>
      <c r="J91" s="126">
        <f>SUMIFS(Sales!$H:$H,Sales!$C:$C,'Investor Exit List'!$C91)</f>
        <v/>
      </c>
      <c r="K91" s="126">
        <f>IF(I91=TRUE,J91,"")</f>
        <v/>
      </c>
      <c r="L91" s="126">
        <f>G91+730</f>
        <v/>
      </c>
      <c r="M91" s="126" t="n">
        <v>45443</v>
      </c>
      <c r="N91" s="127">
        <f>IFERROR(IF(G91&lt;&gt;"",IF(I91=TRUE,0,IF(U91=TRUE,0,L91-M91)),0),0)</f>
        <v/>
      </c>
      <c r="O91" s="127">
        <f>IF(N91&gt;0,IF(N91&lt;=180,N91,0),0)</f>
        <v/>
      </c>
      <c r="P91" s="125">
        <f>IF(AND(N91&lt;90,N91&gt;0),Q91,0)</f>
        <v/>
      </c>
      <c r="Q91" s="125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25">
        <f>IF(AND(H91=TRUE,I91=FALSE),Q91,0)</f>
        <v/>
      </c>
      <c r="S91" s="125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26">
        <f>IF(U91=TRUE,$J91,"")</f>
        <v/>
      </c>
      <c r="U91" s="124" t="b">
        <v>0</v>
      </c>
      <c r="V91" s="125">
        <f>IF(AND(H91=TRUE,OR(K91="",K91&gt;M91)),S91,0)</f>
        <v/>
      </c>
      <c r="W91" s="124" t="n">
        <v>0</v>
      </c>
      <c r="X91" s="124" t="b">
        <v>0</v>
      </c>
      <c r="Y91" s="127">
        <f>IF(H91=FALSE,VLOOKUP($C91,Sales!$C:$F,4,FALSE),1)</f>
        <v/>
      </c>
      <c r="Z91" s="124">
        <f>IF(Y91=0,"Release",IF(AND(L91&lt;J91,Y91=1,H91=FALSE,U91=FALSE,MONTH(L91)&amp;"/"&amp;YEAR(L91)&lt;&gt;MONTH(J91)&amp;"/"&amp;YEAR(J91)),"Release",""))</f>
        <v/>
      </c>
      <c r="AA91" s="128">
        <f>_xlfn.minifs($L:$L,$C:$C,$C91,$F:$F,"&lt;&gt;0")</f>
        <v/>
      </c>
      <c r="AB91" s="128">
        <f>C91&amp;"-"&amp;A91</f>
        <v/>
      </c>
      <c r="AC91" s="128">
        <f>L91</f>
        <v/>
      </c>
    </row>
    <row r="92">
      <c r="A92" s="124" t="inlineStr">
        <is>
          <t>ZTSO01</t>
        </is>
      </c>
      <c r="B92" s="124" t="n">
        <v>1</v>
      </c>
      <c r="C92" s="124" t="inlineStr">
        <is>
          <t>HFB106</t>
        </is>
      </c>
      <c r="D92" s="124" t="inlineStr">
        <is>
          <t>B</t>
        </is>
      </c>
      <c r="E92" s="124" t="inlineStr">
        <is>
          <t>Tsoku Abram Matlotleng</t>
        </is>
      </c>
      <c r="F92" s="125">
        <f>SUMIFS(Investors!$M:$M, Investors!$I:$I, "&lt;=" &amp; 'NSST Print'!$B$3, Investors!$K:$K, "&gt;" &amp; 'NSST Print'!$B$3, Investors!$A:$A, 'Investor Exit List'!A92, Investors!$E:$E, 'Investor Exit List'!C92)</f>
        <v/>
      </c>
      <c r="G92" s="126" t="n">
        <v>44352</v>
      </c>
      <c r="H92" s="124">
        <f>VLOOKUP($C92,Sales!$C:$E,2,FALSE)</f>
        <v/>
      </c>
      <c r="I92" s="124">
        <f>VLOOKUP($C92,Sales!$C:$E,3,FALSE)</f>
        <v/>
      </c>
      <c r="J92" s="126">
        <f>SUMIFS(Sales!$H:$H,Sales!$C:$C,'Investor Exit List'!$C92)</f>
        <v/>
      </c>
      <c r="K92" s="126">
        <f>IF(I92=TRUE,J92,"")</f>
        <v/>
      </c>
      <c r="L92" s="126">
        <f>G92+730</f>
        <v/>
      </c>
      <c r="M92" s="126" t="n">
        <v>45443</v>
      </c>
      <c r="N92" s="127">
        <f>IFERROR(IF(G92&lt;&gt;"",IF(I92=TRUE,0,IF(U92=TRUE,0,L92-M92)),0),0)</f>
        <v/>
      </c>
      <c r="O92" s="127">
        <f>IF(N92&gt;0,IF(N92&lt;=180,N92,0),0)</f>
        <v/>
      </c>
      <c r="P92" s="125">
        <f>IF(AND(N92&lt;90,N92&gt;0),Q92,0)</f>
        <v/>
      </c>
      <c r="Q92" s="125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25">
        <f>IF(AND(H92=TRUE,I92=FALSE),Q92,0)</f>
        <v/>
      </c>
      <c r="S92" s="125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26">
        <f>IF(U92=TRUE,$J92,"")</f>
        <v/>
      </c>
      <c r="U92" s="124" t="b">
        <v>0</v>
      </c>
      <c r="V92" s="125">
        <f>IF(AND(H92=TRUE,OR(K92="",K92&gt;M92)),S92,0)</f>
        <v/>
      </c>
      <c r="W92" s="124" t="n">
        <v>0</v>
      </c>
      <c r="X92" s="124" t="b">
        <v>0</v>
      </c>
      <c r="Y92" s="127">
        <f>IF(H92=FALSE,VLOOKUP($C92,Sales!$C:$F,4,FALSE),1)</f>
        <v/>
      </c>
      <c r="Z92" s="124">
        <f>IF(Y92=0,"Release",IF(AND(L92&lt;J92,Y92=1,H92=FALSE,U92=FALSE,MONTH(L92)&amp;"/"&amp;YEAR(L92)&lt;&gt;MONTH(J92)&amp;"/"&amp;YEAR(J92)),"Release",""))</f>
        <v/>
      </c>
      <c r="AA92" s="128">
        <f>_xlfn.minifs($L:$L,$C:$C,$C92,$F:$F,"&lt;&gt;0")</f>
        <v/>
      </c>
      <c r="AB92" s="128">
        <f>C92&amp;"-"&amp;A92</f>
        <v/>
      </c>
      <c r="AC92" s="128">
        <f>L92</f>
        <v/>
      </c>
    </row>
    <row r="93">
      <c r="A93" s="124" t="inlineStr">
        <is>
          <t>ZWAY01</t>
        </is>
      </c>
      <c r="B93" s="124" t="n">
        <v>1</v>
      </c>
      <c r="C93" s="124" t="inlineStr">
        <is>
          <t>HFB106</t>
        </is>
      </c>
      <c r="D93" s="124" t="inlineStr">
        <is>
          <t>B</t>
        </is>
      </c>
      <c r="E93" s="124" t="inlineStr">
        <is>
          <t>Way Shirley Kathleen</t>
        </is>
      </c>
      <c r="F93" s="125">
        <f>SUMIFS(Investors!$M:$M, Investors!$I:$I, "&lt;=" &amp; 'NSST Print'!$B$3, Investors!$K:$K, "&gt;" &amp; 'NSST Print'!$B$3, Investors!$A:$A, 'Investor Exit List'!A93, Investors!$E:$E, 'Investor Exit List'!C93)</f>
        <v/>
      </c>
      <c r="G93" s="126" t="n">
        <v>44352</v>
      </c>
      <c r="H93" s="124">
        <f>VLOOKUP($C93,Sales!$C:$E,2,FALSE)</f>
        <v/>
      </c>
      <c r="I93" s="124">
        <f>VLOOKUP($C93,Sales!$C:$E,3,FALSE)</f>
        <v/>
      </c>
      <c r="J93" s="126">
        <f>SUMIFS(Sales!$H:$H,Sales!$C:$C,'Investor Exit List'!$C93)</f>
        <v/>
      </c>
      <c r="K93" s="126">
        <f>IF(I93=TRUE,J93,"")</f>
        <v/>
      </c>
      <c r="L93" s="126">
        <f>G93+730</f>
        <v/>
      </c>
      <c r="M93" s="126" t="n">
        <v>45443</v>
      </c>
      <c r="N93" s="127">
        <f>IFERROR(IF(G93&lt;&gt;"",IF(I93=TRUE,0,IF(U93=TRUE,0,L93-M93)),0),0)</f>
        <v/>
      </c>
      <c r="O93" s="127">
        <f>IF(N93&gt;0,IF(N93&lt;=180,N93,0),0)</f>
        <v/>
      </c>
      <c r="P93" s="125">
        <f>IF(AND(N93&lt;90,N93&gt;0),Q93,0)</f>
        <v/>
      </c>
      <c r="Q93" s="125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25">
        <f>IF(AND(H93=TRUE,I93=FALSE),Q93,0)</f>
        <v/>
      </c>
      <c r="S93" s="125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26">
        <f>IF(U93=TRUE,$J93,"")</f>
        <v/>
      </c>
      <c r="U93" s="124" t="b">
        <v>0</v>
      </c>
      <c r="V93" s="125">
        <f>IF(AND(H93=TRUE,OR(K93="",K93&gt;M93)),S93,0)</f>
        <v/>
      </c>
      <c r="W93" s="124" t="n">
        <v>0</v>
      </c>
      <c r="X93" s="124" t="b">
        <v>0</v>
      </c>
      <c r="Y93" s="127">
        <f>IF(H93=FALSE,VLOOKUP($C93,Sales!$C:$F,4,FALSE),1)</f>
        <v/>
      </c>
      <c r="Z93" s="124">
        <f>IF(Y93=0,"Release",IF(AND(L93&lt;J93,Y93=1,H93=FALSE,U93=FALSE,MONTH(L93)&amp;"/"&amp;YEAR(L93)&lt;&gt;MONTH(J93)&amp;"/"&amp;YEAR(J93)),"Release",""))</f>
        <v/>
      </c>
      <c r="AA93" s="128">
        <f>_xlfn.minifs($L:$L,$C:$C,$C93,$F:$F,"&lt;&gt;0")</f>
        <v/>
      </c>
      <c r="AB93" s="128">
        <f>C93&amp;"-"&amp;A93</f>
        <v/>
      </c>
      <c r="AC93" s="128">
        <f>L93</f>
        <v/>
      </c>
    </row>
    <row r="94">
      <c r="A94" s="124" t="inlineStr">
        <is>
          <t>ZDIC01</t>
        </is>
      </c>
      <c r="B94" s="124" t="n">
        <v>6</v>
      </c>
      <c r="C94" s="124" t="inlineStr">
        <is>
          <t>HFB107</t>
        </is>
      </c>
      <c r="D94" s="124" t="inlineStr">
        <is>
          <t>B</t>
        </is>
      </c>
      <c r="E94" s="124" t="inlineStr">
        <is>
          <t>Dickinson Grant Allan</t>
        </is>
      </c>
      <c r="F94" s="125">
        <f>SUMIFS(Investors!$M:$M, Investors!$I:$I, "&lt;=" &amp; 'NSST Print'!$B$3, Investors!$K:$K, "&gt;" &amp; 'NSST Print'!$B$3, Investors!$A:$A, 'Investor Exit List'!A94, Investors!$E:$E, 'Investor Exit List'!C94)</f>
        <v/>
      </c>
      <c r="G94" s="126" t="n">
        <v>44352</v>
      </c>
      <c r="H94" s="124">
        <f>VLOOKUP($C94,Sales!$C:$E,2,FALSE)</f>
        <v/>
      </c>
      <c r="I94" s="124">
        <f>VLOOKUP($C94,Sales!$C:$E,3,FALSE)</f>
        <v/>
      </c>
      <c r="J94" s="126">
        <f>SUMIFS(Sales!$H:$H,Sales!$C:$C,'Investor Exit List'!$C94)</f>
        <v/>
      </c>
      <c r="K94" s="126">
        <f>IF(I94=TRUE,J94,"")</f>
        <v/>
      </c>
      <c r="L94" s="126">
        <f>G94+730</f>
        <v/>
      </c>
      <c r="M94" s="126" t="n">
        <v>45443</v>
      </c>
      <c r="N94" s="127">
        <f>IFERROR(IF(G94&lt;&gt;"",IF(I94=TRUE,0,IF(U94=TRUE,0,L94-M94)),0),0)</f>
        <v/>
      </c>
      <c r="O94" s="127">
        <f>IF(N94&gt;0,IF(N94&lt;=180,N94,0),0)</f>
        <v/>
      </c>
      <c r="P94" s="125">
        <f>IF(AND(N94&lt;90,N94&gt;0),Q94,0)</f>
        <v/>
      </c>
      <c r="Q94" s="125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25">
        <f>IF(AND(H94=TRUE,I94=FALSE),Q94,0)</f>
        <v/>
      </c>
      <c r="S94" s="125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26">
        <f>IF(U94=TRUE,$J94,"")</f>
        <v/>
      </c>
      <c r="U94" s="124" t="b">
        <v>0</v>
      </c>
      <c r="V94" s="125">
        <f>IF(AND(H94=TRUE,OR(K94="",K94&gt;M94)),S94,0)</f>
        <v/>
      </c>
      <c r="W94" s="124" t="n">
        <v>0</v>
      </c>
      <c r="X94" s="124" t="b">
        <v>0</v>
      </c>
      <c r="Y94" s="127">
        <f>IF(H94=FALSE,VLOOKUP($C94,Sales!$C:$F,4,FALSE),1)</f>
        <v/>
      </c>
      <c r="Z94" s="124">
        <f>IF(Y94=0,"Release",IF(AND(L94&lt;J94,Y94=1,H94=FALSE,U94=FALSE,MONTH(L94)&amp;"/"&amp;YEAR(L94)&lt;&gt;MONTH(J94)&amp;"/"&amp;YEAR(J94)),"Release",""))</f>
        <v/>
      </c>
      <c r="AA94" s="128">
        <f>_xlfn.minifs($L:$L,$C:$C,$C94,$F:$F,"&lt;&gt;0")</f>
        <v/>
      </c>
      <c r="AB94" s="128">
        <f>C94&amp;"-"&amp;A94</f>
        <v/>
      </c>
      <c r="AC94" s="128">
        <f>L94</f>
        <v/>
      </c>
    </row>
    <row r="95">
      <c r="A95" s="124" t="inlineStr">
        <is>
          <t>ZJOR01</t>
        </is>
      </c>
      <c r="B95" s="124" t="n">
        <v>1</v>
      </c>
      <c r="C95" s="124" t="inlineStr">
        <is>
          <t>HFB107</t>
        </is>
      </c>
      <c r="D95" s="124" t="inlineStr">
        <is>
          <t>B</t>
        </is>
      </c>
      <c r="E95" s="124" t="inlineStr">
        <is>
          <t>Jordaan Glen Rutherford</t>
        </is>
      </c>
      <c r="F95" s="125">
        <f>SUMIFS(Investors!$M:$M, Investors!$I:$I, "&lt;=" &amp; 'NSST Print'!$B$3, Investors!$K:$K, "&gt;" &amp; 'NSST Print'!$B$3, Investors!$A:$A, 'Investor Exit List'!A95, Investors!$E:$E, 'Investor Exit List'!C95)</f>
        <v/>
      </c>
      <c r="G95" s="126" t="n">
        <v>44352</v>
      </c>
      <c r="H95" s="124">
        <f>VLOOKUP($C95,Sales!$C:$E,2,FALSE)</f>
        <v/>
      </c>
      <c r="I95" s="124">
        <f>VLOOKUP($C95,Sales!$C:$E,3,FALSE)</f>
        <v/>
      </c>
      <c r="J95" s="126">
        <f>SUMIFS(Sales!$H:$H,Sales!$C:$C,'Investor Exit List'!$C95)</f>
        <v/>
      </c>
      <c r="K95" s="126">
        <f>IF(I95=TRUE,J95,"")</f>
        <v/>
      </c>
      <c r="L95" s="126">
        <f>G95+730</f>
        <v/>
      </c>
      <c r="M95" s="126" t="n">
        <v>45443</v>
      </c>
      <c r="N95" s="127">
        <f>IFERROR(IF(G95&lt;&gt;"",IF(I95=TRUE,0,IF(U95=TRUE,0,L95-M95)),0),0)</f>
        <v/>
      </c>
      <c r="O95" s="127">
        <f>IF(N95&gt;0,IF(N95&lt;=180,N95,0),0)</f>
        <v/>
      </c>
      <c r="P95" s="125">
        <f>IF(AND(N95&lt;90,N95&gt;0),Q95,0)</f>
        <v/>
      </c>
      <c r="Q95" s="125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25">
        <f>IF(AND(H95=TRUE,I95=FALSE),Q95,0)</f>
        <v/>
      </c>
      <c r="S95" s="125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26">
        <f>IF(U95=TRUE,$J95,"")</f>
        <v/>
      </c>
      <c r="U95" s="124" t="b">
        <v>1</v>
      </c>
      <c r="V95" s="125">
        <f>IF(AND(H95=TRUE,OR(K95="",K95&gt;M95)),S95,0)</f>
        <v/>
      </c>
      <c r="W95" s="124" t="n">
        <v>0</v>
      </c>
      <c r="X95" s="124" t="b">
        <v>0</v>
      </c>
      <c r="Y95" s="127">
        <f>IF(H95=FALSE,VLOOKUP($C95,Sales!$C:$F,4,FALSE),1)</f>
        <v/>
      </c>
      <c r="Z95" s="124">
        <f>IF(Y95=0,"Release",IF(AND(L95&lt;J95,Y95=1,H95=FALSE,U95=FALSE,MONTH(L95)&amp;"/"&amp;YEAR(L95)&lt;&gt;MONTH(J95)&amp;"/"&amp;YEAR(J95)),"Release",""))</f>
        <v/>
      </c>
      <c r="AA95" s="128">
        <f>_xlfn.minifs($L:$L,$C:$C,$C95,$F:$F,"&lt;&gt;0")</f>
        <v/>
      </c>
      <c r="AB95" s="128">
        <f>C95&amp;"-"&amp;A95</f>
        <v/>
      </c>
      <c r="AC95" s="128">
        <f>L95</f>
        <v/>
      </c>
    </row>
    <row r="96">
      <c r="A96" s="124" t="inlineStr">
        <is>
          <t>ZLUN01</t>
        </is>
      </c>
      <c r="B96" s="124" t="n">
        <v>5</v>
      </c>
      <c r="C96" s="124" t="inlineStr">
        <is>
          <t>HFB107</t>
        </is>
      </c>
      <c r="D96" s="124" t="inlineStr">
        <is>
          <t>B</t>
        </is>
      </c>
      <c r="E96" s="124" t="inlineStr">
        <is>
          <t>Lunau Marc</t>
        </is>
      </c>
      <c r="F96" s="125">
        <f>SUMIFS(Investors!$M:$M, Investors!$I:$I, "&lt;=" &amp; 'NSST Print'!$B$3, Investors!$K:$K, "&gt;" &amp; 'NSST Print'!$B$3, Investors!$A:$A, 'Investor Exit List'!A96, Investors!$E:$E, 'Investor Exit List'!C96)</f>
        <v/>
      </c>
      <c r="G96" s="126" t="n">
        <v>44352</v>
      </c>
      <c r="H96" s="124">
        <f>VLOOKUP($C96,Sales!$C:$E,2,FALSE)</f>
        <v/>
      </c>
      <c r="I96" s="124">
        <f>VLOOKUP($C96,Sales!$C:$E,3,FALSE)</f>
        <v/>
      </c>
      <c r="J96" s="126">
        <f>SUMIFS(Sales!$H:$H,Sales!$C:$C,'Investor Exit List'!$C96)</f>
        <v/>
      </c>
      <c r="K96" s="126">
        <f>IF(I96=TRUE,J96,"")</f>
        <v/>
      </c>
      <c r="L96" s="126">
        <f>G96+730</f>
        <v/>
      </c>
      <c r="M96" s="126" t="n">
        <v>45443</v>
      </c>
      <c r="N96" s="127">
        <f>IFERROR(IF(G96&lt;&gt;"",IF(I96=TRUE,0,IF(U96=TRUE,0,L96-M96)),0),0)</f>
        <v/>
      </c>
      <c r="O96" s="127">
        <f>IF(N96&gt;0,IF(N96&lt;=180,N96,0),0)</f>
        <v/>
      </c>
      <c r="P96" s="125">
        <f>IF(AND(N96&lt;90,N96&gt;0),Q96,0)</f>
        <v/>
      </c>
      <c r="Q96" s="125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25">
        <f>IF(AND(H96=TRUE,I96=FALSE),Q96,0)</f>
        <v/>
      </c>
      <c r="S96" s="125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26">
        <f>IF(U96=TRUE,$J96,"")</f>
        <v/>
      </c>
      <c r="U96" s="124" t="b">
        <v>0</v>
      </c>
      <c r="V96" s="125">
        <f>IF(AND(H96=TRUE,OR(K96="",K96&gt;M96)),S96,0)</f>
        <v/>
      </c>
      <c r="W96" s="124" t="n">
        <v>0</v>
      </c>
      <c r="X96" s="124" t="b">
        <v>0</v>
      </c>
      <c r="Y96" s="127">
        <f>IF(H96=FALSE,VLOOKUP($C96,Sales!$C:$F,4,FALSE),1)</f>
        <v/>
      </c>
      <c r="Z96" s="124">
        <f>IF(Y96=0,"Release",IF(AND(L96&lt;J96,Y96=1,H96=FALSE,U96=FALSE,MONTH(L96)&amp;"/"&amp;YEAR(L96)&lt;&gt;MONTH(J96)&amp;"/"&amp;YEAR(J96)),"Release",""))</f>
        <v/>
      </c>
      <c r="AA96" s="128">
        <f>_xlfn.minifs($L:$L,$C:$C,$C96,$F:$F,"&lt;&gt;0")</f>
        <v/>
      </c>
      <c r="AB96" s="128">
        <f>C96&amp;"-"&amp;A96</f>
        <v/>
      </c>
      <c r="AC96" s="128">
        <f>L96</f>
        <v/>
      </c>
    </row>
    <row r="97">
      <c r="A97" s="124" t="inlineStr">
        <is>
          <t>ZCRO01</t>
        </is>
      </c>
      <c r="B97" s="124" t="n">
        <v>3</v>
      </c>
      <c r="C97" s="124" t="inlineStr">
        <is>
          <t>HFB108</t>
        </is>
      </c>
      <c r="D97" s="124" t="inlineStr">
        <is>
          <t>B</t>
        </is>
      </c>
      <c r="E97" s="124" t="inlineStr">
        <is>
          <t>Lunau Marc</t>
        </is>
      </c>
      <c r="F97" s="125">
        <f>SUMIFS(Investors!$M:$M, Investors!$I:$I, "&lt;=" &amp; 'NSST Print'!$B$3, Investors!$K:$K, "&gt;" &amp; 'NSST Print'!$B$3, Investors!$A:$A, 'Investor Exit List'!A97, Investors!$E:$E, 'Investor Exit List'!C97)</f>
        <v/>
      </c>
      <c r="G97" s="126" t="n">
        <v>44352</v>
      </c>
      <c r="H97" s="124">
        <f>VLOOKUP($C97,Sales!$C:$E,2,FALSE)</f>
        <v/>
      </c>
      <c r="I97" s="124">
        <f>VLOOKUP($C97,Sales!$C:$E,3,FALSE)</f>
        <v/>
      </c>
      <c r="J97" s="126">
        <f>SUMIFS(Sales!$H:$H,Sales!$C:$C,'Investor Exit List'!$C97)</f>
        <v/>
      </c>
      <c r="K97" s="126">
        <f>IF(I97=TRUE,J97,"")</f>
        <v/>
      </c>
      <c r="L97" s="126">
        <f>G97+730</f>
        <v/>
      </c>
      <c r="M97" s="126" t="n">
        <v>45443</v>
      </c>
      <c r="N97" s="127">
        <f>IFERROR(IF(G97&lt;&gt;"",IF(I97=TRUE,0,IF(U97=TRUE,0,L97-M97)),0),0)</f>
        <v/>
      </c>
      <c r="O97" s="127">
        <f>IF(N97&gt;0,IF(N97&lt;=180,N97,0),0)</f>
        <v/>
      </c>
      <c r="P97" s="125">
        <f>IF(AND(N97&lt;90,N97&gt;0),Q97,0)</f>
        <v/>
      </c>
      <c r="Q97" s="125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25">
        <f>IF(AND(H97=TRUE,I97=FALSE),Q97,0)</f>
        <v/>
      </c>
      <c r="S97" s="125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26">
        <f>IF(U97=TRUE,$J97,"")</f>
        <v/>
      </c>
      <c r="U97" s="124" t="b">
        <v>1</v>
      </c>
      <c r="V97" s="125">
        <f>IF(AND(H97=TRUE,OR(K97="",K97&gt;M97)),S97,0)</f>
        <v/>
      </c>
      <c r="W97" s="124" t="n">
        <v>0</v>
      </c>
      <c r="X97" s="124" t="b">
        <v>0</v>
      </c>
      <c r="Y97" s="127">
        <f>IF(H97=FALSE,VLOOKUP($C97,Sales!$C:$F,4,FALSE),1)</f>
        <v/>
      </c>
      <c r="Z97" s="124">
        <f>IF(Y97=0,"Release",IF(AND(L97&lt;J97,Y97=1,H97=FALSE,U97=FALSE,MONTH(L97)&amp;"/"&amp;YEAR(L97)&lt;&gt;MONTH(J97)&amp;"/"&amp;YEAR(J97)),"Release",""))</f>
        <v/>
      </c>
      <c r="AA97" s="128">
        <f>_xlfn.minifs($L:$L,$C:$C,$C97,$F:$F,"&lt;&gt;0")</f>
        <v/>
      </c>
      <c r="AB97" s="128">
        <f>C97&amp;"-"&amp;A97</f>
        <v/>
      </c>
      <c r="AC97" s="128">
        <f>L97</f>
        <v/>
      </c>
    </row>
    <row r="98">
      <c r="A98" s="124" t="inlineStr">
        <is>
          <t>ZDEK01</t>
        </is>
      </c>
      <c r="B98" s="124" t="n">
        <v>1</v>
      </c>
      <c r="C98" s="124" t="inlineStr">
        <is>
          <t>HFB108</t>
        </is>
      </c>
      <c r="D98" s="124" t="inlineStr">
        <is>
          <t>B</t>
        </is>
      </c>
      <c r="E98" s="124" t="inlineStr">
        <is>
          <t>De Klerk (Way) Dawn Margaret</t>
        </is>
      </c>
      <c r="F98" s="125">
        <f>SUMIFS(Investors!$M:$M, Investors!$I:$I, "&lt;=" &amp; 'NSST Print'!$B$3, Investors!$K:$K, "&gt;" &amp; 'NSST Print'!$B$3, Investors!$A:$A, 'Investor Exit List'!A98, Investors!$E:$E, 'Investor Exit List'!C98)</f>
        <v/>
      </c>
      <c r="G98" s="126" t="n">
        <v>44352</v>
      </c>
      <c r="H98" s="124">
        <f>VLOOKUP($C98,Sales!$C:$E,2,FALSE)</f>
        <v/>
      </c>
      <c r="I98" s="124">
        <f>VLOOKUP($C98,Sales!$C:$E,3,FALSE)</f>
        <v/>
      </c>
      <c r="J98" s="126">
        <f>SUMIFS(Sales!$H:$H,Sales!$C:$C,'Investor Exit List'!$C98)</f>
        <v/>
      </c>
      <c r="K98" s="126">
        <f>IF(I98=TRUE,J98,"")</f>
        <v/>
      </c>
      <c r="L98" s="126">
        <f>G98+730</f>
        <v/>
      </c>
      <c r="M98" s="126" t="n">
        <v>45443</v>
      </c>
      <c r="N98" s="127">
        <f>IFERROR(IF(G98&lt;&gt;"",IF(I98=TRUE,0,IF(U98=TRUE,0,L98-M98)),0),0)</f>
        <v/>
      </c>
      <c r="O98" s="127">
        <f>IF(N98&gt;0,IF(N98&lt;=180,N98,0),0)</f>
        <v/>
      </c>
      <c r="P98" s="125">
        <f>IF(AND(N98&lt;90,N98&gt;0),Q98,0)</f>
        <v/>
      </c>
      <c r="Q98" s="125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25">
        <f>IF(AND(H98=TRUE,I98=FALSE),Q98,0)</f>
        <v/>
      </c>
      <c r="S98" s="125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26">
        <f>IF(U98=TRUE,$J98,"")</f>
        <v/>
      </c>
      <c r="U98" s="124" t="b">
        <v>0</v>
      </c>
      <c r="V98" s="125">
        <f>IF(AND(H98=TRUE,OR(K98="",K98&gt;M98)),S98,0)</f>
        <v/>
      </c>
      <c r="W98" s="124" t="n">
        <v>0</v>
      </c>
      <c r="X98" s="124" t="b">
        <v>0</v>
      </c>
      <c r="Y98" s="127">
        <f>IF(H98=FALSE,VLOOKUP($C98,Sales!$C:$F,4,FALSE),1)</f>
        <v/>
      </c>
      <c r="Z98" s="124">
        <f>IF(Y98=0,"Release",IF(AND(L98&lt;J98,Y98=1,H98=FALSE,U98=FALSE,MONTH(L98)&amp;"/"&amp;YEAR(L98)&lt;&gt;MONTH(J98)&amp;"/"&amp;YEAR(J98)),"Release",""))</f>
        <v/>
      </c>
      <c r="AA98" s="128">
        <f>_xlfn.minifs($L:$L,$C:$C,$C98,$F:$F,"&lt;&gt;0")</f>
        <v/>
      </c>
      <c r="AB98" s="128">
        <f>C98&amp;"-"&amp;A98</f>
        <v/>
      </c>
      <c r="AC98" s="128">
        <f>L98</f>
        <v/>
      </c>
    </row>
    <row r="99">
      <c r="A99" s="124" t="inlineStr">
        <is>
          <t>ZJOH01</t>
        </is>
      </c>
      <c r="B99" s="124" t="n">
        <v>4</v>
      </c>
      <c r="C99" s="124" t="inlineStr">
        <is>
          <t>HFB108</t>
        </is>
      </c>
      <c r="D99" s="124" t="inlineStr">
        <is>
          <t>B</t>
        </is>
      </c>
      <c r="E99" s="124" t="inlineStr">
        <is>
          <t>Johns Lisa-Marie Natalie</t>
        </is>
      </c>
      <c r="F99" s="125">
        <f>SUMIFS(Investors!$M:$M, Investors!$I:$I, "&lt;=" &amp; 'NSST Print'!$B$3, Investors!$K:$K, "&gt;" &amp; 'NSST Print'!$B$3, Investors!$A:$A, 'Investor Exit List'!A99, Investors!$E:$E, 'Investor Exit List'!C99)</f>
        <v/>
      </c>
      <c r="G99" s="126" t="n">
        <v>44316</v>
      </c>
      <c r="H99" s="124">
        <f>VLOOKUP($C99,Sales!$C:$E,2,FALSE)</f>
        <v/>
      </c>
      <c r="I99" s="124">
        <f>VLOOKUP($C99,Sales!$C:$E,3,FALSE)</f>
        <v/>
      </c>
      <c r="J99" s="126">
        <f>SUMIFS(Sales!$H:$H,Sales!$C:$C,'Investor Exit List'!$C99)</f>
        <v/>
      </c>
      <c r="K99" s="126">
        <f>IF(I99=TRUE,J99,"")</f>
        <v/>
      </c>
      <c r="L99" s="126">
        <f>G99+730</f>
        <v/>
      </c>
      <c r="M99" s="126" t="n">
        <v>45443</v>
      </c>
      <c r="N99" s="127">
        <f>IFERROR(IF(G99&lt;&gt;"",IF(I99=TRUE,0,IF(U99=TRUE,0,L99-M99)),0),0)</f>
        <v/>
      </c>
      <c r="O99" s="127">
        <f>IF(N99&gt;0,IF(N99&lt;=180,N99,0),0)</f>
        <v/>
      </c>
      <c r="P99" s="125">
        <f>IF(AND(N99&lt;90,N99&gt;0),Q99,0)</f>
        <v/>
      </c>
      <c r="Q99" s="125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25">
        <f>IF(AND(H99=TRUE,I99=FALSE),Q99,0)</f>
        <v/>
      </c>
      <c r="S99" s="125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26">
        <f>IF(U99=TRUE,$J99,"")</f>
        <v/>
      </c>
      <c r="U99" s="124" t="b">
        <v>1</v>
      </c>
      <c r="V99" s="125">
        <f>IF(AND(H99=TRUE,OR(K99="",K99&gt;M99)),S99,0)</f>
        <v/>
      </c>
      <c r="W99" s="124" t="n">
        <v>0</v>
      </c>
      <c r="X99" s="124" t="b">
        <v>0</v>
      </c>
      <c r="Y99" s="127">
        <f>IF(H99=FALSE,VLOOKUP($C99,Sales!$C:$F,4,FALSE),1)</f>
        <v/>
      </c>
      <c r="Z99" s="124">
        <f>IF(Y99=0,"Release",IF(AND(L99&lt;J99,Y99=1,H99=FALSE,U99=FALSE,MONTH(L99)&amp;"/"&amp;YEAR(L99)&lt;&gt;MONTH(J99)&amp;"/"&amp;YEAR(J99)),"Release",""))</f>
        <v/>
      </c>
      <c r="AA99" s="128">
        <f>_xlfn.minifs($L:$L,$C:$C,$C99,$F:$F,"&lt;&gt;0")</f>
        <v/>
      </c>
      <c r="AB99" s="128">
        <f>C99&amp;"-"&amp;A99</f>
        <v/>
      </c>
      <c r="AC99" s="128">
        <f>L99</f>
        <v/>
      </c>
    </row>
    <row r="100">
      <c r="A100" s="124" t="inlineStr">
        <is>
          <t>ZSCA01</t>
        </is>
      </c>
      <c r="B100" s="124" t="n">
        <v>1</v>
      </c>
      <c r="C100" s="124" t="inlineStr">
        <is>
          <t>HFB108</t>
        </is>
      </c>
      <c r="D100" s="124" t="inlineStr">
        <is>
          <t>B</t>
        </is>
      </c>
      <c r="E100" s="124" t="inlineStr">
        <is>
          <t>Scalzini Kert</t>
        </is>
      </c>
      <c r="F100" s="125">
        <f>SUMIFS(Investors!$M:$M, Investors!$I:$I, "&lt;=" &amp; 'NSST Print'!$B$3, Investors!$K:$K, "&gt;" &amp; 'NSST Print'!$B$3, Investors!$A:$A, 'Investor Exit List'!A100, Investors!$E:$E, 'Investor Exit List'!C100)</f>
        <v/>
      </c>
      <c r="G100" s="126" t="n">
        <v>44532</v>
      </c>
      <c r="H100" s="124">
        <f>VLOOKUP($C100,Sales!$C:$E,2,FALSE)</f>
        <v/>
      </c>
      <c r="I100" s="124">
        <f>VLOOKUP($C100,Sales!$C:$E,3,FALSE)</f>
        <v/>
      </c>
      <c r="J100" s="126">
        <f>SUMIFS(Sales!$H:$H,Sales!$C:$C,'Investor Exit List'!$C100)</f>
        <v/>
      </c>
      <c r="K100" s="126">
        <f>IF(I100=TRUE,J100,"")</f>
        <v/>
      </c>
      <c r="L100" s="126">
        <f>G100+730</f>
        <v/>
      </c>
      <c r="M100" s="126" t="n">
        <v>45443</v>
      </c>
      <c r="N100" s="127">
        <f>IFERROR(IF(G100&lt;&gt;"",IF(I100=TRUE,0,IF(U100=TRUE,0,L100-M100)),0),0)</f>
        <v/>
      </c>
      <c r="O100" s="127">
        <f>IF(N100&gt;0,IF(N100&lt;=180,N100,0),0)</f>
        <v/>
      </c>
      <c r="P100" s="125">
        <f>IF(AND(N100&lt;90,N100&gt;0),Q100,0)</f>
        <v/>
      </c>
      <c r="Q100" s="125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25">
        <f>IF(AND(H100=TRUE,I100=FALSE),Q100,0)</f>
        <v/>
      </c>
      <c r="S100" s="125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26">
        <f>IF(U100=TRUE,$J100,"")</f>
        <v/>
      </c>
      <c r="U100" s="124" t="b">
        <v>0</v>
      </c>
      <c r="V100" s="125">
        <f>IF(AND(H100=TRUE,OR(K100="",K100&gt;M100)),S100,0)</f>
        <v/>
      </c>
      <c r="W100" s="124" t="n">
        <v>0</v>
      </c>
      <c r="X100" s="124" t="b">
        <v>0</v>
      </c>
      <c r="Y100" s="127">
        <f>IF(H100=FALSE,VLOOKUP($C100,Sales!$C:$F,4,FALSE),1)</f>
        <v/>
      </c>
      <c r="Z100" s="124">
        <f>IF(Y100=0,"Release",IF(AND(L100&lt;J100,Y100=1,H100=FALSE,U100=FALSE,MONTH(L100)&amp;"/"&amp;YEAR(L100)&lt;&gt;MONTH(J100)&amp;"/"&amp;YEAR(J100)),"Release",""))</f>
        <v/>
      </c>
      <c r="AA100" s="128">
        <f>_xlfn.minifs($L:$L,$C:$C,$C100,$F:$F,"&lt;&gt;0")</f>
        <v/>
      </c>
      <c r="AB100" s="128">
        <f>C100&amp;"-"&amp;A100</f>
        <v/>
      </c>
      <c r="AC100" s="128">
        <f>L100</f>
        <v/>
      </c>
    </row>
    <row r="101">
      <c r="A101" s="124" t="inlineStr">
        <is>
          <t>ZCRO01</t>
        </is>
      </c>
      <c r="B101" s="124" t="n">
        <v>4</v>
      </c>
      <c r="C101" s="124" t="inlineStr">
        <is>
          <t>HFB109</t>
        </is>
      </c>
      <c r="D101" s="124" t="inlineStr">
        <is>
          <t>B</t>
        </is>
      </c>
      <c r="E101" s="124" t="inlineStr">
        <is>
          <t>Lunau Marc</t>
        </is>
      </c>
      <c r="F101" s="125">
        <f>SUMIFS(Investors!$M:$M, Investors!$I:$I, "&lt;=" &amp; 'NSST Print'!$B$3, Investors!$K:$K, "&gt;" &amp; 'NSST Print'!$B$3, Investors!$A:$A, 'Investor Exit List'!A101, Investors!$E:$E, 'Investor Exit List'!C101)</f>
        <v/>
      </c>
      <c r="G101" s="126" t="n">
        <v>44352</v>
      </c>
      <c r="H101" s="124">
        <f>VLOOKUP($C101,Sales!$C:$E,2,FALSE)</f>
        <v/>
      </c>
      <c r="I101" s="124">
        <f>VLOOKUP($C101,Sales!$C:$E,3,FALSE)</f>
        <v/>
      </c>
      <c r="J101" s="126">
        <f>SUMIFS(Sales!$H:$H,Sales!$C:$C,'Investor Exit List'!$C101)</f>
        <v/>
      </c>
      <c r="K101" s="126">
        <f>IF(I101=TRUE,J101,"")</f>
        <v/>
      </c>
      <c r="L101" s="126">
        <f>G101+730</f>
        <v/>
      </c>
      <c r="M101" s="126" t="n">
        <v>45443</v>
      </c>
      <c r="N101" s="127">
        <f>IFERROR(IF(G101&lt;&gt;"",IF(I101=TRUE,0,IF(U101=TRUE,0,L101-M101)),0),0)</f>
        <v/>
      </c>
      <c r="O101" s="127">
        <f>IF(N101&gt;0,IF(N101&lt;=180,N101,0),0)</f>
        <v/>
      </c>
      <c r="P101" s="125">
        <f>IF(AND(N101&lt;90,N101&gt;0),Q101,0)</f>
        <v/>
      </c>
      <c r="Q101" s="125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25">
        <f>IF(AND(H101=TRUE,I101=FALSE),Q101,0)</f>
        <v/>
      </c>
      <c r="S101" s="125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26">
        <f>IF(U101=TRUE,$J101,"")</f>
        <v/>
      </c>
      <c r="U101" s="124" t="b">
        <v>0</v>
      </c>
      <c r="V101" s="125">
        <f>IF(AND(H101=TRUE,OR(K101="",K101&gt;M101)),S101,0)</f>
        <v/>
      </c>
      <c r="W101" s="124" t="n">
        <v>0</v>
      </c>
      <c r="X101" s="124" t="b">
        <v>0</v>
      </c>
      <c r="Y101" s="127">
        <f>IF(H101=FALSE,VLOOKUP($C101,Sales!$C:$F,4,FALSE),1)</f>
        <v/>
      </c>
      <c r="Z101" s="124">
        <f>IF(Y101=0,"Release",IF(AND(L101&lt;J101,Y101=1,H101=FALSE,U101=FALSE,MONTH(L101)&amp;"/"&amp;YEAR(L101)&lt;&gt;MONTH(J101)&amp;"/"&amp;YEAR(J101)),"Release",""))</f>
        <v/>
      </c>
      <c r="AA101" s="128">
        <f>_xlfn.minifs($L:$L,$C:$C,$C101,$F:$F,"&lt;&gt;0")</f>
        <v/>
      </c>
      <c r="AB101" s="128">
        <f>C101&amp;"-"&amp;A101</f>
        <v/>
      </c>
      <c r="AC101" s="128">
        <f>L101</f>
        <v/>
      </c>
    </row>
    <row r="102">
      <c r="A102" s="124" t="inlineStr">
        <is>
          <t>ZGIL01</t>
        </is>
      </c>
      <c r="B102" s="124" t="n">
        <v>1</v>
      </c>
      <c r="C102" s="124" t="inlineStr">
        <is>
          <t>HFB109</t>
        </is>
      </c>
      <c r="D102" s="124" t="inlineStr">
        <is>
          <t>B</t>
        </is>
      </c>
      <c r="E102" s="124" t="inlineStr">
        <is>
          <t>Gildenhuys Estelle Maria</t>
        </is>
      </c>
      <c r="F102" s="125">
        <f>SUMIFS(Investors!$M:$M, Investors!$I:$I, "&lt;=" &amp; 'NSST Print'!$B$3, Investors!$K:$K, "&gt;" &amp; 'NSST Print'!$B$3, Investors!$A:$A, 'Investor Exit List'!A102, Investors!$E:$E, 'Investor Exit List'!C102)</f>
        <v/>
      </c>
      <c r="G102" s="126" t="n">
        <v>44352</v>
      </c>
      <c r="H102" s="124">
        <f>VLOOKUP($C102,Sales!$C:$E,2,FALSE)</f>
        <v/>
      </c>
      <c r="I102" s="124">
        <f>VLOOKUP($C102,Sales!$C:$E,3,FALSE)</f>
        <v/>
      </c>
      <c r="J102" s="126">
        <f>SUMIFS(Sales!$H:$H,Sales!$C:$C,'Investor Exit List'!$C102)</f>
        <v/>
      </c>
      <c r="K102" s="126">
        <f>IF(I102=TRUE,J102,"")</f>
        <v/>
      </c>
      <c r="L102" s="126">
        <f>G102+730</f>
        <v/>
      </c>
      <c r="M102" s="126" t="n">
        <v>45443</v>
      </c>
      <c r="N102" s="127">
        <f>IFERROR(IF(G102&lt;&gt;"",IF(I102=TRUE,0,IF(U102=TRUE,0,L102-M102)),0),0)</f>
        <v/>
      </c>
      <c r="O102" s="127">
        <f>IF(N102&gt;0,IF(N102&lt;=180,N102,0),0)</f>
        <v/>
      </c>
      <c r="P102" s="125">
        <f>IF(AND(N102&lt;90,N102&gt;0),Q102,0)</f>
        <v/>
      </c>
      <c r="Q102" s="125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25">
        <f>IF(AND(H102=TRUE,I102=FALSE),Q102,0)</f>
        <v/>
      </c>
      <c r="S102" s="125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26">
        <f>IF(U102=TRUE,$J102,"")</f>
        <v/>
      </c>
      <c r="U102" s="124" t="b">
        <v>0</v>
      </c>
      <c r="V102" s="125">
        <f>IF(AND(H102=TRUE,OR(K102="",K102&gt;M102)),S102,0)</f>
        <v/>
      </c>
      <c r="W102" s="124" t="n">
        <v>0</v>
      </c>
      <c r="X102" s="124" t="b">
        <v>0</v>
      </c>
      <c r="Y102" s="127">
        <f>IF(H102=FALSE,VLOOKUP($C102,Sales!$C:$F,4,FALSE),1)</f>
        <v/>
      </c>
      <c r="Z102" s="124">
        <f>IF(Y102=0,"Release",IF(AND(L102&lt;J102,Y102=1,H102=FALSE,U102=FALSE,MONTH(L102)&amp;"/"&amp;YEAR(L102)&lt;&gt;MONTH(J102)&amp;"/"&amp;YEAR(J102)),"Release",""))</f>
        <v/>
      </c>
      <c r="AA102" s="128">
        <f>_xlfn.minifs($L:$L,$C:$C,$C102,$F:$F,"&lt;&gt;0")</f>
        <v/>
      </c>
      <c r="AB102" s="128">
        <f>C102&amp;"-"&amp;A102</f>
        <v/>
      </c>
      <c r="AC102" s="128">
        <f>L102</f>
        <v/>
      </c>
    </row>
    <row r="103">
      <c r="A103" s="124" t="inlineStr">
        <is>
          <t>ZHAM01</t>
        </is>
      </c>
      <c r="B103" s="124" t="n">
        <v>1</v>
      </c>
      <c r="C103" s="124" t="inlineStr">
        <is>
          <t>HFB109</t>
        </is>
      </c>
      <c r="D103" s="124" t="inlineStr">
        <is>
          <t>B</t>
        </is>
      </c>
      <c r="E103" s="124" t="inlineStr">
        <is>
          <t>Hambidge Lynnette Gladys</t>
        </is>
      </c>
      <c r="F103" s="125">
        <f>SUMIFS(Investors!$M:$M, Investors!$I:$I, "&lt;=" &amp; 'NSST Print'!$B$3, Investors!$K:$K, "&gt;" &amp; 'NSST Print'!$B$3, Investors!$A:$A, 'Investor Exit List'!A103, Investors!$E:$E, 'Investor Exit List'!C103)</f>
        <v/>
      </c>
      <c r="G103" s="126" t="n">
        <v>44352</v>
      </c>
      <c r="H103" s="124">
        <f>VLOOKUP($C103,Sales!$C:$E,2,FALSE)</f>
        <v/>
      </c>
      <c r="I103" s="124">
        <f>VLOOKUP($C103,Sales!$C:$E,3,FALSE)</f>
        <v/>
      </c>
      <c r="J103" s="126">
        <f>SUMIFS(Sales!$H:$H,Sales!$C:$C,'Investor Exit List'!$C103)</f>
        <v/>
      </c>
      <c r="K103" s="126">
        <f>IF(I103=TRUE,J103,"")</f>
        <v/>
      </c>
      <c r="L103" s="126">
        <f>G103+730</f>
        <v/>
      </c>
      <c r="M103" s="126" t="n">
        <v>45443</v>
      </c>
      <c r="N103" s="127">
        <f>IFERROR(IF(G103&lt;&gt;"",IF(I103=TRUE,0,IF(U103=TRUE,0,L103-M103)),0),0)</f>
        <v/>
      </c>
      <c r="O103" s="127">
        <f>IF(N103&gt;0,IF(N103&lt;=180,N103,0),0)</f>
        <v/>
      </c>
      <c r="P103" s="125">
        <f>IF(AND(N103&lt;90,N103&gt;0),Q103,0)</f>
        <v/>
      </c>
      <c r="Q103" s="125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25">
        <f>IF(AND(H103=TRUE,I103=FALSE),Q103,0)</f>
        <v/>
      </c>
      <c r="S103" s="125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26">
        <f>IF(U103=TRUE,$J103,"")</f>
        <v/>
      </c>
      <c r="U103" s="124" t="b">
        <v>0</v>
      </c>
      <c r="V103" s="125">
        <f>IF(AND(H103=TRUE,OR(K103="",K103&gt;M103)),S103,0)</f>
        <v/>
      </c>
      <c r="W103" s="124" t="n">
        <v>0</v>
      </c>
      <c r="X103" s="124" t="b">
        <v>0</v>
      </c>
      <c r="Y103" s="127">
        <f>IF(H103=FALSE,VLOOKUP($C103,Sales!$C:$F,4,FALSE),1)</f>
        <v/>
      </c>
      <c r="Z103" s="124">
        <f>IF(Y103=0,"Release",IF(AND(L103&lt;J103,Y103=1,H103=FALSE,U103=FALSE,MONTH(L103)&amp;"/"&amp;YEAR(L103)&lt;&gt;MONTH(J103)&amp;"/"&amp;YEAR(J103)),"Release",""))</f>
        <v/>
      </c>
      <c r="AA103" s="128">
        <f>_xlfn.minifs($L:$L,$C:$C,$C103,$F:$F,"&lt;&gt;0")</f>
        <v/>
      </c>
      <c r="AB103" s="128">
        <f>C103&amp;"-"&amp;A103</f>
        <v/>
      </c>
      <c r="AC103" s="128">
        <f>L103</f>
        <v/>
      </c>
    </row>
    <row r="104">
      <c r="A104" s="124" t="inlineStr">
        <is>
          <t>ZINT01</t>
        </is>
      </c>
      <c r="B104" s="124" t="n">
        <v>6</v>
      </c>
      <c r="C104" s="124" t="inlineStr">
        <is>
          <t>HFB109</t>
        </is>
      </c>
      <c r="D104" s="124" t="inlineStr">
        <is>
          <t>B</t>
        </is>
      </c>
      <c r="E104" s="124" t="inlineStr">
        <is>
          <t>Lunau Marc</t>
        </is>
      </c>
      <c r="F104" s="125">
        <f>SUMIFS(Investors!$M:$M, Investors!$I:$I, "&lt;=" &amp; 'NSST Print'!$B$3, Investors!$K:$K, "&gt;" &amp; 'NSST Print'!$B$3, Investors!$A:$A, 'Investor Exit List'!A104, Investors!$E:$E, 'Investor Exit List'!C104)</f>
        <v/>
      </c>
      <c r="G104" s="126" t="n">
        <v>44316</v>
      </c>
      <c r="H104" s="124">
        <f>VLOOKUP($C104,Sales!$C:$E,2,FALSE)</f>
        <v/>
      </c>
      <c r="I104" s="124">
        <f>VLOOKUP($C104,Sales!$C:$E,3,FALSE)</f>
        <v/>
      </c>
      <c r="J104" s="126">
        <f>SUMIFS(Sales!$H:$H,Sales!$C:$C,'Investor Exit List'!$C104)</f>
        <v/>
      </c>
      <c r="K104" s="126">
        <f>IF(I104=TRUE,J104,"")</f>
        <v/>
      </c>
      <c r="L104" s="126">
        <f>G104+730</f>
        <v/>
      </c>
      <c r="M104" s="126" t="n">
        <v>45443</v>
      </c>
      <c r="N104" s="127">
        <f>IFERROR(IF(G104&lt;&gt;"",IF(I104=TRUE,0,IF(U104=TRUE,0,L104-M104)),0),0)</f>
        <v/>
      </c>
      <c r="O104" s="127">
        <f>IF(N104&gt;0,IF(N104&lt;=180,N104,0),0)</f>
        <v/>
      </c>
      <c r="P104" s="125">
        <f>IF(AND(N104&lt;90,N104&gt;0),Q104,0)</f>
        <v/>
      </c>
      <c r="Q104" s="125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25">
        <f>IF(AND(H104=TRUE,I104=FALSE),Q104,0)</f>
        <v/>
      </c>
      <c r="S104" s="125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26">
        <f>IF(U104=TRUE,$J104,"")</f>
        <v/>
      </c>
      <c r="U104" s="124" t="b">
        <v>0</v>
      </c>
      <c r="V104" s="125">
        <f>IF(AND(H104=TRUE,OR(K104="",K104&gt;M104)),S104,0)</f>
        <v/>
      </c>
      <c r="W104" s="124" t="n">
        <v>0</v>
      </c>
      <c r="X104" s="124" t="b">
        <v>0</v>
      </c>
      <c r="Y104" s="127">
        <f>IF(H104=FALSE,VLOOKUP($C104,Sales!$C:$F,4,FALSE),1)</f>
        <v/>
      </c>
      <c r="Z104" s="124">
        <f>IF(Y104=0,"Release",IF(AND(L104&lt;J104,Y104=1,H104=FALSE,U104=FALSE,MONTH(L104)&amp;"/"&amp;YEAR(L104)&lt;&gt;MONTH(J104)&amp;"/"&amp;YEAR(J104)),"Release",""))</f>
        <v/>
      </c>
      <c r="AA104" s="128">
        <f>_xlfn.minifs($L:$L,$C:$C,$C104,$F:$F,"&lt;&gt;0")</f>
        <v/>
      </c>
      <c r="AB104" s="128">
        <f>C104&amp;"-"&amp;A104</f>
        <v/>
      </c>
      <c r="AC104" s="128">
        <f>L104</f>
        <v/>
      </c>
    </row>
    <row r="105">
      <c r="A105" s="124" t="inlineStr">
        <is>
          <t>ZPED01</t>
        </is>
      </c>
      <c r="B105" s="124" t="n">
        <v>2</v>
      </c>
      <c r="C105" s="124" t="inlineStr">
        <is>
          <t>HFB110</t>
        </is>
      </c>
      <c r="D105" s="124" t="inlineStr">
        <is>
          <t>B</t>
        </is>
      </c>
      <c r="E105" s="124" t="inlineStr">
        <is>
          <t>Pedersen Wendy</t>
        </is>
      </c>
      <c r="F105" s="125">
        <f>SUMIFS(Investors!$M:$M, Investors!$I:$I, "&lt;=" &amp; 'NSST Print'!$B$3, Investors!$K:$K, "&gt;" &amp; 'NSST Print'!$B$3, Investors!$A:$A, 'Investor Exit List'!A105, Investors!$E:$E, 'Investor Exit List'!C105)</f>
        <v/>
      </c>
      <c r="G105" s="126" t="n">
        <v>44352</v>
      </c>
      <c r="H105" s="124">
        <f>VLOOKUP($C105,Sales!$C:$E,2,FALSE)</f>
        <v/>
      </c>
      <c r="I105" s="124">
        <f>VLOOKUP($C105,Sales!$C:$E,3,FALSE)</f>
        <v/>
      </c>
      <c r="J105" s="126">
        <f>SUMIFS(Sales!$H:$H,Sales!$C:$C,'Investor Exit List'!$C105)</f>
        <v/>
      </c>
      <c r="K105" s="126">
        <f>IF(I105=TRUE,J105,"")</f>
        <v/>
      </c>
      <c r="L105" s="126">
        <f>G105+730</f>
        <v/>
      </c>
      <c r="M105" s="126" t="n">
        <v>45443</v>
      </c>
      <c r="N105" s="127">
        <f>IFERROR(IF(G105&lt;&gt;"",IF(I105=TRUE,0,IF(U105=TRUE,0,L105-M105)),0),0)</f>
        <v/>
      </c>
      <c r="O105" s="127">
        <f>IF(N105&gt;0,IF(N105&lt;=180,N105,0),0)</f>
        <v/>
      </c>
      <c r="P105" s="125">
        <f>IF(AND(N105&lt;90,N105&gt;0),Q105,0)</f>
        <v/>
      </c>
      <c r="Q105" s="125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25">
        <f>IF(AND(H105=TRUE,I105=FALSE),Q105,0)</f>
        <v/>
      </c>
      <c r="S105" s="125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26">
        <f>IF(U105=TRUE,$J105,"")</f>
        <v/>
      </c>
      <c r="U105" s="124" t="b">
        <v>0</v>
      </c>
      <c r="V105" s="125">
        <f>IF(AND(H105=TRUE,OR(K105="",K105&gt;M105)),S105,0)</f>
        <v/>
      </c>
      <c r="W105" s="124" t="n">
        <v>0</v>
      </c>
      <c r="X105" s="124" t="b">
        <v>0</v>
      </c>
      <c r="Y105" s="127">
        <f>IF(H105=FALSE,VLOOKUP($C105,Sales!$C:$F,4,FALSE),1)</f>
        <v/>
      </c>
      <c r="Z105" s="124">
        <f>IF(Y105=0,"Release",IF(AND(L105&lt;J105,Y105=1,H105=FALSE,U105=FALSE,MONTH(L105)&amp;"/"&amp;YEAR(L105)&lt;&gt;MONTH(J105)&amp;"/"&amp;YEAR(J105)),"Release",""))</f>
        <v/>
      </c>
      <c r="AA105" s="128">
        <f>_xlfn.minifs($L:$L,$C:$C,$C105,$F:$F,"&lt;&gt;0")</f>
        <v/>
      </c>
      <c r="AB105" s="128">
        <f>C105&amp;"-"&amp;A105</f>
        <v/>
      </c>
      <c r="AC105" s="128">
        <f>L105</f>
        <v/>
      </c>
    </row>
    <row r="106">
      <c r="A106" s="124" t="inlineStr">
        <is>
          <t>ZCRO01</t>
        </is>
      </c>
      <c r="B106" s="124" t="n">
        <v>5</v>
      </c>
      <c r="C106" s="124" t="inlineStr">
        <is>
          <t>HFB111</t>
        </is>
      </c>
      <c r="D106" s="124" t="inlineStr">
        <is>
          <t>B</t>
        </is>
      </c>
      <c r="E106" s="124" t="inlineStr">
        <is>
          <t>Lunau Marc</t>
        </is>
      </c>
      <c r="F106" s="125">
        <f>SUMIFS(Investors!$M:$M, Investors!$I:$I, "&lt;=" &amp; 'NSST Print'!$B$3, Investors!$K:$K, "&gt;" &amp; 'NSST Print'!$B$3, Investors!$A:$A, 'Investor Exit List'!A106, Investors!$E:$E, 'Investor Exit List'!C106)</f>
        <v/>
      </c>
      <c r="G106" s="126" t="n">
        <v>44352</v>
      </c>
      <c r="H106" s="124">
        <f>VLOOKUP($C106,Sales!$C:$E,2,FALSE)</f>
        <v/>
      </c>
      <c r="I106" s="124">
        <f>VLOOKUP($C106,Sales!$C:$E,3,FALSE)</f>
        <v/>
      </c>
      <c r="J106" s="126">
        <f>SUMIFS(Sales!$H:$H,Sales!$C:$C,'Investor Exit List'!$C106)</f>
        <v/>
      </c>
      <c r="K106" s="126">
        <f>IF(I106=TRUE,J106,"")</f>
        <v/>
      </c>
      <c r="L106" s="126">
        <f>G106+730</f>
        <v/>
      </c>
      <c r="M106" s="126" t="n">
        <v>45443</v>
      </c>
      <c r="N106" s="127">
        <f>IFERROR(IF(G106&lt;&gt;"",IF(I106=TRUE,0,IF(U106=TRUE,0,L106-M106)),0),0)</f>
        <v/>
      </c>
      <c r="O106" s="127">
        <f>IF(N106&gt;0,IF(N106&lt;=180,N106,0),0)</f>
        <v/>
      </c>
      <c r="P106" s="125">
        <f>IF(AND(N106&lt;90,N106&gt;0),Q106,0)</f>
        <v/>
      </c>
      <c r="Q106" s="125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25">
        <f>IF(AND(H106=TRUE,I106=FALSE),Q106,0)</f>
        <v/>
      </c>
      <c r="S106" s="125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26">
        <f>IF(U106=TRUE,$J106,"")</f>
        <v/>
      </c>
      <c r="U106" s="124" t="b">
        <v>0</v>
      </c>
      <c r="V106" s="125">
        <f>IF(AND(H106=TRUE,OR(K106="",K106&gt;M106)),S106,0)</f>
        <v/>
      </c>
      <c r="W106" s="124" t="n">
        <v>0</v>
      </c>
      <c r="X106" s="124" t="b">
        <v>0</v>
      </c>
      <c r="Y106" s="127">
        <f>IF(H106=FALSE,VLOOKUP($C106,Sales!$C:$F,4,FALSE),1)</f>
        <v/>
      </c>
      <c r="Z106" s="124">
        <f>IF(Y106=0,"Release",IF(AND(L106&lt;J106,Y106=1,H106=FALSE,U106=FALSE,MONTH(L106)&amp;"/"&amp;YEAR(L106)&lt;&gt;MONTH(J106)&amp;"/"&amp;YEAR(J106)),"Release",""))</f>
        <v/>
      </c>
      <c r="AA106" s="128">
        <f>_xlfn.minifs($L:$L,$C:$C,$C106,$F:$F,"&lt;&gt;0")</f>
        <v/>
      </c>
      <c r="AB106" s="128">
        <f>C106&amp;"-"&amp;A106</f>
        <v/>
      </c>
      <c r="AC106" s="128">
        <f>L106</f>
        <v/>
      </c>
    </row>
    <row r="107">
      <c r="A107" s="124" t="inlineStr">
        <is>
          <t>ZLUN01</t>
        </is>
      </c>
      <c r="B107" s="124" t="n">
        <v>6</v>
      </c>
      <c r="C107" s="124" t="inlineStr">
        <is>
          <t>HFB111</t>
        </is>
      </c>
      <c r="D107" s="124" t="inlineStr">
        <is>
          <t>B</t>
        </is>
      </c>
      <c r="E107" s="124" t="inlineStr">
        <is>
          <t>Lunau Marc</t>
        </is>
      </c>
      <c r="F107" s="125">
        <f>SUMIFS(Investors!$M:$M, Investors!$I:$I, "&lt;=" &amp; 'NSST Print'!$B$3, Investors!$K:$K, "&gt;" &amp; 'NSST Print'!$B$3, Investors!$A:$A, 'Investor Exit List'!A107, Investors!$E:$E, 'Investor Exit List'!C107)</f>
        <v/>
      </c>
      <c r="G107" s="126" t="n">
        <v>44352</v>
      </c>
      <c r="H107" s="124">
        <f>VLOOKUP($C107,Sales!$C:$E,2,FALSE)</f>
        <v/>
      </c>
      <c r="I107" s="124">
        <f>VLOOKUP($C107,Sales!$C:$E,3,FALSE)</f>
        <v/>
      </c>
      <c r="J107" s="126">
        <f>SUMIFS(Sales!$H:$H,Sales!$C:$C,'Investor Exit List'!$C107)</f>
        <v/>
      </c>
      <c r="K107" s="126">
        <f>IF(I107=TRUE,J107,"")</f>
        <v/>
      </c>
      <c r="L107" s="126">
        <f>G107+730</f>
        <v/>
      </c>
      <c r="M107" s="126" t="n">
        <v>45443</v>
      </c>
      <c r="N107" s="127">
        <f>IFERROR(IF(G107&lt;&gt;"",IF(I107=TRUE,0,IF(U107=TRUE,0,L107-M107)),0),0)</f>
        <v/>
      </c>
      <c r="O107" s="127">
        <f>IF(N107&gt;0,IF(N107&lt;=180,N107,0),0)</f>
        <v/>
      </c>
      <c r="P107" s="125">
        <f>IF(AND(N107&lt;90,N107&gt;0),Q107,0)</f>
        <v/>
      </c>
      <c r="Q107" s="125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25">
        <f>IF(AND(H107=TRUE,I107=FALSE),Q107,0)</f>
        <v/>
      </c>
      <c r="S107" s="125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26">
        <f>IF(U107=TRUE,$J107,"")</f>
        <v/>
      </c>
      <c r="U107" s="124" t="b">
        <v>0</v>
      </c>
      <c r="V107" s="125">
        <f>IF(AND(H107=TRUE,OR(K107="",K107&gt;M107)),S107,0)</f>
        <v/>
      </c>
      <c r="W107" s="124" t="n">
        <v>0</v>
      </c>
      <c r="X107" s="124" t="b">
        <v>0</v>
      </c>
      <c r="Y107" s="127">
        <f>IF(H107=FALSE,VLOOKUP($C107,Sales!$C:$F,4,FALSE),1)</f>
        <v/>
      </c>
      <c r="Z107" s="124">
        <f>IF(Y107=0,"Release",IF(AND(L107&lt;J107,Y107=1,H107=FALSE,U107=FALSE,MONTH(L107)&amp;"/"&amp;YEAR(L107)&lt;&gt;MONTH(J107)&amp;"/"&amp;YEAR(J107)),"Release",""))</f>
        <v/>
      </c>
      <c r="AA107" s="128">
        <f>_xlfn.minifs($L:$L,$C:$C,$C107,$F:$F,"&lt;&gt;0")</f>
        <v/>
      </c>
      <c r="AB107" s="128">
        <f>C107&amp;"-"&amp;A107</f>
        <v/>
      </c>
      <c r="AC107" s="128">
        <f>L107</f>
        <v/>
      </c>
    </row>
    <row r="108">
      <c r="A108" s="124" t="inlineStr">
        <is>
          <t>ZSCA02</t>
        </is>
      </c>
      <c r="B108" s="124" t="n">
        <v>1</v>
      </c>
      <c r="C108" s="124" t="inlineStr">
        <is>
          <t>HFB111</t>
        </is>
      </c>
      <c r="D108" s="124" t="inlineStr">
        <is>
          <t>B</t>
        </is>
      </c>
      <c r="E108" s="124" t="inlineStr">
        <is>
          <t>Scalzini Chad</t>
        </is>
      </c>
      <c r="F108" s="125">
        <f>SUMIFS(Investors!$M:$M, Investors!$I:$I, "&lt;=" &amp; 'NSST Print'!$B$3, Investors!$K:$K, "&gt;" &amp; 'NSST Print'!$B$3, Investors!$A:$A, 'Investor Exit List'!A108, Investors!$E:$E, 'Investor Exit List'!C108)</f>
        <v/>
      </c>
      <c r="G108" s="126" t="n">
        <v>44508</v>
      </c>
      <c r="H108" s="124">
        <f>VLOOKUP($C108,Sales!$C:$E,2,FALSE)</f>
        <v/>
      </c>
      <c r="I108" s="124">
        <f>VLOOKUP($C108,Sales!$C:$E,3,FALSE)</f>
        <v/>
      </c>
      <c r="J108" s="126">
        <f>SUMIFS(Sales!$H:$H,Sales!$C:$C,'Investor Exit List'!$C108)</f>
        <v/>
      </c>
      <c r="K108" s="126">
        <f>IF(I108=TRUE,J108,"")</f>
        <v/>
      </c>
      <c r="L108" s="126">
        <f>G108+730</f>
        <v/>
      </c>
      <c r="M108" s="126" t="n">
        <v>45443</v>
      </c>
      <c r="N108" s="127">
        <f>IFERROR(IF(G108&lt;&gt;"",IF(I108=TRUE,0,IF(U108=TRUE,0,L108-M108)),0),0)</f>
        <v/>
      </c>
      <c r="O108" s="127">
        <f>IF(N108&gt;0,IF(N108&lt;=180,N108,0),0)</f>
        <v/>
      </c>
      <c r="P108" s="125">
        <f>IF(AND(N108&lt;90,N108&gt;0),Q108,0)</f>
        <v/>
      </c>
      <c r="Q108" s="125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25">
        <f>IF(AND(H108=TRUE,I108=FALSE),Q108,0)</f>
        <v/>
      </c>
      <c r="S108" s="125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26">
        <f>IF(U108=TRUE,$J108,"")</f>
        <v/>
      </c>
      <c r="U108" s="124" t="b">
        <v>0</v>
      </c>
      <c r="V108" s="125">
        <f>IF(AND(H108=TRUE,OR(K108="",K108&gt;M108)),S108,0)</f>
        <v/>
      </c>
      <c r="W108" s="124" t="n">
        <v>0</v>
      </c>
      <c r="X108" s="124" t="b">
        <v>0</v>
      </c>
      <c r="Y108" s="127">
        <f>IF(H108=FALSE,VLOOKUP($C108,Sales!$C:$F,4,FALSE),1)</f>
        <v/>
      </c>
      <c r="Z108" s="124">
        <f>IF(Y108=0,"Release",IF(AND(L108&lt;J108,Y108=1,H108=FALSE,U108=FALSE,MONTH(L108)&amp;"/"&amp;YEAR(L108)&lt;&gt;MONTH(J108)&amp;"/"&amp;YEAR(J108)),"Release",""))</f>
        <v/>
      </c>
      <c r="AA108" s="128">
        <f>_xlfn.minifs($L:$L,$C:$C,$C108,$F:$F,"&lt;&gt;0")</f>
        <v/>
      </c>
      <c r="AB108" s="128">
        <f>C108&amp;"-"&amp;A108</f>
        <v/>
      </c>
      <c r="AC108" s="128">
        <f>L108</f>
        <v/>
      </c>
    </row>
    <row r="109">
      <c r="A109" s="124" t="inlineStr">
        <is>
          <t>ZSCH03</t>
        </is>
      </c>
      <c r="B109" s="124" t="n">
        <v>1</v>
      </c>
      <c r="C109" s="124" t="inlineStr">
        <is>
          <t>HFB111</t>
        </is>
      </c>
      <c r="D109" s="124" t="inlineStr">
        <is>
          <t>B</t>
        </is>
      </c>
      <c r="E109" s="124" t="inlineStr">
        <is>
          <t>Schmidt Gary James</t>
        </is>
      </c>
      <c r="F109" s="125">
        <f>SUMIFS(Investors!$M:$M, Investors!$I:$I, "&lt;=" &amp; 'NSST Print'!$B$3, Investors!$K:$K, "&gt;" &amp; 'NSST Print'!$B$3, Investors!$A:$A, 'Investor Exit List'!A109, Investors!$E:$E, 'Investor Exit List'!C109)</f>
        <v/>
      </c>
      <c r="G109" s="126" t="n">
        <v>44352</v>
      </c>
      <c r="H109" s="124">
        <f>VLOOKUP($C109,Sales!$C:$E,2,FALSE)</f>
        <v/>
      </c>
      <c r="I109" s="124">
        <f>VLOOKUP($C109,Sales!$C:$E,3,FALSE)</f>
        <v/>
      </c>
      <c r="J109" s="126">
        <f>SUMIFS(Sales!$H:$H,Sales!$C:$C,'Investor Exit List'!$C109)</f>
        <v/>
      </c>
      <c r="K109" s="126">
        <f>IF(I109=TRUE,J109,"")</f>
        <v/>
      </c>
      <c r="L109" s="126">
        <f>G109+730</f>
        <v/>
      </c>
      <c r="M109" s="126" t="n">
        <v>45443</v>
      </c>
      <c r="N109" s="127">
        <f>IFERROR(IF(G109&lt;&gt;"",IF(I109=TRUE,0,IF(U109=TRUE,0,L109-M109)),0),0)</f>
        <v/>
      </c>
      <c r="O109" s="127">
        <f>IF(N109&gt;0,IF(N109&lt;=180,N109,0),0)</f>
        <v/>
      </c>
      <c r="P109" s="125">
        <f>IF(AND(N109&lt;90,N109&gt;0),Q109,0)</f>
        <v/>
      </c>
      <c r="Q109" s="125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25">
        <f>IF(AND(H109=TRUE,I109=FALSE),Q109,0)</f>
        <v/>
      </c>
      <c r="S109" s="125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26">
        <f>IF(U109=TRUE,$J109,"")</f>
        <v/>
      </c>
      <c r="U109" s="124" t="b">
        <v>0</v>
      </c>
      <c r="V109" s="125">
        <f>IF(AND(H109=TRUE,OR(K109="",K109&gt;M109)),S109,0)</f>
        <v/>
      </c>
      <c r="W109" s="124" t="n">
        <v>0</v>
      </c>
      <c r="X109" s="124" t="b">
        <v>0</v>
      </c>
      <c r="Y109" s="127">
        <f>IF(H109=FALSE,VLOOKUP($C109,Sales!$C:$F,4,FALSE),1)</f>
        <v/>
      </c>
      <c r="Z109" s="124">
        <f>IF(Y109=0,"Release",IF(AND(L109&lt;J109,Y109=1,H109=FALSE,U109=FALSE,MONTH(L109)&amp;"/"&amp;YEAR(L109)&lt;&gt;MONTH(J109)&amp;"/"&amp;YEAR(J109)),"Release",""))</f>
        <v/>
      </c>
      <c r="AA109" s="128">
        <f>_xlfn.minifs($L:$L,$C:$C,$C109,$F:$F,"&lt;&gt;0")</f>
        <v/>
      </c>
      <c r="AB109" s="128">
        <f>C109&amp;"-"&amp;A109</f>
        <v/>
      </c>
      <c r="AC109" s="128">
        <f>L109</f>
        <v/>
      </c>
    </row>
    <row r="110">
      <c r="A110" s="124" t="inlineStr">
        <is>
          <t>ZBEN01</t>
        </is>
      </c>
      <c r="B110" s="124" t="n">
        <v>1</v>
      </c>
      <c r="C110" s="124" t="inlineStr">
        <is>
          <t>HFB201</t>
        </is>
      </c>
      <c r="D110" s="124" t="inlineStr">
        <is>
          <t>B</t>
        </is>
      </c>
      <c r="E110" s="124" t="inlineStr">
        <is>
          <t>Beneke Heino</t>
        </is>
      </c>
      <c r="F110" s="125">
        <f>SUMIFS(Investors!$M:$M, Investors!$I:$I, "&lt;=" &amp; 'NSST Print'!$B$3, Investors!$K:$K, "&gt;" &amp; 'NSST Print'!$B$3, Investors!$A:$A, 'Investor Exit List'!A110, Investors!$E:$E, 'Investor Exit List'!C110)</f>
        <v/>
      </c>
      <c r="G110" s="126" t="n">
        <v>44352</v>
      </c>
      <c r="H110" s="124">
        <f>VLOOKUP($C110,Sales!$C:$E,2,FALSE)</f>
        <v/>
      </c>
      <c r="I110" s="124">
        <f>VLOOKUP($C110,Sales!$C:$E,3,FALSE)</f>
        <v/>
      </c>
      <c r="J110" s="126">
        <f>SUMIFS(Sales!$H:$H,Sales!$C:$C,'Investor Exit List'!$C110)</f>
        <v/>
      </c>
      <c r="K110" s="126">
        <f>IF(I110=TRUE,J110,"")</f>
        <v/>
      </c>
      <c r="L110" s="126">
        <f>G110+730</f>
        <v/>
      </c>
      <c r="M110" s="126" t="n">
        <v>45443</v>
      </c>
      <c r="N110" s="127">
        <f>IFERROR(IF(G110&lt;&gt;"",IF(I110=TRUE,0,IF(U110=TRUE,0,L110-M110)),0),0)</f>
        <v/>
      </c>
      <c r="O110" s="127">
        <f>IF(N110&gt;0,IF(N110&lt;=180,N110,0),0)</f>
        <v/>
      </c>
      <c r="P110" s="125">
        <f>IF(AND(N110&lt;90,N110&gt;0),Q110,0)</f>
        <v/>
      </c>
      <c r="Q110" s="125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25">
        <f>IF(AND(H110=TRUE,I110=FALSE),Q110,0)</f>
        <v/>
      </c>
      <c r="S110" s="125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26">
        <f>IF(U110=TRUE,$J110,"")</f>
        <v/>
      </c>
      <c r="U110" s="124" t="b">
        <v>0</v>
      </c>
      <c r="V110" s="125">
        <f>IF(AND(H110=TRUE,OR(K110="",K110&gt;M110)),S110,0)</f>
        <v/>
      </c>
      <c r="W110" s="124" t="n">
        <v>0</v>
      </c>
      <c r="X110" s="124" t="b">
        <v>0</v>
      </c>
      <c r="Y110" s="127">
        <f>IF(H110=FALSE,VLOOKUP($C110,Sales!$C:$F,4,FALSE),1)</f>
        <v/>
      </c>
      <c r="Z110" s="124">
        <f>IF(Y110=0,"Release",IF(AND(L110&lt;J110,Y110=1,H110=FALSE,U110=FALSE,MONTH(L110)&amp;"/"&amp;YEAR(L110)&lt;&gt;MONTH(J110)&amp;"/"&amp;YEAR(J110)),"Release",""))</f>
        <v/>
      </c>
      <c r="AA110" s="128">
        <f>_xlfn.minifs($L:$L,$C:$C,$C110,$F:$F,"&lt;&gt;0")</f>
        <v/>
      </c>
      <c r="AB110" s="128">
        <f>C110&amp;"-"&amp;A110</f>
        <v/>
      </c>
      <c r="AC110" s="128">
        <f>L110</f>
        <v/>
      </c>
    </row>
    <row r="111">
      <c r="A111" s="124" t="inlineStr">
        <is>
          <t>ZGLO01</t>
        </is>
      </c>
      <c r="B111" s="124" t="n">
        <v>1</v>
      </c>
      <c r="C111" s="124" t="inlineStr">
        <is>
          <t>HFB201</t>
        </is>
      </c>
      <c r="D111" s="124" t="inlineStr">
        <is>
          <t>B</t>
        </is>
      </c>
      <c r="E111" s="124" t="inlineStr">
        <is>
          <t>Goltz Elizma</t>
        </is>
      </c>
      <c r="F111" s="125">
        <f>SUMIFS(Investors!$M:$M, Investors!$I:$I, "&lt;=" &amp; 'NSST Print'!$B$3, Investors!$K:$K, "&gt;" &amp; 'NSST Print'!$B$3, Investors!$A:$A, 'Investor Exit List'!A111, Investors!$E:$E, 'Investor Exit List'!C111)</f>
        <v/>
      </c>
      <c r="G111" s="126" t="n">
        <v>44378</v>
      </c>
      <c r="H111" s="124">
        <f>VLOOKUP($C111,Sales!$C:$E,2,FALSE)</f>
        <v/>
      </c>
      <c r="I111" s="124">
        <f>VLOOKUP($C111,Sales!$C:$E,3,FALSE)</f>
        <v/>
      </c>
      <c r="J111" s="126">
        <f>SUMIFS(Sales!$H:$H,Sales!$C:$C,'Investor Exit List'!$C111)</f>
        <v/>
      </c>
      <c r="K111" s="126">
        <f>IF(I111=TRUE,J111,"")</f>
        <v/>
      </c>
      <c r="L111" s="126">
        <f>G111+730</f>
        <v/>
      </c>
      <c r="M111" s="126" t="n">
        <v>45443</v>
      </c>
      <c r="N111" s="127">
        <f>IFERROR(IF(G111&lt;&gt;"",IF(I111=TRUE,0,IF(U111=TRUE,0,L111-M111)),0),0)</f>
        <v/>
      </c>
      <c r="O111" s="127">
        <f>IF(N111&gt;0,IF(N111&lt;=180,N111,0),0)</f>
        <v/>
      </c>
      <c r="P111" s="125">
        <f>IF(AND(N111&lt;90,N111&gt;0),Q111,0)</f>
        <v/>
      </c>
      <c r="Q111" s="125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25">
        <f>IF(AND(H111=TRUE,I111=FALSE),Q111,0)</f>
        <v/>
      </c>
      <c r="S111" s="125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26">
        <f>IF(U111=TRUE,$J111,"")</f>
        <v/>
      </c>
      <c r="U111" s="124" t="b">
        <v>0</v>
      </c>
      <c r="V111" s="125">
        <f>IF(AND(H111=TRUE,OR(K111="",K111&gt;M111)),S111,0)</f>
        <v/>
      </c>
      <c r="W111" s="124" t="n">
        <v>0</v>
      </c>
      <c r="X111" s="124" t="b">
        <v>0</v>
      </c>
      <c r="Y111" s="127">
        <f>IF(H111=FALSE,VLOOKUP($C111,Sales!$C:$F,4,FALSE),1)</f>
        <v/>
      </c>
      <c r="Z111" s="124">
        <f>IF(Y111=0,"Release",IF(AND(L111&lt;J111,Y111=1,H111=FALSE,U111=FALSE,MONTH(L111)&amp;"/"&amp;YEAR(L111)&lt;&gt;MONTH(J111)&amp;"/"&amp;YEAR(J111)),"Release",""))</f>
        <v/>
      </c>
      <c r="AA111" s="128">
        <f>_xlfn.minifs($L:$L,$C:$C,$C111,$F:$F,"&lt;&gt;0")</f>
        <v/>
      </c>
      <c r="AB111" s="128">
        <f>C111&amp;"-"&amp;A111</f>
        <v/>
      </c>
      <c r="AC111" s="128">
        <f>L111</f>
        <v/>
      </c>
    </row>
    <row r="112">
      <c r="A112" s="124" t="inlineStr">
        <is>
          <t>ZMIN01</t>
        </is>
      </c>
      <c r="B112" s="124" t="n">
        <v>1</v>
      </c>
      <c r="C112" s="124" t="inlineStr">
        <is>
          <t>HFB202</t>
        </is>
      </c>
      <c r="D112" s="124" t="inlineStr">
        <is>
          <t>B</t>
        </is>
      </c>
      <c r="E112" s="124" t="inlineStr">
        <is>
          <t>Minnaar Irene Petronella</t>
        </is>
      </c>
      <c r="F112" s="125">
        <f>SUMIFS(Investors!$M:$M, Investors!$I:$I, "&lt;=" &amp; 'NSST Print'!$B$3, Investors!$K:$K, "&gt;" &amp; 'NSST Print'!$B$3, Investors!$A:$A, 'Investor Exit List'!A112, Investors!$E:$E, 'Investor Exit List'!C112)</f>
        <v/>
      </c>
      <c r="G112" s="126" t="n">
        <v>44378</v>
      </c>
      <c r="H112" s="124">
        <f>VLOOKUP($C112,Sales!$C:$E,2,FALSE)</f>
        <v/>
      </c>
      <c r="I112" s="124">
        <f>VLOOKUP($C112,Sales!$C:$E,3,FALSE)</f>
        <v/>
      </c>
      <c r="J112" s="126">
        <f>SUMIFS(Sales!$H:$H,Sales!$C:$C,'Investor Exit List'!$C112)</f>
        <v/>
      </c>
      <c r="K112" s="126">
        <f>IF(I112=TRUE,J112,"")</f>
        <v/>
      </c>
      <c r="L112" s="126">
        <f>G112+730</f>
        <v/>
      </c>
      <c r="M112" s="126" t="n">
        <v>45443</v>
      </c>
      <c r="N112" s="127">
        <f>IFERROR(IF(G112&lt;&gt;"",IF(I112=TRUE,0,IF(U112=TRUE,0,L112-M112)),0),0)</f>
        <v/>
      </c>
      <c r="O112" s="127">
        <f>IF(N112&gt;0,IF(N112&lt;=180,N112,0),0)</f>
        <v/>
      </c>
      <c r="P112" s="125">
        <f>IF(AND(N112&lt;90,N112&gt;0),Q112,0)</f>
        <v/>
      </c>
      <c r="Q112" s="125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25">
        <f>IF(AND(H112=TRUE,I112=FALSE),Q112,0)</f>
        <v/>
      </c>
      <c r="S112" s="125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26">
        <f>IF(U112=TRUE,$J112,"")</f>
        <v/>
      </c>
      <c r="U112" s="124" t="b">
        <v>1</v>
      </c>
      <c r="V112" s="125">
        <f>IF(AND(H112=TRUE,OR(K112="",K112&gt;M112)),S112,0)</f>
        <v/>
      </c>
      <c r="W112" s="124" t="n">
        <v>0</v>
      </c>
      <c r="X112" s="124" t="b">
        <v>0</v>
      </c>
      <c r="Y112" s="127">
        <f>IF(H112=FALSE,VLOOKUP($C112,Sales!$C:$F,4,FALSE),1)</f>
        <v/>
      </c>
      <c r="Z112" s="124">
        <f>IF(Y112=0,"Release",IF(AND(L112&lt;J112,Y112=1,H112=FALSE,U112=FALSE,MONTH(L112)&amp;"/"&amp;YEAR(L112)&lt;&gt;MONTH(J112)&amp;"/"&amp;YEAR(J112)),"Release",""))</f>
        <v/>
      </c>
      <c r="AA112" s="128">
        <f>_xlfn.minifs($L:$L,$C:$C,$C112,$F:$F,"&lt;&gt;0")</f>
        <v/>
      </c>
      <c r="AB112" s="128">
        <f>C112&amp;"-"&amp;A112</f>
        <v/>
      </c>
      <c r="AC112" s="128">
        <f>L112</f>
        <v/>
      </c>
    </row>
    <row r="113">
      <c r="A113" s="124" t="inlineStr">
        <is>
          <t>ZRUS01</t>
        </is>
      </c>
      <c r="B113" s="124" t="n">
        <v>1</v>
      </c>
      <c r="C113" s="124" t="inlineStr">
        <is>
          <t>HFB202</t>
        </is>
      </c>
      <c r="D113" s="124" t="inlineStr">
        <is>
          <t>B</t>
        </is>
      </c>
      <c r="E113" s="124" t="inlineStr">
        <is>
          <t>Rust Izak Cornelius</t>
        </is>
      </c>
      <c r="F113" s="125">
        <f>SUMIFS(Investors!$M:$M, Investors!$I:$I, "&lt;=" &amp; 'NSST Print'!$B$3, Investors!$K:$K, "&gt;" &amp; 'NSST Print'!$B$3, Investors!$A:$A, 'Investor Exit List'!A113, Investors!$E:$E, 'Investor Exit List'!C113)</f>
        <v/>
      </c>
      <c r="G113" s="126" t="n">
        <v>44352</v>
      </c>
      <c r="H113" s="124">
        <f>VLOOKUP($C113,Sales!$C:$E,2,FALSE)</f>
        <v/>
      </c>
      <c r="I113" s="124">
        <f>VLOOKUP($C113,Sales!$C:$E,3,FALSE)</f>
        <v/>
      </c>
      <c r="J113" s="126">
        <f>SUMIFS(Sales!$H:$H,Sales!$C:$C,'Investor Exit List'!$C113)</f>
        <v/>
      </c>
      <c r="K113" s="126">
        <f>IF(I113=TRUE,J113,"")</f>
        <v/>
      </c>
      <c r="L113" s="126">
        <f>G113+730</f>
        <v/>
      </c>
      <c r="M113" s="126" t="n">
        <v>45443</v>
      </c>
      <c r="N113" s="127">
        <f>IFERROR(IF(G113&lt;&gt;"",IF(I113=TRUE,0,IF(U113=TRUE,0,L113-M113)),0),0)</f>
        <v/>
      </c>
      <c r="O113" s="127">
        <f>IF(N113&gt;0,IF(N113&lt;=180,N113,0),0)</f>
        <v/>
      </c>
      <c r="P113" s="125">
        <f>IF(AND(N113&lt;90,N113&gt;0),Q113,0)</f>
        <v/>
      </c>
      <c r="Q113" s="125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25">
        <f>IF(AND(H113=TRUE,I113=FALSE),Q113,0)</f>
        <v/>
      </c>
      <c r="S113" s="125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26">
        <f>IF(U113=TRUE,$J113,"")</f>
        <v/>
      </c>
      <c r="U113" s="124" t="b">
        <v>0</v>
      </c>
      <c r="V113" s="125">
        <f>IF(AND(H113=TRUE,OR(K113="",K113&gt;M113)),S113,0)</f>
        <v/>
      </c>
      <c r="W113" s="124" t="n">
        <v>0</v>
      </c>
      <c r="X113" s="124" t="b">
        <v>0</v>
      </c>
      <c r="Y113" s="127">
        <f>IF(H113=FALSE,VLOOKUP($C113,Sales!$C:$F,4,FALSE),1)</f>
        <v/>
      </c>
      <c r="Z113" s="124">
        <f>IF(Y113=0,"Release",IF(AND(L113&lt;J113,Y113=1,H113=FALSE,U113=FALSE,MONTH(L113)&amp;"/"&amp;YEAR(L113)&lt;&gt;MONTH(J113)&amp;"/"&amp;YEAR(J113)),"Release",""))</f>
        <v/>
      </c>
      <c r="AA113" s="128">
        <f>_xlfn.minifs($L:$L,$C:$C,$C113,$F:$F,"&lt;&gt;0")</f>
        <v/>
      </c>
      <c r="AB113" s="128">
        <f>C113&amp;"-"&amp;A113</f>
        <v/>
      </c>
      <c r="AC113" s="128">
        <f>L113</f>
        <v/>
      </c>
    </row>
    <row r="114">
      <c r="A114" s="124" t="inlineStr">
        <is>
          <t>ZVAL01</t>
        </is>
      </c>
      <c r="B114" s="124" t="n">
        <v>1</v>
      </c>
      <c r="C114" s="124" t="inlineStr">
        <is>
          <t>HFB202</t>
        </is>
      </c>
      <c r="D114" s="124" t="inlineStr">
        <is>
          <t>B</t>
        </is>
      </c>
      <c r="E114" s="124" t="inlineStr">
        <is>
          <t>Vallabh Manoj</t>
        </is>
      </c>
      <c r="F114" s="125">
        <f>SUMIFS(Investors!$M:$M, Investors!$I:$I, "&lt;=" &amp; 'NSST Print'!$B$3, Investors!$K:$K, "&gt;" &amp; 'NSST Print'!$B$3, Investors!$A:$A, 'Investor Exit List'!A114, Investors!$E:$E, 'Investor Exit List'!C114)</f>
        <v/>
      </c>
      <c r="G114" s="126" t="n">
        <v>44352</v>
      </c>
      <c r="H114" s="124">
        <f>VLOOKUP($C114,Sales!$C:$E,2,FALSE)</f>
        <v/>
      </c>
      <c r="I114" s="124">
        <f>VLOOKUP($C114,Sales!$C:$E,3,FALSE)</f>
        <v/>
      </c>
      <c r="J114" s="126">
        <f>SUMIFS(Sales!$H:$H,Sales!$C:$C,'Investor Exit List'!$C114)</f>
        <v/>
      </c>
      <c r="K114" s="126">
        <f>IF(I114=TRUE,J114,"")</f>
        <v/>
      </c>
      <c r="L114" s="126">
        <f>G114+730</f>
        <v/>
      </c>
      <c r="M114" s="126" t="n">
        <v>45443</v>
      </c>
      <c r="N114" s="127">
        <f>IFERROR(IF(G114&lt;&gt;"",IF(I114=TRUE,0,IF(U114=TRUE,0,L114-M114)),0),0)</f>
        <v/>
      </c>
      <c r="O114" s="127">
        <f>IF(N114&gt;0,IF(N114&lt;=180,N114,0),0)</f>
        <v/>
      </c>
      <c r="P114" s="125">
        <f>IF(AND(N114&lt;90,N114&gt;0),Q114,0)</f>
        <v/>
      </c>
      <c r="Q114" s="125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25">
        <f>IF(AND(H114=TRUE,I114=FALSE),Q114,0)</f>
        <v/>
      </c>
      <c r="S114" s="125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26">
        <f>IF(U114=TRUE,$J114,"")</f>
        <v/>
      </c>
      <c r="U114" s="124" t="b">
        <v>0</v>
      </c>
      <c r="V114" s="125">
        <f>IF(AND(H114=TRUE,OR(K114="",K114&gt;M114)),S114,0)</f>
        <v/>
      </c>
      <c r="W114" s="124" t="n">
        <v>0</v>
      </c>
      <c r="X114" s="124" t="b">
        <v>0</v>
      </c>
      <c r="Y114" s="127">
        <f>IF(H114=FALSE,VLOOKUP($C114,Sales!$C:$F,4,FALSE),1)</f>
        <v/>
      </c>
      <c r="Z114" s="124">
        <f>IF(Y114=0,"Release",IF(AND(L114&lt;J114,Y114=1,H114=FALSE,U114=FALSE,MONTH(L114)&amp;"/"&amp;YEAR(L114)&lt;&gt;MONTH(J114)&amp;"/"&amp;YEAR(J114)),"Release",""))</f>
        <v/>
      </c>
      <c r="AA114" s="128">
        <f>_xlfn.minifs($L:$L,$C:$C,$C114,$F:$F,"&lt;&gt;0")</f>
        <v/>
      </c>
      <c r="AB114" s="128">
        <f>C114&amp;"-"&amp;A114</f>
        <v/>
      </c>
      <c r="AC114" s="128">
        <f>L114</f>
        <v/>
      </c>
    </row>
    <row r="115">
      <c r="A115" s="124" t="inlineStr">
        <is>
          <t>ZDIC01</t>
        </is>
      </c>
      <c r="B115" s="124" t="n">
        <v>4</v>
      </c>
      <c r="C115" s="124" t="inlineStr">
        <is>
          <t>HFB203</t>
        </is>
      </c>
      <c r="D115" s="124" t="inlineStr">
        <is>
          <t>B</t>
        </is>
      </c>
      <c r="E115" s="124" t="inlineStr">
        <is>
          <t>Dickinson Grant Allan</t>
        </is>
      </c>
      <c r="F115" s="125">
        <f>SUMIFS(Investors!$M:$M, Investors!$I:$I, "&lt;=" &amp; 'NSST Print'!$B$3, Investors!$K:$K, "&gt;" &amp; 'NSST Print'!$B$3, Investors!$A:$A, 'Investor Exit List'!A115, Investors!$E:$E, 'Investor Exit List'!C115)</f>
        <v/>
      </c>
      <c r="G115" s="126" t="n">
        <v>44352</v>
      </c>
      <c r="H115" s="124">
        <f>VLOOKUP($C115,Sales!$C:$E,2,FALSE)</f>
        <v/>
      </c>
      <c r="I115" s="124">
        <f>VLOOKUP($C115,Sales!$C:$E,3,FALSE)</f>
        <v/>
      </c>
      <c r="J115" s="126">
        <f>SUMIFS(Sales!$H:$H,Sales!$C:$C,'Investor Exit List'!$C115)</f>
        <v/>
      </c>
      <c r="K115" s="126">
        <f>IF(I115=TRUE,J115,"")</f>
        <v/>
      </c>
      <c r="L115" s="126">
        <f>G115+730</f>
        <v/>
      </c>
      <c r="M115" s="126" t="n">
        <v>45443</v>
      </c>
      <c r="N115" s="127">
        <f>IFERROR(IF(G115&lt;&gt;"",IF(I115=TRUE,0,IF(U115=TRUE,0,L115-M115)),0),0)</f>
        <v/>
      </c>
      <c r="O115" s="127">
        <f>IF(N115&gt;0,IF(N115&lt;=180,N115,0),0)</f>
        <v/>
      </c>
      <c r="P115" s="125">
        <f>IF(AND(N115&lt;90,N115&gt;0),Q115,0)</f>
        <v/>
      </c>
      <c r="Q115" s="125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25">
        <f>IF(AND(H115=TRUE,I115=FALSE),Q115,0)</f>
        <v/>
      </c>
      <c r="S115" s="125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26">
        <f>IF(U115=TRUE,$J115,"")</f>
        <v/>
      </c>
      <c r="U115" s="124" t="b">
        <v>1</v>
      </c>
      <c r="V115" s="125">
        <f>IF(AND(H115=TRUE,OR(K115="",K115&gt;M115)),S115,0)</f>
        <v/>
      </c>
      <c r="W115" s="124" t="n">
        <v>0</v>
      </c>
      <c r="X115" s="124" t="b">
        <v>0</v>
      </c>
      <c r="Y115" s="127">
        <f>IF(H115=FALSE,VLOOKUP($C115,Sales!$C:$F,4,FALSE),1)</f>
        <v/>
      </c>
      <c r="Z115" s="124">
        <f>IF(Y115=0,"Release",IF(AND(L115&lt;J115,Y115=1,H115=FALSE,U115=FALSE,MONTH(L115)&amp;"/"&amp;YEAR(L115)&lt;&gt;MONTH(J115)&amp;"/"&amp;YEAR(J115)),"Release",""))</f>
        <v/>
      </c>
      <c r="AA115" s="128">
        <f>_xlfn.minifs($L:$L,$C:$C,$C115,$F:$F,"&lt;&gt;0")</f>
        <v/>
      </c>
      <c r="AB115" s="128">
        <f>C115&amp;"-"&amp;A115</f>
        <v/>
      </c>
      <c r="AC115" s="128">
        <f>L115</f>
        <v/>
      </c>
    </row>
    <row r="116">
      <c r="A116" s="124" t="inlineStr">
        <is>
          <t>ZWAL01</t>
        </is>
      </c>
      <c r="B116" s="124" t="n">
        <v>1</v>
      </c>
      <c r="C116" s="124" t="inlineStr">
        <is>
          <t>HFB203</t>
        </is>
      </c>
      <c r="D116" s="124" t="inlineStr">
        <is>
          <t>B</t>
        </is>
      </c>
      <c r="E116" s="124" t="inlineStr">
        <is>
          <t>Walters Benedict Joseph</t>
        </is>
      </c>
      <c r="F116" s="125">
        <f>SUMIFS(Investors!$M:$M, Investors!$I:$I, "&lt;=" &amp; 'NSST Print'!$B$3, Investors!$K:$K, "&gt;" &amp; 'NSST Print'!$B$3, Investors!$A:$A, 'Investor Exit List'!A116, Investors!$E:$E, 'Investor Exit List'!C116)</f>
        <v/>
      </c>
      <c r="G116" s="126" t="n">
        <v>44352</v>
      </c>
      <c r="H116" s="124">
        <f>VLOOKUP($C116,Sales!$C:$E,2,FALSE)</f>
        <v/>
      </c>
      <c r="I116" s="124">
        <f>VLOOKUP($C116,Sales!$C:$E,3,FALSE)</f>
        <v/>
      </c>
      <c r="J116" s="126">
        <f>SUMIFS(Sales!$H:$H,Sales!$C:$C,'Investor Exit List'!$C116)</f>
        <v/>
      </c>
      <c r="K116" s="126">
        <f>IF(I116=TRUE,J116,"")</f>
        <v/>
      </c>
      <c r="L116" s="126">
        <f>G116+730</f>
        <v/>
      </c>
      <c r="M116" s="126" t="n">
        <v>45443</v>
      </c>
      <c r="N116" s="127">
        <f>IFERROR(IF(G116&lt;&gt;"",IF(I116=TRUE,0,IF(U116=TRUE,0,L116-M116)),0),0)</f>
        <v/>
      </c>
      <c r="O116" s="127">
        <f>IF(N116&gt;0,IF(N116&lt;=180,N116,0),0)</f>
        <v/>
      </c>
      <c r="P116" s="125">
        <f>IF(AND(N116&lt;90,N116&gt;0),Q116,0)</f>
        <v/>
      </c>
      <c r="Q116" s="125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25">
        <f>IF(AND(H116=TRUE,I116=FALSE),Q116,0)</f>
        <v/>
      </c>
      <c r="S116" s="125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26">
        <f>IF(U116=TRUE,$J116,"")</f>
        <v/>
      </c>
      <c r="U116" s="124" t="b">
        <v>0</v>
      </c>
      <c r="V116" s="125">
        <f>IF(AND(H116=TRUE,OR(K116="",K116&gt;M116)),S116,0)</f>
        <v/>
      </c>
      <c r="W116" s="124" t="n">
        <v>0</v>
      </c>
      <c r="X116" s="124" t="b">
        <v>0</v>
      </c>
      <c r="Y116" s="127">
        <f>IF(H116=FALSE,VLOOKUP($C116,Sales!$C:$F,4,FALSE),1)</f>
        <v/>
      </c>
      <c r="Z116" s="124">
        <f>IF(Y116=0,"Release",IF(AND(L116&lt;J116,Y116=1,H116=FALSE,U116=FALSE,MONTH(L116)&amp;"/"&amp;YEAR(L116)&lt;&gt;MONTH(J116)&amp;"/"&amp;YEAR(J116)),"Release",""))</f>
        <v/>
      </c>
      <c r="AA116" s="128">
        <f>_xlfn.minifs($L:$L,$C:$C,$C116,$F:$F,"&lt;&gt;0")</f>
        <v/>
      </c>
      <c r="AB116" s="128">
        <f>C116&amp;"-"&amp;A116</f>
        <v/>
      </c>
      <c r="AC116" s="128">
        <f>L116</f>
        <v/>
      </c>
    </row>
    <row r="117">
      <c r="A117" s="124" t="inlineStr">
        <is>
          <t>ZDEB01</t>
        </is>
      </c>
      <c r="B117" s="124" t="n">
        <v>2</v>
      </c>
      <c r="C117" s="124" t="inlineStr">
        <is>
          <t>HFB204</t>
        </is>
      </c>
      <c r="D117" s="124" t="inlineStr">
        <is>
          <t>B</t>
        </is>
      </c>
      <c r="E117" s="124" t="inlineStr">
        <is>
          <t>De Beer William Henry</t>
        </is>
      </c>
      <c r="F117" s="125">
        <f>SUMIFS(Investors!$M:$M, Investors!$I:$I, "&lt;=" &amp; 'NSST Print'!$B$3, Investors!$K:$K, "&gt;" &amp; 'NSST Print'!$B$3, Investors!$A:$A, 'Investor Exit List'!A117, Investors!$E:$E, 'Investor Exit List'!C117)</f>
        <v/>
      </c>
      <c r="G117" s="126" t="n">
        <v>44352</v>
      </c>
      <c r="H117" s="124">
        <f>VLOOKUP($C117,Sales!$C:$E,2,FALSE)</f>
        <v/>
      </c>
      <c r="I117" s="124">
        <f>VLOOKUP($C117,Sales!$C:$E,3,FALSE)</f>
        <v/>
      </c>
      <c r="J117" s="126">
        <f>SUMIFS(Sales!$H:$H,Sales!$C:$C,'Investor Exit List'!$C117)</f>
        <v/>
      </c>
      <c r="K117" s="126">
        <f>IF(I117=TRUE,J117,"")</f>
        <v/>
      </c>
      <c r="L117" s="126">
        <f>G117+730</f>
        <v/>
      </c>
      <c r="M117" s="126" t="n">
        <v>45443</v>
      </c>
      <c r="N117" s="127">
        <f>IFERROR(IF(G117&lt;&gt;"",IF(I117=TRUE,0,IF(U117=TRUE,0,L117-M117)),0),0)</f>
        <v/>
      </c>
      <c r="O117" s="127">
        <f>IF(N117&gt;0,IF(N117&lt;=180,N117,0),0)</f>
        <v/>
      </c>
      <c r="P117" s="125">
        <f>IF(AND(N117&lt;90,N117&gt;0),Q117,0)</f>
        <v/>
      </c>
      <c r="Q117" s="125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25">
        <f>IF(AND(H117=TRUE,I117=FALSE),Q117,0)</f>
        <v/>
      </c>
      <c r="S117" s="125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26">
        <f>IF(U117=TRUE,$J117,"")</f>
        <v/>
      </c>
      <c r="U117" s="124" t="b">
        <v>1</v>
      </c>
      <c r="V117" s="125">
        <f>IF(AND(H117=TRUE,OR(K117="",K117&gt;M117)),S117,0)</f>
        <v/>
      </c>
      <c r="W117" s="124" t="n">
        <v>0</v>
      </c>
      <c r="X117" s="124" t="b">
        <v>0</v>
      </c>
      <c r="Y117" s="127">
        <f>IF(H117=FALSE,VLOOKUP($C117,Sales!$C:$F,4,FALSE),1)</f>
        <v/>
      </c>
      <c r="Z117" s="124">
        <f>IF(Y117=0,"Release",IF(AND(L117&lt;J117,Y117=1,H117=FALSE,U117=FALSE,MONTH(L117)&amp;"/"&amp;YEAR(L117)&lt;&gt;MONTH(J117)&amp;"/"&amp;YEAR(J117)),"Release",""))</f>
        <v/>
      </c>
      <c r="AA117" s="128">
        <f>_xlfn.minifs($L:$L,$C:$C,$C117,$F:$F,"&lt;&gt;0")</f>
        <v/>
      </c>
      <c r="AB117" s="128">
        <f>C117&amp;"-"&amp;A117</f>
        <v/>
      </c>
      <c r="AC117" s="128">
        <f>L117</f>
        <v/>
      </c>
    </row>
    <row r="118">
      <c r="A118" s="124" t="inlineStr">
        <is>
          <t>ZDEB01</t>
        </is>
      </c>
      <c r="B118" s="124" t="n">
        <v>3</v>
      </c>
      <c r="C118" s="124" t="inlineStr">
        <is>
          <t>HFB205</t>
        </is>
      </c>
      <c r="D118" s="124" t="inlineStr">
        <is>
          <t>B</t>
        </is>
      </c>
      <c r="E118" s="124" t="inlineStr">
        <is>
          <t>De Beer William Henry</t>
        </is>
      </c>
      <c r="F118" s="125">
        <f>SUMIFS(Investors!$M:$M, Investors!$I:$I, "&lt;=" &amp; 'NSST Print'!$B$3, Investors!$K:$K, "&gt;" &amp; 'NSST Print'!$B$3, Investors!$A:$A, 'Investor Exit List'!A118, Investors!$E:$E, 'Investor Exit List'!C118)</f>
        <v/>
      </c>
      <c r="G118" s="126" t="n">
        <v>44352</v>
      </c>
      <c r="H118" s="124">
        <f>VLOOKUP($C118,Sales!$C:$E,2,FALSE)</f>
        <v/>
      </c>
      <c r="I118" s="124">
        <f>VLOOKUP($C118,Sales!$C:$E,3,FALSE)</f>
        <v/>
      </c>
      <c r="J118" s="126">
        <f>SUMIFS(Sales!$H:$H,Sales!$C:$C,'Investor Exit List'!$C118)</f>
        <v/>
      </c>
      <c r="K118" s="126">
        <f>IF(I118=TRUE,J118,"")</f>
        <v/>
      </c>
      <c r="L118" s="126">
        <f>G118+730</f>
        <v/>
      </c>
      <c r="M118" s="126" t="n">
        <v>45443</v>
      </c>
      <c r="N118" s="127">
        <f>IFERROR(IF(G118&lt;&gt;"",IF(I118=TRUE,0,IF(U118=TRUE,0,L118-M118)),0),0)</f>
        <v/>
      </c>
      <c r="O118" s="127">
        <f>IF(N118&gt;0,IF(N118&lt;=180,N118,0),0)</f>
        <v/>
      </c>
      <c r="P118" s="125">
        <f>IF(AND(N118&lt;90,N118&gt;0),Q118,0)</f>
        <v/>
      </c>
      <c r="Q118" s="125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25">
        <f>IF(AND(H118=TRUE,I118=FALSE),Q118,0)</f>
        <v/>
      </c>
      <c r="S118" s="125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26">
        <f>IF(U118=TRUE,$J118,"")</f>
        <v/>
      </c>
      <c r="U118" s="124" t="b">
        <v>0</v>
      </c>
      <c r="V118" s="125">
        <f>IF(AND(H118=TRUE,OR(K118="",K118&gt;M118)),S118,0)</f>
        <v/>
      </c>
      <c r="W118" s="124" t="n">
        <v>0</v>
      </c>
      <c r="X118" s="124" t="b">
        <v>0</v>
      </c>
      <c r="Y118" s="127">
        <f>IF(H118=FALSE,VLOOKUP($C118,Sales!$C:$F,4,FALSE),1)</f>
        <v/>
      </c>
      <c r="Z118" s="124">
        <f>IF(Y118=0,"Release",IF(AND(L118&lt;J118,Y118=1,H118=FALSE,U118=FALSE,MONTH(L118)&amp;"/"&amp;YEAR(L118)&lt;&gt;MONTH(J118)&amp;"/"&amp;YEAR(J118)),"Release",""))</f>
        <v/>
      </c>
      <c r="AA118" s="128">
        <f>_xlfn.minifs($L:$L,$C:$C,$C118,$F:$F,"&lt;&gt;0")</f>
        <v/>
      </c>
      <c r="AB118" s="128">
        <f>C118&amp;"-"&amp;A118</f>
        <v/>
      </c>
      <c r="AC118" s="128">
        <f>L118</f>
        <v/>
      </c>
    </row>
    <row r="119">
      <c r="A119" s="124" t="inlineStr">
        <is>
          <t>ZDEL01</t>
        </is>
      </c>
      <c r="B119" s="124" t="n">
        <v>1</v>
      </c>
      <c r="C119" s="124" t="inlineStr">
        <is>
          <t>HFB206</t>
        </is>
      </c>
      <c r="D119" s="124" t="inlineStr">
        <is>
          <t>B</t>
        </is>
      </c>
      <c r="E119" s="124" t="inlineStr">
        <is>
          <t>Jansen van Vuuren Pieter</t>
        </is>
      </c>
      <c r="F119" s="125">
        <f>SUMIFS(Investors!$M:$M, Investors!$I:$I, "&lt;=" &amp; 'NSST Print'!$B$3, Investors!$K:$K, "&gt;" &amp; 'NSST Print'!$B$3, Investors!$A:$A, 'Investor Exit List'!A119, Investors!$E:$E, 'Investor Exit List'!C119)</f>
        <v/>
      </c>
      <c r="G119" s="126" t="n">
        <v>44618</v>
      </c>
      <c r="H119" s="124">
        <f>VLOOKUP($C119,Sales!$C:$E,2,FALSE)</f>
        <v/>
      </c>
      <c r="I119" s="124">
        <f>VLOOKUP($C119,Sales!$C:$E,3,FALSE)</f>
        <v/>
      </c>
      <c r="J119" s="126">
        <f>SUMIFS(Sales!$H:$H,Sales!$C:$C,'Investor Exit List'!$C119)</f>
        <v/>
      </c>
      <c r="K119" s="126">
        <f>IF(I119=TRUE,J119,"")</f>
        <v/>
      </c>
      <c r="L119" s="126">
        <f>G119+730</f>
        <v/>
      </c>
      <c r="M119" s="126" t="n">
        <v>45443</v>
      </c>
      <c r="N119" s="127">
        <f>IFERROR(IF(G119&lt;&gt;"",IF(I119=TRUE,0,IF(U119=TRUE,0,L119-M119)),0),0)</f>
        <v/>
      </c>
      <c r="O119" s="127">
        <f>IF(N119&gt;0,IF(N119&lt;=180,N119,0),0)</f>
        <v/>
      </c>
      <c r="P119" s="125">
        <f>IF(AND(N119&lt;90,N119&gt;0),Q119,0)</f>
        <v/>
      </c>
      <c r="Q119" s="125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25">
        <f>IF(AND(H119=TRUE,I119=FALSE),Q119,0)</f>
        <v/>
      </c>
      <c r="S119" s="125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26">
        <f>IF(U119=TRUE,$J119,"")</f>
        <v/>
      </c>
      <c r="U119" s="124" t="b">
        <v>1</v>
      </c>
      <c r="V119" s="125">
        <f>IF(AND(H119=TRUE,OR(K119="",K119&gt;M119)),S119,0)</f>
        <v/>
      </c>
      <c r="W119" s="124" t="n">
        <v>0</v>
      </c>
      <c r="X119" s="124" t="b">
        <v>0</v>
      </c>
      <c r="Y119" s="127">
        <f>IF(H119=FALSE,VLOOKUP($C119,Sales!$C:$F,4,FALSE),1)</f>
        <v/>
      </c>
      <c r="Z119" s="124">
        <f>IF(Y119=0,"Release",IF(AND(L119&lt;J119,Y119=1,H119=FALSE,U119=FALSE,MONTH(L119)&amp;"/"&amp;YEAR(L119)&lt;&gt;MONTH(J119)&amp;"/"&amp;YEAR(J119)),"Release",""))</f>
        <v/>
      </c>
      <c r="AA119" s="128">
        <f>_xlfn.minifs($L:$L,$C:$C,$C119,$F:$F,"&lt;&gt;0")</f>
        <v/>
      </c>
      <c r="AB119" s="128">
        <f>C119&amp;"-"&amp;A119</f>
        <v/>
      </c>
      <c r="AC119" s="128">
        <f>L119</f>
        <v/>
      </c>
    </row>
    <row r="120">
      <c r="A120" s="124" t="inlineStr">
        <is>
          <t>ZDAD01</t>
        </is>
      </c>
      <c r="B120" s="124" t="n">
        <v>2</v>
      </c>
      <c r="C120" s="124" t="inlineStr">
        <is>
          <t>HFB207</t>
        </is>
      </c>
      <c r="D120" s="124" t="inlineStr">
        <is>
          <t>B</t>
        </is>
      </c>
      <c r="E120" s="124" t="inlineStr">
        <is>
          <t>Dadoo Feroz</t>
        </is>
      </c>
      <c r="F120" s="125">
        <f>SUMIFS(Investors!$M:$M, Investors!$I:$I, "&lt;=" &amp; 'NSST Print'!$B$3, Investors!$K:$K, "&gt;" &amp; 'NSST Print'!$B$3, Investors!$A:$A, 'Investor Exit List'!A120, Investors!$E:$E, 'Investor Exit List'!C120)</f>
        <v/>
      </c>
      <c r="G120" s="126" t="n">
        <v>44352</v>
      </c>
      <c r="H120" s="124">
        <f>VLOOKUP($C120,Sales!$C:$E,2,FALSE)</f>
        <v/>
      </c>
      <c r="I120" s="124">
        <f>VLOOKUP($C120,Sales!$C:$E,3,FALSE)</f>
        <v/>
      </c>
      <c r="J120" s="126">
        <f>SUMIFS(Sales!$H:$H,Sales!$C:$C,'Investor Exit List'!$C120)</f>
        <v/>
      </c>
      <c r="K120" s="126">
        <f>IF(I120=TRUE,J120,"")</f>
        <v/>
      </c>
      <c r="L120" s="126">
        <f>G120+730</f>
        <v/>
      </c>
      <c r="M120" s="126" t="n">
        <v>45443</v>
      </c>
      <c r="N120" s="127">
        <f>IFERROR(IF(G120&lt;&gt;"",IF(I120=TRUE,0,IF(U120=TRUE,0,L120-M120)),0),0)</f>
        <v/>
      </c>
      <c r="O120" s="127">
        <f>IF(N120&gt;0,IF(N120&lt;=180,N120,0),0)</f>
        <v/>
      </c>
      <c r="P120" s="125">
        <f>IF(AND(N120&lt;90,N120&gt;0),Q120,0)</f>
        <v/>
      </c>
      <c r="Q120" s="125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25">
        <f>IF(AND(H120=TRUE,I120=FALSE),Q120,0)</f>
        <v/>
      </c>
      <c r="S120" s="125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26">
        <f>IF(U120=TRUE,$J120,"")</f>
        <v/>
      </c>
      <c r="U120" s="124" t="b">
        <v>1</v>
      </c>
      <c r="V120" s="125">
        <f>IF(AND(H120=TRUE,OR(K120="",K120&gt;M120)),S120,0)</f>
        <v/>
      </c>
      <c r="W120" s="124" t="n">
        <v>0</v>
      </c>
      <c r="X120" s="124" t="b">
        <v>0</v>
      </c>
      <c r="Y120" s="127">
        <f>IF(H120=FALSE,VLOOKUP($C120,Sales!$C:$F,4,FALSE),1)</f>
        <v/>
      </c>
      <c r="Z120" s="124">
        <f>IF(Y120=0,"Release",IF(AND(L120&lt;J120,Y120=1,H120=FALSE,U120=FALSE,MONTH(L120)&amp;"/"&amp;YEAR(L120)&lt;&gt;MONTH(J120)&amp;"/"&amp;YEAR(J120)),"Release",""))</f>
        <v/>
      </c>
      <c r="AA120" s="128">
        <f>_xlfn.minifs($L:$L,$C:$C,$C120,$F:$F,"&lt;&gt;0")</f>
        <v/>
      </c>
      <c r="AB120" s="128">
        <f>C120&amp;"-"&amp;A120</f>
        <v/>
      </c>
      <c r="AC120" s="128">
        <f>L120</f>
        <v/>
      </c>
    </row>
    <row r="121">
      <c r="A121" s="124" t="inlineStr">
        <is>
          <t>ZGIL01</t>
        </is>
      </c>
      <c r="B121" s="124" t="n">
        <v>2</v>
      </c>
      <c r="C121" s="124" t="inlineStr">
        <is>
          <t>HFB207</t>
        </is>
      </c>
      <c r="D121" s="124" t="inlineStr">
        <is>
          <t>B</t>
        </is>
      </c>
      <c r="E121" s="124" t="inlineStr">
        <is>
          <t>Gildenhuys Estelle Maria</t>
        </is>
      </c>
      <c r="F121" s="125">
        <f>SUMIFS(Investors!$M:$M, Investors!$I:$I, "&lt;=" &amp; 'NSST Print'!$B$3, Investors!$K:$K, "&gt;" &amp; 'NSST Print'!$B$3, Investors!$A:$A, 'Investor Exit List'!A121, Investors!$E:$E, 'Investor Exit List'!C121)</f>
        <v/>
      </c>
      <c r="G121" s="126" t="n">
        <v>44352</v>
      </c>
      <c r="H121" s="124">
        <f>VLOOKUP($C121,Sales!$C:$E,2,FALSE)</f>
        <v/>
      </c>
      <c r="I121" s="124">
        <f>VLOOKUP($C121,Sales!$C:$E,3,FALSE)</f>
        <v/>
      </c>
      <c r="J121" s="126">
        <f>SUMIFS(Sales!$H:$H,Sales!$C:$C,'Investor Exit List'!$C121)</f>
        <v/>
      </c>
      <c r="K121" s="126">
        <f>IF(I121=TRUE,J121,"")</f>
        <v/>
      </c>
      <c r="L121" s="126">
        <f>G121+730</f>
        <v/>
      </c>
      <c r="M121" s="126" t="n">
        <v>45443</v>
      </c>
      <c r="N121" s="127">
        <f>IFERROR(IF(G121&lt;&gt;"",IF(I121=TRUE,0,IF(U121=TRUE,0,L121-M121)),0),0)</f>
        <v/>
      </c>
      <c r="O121" s="127">
        <f>IF(N121&gt;0,IF(N121&lt;=180,N121,0),0)</f>
        <v/>
      </c>
      <c r="P121" s="125">
        <f>IF(AND(N121&lt;90,N121&gt;0),Q121,0)</f>
        <v/>
      </c>
      <c r="Q121" s="125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25">
        <f>IF(AND(H121=TRUE,I121=FALSE),Q121,0)</f>
        <v/>
      </c>
      <c r="S121" s="125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26">
        <f>IF(U121=TRUE,$J121,"")</f>
        <v/>
      </c>
      <c r="U121" s="124" t="b">
        <v>1</v>
      </c>
      <c r="V121" s="125">
        <f>IF(AND(H121=TRUE,OR(K121="",K121&gt;M121)),S121,0)</f>
        <v/>
      </c>
      <c r="W121" s="124" t="n">
        <v>0</v>
      </c>
      <c r="X121" s="124" t="b">
        <v>0</v>
      </c>
      <c r="Y121" s="127">
        <f>IF(H121=FALSE,VLOOKUP($C121,Sales!$C:$F,4,FALSE),1)</f>
        <v/>
      </c>
      <c r="Z121" s="124">
        <f>IF(Y121=0,"Release",IF(AND(L121&lt;J121,Y121=1,H121=FALSE,U121=FALSE,MONTH(L121)&amp;"/"&amp;YEAR(L121)&lt;&gt;MONTH(J121)&amp;"/"&amp;YEAR(J121)),"Release",""))</f>
        <v/>
      </c>
      <c r="AA121" s="128">
        <f>_xlfn.minifs($L:$L,$C:$C,$C121,$F:$F,"&lt;&gt;0")</f>
        <v/>
      </c>
      <c r="AB121" s="128">
        <f>C121&amp;"-"&amp;A121</f>
        <v/>
      </c>
      <c r="AC121" s="128">
        <f>L121</f>
        <v/>
      </c>
    </row>
    <row r="122">
      <c r="A122" s="124" t="inlineStr">
        <is>
          <t>ZFLA01</t>
        </is>
      </c>
      <c r="B122" s="124" t="n">
        <v>1</v>
      </c>
      <c r="C122" s="124" t="inlineStr">
        <is>
          <t>HFB208</t>
        </is>
      </c>
      <c r="D122" s="124" t="inlineStr">
        <is>
          <t>B</t>
        </is>
      </c>
      <c r="E122" s="124" t="inlineStr">
        <is>
          <t>Flamengo Jose Manuel Rezende</t>
        </is>
      </c>
      <c r="F122" s="125">
        <f>SUMIFS(Investors!$M:$M, Investors!$I:$I, "&lt;=" &amp; 'NSST Print'!$B$3, Investors!$K:$K, "&gt;" &amp; 'NSST Print'!$B$3, Investors!$A:$A, 'Investor Exit List'!A122, Investors!$E:$E, 'Investor Exit List'!C122)</f>
        <v/>
      </c>
      <c r="G122" s="126" t="n">
        <v>44840</v>
      </c>
      <c r="H122" s="124">
        <f>VLOOKUP($C122,Sales!$C:$E,2,FALSE)</f>
        <v/>
      </c>
      <c r="I122" s="124">
        <f>VLOOKUP($C122,Sales!$C:$E,3,FALSE)</f>
        <v/>
      </c>
      <c r="J122" s="126">
        <f>SUMIFS(Sales!$H:$H,Sales!$C:$C,'Investor Exit List'!$C122)</f>
        <v/>
      </c>
      <c r="K122" s="126">
        <f>IF(I122=TRUE,J122,"")</f>
        <v/>
      </c>
      <c r="L122" s="126">
        <f>G122+730</f>
        <v/>
      </c>
      <c r="M122" s="126" t="n">
        <v>45443</v>
      </c>
      <c r="N122" s="127">
        <f>IFERROR(IF(G122&lt;&gt;"",IF(I122=TRUE,0,IF(U122=TRUE,0,L122-M122)),0),0)</f>
        <v/>
      </c>
      <c r="O122" s="127">
        <f>IF(N122&gt;0,IF(N122&lt;=180,N122,0),0)</f>
        <v/>
      </c>
      <c r="P122" s="125">
        <f>IF(AND(N122&lt;90,N122&gt;0),Q122,0)</f>
        <v/>
      </c>
      <c r="Q122" s="125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25">
        <f>IF(AND(H122=TRUE,I122=FALSE),Q122,0)</f>
        <v/>
      </c>
      <c r="S122" s="125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26">
        <f>IF(U122=TRUE,$J122,"")</f>
        <v/>
      </c>
      <c r="U122" s="124" t="b">
        <v>0</v>
      </c>
      <c r="V122" s="125">
        <f>IF(AND(H122=TRUE,OR(K122="",K122&gt;M122)),S122,0)</f>
        <v/>
      </c>
      <c r="W122" s="124" t="n">
        <v>0</v>
      </c>
      <c r="X122" s="124" t="b">
        <v>0</v>
      </c>
      <c r="Y122" s="127">
        <f>IF(H122=FALSE,VLOOKUP($C122,Sales!$C:$F,4,FALSE),1)</f>
        <v/>
      </c>
      <c r="Z122" s="124">
        <f>IF(Y122=0,"Release",IF(AND(L122&lt;J122,Y122=1,H122=FALSE,U122=FALSE,MONTH(L122)&amp;"/"&amp;YEAR(L122)&lt;&gt;MONTH(J122)&amp;"/"&amp;YEAR(J122)),"Release",""))</f>
        <v/>
      </c>
      <c r="AA122" s="128">
        <f>_xlfn.minifs($L:$L,$C:$C,$C122,$F:$F,"&lt;&gt;0")</f>
        <v/>
      </c>
      <c r="AB122" s="128">
        <f>C122&amp;"-"&amp;A122</f>
        <v/>
      </c>
      <c r="AC122" s="128">
        <f>L122</f>
        <v/>
      </c>
    </row>
    <row r="123">
      <c r="A123" s="124" t="inlineStr">
        <is>
          <t>ZHAA01</t>
        </is>
      </c>
      <c r="B123" s="124" t="n">
        <v>1</v>
      </c>
      <c r="C123" s="124" t="inlineStr">
        <is>
          <t>HFB208</t>
        </is>
      </c>
      <c r="D123" s="124" t="inlineStr">
        <is>
          <t>B</t>
        </is>
      </c>
      <c r="E123" s="124" t="inlineStr">
        <is>
          <t>Haasbroek Maresia</t>
        </is>
      </c>
      <c r="F123" s="125">
        <f>SUMIFS(Investors!$M:$M, Investors!$I:$I, "&lt;=" &amp; 'NSST Print'!$B$3, Investors!$K:$K, "&gt;" &amp; 'NSST Print'!$B$3, Investors!$A:$A, 'Investor Exit List'!A123, Investors!$E:$E, 'Investor Exit List'!C123)</f>
        <v/>
      </c>
      <c r="G123" s="126" t="n">
        <v>44352</v>
      </c>
      <c r="H123" s="124">
        <f>VLOOKUP($C123,Sales!$C:$E,2,FALSE)</f>
        <v/>
      </c>
      <c r="I123" s="124">
        <f>VLOOKUP($C123,Sales!$C:$E,3,FALSE)</f>
        <v/>
      </c>
      <c r="J123" s="126">
        <f>SUMIFS(Sales!$H:$H,Sales!$C:$C,'Investor Exit List'!$C123)</f>
        <v/>
      </c>
      <c r="K123" s="126">
        <f>IF(I123=TRUE,J123,"")</f>
        <v/>
      </c>
      <c r="L123" s="126">
        <f>G123+730</f>
        <v/>
      </c>
      <c r="M123" s="126" t="n">
        <v>45443</v>
      </c>
      <c r="N123" s="127">
        <f>IFERROR(IF(G123&lt;&gt;"",IF(I123=TRUE,0,IF(U123=TRUE,0,L123-M123)),0),0)</f>
        <v/>
      </c>
      <c r="O123" s="127">
        <f>IF(N123&gt;0,IF(N123&lt;=180,N123,0),0)</f>
        <v/>
      </c>
      <c r="P123" s="125">
        <f>IF(AND(N123&lt;90,N123&gt;0),Q123,0)</f>
        <v/>
      </c>
      <c r="Q123" s="125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25">
        <f>IF(AND(H123=TRUE,I123=FALSE),Q123,0)</f>
        <v/>
      </c>
      <c r="S123" s="125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26">
        <f>IF(U123=TRUE,$J123,"")</f>
        <v/>
      </c>
      <c r="U123" s="124" t="b">
        <v>0</v>
      </c>
      <c r="V123" s="125">
        <f>IF(AND(H123=TRUE,OR(K123="",K123&gt;M123)),S123,0)</f>
        <v/>
      </c>
      <c r="W123" s="124" t="n">
        <v>0</v>
      </c>
      <c r="X123" s="124" t="b">
        <v>0</v>
      </c>
      <c r="Y123" s="127">
        <f>IF(H123=FALSE,VLOOKUP($C123,Sales!$C:$F,4,FALSE),1)</f>
        <v/>
      </c>
      <c r="Z123" s="124">
        <f>IF(Y123=0,"Release",IF(AND(L123&lt;J123,Y123=1,H123=FALSE,U123=FALSE,MONTH(L123)&amp;"/"&amp;YEAR(L123)&lt;&gt;MONTH(J123)&amp;"/"&amp;YEAR(J123)),"Release",""))</f>
        <v/>
      </c>
      <c r="AA123" s="128">
        <f>_xlfn.minifs($L:$L,$C:$C,$C123,$F:$F,"&lt;&gt;0")</f>
        <v/>
      </c>
      <c r="AB123" s="128">
        <f>C123&amp;"-"&amp;A123</f>
        <v/>
      </c>
      <c r="AC123" s="128">
        <f>L123</f>
        <v/>
      </c>
    </row>
    <row r="124">
      <c r="A124" s="124" t="inlineStr">
        <is>
          <t>ZDEB01</t>
        </is>
      </c>
      <c r="B124" s="124" t="n">
        <v>4</v>
      </c>
      <c r="C124" s="124" t="inlineStr">
        <is>
          <t>HFB209</t>
        </is>
      </c>
      <c r="D124" s="124" t="inlineStr">
        <is>
          <t>B</t>
        </is>
      </c>
      <c r="E124" s="124" t="inlineStr">
        <is>
          <t>De Beer William Henry</t>
        </is>
      </c>
      <c r="F124" s="125">
        <f>SUMIFS(Investors!$M:$M, Investors!$I:$I, "&lt;=" &amp; 'NSST Print'!$B$3, Investors!$K:$K, "&gt;" &amp; 'NSST Print'!$B$3, Investors!$A:$A, 'Investor Exit List'!A124, Investors!$E:$E, 'Investor Exit List'!C124)</f>
        <v/>
      </c>
      <c r="G124" s="126" t="n">
        <v>44352</v>
      </c>
      <c r="H124" s="124">
        <f>VLOOKUP($C124,Sales!$C:$E,2,FALSE)</f>
        <v/>
      </c>
      <c r="I124" s="124">
        <f>VLOOKUP($C124,Sales!$C:$E,3,FALSE)</f>
        <v/>
      </c>
      <c r="J124" s="126">
        <f>SUMIFS(Sales!$H:$H,Sales!$C:$C,'Investor Exit List'!$C124)</f>
        <v/>
      </c>
      <c r="K124" s="126">
        <f>IF(I124=TRUE,J124,"")</f>
        <v/>
      </c>
      <c r="L124" s="126">
        <f>G124+730</f>
        <v/>
      </c>
      <c r="M124" s="126" t="n">
        <v>45443</v>
      </c>
      <c r="N124" s="127">
        <f>IFERROR(IF(G124&lt;&gt;"",IF(I124=TRUE,0,IF(U124=TRUE,0,L124-M124)),0),0)</f>
        <v/>
      </c>
      <c r="O124" s="127">
        <f>IF(N124&gt;0,IF(N124&lt;=180,N124,0),0)</f>
        <v/>
      </c>
      <c r="P124" s="125">
        <f>IF(AND(N124&lt;90,N124&gt;0),Q124,0)</f>
        <v/>
      </c>
      <c r="Q124" s="125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25">
        <f>IF(AND(H124=TRUE,I124=FALSE),Q124,0)</f>
        <v/>
      </c>
      <c r="S124" s="125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26">
        <f>IF(U124=TRUE,$J124,"")</f>
        <v/>
      </c>
      <c r="U124" s="124" t="b">
        <v>1</v>
      </c>
      <c r="V124" s="125">
        <f>IF(AND(H124=TRUE,OR(K124="",K124&gt;M124)),S124,0)</f>
        <v/>
      </c>
      <c r="W124" s="124" t="n">
        <v>0</v>
      </c>
      <c r="X124" s="124" t="b">
        <v>0</v>
      </c>
      <c r="Y124" s="127">
        <f>IF(H124=FALSE,VLOOKUP($C124,Sales!$C:$F,4,FALSE),1)</f>
        <v/>
      </c>
      <c r="Z124" s="124">
        <f>IF(Y124=0,"Release",IF(AND(L124&lt;J124,Y124=1,H124=FALSE,U124=FALSE,MONTH(L124)&amp;"/"&amp;YEAR(L124)&lt;&gt;MONTH(J124)&amp;"/"&amp;YEAR(J124)),"Release",""))</f>
        <v/>
      </c>
      <c r="AA124" s="128">
        <f>_xlfn.minifs($L:$L,$C:$C,$C124,$F:$F,"&lt;&gt;0")</f>
        <v/>
      </c>
      <c r="AB124" s="128">
        <f>C124&amp;"-"&amp;A124</f>
        <v/>
      </c>
      <c r="AC124" s="128">
        <f>L124</f>
        <v/>
      </c>
    </row>
    <row r="125">
      <c r="A125" s="124" t="inlineStr">
        <is>
          <t>ZEDE01</t>
        </is>
      </c>
      <c r="B125" s="124" t="n">
        <v>1</v>
      </c>
      <c r="C125" s="124" t="inlineStr">
        <is>
          <t>HFB210</t>
        </is>
      </c>
      <c r="D125" s="124" t="inlineStr">
        <is>
          <t>B</t>
        </is>
      </c>
      <c r="E125" s="124" t="inlineStr">
        <is>
          <t>van Eden JP</t>
        </is>
      </c>
      <c r="F125" s="125">
        <f>SUMIFS(Investors!$M:$M, Investors!$I:$I, "&lt;=" &amp; 'NSST Print'!$B$3, Investors!$K:$K, "&gt;" &amp; 'NSST Print'!$B$3, Investors!$A:$A, 'Investor Exit List'!A125, Investors!$E:$E, 'Investor Exit List'!C125)</f>
        <v/>
      </c>
      <c r="G125" s="126" t="n">
        <v>44352</v>
      </c>
      <c r="H125" s="124">
        <f>VLOOKUP($C125,Sales!$C:$E,2,FALSE)</f>
        <v/>
      </c>
      <c r="I125" s="124">
        <f>VLOOKUP($C125,Sales!$C:$E,3,FALSE)</f>
        <v/>
      </c>
      <c r="J125" s="126">
        <f>SUMIFS(Sales!$H:$H,Sales!$C:$C,'Investor Exit List'!$C125)</f>
        <v/>
      </c>
      <c r="K125" s="126">
        <f>IF(I125=TRUE,J125,"")</f>
        <v/>
      </c>
      <c r="L125" s="126">
        <f>G125+730</f>
        <v/>
      </c>
      <c r="M125" s="126" t="n">
        <v>45443</v>
      </c>
      <c r="N125" s="127">
        <f>IFERROR(IF(G125&lt;&gt;"",IF(I125=TRUE,0,IF(U125=TRUE,0,L125-M125)),0),0)</f>
        <v/>
      </c>
      <c r="O125" s="127">
        <f>IF(N125&gt;0,IF(N125&lt;=180,N125,0),0)</f>
        <v/>
      </c>
      <c r="P125" s="125">
        <f>IF(AND(N125&lt;90,N125&gt;0),Q125,0)</f>
        <v/>
      </c>
      <c r="Q125" s="125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25">
        <f>IF(AND(H125=TRUE,I125=FALSE),Q125,0)</f>
        <v/>
      </c>
      <c r="S125" s="125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26">
        <f>IF(U125=TRUE,$J125,"")</f>
        <v/>
      </c>
      <c r="U125" s="124" t="b">
        <v>1</v>
      </c>
      <c r="V125" s="125">
        <f>IF(AND(H125=TRUE,OR(K125="",K125&gt;M125)),S125,0)</f>
        <v/>
      </c>
      <c r="W125" s="124" t="n">
        <v>0</v>
      </c>
      <c r="X125" s="124" t="b">
        <v>0</v>
      </c>
      <c r="Y125" s="127">
        <f>IF(H125=FALSE,VLOOKUP($C125,Sales!$C:$F,4,FALSE),1)</f>
        <v/>
      </c>
      <c r="Z125" s="124">
        <f>IF(Y125=0,"Release",IF(AND(L125&lt;J125,Y125=1,H125=FALSE,U125=FALSE,MONTH(L125)&amp;"/"&amp;YEAR(L125)&lt;&gt;MONTH(J125)&amp;"/"&amp;YEAR(J125)),"Release",""))</f>
        <v/>
      </c>
      <c r="AA125" s="128">
        <f>_xlfn.minifs($L:$L,$C:$C,$C125,$F:$F,"&lt;&gt;0")</f>
        <v/>
      </c>
      <c r="AB125" s="128">
        <f>C125&amp;"-"&amp;A125</f>
        <v/>
      </c>
      <c r="AC125" s="128">
        <f>L125</f>
        <v/>
      </c>
    </row>
    <row r="126">
      <c r="A126" s="124" t="inlineStr">
        <is>
          <t>ZJAN02</t>
        </is>
      </c>
      <c r="B126" s="124" t="n">
        <v>1</v>
      </c>
      <c r="C126" s="124" t="inlineStr">
        <is>
          <t>HFB210</t>
        </is>
      </c>
      <c r="D126" s="124" t="inlineStr">
        <is>
          <t>B</t>
        </is>
      </c>
      <c r="E126" s="124" t="inlineStr">
        <is>
          <t>Jansen van Vuuren Lynne</t>
        </is>
      </c>
      <c r="F126" s="125">
        <f>SUMIFS(Investors!$M:$M, Investors!$I:$I, "&lt;=" &amp; 'NSST Print'!$B$3, Investors!$K:$K, "&gt;" &amp; 'NSST Print'!$B$3, Investors!$A:$A, 'Investor Exit List'!A126, Investors!$E:$E, 'Investor Exit List'!C126)</f>
        <v/>
      </c>
      <c r="G126" s="126" t="n">
        <v>44664</v>
      </c>
      <c r="H126" s="124">
        <f>VLOOKUP($C126,Sales!$C:$E,2,FALSE)</f>
        <v/>
      </c>
      <c r="I126" s="124">
        <f>VLOOKUP($C126,Sales!$C:$E,3,FALSE)</f>
        <v/>
      </c>
      <c r="J126" s="126">
        <f>SUMIFS(Sales!$H:$H,Sales!$C:$C,'Investor Exit List'!$C126)</f>
        <v/>
      </c>
      <c r="K126" s="126">
        <f>IF(I126=TRUE,J126,"")</f>
        <v/>
      </c>
      <c r="L126" s="126">
        <f>G126+730</f>
        <v/>
      </c>
      <c r="M126" s="126" t="n">
        <v>45443</v>
      </c>
      <c r="N126" s="127">
        <f>IFERROR(IF(G126&lt;&gt;"",IF(I126=TRUE,0,IF(U126=TRUE,0,L126-M126)),0),0)</f>
        <v/>
      </c>
      <c r="O126" s="127">
        <f>IF(N126&gt;0,IF(N126&lt;=180,N126,0),0)</f>
        <v/>
      </c>
      <c r="P126" s="125">
        <f>IF(AND(N126&lt;90,N126&gt;0),Q126,0)</f>
        <v/>
      </c>
      <c r="Q126" s="125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25">
        <f>IF(AND(H126=TRUE,I126=FALSE),Q126,0)</f>
        <v/>
      </c>
      <c r="S126" s="125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26">
        <f>IF(U126=TRUE,$J126,"")</f>
        <v/>
      </c>
      <c r="U126" s="124" t="b">
        <v>1</v>
      </c>
      <c r="V126" s="125">
        <f>IF(AND(H126=TRUE,OR(K126="",K126&gt;M126)),S126,0)</f>
        <v/>
      </c>
      <c r="W126" s="124" t="n">
        <v>0</v>
      </c>
      <c r="X126" s="124" t="b">
        <v>0</v>
      </c>
      <c r="Y126" s="127">
        <f>IF(H126=FALSE,VLOOKUP($C126,Sales!$C:$F,4,FALSE),1)</f>
        <v/>
      </c>
      <c r="Z126" s="124">
        <f>IF(Y126=0,"Release",IF(AND(L126&lt;J126,Y126=1,H126=FALSE,U126=FALSE,MONTH(L126)&amp;"/"&amp;YEAR(L126)&lt;&gt;MONTH(J126)&amp;"/"&amp;YEAR(J126)),"Release",""))</f>
        <v/>
      </c>
      <c r="AA126" s="128">
        <f>_xlfn.minifs($L:$L,$C:$C,$C126,$F:$F,"&lt;&gt;0")</f>
        <v/>
      </c>
      <c r="AB126" s="128">
        <f>C126&amp;"-"&amp;A126</f>
        <v/>
      </c>
      <c r="AC126" s="128">
        <f>L126</f>
        <v/>
      </c>
    </row>
    <row r="127">
      <c r="A127" s="124" t="inlineStr">
        <is>
          <t>ZMBA01</t>
        </is>
      </c>
      <c r="B127" s="124" t="n">
        <v>1</v>
      </c>
      <c r="C127" s="124" t="inlineStr">
        <is>
          <t>HFB210</t>
        </is>
      </c>
      <c r="D127" s="124" t="inlineStr">
        <is>
          <t>B</t>
        </is>
      </c>
      <c r="E127" s="124" t="inlineStr">
        <is>
          <t>Mbatha Vincent Mogoane</t>
        </is>
      </c>
      <c r="F127" s="125">
        <f>SUMIFS(Investors!$M:$M, Investors!$I:$I, "&lt;=" &amp; 'NSST Print'!$B$3, Investors!$K:$K, "&gt;" &amp; 'NSST Print'!$B$3, Investors!$A:$A, 'Investor Exit List'!A127, Investors!$E:$E, 'Investor Exit List'!C127)</f>
        <v/>
      </c>
      <c r="G127" s="126" t="n">
        <v>44618</v>
      </c>
      <c r="H127" s="124">
        <f>VLOOKUP($C127,Sales!$C:$E,2,FALSE)</f>
        <v/>
      </c>
      <c r="I127" s="124">
        <f>VLOOKUP($C127,Sales!$C:$E,3,FALSE)</f>
        <v/>
      </c>
      <c r="J127" s="126">
        <f>SUMIFS(Sales!$H:$H,Sales!$C:$C,'Investor Exit List'!$C127)</f>
        <v/>
      </c>
      <c r="K127" s="126">
        <f>IF(I127=TRUE,J127,"")</f>
        <v/>
      </c>
      <c r="L127" s="126">
        <f>G127+730</f>
        <v/>
      </c>
      <c r="M127" s="126" t="n">
        <v>45443</v>
      </c>
      <c r="N127" s="127">
        <f>IFERROR(IF(G127&lt;&gt;"",IF(I127=TRUE,0,IF(U127=TRUE,0,L127-M127)),0),0)</f>
        <v/>
      </c>
      <c r="O127" s="127">
        <f>IF(N127&gt;0,IF(N127&lt;=180,N127,0),0)</f>
        <v/>
      </c>
      <c r="P127" s="125">
        <f>IF(AND(N127&lt;90,N127&gt;0),Q127,0)</f>
        <v/>
      </c>
      <c r="Q127" s="125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25">
        <f>IF(AND(H127=TRUE,I127=FALSE),Q127,0)</f>
        <v/>
      </c>
      <c r="S127" s="125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26">
        <f>IF(U127=TRUE,$J127,"")</f>
        <v/>
      </c>
      <c r="U127" s="124" t="b">
        <v>1</v>
      </c>
      <c r="V127" s="125">
        <f>IF(AND(H127=TRUE,OR(K127="",K127&gt;M127)),S127,0)</f>
        <v/>
      </c>
      <c r="W127" s="124" t="n">
        <v>0</v>
      </c>
      <c r="X127" s="124" t="b">
        <v>0</v>
      </c>
      <c r="Y127" s="127">
        <f>IF(H127=FALSE,VLOOKUP($C127,Sales!$C:$F,4,FALSE),1)</f>
        <v/>
      </c>
      <c r="Z127" s="124">
        <f>IF(Y127=0,"Release",IF(AND(L127&lt;J127,Y127=1,H127=FALSE,U127=FALSE,MONTH(L127)&amp;"/"&amp;YEAR(L127)&lt;&gt;MONTH(J127)&amp;"/"&amp;YEAR(J127)),"Release",""))</f>
        <v/>
      </c>
      <c r="AA127" s="128">
        <f>_xlfn.minifs($L:$L,$C:$C,$C127,$F:$F,"&lt;&gt;0")</f>
        <v/>
      </c>
      <c r="AB127" s="128">
        <f>C127&amp;"-"&amp;A127</f>
        <v/>
      </c>
      <c r="AC127" s="128">
        <f>L127</f>
        <v/>
      </c>
    </row>
    <row r="128">
      <c r="A128" s="124" t="inlineStr">
        <is>
          <t>ZAFR01</t>
        </is>
      </c>
      <c r="B128" s="124" t="n">
        <v>1</v>
      </c>
      <c r="C128" s="124" t="inlineStr">
        <is>
          <t>HFB211</t>
        </is>
      </c>
      <c r="D128" s="124" t="inlineStr">
        <is>
          <t>B</t>
        </is>
      </c>
      <c r="E128" s="124" t="inlineStr">
        <is>
          <t>Zylstra John Robert</t>
        </is>
      </c>
      <c r="F128" s="125">
        <f>SUMIFS(Investors!$M:$M, Investors!$I:$I, "&lt;=" &amp; 'NSST Print'!$B$3, Investors!$K:$K, "&gt;" &amp; 'NSST Print'!$B$3, Investors!$A:$A, 'Investor Exit List'!A128, Investors!$E:$E, 'Investor Exit List'!C128)</f>
        <v/>
      </c>
      <c r="G128" s="126" t="n">
        <v>44352</v>
      </c>
      <c r="H128" s="124">
        <f>VLOOKUP($C128,Sales!$C:$E,2,FALSE)</f>
        <v/>
      </c>
      <c r="I128" s="124">
        <f>VLOOKUP($C128,Sales!$C:$E,3,FALSE)</f>
        <v/>
      </c>
      <c r="J128" s="126">
        <f>SUMIFS(Sales!$H:$H,Sales!$C:$C,'Investor Exit List'!$C128)</f>
        <v/>
      </c>
      <c r="K128" s="126">
        <f>IF(I128=TRUE,J128,"")</f>
        <v/>
      </c>
      <c r="L128" s="126">
        <f>G128+730</f>
        <v/>
      </c>
      <c r="M128" s="126" t="n">
        <v>45443</v>
      </c>
      <c r="N128" s="127">
        <f>IFERROR(IF(G128&lt;&gt;"",IF(I128=TRUE,0,IF(U128=TRUE,0,L128-M128)),0),0)</f>
        <v/>
      </c>
      <c r="O128" s="127">
        <f>IF(N128&gt;0,IF(N128&lt;=180,N128,0),0)</f>
        <v/>
      </c>
      <c r="P128" s="125">
        <f>IF(AND(N128&lt;90,N128&gt;0),Q128,0)</f>
        <v/>
      </c>
      <c r="Q128" s="125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25">
        <f>IF(AND(H128=TRUE,I128=FALSE),Q128,0)</f>
        <v/>
      </c>
      <c r="S128" s="125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26">
        <f>IF(U128=TRUE,$J128,"")</f>
        <v/>
      </c>
      <c r="U128" s="124" t="b">
        <v>1</v>
      </c>
      <c r="V128" s="125">
        <f>IF(AND(H128=TRUE,OR(K128="",K128&gt;M128)),S128,0)</f>
        <v/>
      </c>
      <c r="W128" s="124" t="n">
        <v>0</v>
      </c>
      <c r="X128" s="124" t="b">
        <v>0</v>
      </c>
      <c r="Y128" s="127">
        <f>IF(H128=FALSE,VLOOKUP($C128,Sales!$C:$F,4,FALSE),1)</f>
        <v/>
      </c>
      <c r="Z128" s="124">
        <f>IF(Y128=0,"Release",IF(AND(L128&lt;J128,Y128=1,H128=FALSE,U128=FALSE,MONTH(L128)&amp;"/"&amp;YEAR(L128)&lt;&gt;MONTH(J128)&amp;"/"&amp;YEAR(J128)),"Release",""))</f>
        <v/>
      </c>
      <c r="AA128" s="128">
        <f>_xlfn.minifs($L:$L,$C:$C,$C128,$F:$F,"&lt;&gt;0")</f>
        <v/>
      </c>
      <c r="AB128" s="128">
        <f>C128&amp;"-"&amp;A128</f>
        <v/>
      </c>
      <c r="AC128" s="128">
        <f>L128</f>
        <v/>
      </c>
    </row>
    <row r="129">
      <c r="A129" s="124" t="inlineStr">
        <is>
          <t>ZBEN02</t>
        </is>
      </c>
      <c r="B129" s="124" t="n">
        <v>1</v>
      </c>
      <c r="C129" s="124" t="inlineStr">
        <is>
          <t>HFB211</t>
        </is>
      </c>
      <c r="D129" s="124" t="inlineStr">
        <is>
          <t>B</t>
        </is>
      </c>
      <c r="E129" s="124" t="inlineStr">
        <is>
          <t>Beneke Veronica</t>
        </is>
      </c>
      <c r="F129" s="125">
        <f>SUMIFS(Investors!$M:$M, Investors!$I:$I, "&lt;=" &amp; 'NSST Print'!$B$3, Investors!$K:$K, "&gt;" &amp; 'NSST Print'!$B$3, Investors!$A:$A, 'Investor Exit List'!A129, Investors!$E:$E, 'Investor Exit List'!C129)</f>
        <v/>
      </c>
      <c r="G129" s="126" t="n">
        <v>44352</v>
      </c>
      <c r="H129" s="124">
        <f>VLOOKUP($C129,Sales!$C:$E,2,FALSE)</f>
        <v/>
      </c>
      <c r="I129" s="124">
        <f>VLOOKUP($C129,Sales!$C:$E,3,FALSE)</f>
        <v/>
      </c>
      <c r="J129" s="126">
        <f>SUMIFS(Sales!$H:$H,Sales!$C:$C,'Investor Exit List'!$C129)</f>
        <v/>
      </c>
      <c r="K129" s="126">
        <f>IF(I129=TRUE,J129,"")</f>
        <v/>
      </c>
      <c r="L129" s="126">
        <f>G129+730</f>
        <v/>
      </c>
      <c r="M129" s="126" t="n">
        <v>45443</v>
      </c>
      <c r="N129" s="127">
        <f>IFERROR(IF(G129&lt;&gt;"",IF(I129=TRUE,0,IF(U129=TRUE,0,L129-M129)),0),0)</f>
        <v/>
      </c>
      <c r="O129" s="127">
        <f>IF(N129&gt;0,IF(N129&lt;=180,N129,0),0)</f>
        <v/>
      </c>
      <c r="P129" s="125">
        <f>IF(AND(N129&lt;90,N129&gt;0),Q129,0)</f>
        <v/>
      </c>
      <c r="Q129" s="125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25">
        <f>IF(AND(H129=TRUE,I129=FALSE),Q129,0)</f>
        <v/>
      </c>
      <c r="S129" s="125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26">
        <f>IF(U129=TRUE,$J129,"")</f>
        <v/>
      </c>
      <c r="U129" s="124" t="b">
        <v>1</v>
      </c>
      <c r="V129" s="125">
        <f>IF(AND(H129=TRUE,OR(K129="",K129&gt;M129)),S129,0)</f>
        <v/>
      </c>
      <c r="W129" s="124" t="n">
        <v>0</v>
      </c>
      <c r="X129" s="124" t="b">
        <v>0</v>
      </c>
      <c r="Y129" s="127">
        <f>IF(H129=FALSE,VLOOKUP($C129,Sales!$C:$F,4,FALSE),1)</f>
        <v/>
      </c>
      <c r="Z129" s="124">
        <f>IF(Y129=0,"Release",IF(AND(L129&lt;J129,Y129=1,H129=FALSE,U129=FALSE,MONTH(L129)&amp;"/"&amp;YEAR(L129)&lt;&gt;MONTH(J129)&amp;"/"&amp;YEAR(J129)),"Release",""))</f>
        <v/>
      </c>
      <c r="AA129" s="128">
        <f>_xlfn.minifs($L:$L,$C:$C,$C129,$F:$F,"&lt;&gt;0")</f>
        <v/>
      </c>
      <c r="AB129" s="128">
        <f>C129&amp;"-"&amp;A129</f>
        <v/>
      </c>
      <c r="AC129" s="128">
        <f>L129</f>
        <v/>
      </c>
    </row>
    <row r="130">
      <c r="A130" s="124" t="inlineStr">
        <is>
          <t>ZDIC01</t>
        </is>
      </c>
      <c r="B130" s="124" t="n">
        <v>5</v>
      </c>
      <c r="C130" s="124" t="inlineStr">
        <is>
          <t>HFB212</t>
        </is>
      </c>
      <c r="D130" s="124" t="inlineStr">
        <is>
          <t>B</t>
        </is>
      </c>
      <c r="E130" s="124" t="inlineStr">
        <is>
          <t>Dickinson Grant Allan</t>
        </is>
      </c>
      <c r="F130" s="125">
        <f>SUMIFS(Investors!$M:$M, Investors!$I:$I, "&lt;=" &amp; 'NSST Print'!$B$3, Investors!$K:$K, "&gt;" &amp; 'NSST Print'!$B$3, Investors!$A:$A, 'Investor Exit List'!A130, Investors!$E:$E, 'Investor Exit List'!C130)</f>
        <v/>
      </c>
      <c r="G130" s="126" t="n">
        <v>44352</v>
      </c>
      <c r="H130" s="124">
        <f>VLOOKUP($C130,Sales!$C:$E,2,FALSE)</f>
        <v/>
      </c>
      <c r="I130" s="124">
        <f>VLOOKUP($C130,Sales!$C:$E,3,FALSE)</f>
        <v/>
      </c>
      <c r="J130" s="126">
        <f>SUMIFS(Sales!$H:$H,Sales!$C:$C,'Investor Exit List'!$C130)</f>
        <v/>
      </c>
      <c r="K130" s="126">
        <f>IF(I130=TRUE,J130,"")</f>
        <v/>
      </c>
      <c r="L130" s="126">
        <f>G130+730</f>
        <v/>
      </c>
      <c r="M130" s="126" t="n">
        <v>45443</v>
      </c>
      <c r="N130" s="127">
        <f>IFERROR(IF(G130&lt;&gt;"",IF(I130=TRUE,0,IF(U130=TRUE,0,L130-M130)),0),0)</f>
        <v/>
      </c>
      <c r="O130" s="127">
        <f>IF(N130&gt;0,IF(N130&lt;=180,N130,0),0)</f>
        <v/>
      </c>
      <c r="P130" s="125">
        <f>IF(AND(N130&lt;90,N130&gt;0),Q130,0)</f>
        <v/>
      </c>
      <c r="Q130" s="125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25">
        <f>IF(AND(H130=TRUE,I130=FALSE),Q130,0)</f>
        <v/>
      </c>
      <c r="S130" s="125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26">
        <f>IF(U130=TRUE,$J130,"")</f>
        <v/>
      </c>
      <c r="U130" s="124" t="b">
        <v>1</v>
      </c>
      <c r="V130" s="125">
        <f>IF(AND(H130=TRUE,OR(K130="",K130&gt;M130)),S130,0)</f>
        <v/>
      </c>
      <c r="W130" s="124" t="n">
        <v>0</v>
      </c>
      <c r="X130" s="124" t="b">
        <v>0</v>
      </c>
      <c r="Y130" s="127">
        <f>IF(H130=FALSE,VLOOKUP($C130,Sales!$C:$F,4,FALSE),1)</f>
        <v/>
      </c>
      <c r="Z130" s="124">
        <f>IF(Y130=0,"Release",IF(AND(L130&lt;J130,Y130=1,H130=FALSE,U130=FALSE,MONTH(L130)&amp;"/"&amp;YEAR(L130)&lt;&gt;MONTH(J130)&amp;"/"&amp;YEAR(J130)),"Release",""))</f>
        <v/>
      </c>
      <c r="AA130" s="128">
        <f>_xlfn.minifs($L:$L,$C:$C,$C130,$F:$F,"&lt;&gt;0")</f>
        <v/>
      </c>
      <c r="AB130" s="128">
        <f>C130&amp;"-"&amp;A130</f>
        <v/>
      </c>
      <c r="AC130" s="128">
        <f>L130</f>
        <v/>
      </c>
    </row>
    <row r="131">
      <c r="A131" s="124" t="inlineStr">
        <is>
          <t>ZREN01</t>
        </is>
      </c>
      <c r="B131" s="124" t="n">
        <v>1</v>
      </c>
      <c r="C131" s="124" t="inlineStr">
        <is>
          <t>HFB213</t>
        </is>
      </c>
      <c r="D131" s="124" t="inlineStr">
        <is>
          <t>B</t>
        </is>
      </c>
      <c r="E131" s="124" t="inlineStr">
        <is>
          <t>van Rensburg Marlene Ann</t>
        </is>
      </c>
      <c r="F131" s="125">
        <f>SUMIFS(Investors!$M:$M, Investors!$I:$I, "&lt;=" &amp; 'NSST Print'!$B$3, Investors!$K:$K, "&gt;" &amp; 'NSST Print'!$B$3, Investors!$A:$A, 'Investor Exit List'!A131, Investors!$E:$E, 'Investor Exit List'!C131)</f>
        <v/>
      </c>
      <c r="G131" s="126" t="n">
        <v>44550</v>
      </c>
      <c r="H131" s="124">
        <f>VLOOKUP($C131,Sales!$C:$E,2,FALSE)</f>
        <v/>
      </c>
      <c r="I131" s="124">
        <f>VLOOKUP($C131,Sales!$C:$E,3,FALSE)</f>
        <v/>
      </c>
      <c r="J131" s="126">
        <f>SUMIFS(Sales!$H:$H,Sales!$C:$C,'Investor Exit List'!$C131)</f>
        <v/>
      </c>
      <c r="K131" s="126">
        <f>IF(I131=TRUE,J131,"")</f>
        <v/>
      </c>
      <c r="L131" s="126">
        <f>G131+730</f>
        <v/>
      </c>
      <c r="M131" s="126" t="n">
        <v>45443</v>
      </c>
      <c r="N131" s="127">
        <f>IFERROR(IF(G131&lt;&gt;"",IF(I131=TRUE,0,IF(U131=TRUE,0,L131-M131)),0),0)</f>
        <v/>
      </c>
      <c r="O131" s="127">
        <f>IF(N131&gt;0,IF(N131&lt;=180,N131,0),0)</f>
        <v/>
      </c>
      <c r="P131" s="125">
        <f>IF(AND(N131&lt;90,N131&gt;0),Q131,0)</f>
        <v/>
      </c>
      <c r="Q131" s="125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25">
        <f>IF(AND(H131=TRUE,I131=FALSE),Q131,0)</f>
        <v/>
      </c>
      <c r="S131" s="125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26">
        <f>IF(U131=TRUE,$J131,"")</f>
        <v/>
      </c>
      <c r="U131" s="124" t="b">
        <v>1</v>
      </c>
      <c r="V131" s="125">
        <f>IF(AND(H131=TRUE,OR(K131="",K131&gt;M131)),S131,0)</f>
        <v/>
      </c>
      <c r="W131" s="124" t="n">
        <v>0</v>
      </c>
      <c r="X131" s="124" t="b">
        <v>0</v>
      </c>
      <c r="Y131" s="127">
        <f>IF(H131=FALSE,VLOOKUP($C131,Sales!$C:$F,4,FALSE),1)</f>
        <v/>
      </c>
      <c r="Z131" s="124">
        <f>IF(Y131=0,"Release",IF(AND(L131&lt;J131,Y131=1,H131=FALSE,U131=FALSE,MONTH(L131)&amp;"/"&amp;YEAR(L131)&lt;&gt;MONTH(J131)&amp;"/"&amp;YEAR(J131)),"Release",""))</f>
        <v/>
      </c>
      <c r="AA131" s="128">
        <f>_xlfn.minifs($L:$L,$C:$C,$C131,$F:$F,"&lt;&gt;0")</f>
        <v/>
      </c>
      <c r="AB131" s="128">
        <f>C131&amp;"-"&amp;A131</f>
        <v/>
      </c>
      <c r="AC131" s="128">
        <f>L131</f>
        <v/>
      </c>
    </row>
    <row r="132">
      <c r="A132" s="124" t="inlineStr">
        <is>
          <t>ZDEL01</t>
        </is>
      </c>
      <c r="B132" s="124" t="n">
        <v>2</v>
      </c>
      <c r="C132" s="124" t="inlineStr">
        <is>
          <t>HFB214</t>
        </is>
      </c>
      <c r="D132" s="124" t="inlineStr">
        <is>
          <t>B</t>
        </is>
      </c>
      <c r="E132" s="124" t="inlineStr">
        <is>
          <t>Jansen van Vuuren Pieter</t>
        </is>
      </c>
      <c r="F132" s="125">
        <f>SUMIFS(Investors!$M:$M, Investors!$I:$I, "&lt;=" &amp; 'NSST Print'!$B$3, Investors!$K:$K, "&gt;" &amp; 'NSST Print'!$B$3, Investors!$A:$A, 'Investor Exit List'!A132, Investors!$E:$E, 'Investor Exit List'!C132)</f>
        <v/>
      </c>
      <c r="G132" s="126" t="n">
        <v>44618</v>
      </c>
      <c r="H132" s="124">
        <f>VLOOKUP($C132,Sales!$C:$E,2,FALSE)</f>
        <v/>
      </c>
      <c r="I132" s="124">
        <f>VLOOKUP($C132,Sales!$C:$E,3,FALSE)</f>
        <v/>
      </c>
      <c r="J132" s="126">
        <f>SUMIFS(Sales!$H:$H,Sales!$C:$C,'Investor Exit List'!$C132)</f>
        <v/>
      </c>
      <c r="K132" s="126">
        <f>IF(I132=TRUE,J132,"")</f>
        <v/>
      </c>
      <c r="L132" s="126">
        <f>G132+730</f>
        <v/>
      </c>
      <c r="M132" s="126" t="n">
        <v>45443</v>
      </c>
      <c r="N132" s="127">
        <f>IFERROR(IF(G132&lt;&gt;"",IF(I132=TRUE,0,IF(U132=TRUE,0,L132-M132)),0),0)</f>
        <v/>
      </c>
      <c r="O132" s="127">
        <f>IF(N132&gt;0,IF(N132&lt;=180,N132,0),0)</f>
        <v/>
      </c>
      <c r="P132" s="125">
        <f>IF(AND(N132&lt;90,N132&gt;0),Q132,0)</f>
        <v/>
      </c>
      <c r="Q132" s="125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25">
        <f>IF(AND(H132=TRUE,I132=FALSE),Q132,0)</f>
        <v/>
      </c>
      <c r="S132" s="125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26">
        <f>IF(U132=TRUE,$J132,"")</f>
        <v/>
      </c>
      <c r="U132" s="124" t="b">
        <v>0</v>
      </c>
      <c r="V132" s="125">
        <f>IF(AND(H132=TRUE,OR(K132="",K132&gt;M132)),S132,0)</f>
        <v/>
      </c>
      <c r="W132" s="124" t="n">
        <v>0</v>
      </c>
      <c r="X132" s="124" t="b">
        <v>0</v>
      </c>
      <c r="Y132" s="127">
        <f>IF(H132=FALSE,VLOOKUP($C132,Sales!$C:$F,4,FALSE),1)</f>
        <v/>
      </c>
      <c r="Z132" s="124">
        <f>IF(Y132=0,"Release",IF(AND(L132&lt;J132,Y132=1,H132=FALSE,U132=FALSE,MONTH(L132)&amp;"/"&amp;YEAR(L132)&lt;&gt;MONTH(J132)&amp;"/"&amp;YEAR(J132)),"Release",""))</f>
        <v/>
      </c>
      <c r="AA132" s="128">
        <f>_xlfn.minifs($L:$L,$C:$C,$C132,$F:$F,"&lt;&gt;0")</f>
        <v/>
      </c>
      <c r="AB132" s="128">
        <f>C132&amp;"-"&amp;A132</f>
        <v/>
      </c>
      <c r="AC132" s="128">
        <f>L132</f>
        <v/>
      </c>
    </row>
    <row r="133">
      <c r="A133" s="124" t="inlineStr">
        <is>
          <t>ZKUS04</t>
        </is>
      </c>
      <c r="B133" s="124" t="n">
        <v>1</v>
      </c>
      <c r="C133" s="124" t="inlineStr">
        <is>
          <t>HFB301</t>
        </is>
      </c>
      <c r="D133" s="124" t="inlineStr">
        <is>
          <t>B</t>
        </is>
      </c>
      <c r="E133" s="124" t="inlineStr">
        <is>
          <t>Kusel Willie</t>
        </is>
      </c>
      <c r="F133" s="125">
        <f>SUMIFS(Investors!$M:$M, Investors!$I:$I, "&lt;=" &amp; 'NSST Print'!$B$3, Investors!$K:$K, "&gt;" &amp; 'NSST Print'!$B$3, Investors!$A:$A, 'Investor Exit List'!A133, Investors!$E:$E, 'Investor Exit List'!C133)</f>
        <v/>
      </c>
      <c r="G133" s="126" t="n">
        <v>44664</v>
      </c>
      <c r="H133" s="124">
        <f>VLOOKUP($C133,Sales!$C:$E,2,FALSE)</f>
        <v/>
      </c>
      <c r="I133" s="124">
        <f>VLOOKUP($C133,Sales!$C:$E,3,FALSE)</f>
        <v/>
      </c>
      <c r="J133" s="126">
        <f>SUMIFS(Sales!$H:$H,Sales!$C:$C,'Investor Exit List'!$C133)</f>
        <v/>
      </c>
      <c r="K133" s="126">
        <f>IF(I133=TRUE,J133,"")</f>
        <v/>
      </c>
      <c r="L133" s="126">
        <f>G133+730</f>
        <v/>
      </c>
      <c r="M133" s="126" t="n">
        <v>45443</v>
      </c>
      <c r="N133" s="127">
        <f>IFERROR(IF(G133&lt;&gt;"",IF(I133=TRUE,0,IF(U133=TRUE,0,L133-M133)),0),0)</f>
        <v/>
      </c>
      <c r="O133" s="127">
        <f>IF(N133&gt;0,IF(N133&lt;=180,N133,0),0)</f>
        <v/>
      </c>
      <c r="P133" s="125">
        <f>IF(AND(N133&lt;90,N133&gt;0),Q133,0)</f>
        <v/>
      </c>
      <c r="Q133" s="125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25">
        <f>IF(AND(H133=TRUE,I133=FALSE),Q133,0)</f>
        <v/>
      </c>
      <c r="S133" s="125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26">
        <f>IF(U133=TRUE,$J133,"")</f>
        <v/>
      </c>
      <c r="U133" s="124" t="b">
        <v>0</v>
      </c>
      <c r="V133" s="125">
        <f>IF(AND(H133=TRUE,OR(K133="",K133&gt;M133)),S133,0)</f>
        <v/>
      </c>
      <c r="W133" s="124" t="n">
        <v>0</v>
      </c>
      <c r="X133" s="124" t="b">
        <v>0</v>
      </c>
      <c r="Y133" s="127">
        <f>IF(H133=FALSE,VLOOKUP($C133,Sales!$C:$F,4,FALSE),1)</f>
        <v/>
      </c>
      <c r="Z133" s="124">
        <f>IF(Y133=0,"Release",IF(AND(L133&lt;J133,Y133=1,H133=FALSE,U133=FALSE,MONTH(L133)&amp;"/"&amp;YEAR(L133)&lt;&gt;MONTH(J133)&amp;"/"&amp;YEAR(J133)),"Release",""))</f>
        <v/>
      </c>
      <c r="AA133" s="128">
        <f>_xlfn.minifs($L:$L,$C:$C,$C133,$F:$F,"&lt;&gt;0")</f>
        <v/>
      </c>
      <c r="AB133" s="128">
        <f>C133&amp;"-"&amp;A133</f>
        <v/>
      </c>
      <c r="AC133" s="128">
        <f>L133</f>
        <v/>
      </c>
    </row>
    <row r="134">
      <c r="A134" s="124" t="inlineStr">
        <is>
          <t>ZLAB01</t>
        </is>
      </c>
      <c r="B134" s="124" t="n">
        <v>1</v>
      </c>
      <c r="C134" s="124" t="inlineStr">
        <is>
          <t>HFB301</t>
        </is>
      </c>
      <c r="D134" s="124" t="inlineStr">
        <is>
          <t>B</t>
        </is>
      </c>
      <c r="E134" s="124" t="inlineStr">
        <is>
          <t>Labuschagne Andre Jan</t>
        </is>
      </c>
      <c r="F134" s="125">
        <f>SUMIFS(Investors!$M:$M, Investors!$I:$I, "&lt;=" &amp; 'NSST Print'!$B$3, Investors!$K:$K, "&gt;" &amp; 'NSST Print'!$B$3, Investors!$A:$A, 'Investor Exit List'!A134, Investors!$E:$E, 'Investor Exit List'!C134)</f>
        <v/>
      </c>
      <c r="G134" s="126" t="n">
        <v>44618</v>
      </c>
      <c r="H134" s="124">
        <f>VLOOKUP($C134,Sales!$C:$E,2,FALSE)</f>
        <v/>
      </c>
      <c r="I134" s="124">
        <f>VLOOKUP($C134,Sales!$C:$E,3,FALSE)</f>
        <v/>
      </c>
      <c r="J134" s="126">
        <f>SUMIFS(Sales!$H:$H,Sales!$C:$C,'Investor Exit List'!$C134)</f>
        <v/>
      </c>
      <c r="K134" s="126">
        <f>IF(I134=TRUE,J134,"")</f>
        <v/>
      </c>
      <c r="L134" s="126">
        <f>G134+730</f>
        <v/>
      </c>
      <c r="M134" s="126" t="n">
        <v>45443</v>
      </c>
      <c r="N134" s="127">
        <f>IFERROR(IF(G134&lt;&gt;"",IF(I134=TRUE,0,IF(U134=TRUE,0,L134-M134)),0),0)</f>
        <v/>
      </c>
      <c r="O134" s="127">
        <f>IF(N134&gt;0,IF(N134&lt;=180,N134,0),0)</f>
        <v/>
      </c>
      <c r="P134" s="125">
        <f>IF(AND(N134&lt;90,N134&gt;0),Q134,0)</f>
        <v/>
      </c>
      <c r="Q134" s="125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25">
        <f>IF(AND(H134=TRUE,I134=FALSE),Q134,0)</f>
        <v/>
      </c>
      <c r="S134" s="125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26">
        <f>IF(U134=TRUE,$J134,"")</f>
        <v/>
      </c>
      <c r="U134" s="124" t="b">
        <v>0</v>
      </c>
      <c r="V134" s="125">
        <f>IF(AND(H134=TRUE,OR(K134="",K134&gt;M134)),S134,0)</f>
        <v/>
      </c>
      <c r="W134" s="124" t="n">
        <v>0</v>
      </c>
      <c r="X134" s="124" t="b">
        <v>0</v>
      </c>
      <c r="Y134" s="127">
        <f>IF(H134=FALSE,VLOOKUP($C134,Sales!$C:$F,4,FALSE),1)</f>
        <v/>
      </c>
      <c r="Z134" s="124">
        <f>IF(Y134=0,"Release",IF(AND(L134&lt;J134,Y134=1,H134=FALSE,U134=FALSE,MONTH(L134)&amp;"/"&amp;YEAR(L134)&lt;&gt;MONTH(J134)&amp;"/"&amp;YEAR(J134)),"Release",""))</f>
        <v/>
      </c>
      <c r="AA134" s="128">
        <f>_xlfn.minifs($L:$L,$C:$C,$C134,$F:$F,"&lt;&gt;0")</f>
        <v/>
      </c>
      <c r="AB134" s="128">
        <f>C134&amp;"-"&amp;A134</f>
        <v/>
      </c>
      <c r="AC134" s="128">
        <f>L134</f>
        <v/>
      </c>
    </row>
    <row r="135">
      <c r="A135" s="124" t="inlineStr">
        <is>
          <t>ZPRO01</t>
        </is>
      </c>
      <c r="B135" s="124" t="n">
        <v>3</v>
      </c>
      <c r="C135" s="124" t="inlineStr">
        <is>
          <t>HFB302</t>
        </is>
      </c>
      <c r="D135" s="124" t="inlineStr">
        <is>
          <t>B</t>
        </is>
      </c>
      <c r="E135" s="124" t="inlineStr">
        <is>
          <t>du Toit Adrian</t>
        </is>
      </c>
      <c r="F135" s="125">
        <f>SUMIFS(Investors!$M:$M, Investors!$I:$I, "&lt;=" &amp; 'NSST Print'!$B$3, Investors!$K:$K, "&gt;" &amp; 'NSST Print'!$B$3, Investors!$A:$A, 'Investor Exit List'!A135, Investors!$E:$E, 'Investor Exit List'!C135)</f>
        <v/>
      </c>
      <c r="G135" s="126" t="n">
        <v>44550</v>
      </c>
      <c r="H135" s="124">
        <f>VLOOKUP($C135,Sales!$C:$E,2,FALSE)</f>
        <v/>
      </c>
      <c r="I135" s="124">
        <f>VLOOKUP($C135,Sales!$C:$E,3,FALSE)</f>
        <v/>
      </c>
      <c r="J135" s="126">
        <f>SUMIFS(Sales!$H:$H,Sales!$C:$C,'Investor Exit List'!$C135)</f>
        <v/>
      </c>
      <c r="K135" s="126">
        <f>IF(I135=TRUE,J135,"")</f>
        <v/>
      </c>
      <c r="L135" s="126">
        <f>G135+730</f>
        <v/>
      </c>
      <c r="M135" s="126" t="n">
        <v>45443</v>
      </c>
      <c r="N135" s="127">
        <f>IFERROR(IF(G135&lt;&gt;"",IF(I135=TRUE,0,IF(U135=TRUE,0,L135-M135)),0),0)</f>
        <v/>
      </c>
      <c r="O135" s="127">
        <f>IF(N135&gt;0,IF(N135&lt;=180,N135,0),0)</f>
        <v/>
      </c>
      <c r="P135" s="125">
        <f>IF(AND(N135&lt;90,N135&gt;0),Q135,0)</f>
        <v/>
      </c>
      <c r="Q135" s="125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25">
        <f>IF(AND(H135=TRUE,I135=FALSE),Q135,0)</f>
        <v/>
      </c>
      <c r="S135" s="125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26">
        <f>IF(U135=TRUE,$J135,"")</f>
        <v/>
      </c>
      <c r="U135" s="124" t="b">
        <v>0</v>
      </c>
      <c r="V135" s="125">
        <f>IF(AND(H135=TRUE,OR(K135="",K135&gt;M135)),S135,0)</f>
        <v/>
      </c>
      <c r="W135" s="124" t="n">
        <v>0</v>
      </c>
      <c r="X135" s="124" t="b">
        <v>0</v>
      </c>
      <c r="Y135" s="127">
        <f>IF(H135=FALSE,VLOOKUP($C135,Sales!$C:$F,4,FALSE),1)</f>
        <v/>
      </c>
      <c r="Z135" s="124">
        <f>IF(Y135=0,"Release",IF(AND(L135&lt;J135,Y135=1,H135=FALSE,U135=FALSE,MONTH(L135)&amp;"/"&amp;YEAR(L135)&lt;&gt;MONTH(J135)&amp;"/"&amp;YEAR(J135)),"Release",""))</f>
        <v/>
      </c>
      <c r="AA135" s="128">
        <f>_xlfn.minifs($L:$L,$C:$C,$C135,$F:$F,"&lt;&gt;0")</f>
        <v/>
      </c>
      <c r="AB135" s="128">
        <f>C135&amp;"-"&amp;A135</f>
        <v/>
      </c>
      <c r="AC135" s="128">
        <f>L135</f>
        <v/>
      </c>
    </row>
    <row r="136">
      <c r="A136" s="124" t="inlineStr">
        <is>
          <t>ZLOU03</t>
        </is>
      </c>
      <c r="B136" s="124" t="n">
        <v>1</v>
      </c>
      <c r="C136" s="124" t="inlineStr">
        <is>
          <t>HFB303</t>
        </is>
      </c>
      <c r="D136" s="124" t="inlineStr">
        <is>
          <t>B</t>
        </is>
      </c>
      <c r="E136" s="124" t="inlineStr">
        <is>
          <t>Louwrens Peter Arnold</t>
        </is>
      </c>
      <c r="F136" s="125">
        <f>SUMIFS(Investors!$M:$M, Investors!$I:$I, "&lt;=" &amp; 'NSST Print'!$B$3, Investors!$K:$K, "&gt;" &amp; 'NSST Print'!$B$3, Investors!$A:$A, 'Investor Exit List'!A136, Investors!$E:$E, 'Investor Exit List'!C136)</f>
        <v/>
      </c>
      <c r="G136" s="126" t="n">
        <v>44664</v>
      </c>
      <c r="H136" s="124">
        <f>VLOOKUP($C136,Sales!$C:$E,2,FALSE)</f>
        <v/>
      </c>
      <c r="I136" s="124">
        <f>VLOOKUP($C136,Sales!$C:$E,3,FALSE)</f>
        <v/>
      </c>
      <c r="J136" s="126">
        <f>SUMIFS(Sales!$H:$H,Sales!$C:$C,'Investor Exit List'!$C136)</f>
        <v/>
      </c>
      <c r="K136" s="126">
        <f>IF(I136=TRUE,J136,"")</f>
        <v/>
      </c>
      <c r="L136" s="126">
        <f>G136+730</f>
        <v/>
      </c>
      <c r="M136" s="126" t="n">
        <v>45443</v>
      </c>
      <c r="N136" s="127">
        <f>IFERROR(IF(G136&lt;&gt;"",IF(I136=TRUE,0,IF(U136=TRUE,0,L136-M136)),0),0)</f>
        <v/>
      </c>
      <c r="O136" s="127">
        <f>IF(N136&gt;0,IF(N136&lt;=180,N136,0),0)</f>
        <v/>
      </c>
      <c r="P136" s="125">
        <f>IF(AND(N136&lt;90,N136&gt;0),Q136,0)</f>
        <v/>
      </c>
      <c r="Q136" s="125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25">
        <f>IF(AND(H136=TRUE,I136=FALSE),Q136,0)</f>
        <v/>
      </c>
      <c r="S136" s="125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26">
        <f>IF(U136=TRUE,$J136,"")</f>
        <v/>
      </c>
      <c r="U136" s="124" t="b">
        <v>0</v>
      </c>
      <c r="V136" s="125">
        <f>IF(AND(H136=TRUE,OR(K136="",K136&gt;M136)),S136,0)</f>
        <v/>
      </c>
      <c r="W136" s="124" t="n">
        <v>0</v>
      </c>
      <c r="X136" s="124" t="b">
        <v>0</v>
      </c>
      <c r="Y136" s="127">
        <f>IF(H136=FALSE,VLOOKUP($C136,Sales!$C:$F,4,FALSE),1)</f>
        <v/>
      </c>
      <c r="Z136" s="124">
        <f>IF(Y136=0,"Release",IF(AND(L136&lt;J136,Y136=1,H136=FALSE,U136=FALSE,MONTH(L136)&amp;"/"&amp;YEAR(L136)&lt;&gt;MONTH(J136)&amp;"/"&amp;YEAR(J136)),"Release",""))</f>
        <v/>
      </c>
      <c r="AA136" s="128">
        <f>_xlfn.minifs($L:$L,$C:$C,$C136,$F:$F,"&lt;&gt;0")</f>
        <v/>
      </c>
      <c r="AB136" s="128">
        <f>C136&amp;"-"&amp;A136</f>
        <v/>
      </c>
      <c r="AC136" s="128">
        <f>L136</f>
        <v/>
      </c>
    </row>
    <row r="137">
      <c r="A137" s="124" t="inlineStr">
        <is>
          <t>ZRUD01</t>
        </is>
      </c>
      <c r="B137" s="124" t="n">
        <v>1</v>
      </c>
      <c r="C137" s="124" t="inlineStr">
        <is>
          <t>HFB303</t>
        </is>
      </c>
      <c r="D137" s="124" t="inlineStr">
        <is>
          <t>B</t>
        </is>
      </c>
      <c r="E137" s="124" t="inlineStr">
        <is>
          <t>Jansen van Vuuren Pieter</t>
        </is>
      </c>
      <c r="F137" s="125">
        <f>SUMIFS(Investors!$M:$M, Investors!$I:$I, "&lt;=" &amp; 'NSST Print'!$B$3, Investors!$K:$K, "&gt;" &amp; 'NSST Print'!$B$3, Investors!$A:$A, 'Investor Exit List'!A137, Investors!$E:$E, 'Investor Exit List'!C137)</f>
        <v/>
      </c>
      <c r="G137" s="126" t="n">
        <v>44664</v>
      </c>
      <c r="H137" s="124">
        <f>VLOOKUP($C137,Sales!$C:$E,2,FALSE)</f>
        <v/>
      </c>
      <c r="I137" s="124">
        <f>VLOOKUP($C137,Sales!$C:$E,3,FALSE)</f>
        <v/>
      </c>
      <c r="J137" s="126">
        <f>SUMIFS(Sales!$H:$H,Sales!$C:$C,'Investor Exit List'!$C137)</f>
        <v/>
      </c>
      <c r="K137" s="126">
        <f>IF(I137=TRUE,J137,"")</f>
        <v/>
      </c>
      <c r="L137" s="126">
        <f>G137+730</f>
        <v/>
      </c>
      <c r="M137" s="126" t="n">
        <v>45443</v>
      </c>
      <c r="N137" s="127">
        <f>IFERROR(IF(G137&lt;&gt;"",IF(I137=TRUE,0,IF(U137=TRUE,0,L137-M137)),0),0)</f>
        <v/>
      </c>
      <c r="O137" s="127">
        <f>IF(N137&gt;0,IF(N137&lt;=180,N137,0),0)</f>
        <v/>
      </c>
      <c r="P137" s="125">
        <f>IF(AND(N137&lt;90,N137&gt;0),Q137,0)</f>
        <v/>
      </c>
      <c r="Q137" s="125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25">
        <f>IF(AND(H137=TRUE,I137=FALSE),Q137,0)</f>
        <v/>
      </c>
      <c r="S137" s="125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26">
        <f>IF(U137=TRUE,$J137,"")</f>
        <v/>
      </c>
      <c r="U137" s="124" t="b">
        <v>0</v>
      </c>
      <c r="V137" s="125">
        <f>IF(AND(H137=TRUE,OR(K137="",K137&gt;M137)),S137,0)</f>
        <v/>
      </c>
      <c r="W137" s="124" t="n">
        <v>0</v>
      </c>
      <c r="X137" s="124" t="b">
        <v>0</v>
      </c>
      <c r="Y137" s="127">
        <f>IF(H137=FALSE,VLOOKUP($C137,Sales!$C:$F,4,FALSE),1)</f>
        <v/>
      </c>
      <c r="Z137" s="124">
        <f>IF(Y137=0,"Release",IF(AND(L137&lt;J137,Y137=1,H137=FALSE,U137=FALSE,MONTH(L137)&amp;"/"&amp;YEAR(L137)&lt;&gt;MONTH(J137)&amp;"/"&amp;YEAR(J137)),"Release",""))</f>
        <v/>
      </c>
      <c r="AA137" s="128">
        <f>_xlfn.minifs($L:$L,$C:$C,$C137,$F:$F,"&lt;&gt;0")</f>
        <v/>
      </c>
      <c r="AB137" s="128">
        <f>C137&amp;"-"&amp;A137</f>
        <v/>
      </c>
      <c r="AC137" s="128">
        <f>L137</f>
        <v/>
      </c>
    </row>
    <row r="138">
      <c r="A138" s="124" t="inlineStr">
        <is>
          <t>ZDOT01</t>
        </is>
      </c>
      <c r="B138" s="124" t="n">
        <v>1</v>
      </c>
      <c r="C138" s="124" t="inlineStr">
        <is>
          <t>HFB304</t>
        </is>
      </c>
      <c r="D138" s="124" t="inlineStr">
        <is>
          <t>B</t>
        </is>
      </c>
      <c r="E138" s="124" t="inlineStr">
        <is>
          <t>Pope Mark Charles</t>
        </is>
      </c>
      <c r="F138" s="125">
        <f>SUMIFS(Investors!$M:$M, Investors!$I:$I, "&lt;=" &amp; 'NSST Print'!$B$3, Investors!$K:$K, "&gt;" &amp; 'NSST Print'!$B$3, Investors!$A:$A, 'Investor Exit List'!A138, Investors!$E:$E, 'Investor Exit List'!C138)</f>
        <v/>
      </c>
      <c r="G138" s="126" t="n">
        <v>44690</v>
      </c>
      <c r="H138" s="124">
        <f>VLOOKUP($C138,Sales!$C:$E,2,FALSE)</f>
        <v/>
      </c>
      <c r="I138" s="124">
        <f>VLOOKUP($C138,Sales!$C:$E,3,FALSE)</f>
        <v/>
      </c>
      <c r="J138" s="126">
        <f>SUMIFS(Sales!$H:$H,Sales!$C:$C,'Investor Exit List'!$C138)</f>
        <v/>
      </c>
      <c r="K138" s="126">
        <f>IF(I138=TRUE,J138,"")</f>
        <v/>
      </c>
      <c r="L138" s="126">
        <f>G138+730</f>
        <v/>
      </c>
      <c r="M138" s="126" t="n">
        <v>45443</v>
      </c>
      <c r="N138" s="127">
        <f>IFERROR(IF(G138&lt;&gt;"",IF(I138=TRUE,0,IF(U138=TRUE,0,L138-M138)),0),0)</f>
        <v/>
      </c>
      <c r="O138" s="127">
        <f>IF(N138&gt;0,IF(N138&lt;=180,N138,0),0)</f>
        <v/>
      </c>
      <c r="P138" s="125">
        <f>IF(AND(N138&lt;90,N138&gt;0),Q138,0)</f>
        <v/>
      </c>
      <c r="Q138" s="125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25">
        <f>IF(AND(H138=TRUE,I138=FALSE),Q138,0)</f>
        <v/>
      </c>
      <c r="S138" s="125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26">
        <f>IF(U138=TRUE,$J138,"")</f>
        <v/>
      </c>
      <c r="U138" s="124" t="b">
        <v>0</v>
      </c>
      <c r="V138" s="125">
        <f>IF(AND(H138=TRUE,OR(K138="",K138&gt;M138)),S138,0)</f>
        <v/>
      </c>
      <c r="W138" s="124" t="n">
        <v>0</v>
      </c>
      <c r="X138" s="124" t="b">
        <v>0</v>
      </c>
      <c r="Y138" s="127">
        <f>IF(H138=FALSE,VLOOKUP($C138,Sales!$C:$F,4,FALSE),1)</f>
        <v/>
      </c>
      <c r="Z138" s="124">
        <f>IF(Y138=0,"Release",IF(AND(L138&lt;J138,Y138=1,H138=FALSE,U138=FALSE,MONTH(L138)&amp;"/"&amp;YEAR(L138)&lt;&gt;MONTH(J138)&amp;"/"&amp;YEAR(J138)),"Release",""))</f>
        <v/>
      </c>
      <c r="AA138" s="128">
        <f>_xlfn.minifs($L:$L,$C:$C,$C138,$F:$F,"&lt;&gt;0")</f>
        <v/>
      </c>
      <c r="AB138" s="128">
        <f>C138&amp;"-"&amp;A138</f>
        <v/>
      </c>
      <c r="AC138" s="128">
        <f>L138</f>
        <v/>
      </c>
    </row>
    <row r="139">
      <c r="A139" s="124" t="inlineStr">
        <is>
          <t>ZSCH04</t>
        </is>
      </c>
      <c r="B139" s="124" t="n">
        <v>1</v>
      </c>
      <c r="C139" s="124" t="inlineStr">
        <is>
          <t>HFB306</t>
        </is>
      </c>
      <c r="D139" s="124" t="inlineStr">
        <is>
          <t>B</t>
        </is>
      </c>
      <c r="E139" s="124" t="inlineStr">
        <is>
          <t>Schroder Christiaan</t>
        </is>
      </c>
      <c r="F139" s="125">
        <f>SUMIFS(Investors!$M:$M, Investors!$I:$I, "&lt;=" &amp; 'NSST Print'!$B$3, Investors!$K:$K, "&gt;" &amp; 'NSST Print'!$B$3, Investors!$A:$A, 'Investor Exit List'!A139, Investors!$E:$E, 'Investor Exit List'!C139)</f>
        <v/>
      </c>
      <c r="G139" s="126" t="n">
        <v>44644</v>
      </c>
      <c r="H139" s="124">
        <f>VLOOKUP($C139,Sales!$C:$E,2,FALSE)</f>
        <v/>
      </c>
      <c r="I139" s="124">
        <f>VLOOKUP($C139,Sales!$C:$E,3,FALSE)</f>
        <v/>
      </c>
      <c r="J139" s="126">
        <f>SUMIFS(Sales!$H:$H,Sales!$C:$C,'Investor Exit List'!$C139)</f>
        <v/>
      </c>
      <c r="K139" s="126">
        <f>IF(I139=TRUE,J139,"")</f>
        <v/>
      </c>
      <c r="L139" s="126">
        <f>G139+730</f>
        <v/>
      </c>
      <c r="M139" s="126" t="n">
        <v>45443</v>
      </c>
      <c r="N139" s="127">
        <f>IFERROR(IF(G139&lt;&gt;"",IF(I139=TRUE,0,IF(U139=TRUE,0,L139-M139)),0),0)</f>
        <v/>
      </c>
      <c r="O139" s="127">
        <f>IF(N139&gt;0,IF(N139&lt;=180,N139,0),0)</f>
        <v/>
      </c>
      <c r="P139" s="125">
        <f>IF(AND(N139&lt;90,N139&gt;0),Q139,0)</f>
        <v/>
      </c>
      <c r="Q139" s="125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25">
        <f>IF(AND(H139=TRUE,I139=FALSE),Q139,0)</f>
        <v/>
      </c>
      <c r="S139" s="125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26">
        <f>IF(U139=TRUE,$J139,"")</f>
        <v/>
      </c>
      <c r="U139" s="124" t="b">
        <v>1</v>
      </c>
      <c r="V139" s="125">
        <f>IF(AND(H139=TRUE,OR(K139="",K139&gt;M139)),S139,0)</f>
        <v/>
      </c>
      <c r="W139" s="124" t="n">
        <v>0</v>
      </c>
      <c r="X139" s="124" t="b">
        <v>0</v>
      </c>
      <c r="Y139" s="127">
        <f>IF(H139=FALSE,VLOOKUP($C139,Sales!$C:$F,4,FALSE),1)</f>
        <v/>
      </c>
      <c r="Z139" s="124">
        <f>IF(Y139=0,"Release",IF(AND(L139&lt;J139,Y139=1,H139=FALSE,U139=FALSE,MONTH(L139)&amp;"/"&amp;YEAR(L139)&lt;&gt;MONTH(J139)&amp;"/"&amp;YEAR(J139)),"Release",""))</f>
        <v/>
      </c>
      <c r="AA139" s="128">
        <f>_xlfn.minifs($L:$L,$C:$C,$C139,$F:$F,"&lt;&gt;0")</f>
        <v/>
      </c>
      <c r="AB139" s="128">
        <f>C139&amp;"-"&amp;A139</f>
        <v/>
      </c>
      <c r="AC139" s="128">
        <f>L139</f>
        <v/>
      </c>
    </row>
    <row r="140">
      <c r="A140" s="124" t="inlineStr">
        <is>
          <t>ZROU01</t>
        </is>
      </c>
      <c r="B140" s="124" t="n">
        <v>1</v>
      </c>
      <c r="C140" s="124" t="inlineStr">
        <is>
          <t>HFB307</t>
        </is>
      </c>
      <c r="D140" s="124" t="inlineStr">
        <is>
          <t>B</t>
        </is>
      </c>
      <c r="E140" s="124" t="inlineStr">
        <is>
          <t>Roux Laura</t>
        </is>
      </c>
      <c r="F140" s="125">
        <f>SUMIFS(Investors!$M:$M, Investors!$I:$I, "&lt;=" &amp; 'NSST Print'!$B$3, Investors!$K:$K, "&gt;" &amp; 'NSST Print'!$B$3, Investors!$A:$A, 'Investor Exit List'!A140, Investors!$E:$E, 'Investor Exit List'!C140)</f>
        <v/>
      </c>
      <c r="G140" s="126" t="n">
        <v>44643</v>
      </c>
      <c r="H140" s="124">
        <f>VLOOKUP($C140,Sales!$C:$E,2,FALSE)</f>
        <v/>
      </c>
      <c r="I140" s="124">
        <f>VLOOKUP($C140,Sales!$C:$E,3,FALSE)</f>
        <v/>
      </c>
      <c r="J140" s="126">
        <f>SUMIFS(Sales!$H:$H,Sales!$C:$C,'Investor Exit List'!$C140)</f>
        <v/>
      </c>
      <c r="K140" s="126">
        <f>IF(I140=TRUE,J140,"")</f>
        <v/>
      </c>
      <c r="L140" s="126">
        <f>G140+730</f>
        <v/>
      </c>
      <c r="M140" s="126" t="n">
        <v>45443</v>
      </c>
      <c r="N140" s="127">
        <f>IFERROR(IF(G140&lt;&gt;"",IF(I140=TRUE,0,IF(U140=TRUE,0,L140-M140)),0),0)</f>
        <v/>
      </c>
      <c r="O140" s="127">
        <f>IF(N140&gt;0,IF(N140&lt;=180,N140,0),0)</f>
        <v/>
      </c>
      <c r="P140" s="125">
        <f>IF(AND(N140&lt;90,N140&gt;0),Q140,0)</f>
        <v/>
      </c>
      <c r="Q140" s="125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25">
        <f>IF(AND(H140=TRUE,I140=FALSE),Q140,0)</f>
        <v/>
      </c>
      <c r="S140" s="125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26">
        <f>IF(U140=TRUE,$J140,"")</f>
        <v/>
      </c>
      <c r="U140" s="124" t="b">
        <v>1</v>
      </c>
      <c r="V140" s="125">
        <f>IF(AND(H140=TRUE,OR(K140="",K140&gt;M140)),S140,0)</f>
        <v/>
      </c>
      <c r="W140" s="124" t="n">
        <v>0</v>
      </c>
      <c r="X140" s="124" t="b">
        <v>0</v>
      </c>
      <c r="Y140" s="127">
        <f>IF(H140=FALSE,VLOOKUP($C140,Sales!$C:$F,4,FALSE),1)</f>
        <v/>
      </c>
      <c r="Z140" s="124">
        <f>IF(Y140=0,"Release",IF(AND(L140&lt;J140,Y140=1,H140=FALSE,U140=FALSE,MONTH(L140)&amp;"/"&amp;YEAR(L140)&lt;&gt;MONTH(J140)&amp;"/"&amp;YEAR(J140)),"Release",""))</f>
        <v/>
      </c>
      <c r="AA140" s="128">
        <f>_xlfn.minifs($L:$L,$C:$C,$C140,$F:$F,"&lt;&gt;0")</f>
        <v/>
      </c>
      <c r="AB140" s="128">
        <f>C140&amp;"-"&amp;A140</f>
        <v/>
      </c>
      <c r="AC140" s="128">
        <f>L140</f>
        <v/>
      </c>
    </row>
    <row r="141">
      <c r="A141" s="124" t="inlineStr">
        <is>
          <t>ZVOR01</t>
        </is>
      </c>
      <c r="B141" s="124" t="n">
        <v>3</v>
      </c>
      <c r="C141" s="124" t="inlineStr">
        <is>
          <t>HFB307</t>
        </is>
      </c>
      <c r="D141" s="124" t="inlineStr">
        <is>
          <t>B</t>
        </is>
      </c>
      <c r="E141" s="124" t="inlineStr">
        <is>
          <t xml:space="preserve">Vorster Sophia Maria Catharina </t>
        </is>
      </c>
      <c r="F141" s="125">
        <f>SUMIFS(Investors!$M:$M, Investors!$I:$I, "&lt;=" &amp; 'NSST Print'!$B$3, Investors!$K:$K, "&gt;" &amp; 'NSST Print'!$B$3, Investors!$A:$A, 'Investor Exit List'!A141, Investors!$E:$E, 'Investor Exit List'!C141)</f>
        <v/>
      </c>
      <c r="G141" s="126" t="n">
        <v>44643</v>
      </c>
      <c r="H141" s="124">
        <f>VLOOKUP($C141,Sales!$C:$E,2,FALSE)</f>
        <v/>
      </c>
      <c r="I141" s="124">
        <f>VLOOKUP($C141,Sales!$C:$E,3,FALSE)</f>
        <v/>
      </c>
      <c r="J141" s="126">
        <f>SUMIFS(Sales!$H:$H,Sales!$C:$C,'Investor Exit List'!$C141)</f>
        <v/>
      </c>
      <c r="K141" s="126">
        <f>IF(I141=TRUE,J141,"")</f>
        <v/>
      </c>
      <c r="L141" s="126">
        <f>G141+730</f>
        <v/>
      </c>
      <c r="M141" s="126" t="n">
        <v>45443</v>
      </c>
      <c r="N141" s="127">
        <f>IFERROR(IF(G141&lt;&gt;"",IF(I141=TRUE,0,IF(U141=TRUE,0,L141-M141)),0),0)</f>
        <v/>
      </c>
      <c r="O141" s="127">
        <f>IF(N141&gt;0,IF(N141&lt;=180,N141,0),0)</f>
        <v/>
      </c>
      <c r="P141" s="125">
        <f>IF(AND(N141&lt;90,N141&gt;0),Q141,0)</f>
        <v/>
      </c>
      <c r="Q141" s="125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25">
        <f>IF(AND(H141=TRUE,I141=FALSE),Q141,0)</f>
        <v/>
      </c>
      <c r="S141" s="125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26">
        <f>IF(U141=TRUE,$J141,"")</f>
        <v/>
      </c>
      <c r="U141" s="124" t="b">
        <v>1</v>
      </c>
      <c r="V141" s="125">
        <f>IF(AND(H141=TRUE,OR(K141="",K141&gt;M141)),S141,0)</f>
        <v/>
      </c>
      <c r="W141" s="124" t="n">
        <v>0</v>
      </c>
      <c r="X141" s="124" t="b">
        <v>0</v>
      </c>
      <c r="Y141" s="127">
        <f>IF(H141=FALSE,VLOOKUP($C141,Sales!$C:$F,4,FALSE),1)</f>
        <v/>
      </c>
      <c r="Z141" s="124">
        <f>IF(Y141=0,"Release",IF(AND(L141&lt;J141,Y141=1,H141=FALSE,U141=FALSE,MONTH(L141)&amp;"/"&amp;YEAR(L141)&lt;&gt;MONTH(J141)&amp;"/"&amp;YEAR(J141)),"Release",""))</f>
        <v/>
      </c>
      <c r="AA141" s="128">
        <f>_xlfn.minifs($L:$L,$C:$C,$C141,$F:$F,"&lt;&gt;0")</f>
        <v/>
      </c>
      <c r="AB141" s="128">
        <f>C141&amp;"-"&amp;A141</f>
        <v/>
      </c>
      <c r="AC141" s="128">
        <f>L141</f>
        <v/>
      </c>
    </row>
    <row r="142">
      <c r="A142" s="124" t="inlineStr">
        <is>
          <t>ZGOF01</t>
        </is>
      </c>
      <c r="B142" s="124" t="n">
        <v>1</v>
      </c>
      <c r="C142" s="124" t="inlineStr">
        <is>
          <t>HFB308</t>
        </is>
      </c>
      <c r="D142" s="124" t="inlineStr">
        <is>
          <t>B</t>
        </is>
      </c>
      <c r="E142" s="124" t="inlineStr">
        <is>
          <t>Goff Angela</t>
        </is>
      </c>
      <c r="F142" s="125">
        <f>SUMIFS(Investors!$M:$M, Investors!$I:$I, "&lt;=" &amp; 'NSST Print'!$B$3, Investors!$K:$K, "&gt;" &amp; 'NSST Print'!$B$3, Investors!$A:$A, 'Investor Exit List'!A142, Investors!$E:$E, 'Investor Exit List'!C142)</f>
        <v/>
      </c>
      <c r="G142" s="126" t="n">
        <v>44664</v>
      </c>
      <c r="H142" s="124">
        <f>VLOOKUP($C142,Sales!$C:$E,2,FALSE)</f>
        <v/>
      </c>
      <c r="I142" s="124">
        <f>VLOOKUP($C142,Sales!$C:$E,3,FALSE)</f>
        <v/>
      </c>
      <c r="J142" s="126">
        <f>SUMIFS(Sales!$H:$H,Sales!$C:$C,'Investor Exit List'!$C142)</f>
        <v/>
      </c>
      <c r="K142" s="126">
        <f>IF(I142=TRUE,J142,"")</f>
        <v/>
      </c>
      <c r="L142" s="126">
        <f>G142+730</f>
        <v/>
      </c>
      <c r="M142" s="126" t="n">
        <v>45443</v>
      </c>
      <c r="N142" s="127">
        <f>IFERROR(IF(G142&lt;&gt;"",IF(I142=TRUE,0,IF(U142=TRUE,0,L142-M142)),0),0)</f>
        <v/>
      </c>
      <c r="O142" s="127">
        <f>IF(N142&gt;0,IF(N142&lt;=180,N142,0),0)</f>
        <v/>
      </c>
      <c r="P142" s="125">
        <f>IF(AND(N142&lt;90,N142&gt;0),Q142,0)</f>
        <v/>
      </c>
      <c r="Q142" s="125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25">
        <f>IF(AND(H142=TRUE,I142=FALSE),Q142,0)</f>
        <v/>
      </c>
      <c r="S142" s="125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26">
        <f>IF(U142=TRUE,$J142,"")</f>
        <v/>
      </c>
      <c r="U142" s="124" t="b">
        <v>1</v>
      </c>
      <c r="V142" s="125">
        <f>IF(AND(H142=TRUE,OR(K142="",K142&gt;M142)),S142,0)</f>
        <v/>
      </c>
      <c r="W142" s="124" t="n">
        <v>0</v>
      </c>
      <c r="X142" s="124" t="b">
        <v>0</v>
      </c>
      <c r="Y142" s="127">
        <f>IF(H142=FALSE,VLOOKUP($C142,Sales!$C:$F,4,FALSE),1)</f>
        <v/>
      </c>
      <c r="Z142" s="124">
        <f>IF(Y142=0,"Release",IF(AND(L142&lt;J142,Y142=1,H142=FALSE,U142=FALSE,MONTH(L142)&amp;"/"&amp;YEAR(L142)&lt;&gt;MONTH(J142)&amp;"/"&amp;YEAR(J142)),"Release",""))</f>
        <v/>
      </c>
      <c r="AA142" s="128">
        <f>_xlfn.minifs($L:$L,$C:$C,$C142,$F:$F,"&lt;&gt;0")</f>
        <v/>
      </c>
      <c r="AB142" s="128">
        <f>C142&amp;"-"&amp;A142</f>
        <v/>
      </c>
      <c r="AC142" s="128">
        <f>L142</f>
        <v/>
      </c>
    </row>
    <row r="143">
      <c r="A143" s="124" t="inlineStr">
        <is>
          <t>ZBLU01</t>
        </is>
      </c>
      <c r="B143" s="124" t="n">
        <v>1</v>
      </c>
      <c r="C143" s="124" t="inlineStr">
        <is>
          <t>HFB309</t>
        </is>
      </c>
      <c r="D143" s="124" t="inlineStr">
        <is>
          <t>B</t>
        </is>
      </c>
      <c r="E143" s="124" t="inlineStr">
        <is>
          <t>Blues Samantha Jessica</t>
        </is>
      </c>
      <c r="F143" s="125">
        <f>SUMIFS(Investors!$M:$M, Investors!$I:$I, "&lt;=" &amp; 'NSST Print'!$B$3, Investors!$K:$K, "&gt;" &amp; 'NSST Print'!$B$3, Investors!$A:$A, 'Investor Exit List'!A143, Investors!$E:$E, 'Investor Exit List'!C143)</f>
        <v/>
      </c>
      <c r="G143" s="126" t="n">
        <v>44618</v>
      </c>
      <c r="H143" s="124">
        <f>VLOOKUP($C143,Sales!$C:$E,2,FALSE)</f>
        <v/>
      </c>
      <c r="I143" s="124">
        <f>VLOOKUP($C143,Sales!$C:$E,3,FALSE)</f>
        <v/>
      </c>
      <c r="J143" s="126">
        <f>SUMIFS(Sales!$H:$H,Sales!$C:$C,'Investor Exit List'!$C143)</f>
        <v/>
      </c>
      <c r="K143" s="126">
        <f>IF(I143=TRUE,J143,"")</f>
        <v/>
      </c>
      <c r="L143" s="126">
        <f>G143+730</f>
        <v/>
      </c>
      <c r="M143" s="126" t="n">
        <v>45443</v>
      </c>
      <c r="N143" s="127">
        <f>IFERROR(IF(G143&lt;&gt;"",IF(I143=TRUE,0,IF(U143=TRUE,0,L143-M143)),0),0)</f>
        <v/>
      </c>
      <c r="O143" s="127">
        <f>IF(N143&gt;0,IF(N143&lt;=180,N143,0),0)</f>
        <v/>
      </c>
      <c r="P143" s="125">
        <f>IF(AND(N143&lt;90,N143&gt;0),Q143,0)</f>
        <v/>
      </c>
      <c r="Q143" s="125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25">
        <f>IF(AND(H143=TRUE,I143=FALSE),Q143,0)</f>
        <v/>
      </c>
      <c r="S143" s="125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26">
        <f>IF(U143=TRUE,$J143,"")</f>
        <v/>
      </c>
      <c r="U143" s="124" t="b">
        <v>0</v>
      </c>
      <c r="V143" s="125">
        <f>IF(AND(H143=TRUE,OR(K143="",K143&gt;M143)),S143,0)</f>
        <v/>
      </c>
      <c r="W143" s="124" t="n">
        <v>0</v>
      </c>
      <c r="X143" s="124" t="b">
        <v>0</v>
      </c>
      <c r="Y143" s="127">
        <f>IF(H143=FALSE,VLOOKUP($C143,Sales!$C:$F,4,FALSE),1)</f>
        <v/>
      </c>
      <c r="Z143" s="124">
        <f>IF(Y143=0,"Release",IF(AND(L143&lt;J143,Y143=1,H143=FALSE,U143=FALSE,MONTH(L143)&amp;"/"&amp;YEAR(L143)&lt;&gt;MONTH(J143)&amp;"/"&amp;YEAR(J143)),"Release",""))</f>
        <v/>
      </c>
      <c r="AA143" s="128">
        <f>_xlfn.minifs($L:$L,$C:$C,$C143,$F:$F,"&lt;&gt;0")</f>
        <v/>
      </c>
      <c r="AB143" s="128">
        <f>C143&amp;"-"&amp;A143</f>
        <v/>
      </c>
      <c r="AC143" s="128">
        <f>L143</f>
        <v/>
      </c>
    </row>
    <row r="144">
      <c r="A144" s="124" t="inlineStr">
        <is>
          <t>ZJAN03</t>
        </is>
      </c>
      <c r="B144" s="124" t="n">
        <v>1</v>
      </c>
      <c r="C144" s="124" t="inlineStr">
        <is>
          <t>HFB309</t>
        </is>
      </c>
      <c r="D144" s="124" t="inlineStr">
        <is>
          <t>B</t>
        </is>
      </c>
      <c r="E144" s="124" t="inlineStr">
        <is>
          <t>Jansen van Vuuren Rudolph Johannes</t>
        </is>
      </c>
      <c r="F144" s="125">
        <f>SUMIFS(Investors!$M:$M, Investors!$I:$I, "&lt;=" &amp; 'NSST Print'!$B$3, Investors!$K:$K, "&gt;" &amp; 'NSST Print'!$B$3, Investors!$A:$A, 'Investor Exit List'!A144, Investors!$E:$E, 'Investor Exit List'!C144)</f>
        <v/>
      </c>
      <c r="G144" s="126" t="n">
        <v>44664</v>
      </c>
      <c r="H144" s="124">
        <f>VLOOKUP($C144,Sales!$C:$E,2,FALSE)</f>
        <v/>
      </c>
      <c r="I144" s="124">
        <f>VLOOKUP($C144,Sales!$C:$E,3,FALSE)</f>
        <v/>
      </c>
      <c r="J144" s="126">
        <f>SUMIFS(Sales!$H:$H,Sales!$C:$C,'Investor Exit List'!$C144)</f>
        <v/>
      </c>
      <c r="K144" s="126">
        <f>IF(I144=TRUE,J144,"")</f>
        <v/>
      </c>
      <c r="L144" s="126">
        <f>G144+730</f>
        <v/>
      </c>
      <c r="M144" s="126" t="n">
        <v>45443</v>
      </c>
      <c r="N144" s="127">
        <f>IFERROR(IF(G144&lt;&gt;"",IF(I144=TRUE,0,IF(U144=TRUE,0,L144-M144)),0),0)</f>
        <v/>
      </c>
      <c r="O144" s="127">
        <f>IF(N144&gt;0,IF(N144&lt;=180,N144,0),0)</f>
        <v/>
      </c>
      <c r="P144" s="125">
        <f>IF(AND(N144&lt;90,N144&gt;0),Q144,0)</f>
        <v/>
      </c>
      <c r="Q144" s="125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25">
        <f>IF(AND(H144=TRUE,I144=FALSE),Q144,0)</f>
        <v/>
      </c>
      <c r="S144" s="125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26">
        <f>IF(U144=TRUE,$J144,"")</f>
        <v/>
      </c>
      <c r="U144" s="124" t="b">
        <v>0</v>
      </c>
      <c r="V144" s="125">
        <f>IF(AND(H144=TRUE,OR(K144="",K144&gt;M144)),S144,0)</f>
        <v/>
      </c>
      <c r="W144" s="124" t="n">
        <v>0</v>
      </c>
      <c r="X144" s="124" t="b">
        <v>0</v>
      </c>
      <c r="Y144" s="127">
        <f>IF(H144=FALSE,VLOOKUP($C144,Sales!$C:$F,4,FALSE),1)</f>
        <v/>
      </c>
      <c r="Z144" s="124">
        <f>IF(Y144=0,"Release",IF(AND(L144&lt;J144,Y144=1,H144=FALSE,U144=FALSE,MONTH(L144)&amp;"/"&amp;YEAR(L144)&lt;&gt;MONTH(J144)&amp;"/"&amp;YEAR(J144)),"Release",""))</f>
        <v/>
      </c>
      <c r="AA144" s="128">
        <f>_xlfn.minifs($L:$L,$C:$C,$C144,$F:$F,"&lt;&gt;0")</f>
        <v/>
      </c>
      <c r="AB144" s="128">
        <f>C144&amp;"-"&amp;A144</f>
        <v/>
      </c>
      <c r="AC144" s="128">
        <f>L144</f>
        <v/>
      </c>
    </row>
    <row r="145">
      <c r="A145" s="124" t="inlineStr">
        <is>
          <t>ZVED01</t>
        </is>
      </c>
      <c r="B145" s="124" t="n">
        <v>4</v>
      </c>
      <c r="C145" s="124" t="inlineStr">
        <is>
          <t>HFB309</t>
        </is>
      </c>
      <c r="D145" s="124" t="inlineStr">
        <is>
          <t>B</t>
        </is>
      </c>
      <c r="E145" s="124" t="inlineStr">
        <is>
          <t>Vedders Craig</t>
        </is>
      </c>
      <c r="F145" s="125">
        <f>SUMIFS(Investors!$M:$M, Investors!$I:$I, "&lt;=" &amp; 'NSST Print'!$B$3, Investors!$K:$K, "&gt;" &amp; 'NSST Print'!$B$3, Investors!$A:$A, 'Investor Exit List'!A145, Investors!$E:$E, 'Investor Exit List'!C145)</f>
        <v/>
      </c>
      <c r="G145" s="126" t="n">
        <v>44719</v>
      </c>
      <c r="H145" s="124">
        <f>VLOOKUP($C145,Sales!$C:$E,2,FALSE)</f>
        <v/>
      </c>
      <c r="I145" s="124">
        <f>VLOOKUP($C145,Sales!$C:$E,3,FALSE)</f>
        <v/>
      </c>
      <c r="J145" s="126">
        <f>SUMIFS(Sales!$H:$H,Sales!$C:$C,'Investor Exit List'!$C145)</f>
        <v/>
      </c>
      <c r="K145" s="126">
        <f>IF(I145=TRUE,J145,"")</f>
        <v/>
      </c>
      <c r="L145" s="126">
        <f>G145+730</f>
        <v/>
      </c>
      <c r="M145" s="126" t="n">
        <v>45443</v>
      </c>
      <c r="N145" s="127">
        <f>IFERROR(IF(G145&lt;&gt;"",IF(I145=TRUE,0,IF(U145=TRUE,0,L145-M145)),0),0)</f>
        <v/>
      </c>
      <c r="O145" s="127">
        <f>IF(N145&gt;0,IF(N145&lt;=180,N145,0),0)</f>
        <v/>
      </c>
      <c r="P145" s="125">
        <f>IF(AND(N145&lt;90,N145&gt;0),Q145,0)</f>
        <v/>
      </c>
      <c r="Q145" s="125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25">
        <f>IF(AND(H145=TRUE,I145=FALSE),Q145,0)</f>
        <v/>
      </c>
      <c r="S145" s="125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26">
        <f>IF(U145=TRUE,$J145,"")</f>
        <v/>
      </c>
      <c r="U145" s="124" t="b">
        <v>0</v>
      </c>
      <c r="V145" s="125">
        <f>IF(AND(H145=TRUE,OR(K145="",K145&gt;M145)),S145,0)</f>
        <v/>
      </c>
      <c r="W145" s="124" t="n">
        <v>0</v>
      </c>
      <c r="X145" s="124" t="b">
        <v>0</v>
      </c>
      <c r="Y145" s="127">
        <f>IF(H145=FALSE,VLOOKUP($C145,Sales!$C:$F,4,FALSE),1)</f>
        <v/>
      </c>
      <c r="Z145" s="124">
        <f>IF(Y145=0,"Release",IF(AND(L145&lt;J145,Y145=1,H145=FALSE,U145=FALSE,MONTH(L145)&amp;"/"&amp;YEAR(L145)&lt;&gt;MONTH(J145)&amp;"/"&amp;YEAR(J145)),"Release",""))</f>
        <v/>
      </c>
      <c r="AA145" s="128">
        <f>_xlfn.minifs($L:$L,$C:$C,$C145,$F:$F,"&lt;&gt;0")</f>
        <v/>
      </c>
      <c r="AB145" s="128">
        <f>C145&amp;"-"&amp;A145</f>
        <v/>
      </c>
      <c r="AC145" s="128">
        <f>L145</f>
        <v/>
      </c>
    </row>
    <row r="146">
      <c r="A146" s="124" t="inlineStr">
        <is>
          <t>ZPRO01</t>
        </is>
      </c>
      <c r="B146" s="124" t="n">
        <v>4</v>
      </c>
      <c r="C146" s="124" t="inlineStr">
        <is>
          <t>HFB310</t>
        </is>
      </c>
      <c r="D146" s="124" t="inlineStr">
        <is>
          <t>B</t>
        </is>
      </c>
      <c r="E146" s="124" t="inlineStr">
        <is>
          <t>du Toit Adrian</t>
        </is>
      </c>
      <c r="F146" s="125">
        <f>SUMIFS(Investors!$M:$M, Investors!$I:$I, "&lt;=" &amp; 'NSST Print'!$B$3, Investors!$K:$K, "&gt;" &amp; 'NSST Print'!$B$3, Investors!$A:$A, 'Investor Exit List'!A146, Investors!$E:$E, 'Investor Exit List'!C146)</f>
        <v/>
      </c>
      <c r="G146" s="126" t="n">
        <v>44550</v>
      </c>
      <c r="H146" s="124">
        <f>VLOOKUP($C146,Sales!$C:$E,2,FALSE)</f>
        <v/>
      </c>
      <c r="I146" s="124">
        <f>VLOOKUP($C146,Sales!$C:$E,3,FALSE)</f>
        <v/>
      </c>
      <c r="J146" s="126">
        <f>SUMIFS(Sales!$H:$H,Sales!$C:$C,'Investor Exit List'!$C146)</f>
        <v/>
      </c>
      <c r="K146" s="126">
        <f>IF(I146=TRUE,J146,"")</f>
        <v/>
      </c>
      <c r="L146" s="126">
        <f>G146+730</f>
        <v/>
      </c>
      <c r="M146" s="126" t="n">
        <v>45443</v>
      </c>
      <c r="N146" s="127">
        <f>IFERROR(IF(G146&lt;&gt;"",IF(I146=TRUE,0,IF(U146=TRUE,0,L146-M146)),0),0)</f>
        <v/>
      </c>
      <c r="O146" s="127">
        <f>IF(N146&gt;0,IF(N146&lt;=180,N146,0),0)</f>
        <v/>
      </c>
      <c r="P146" s="125">
        <f>IF(AND(N146&lt;90,N146&gt;0),Q146,0)</f>
        <v/>
      </c>
      <c r="Q146" s="125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25">
        <f>IF(AND(H146=TRUE,I146=FALSE),Q146,0)</f>
        <v/>
      </c>
      <c r="S146" s="125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26">
        <f>IF(U146=TRUE,$J146,"")</f>
        <v/>
      </c>
      <c r="U146" s="124" t="b">
        <v>0</v>
      </c>
      <c r="V146" s="125">
        <f>IF(AND(H146=TRUE,OR(K146="",K146&gt;M146)),S146,0)</f>
        <v/>
      </c>
      <c r="W146" s="124" t="n">
        <v>0</v>
      </c>
      <c r="X146" s="124" t="b">
        <v>0</v>
      </c>
      <c r="Y146" s="127">
        <f>IF(H146=FALSE,VLOOKUP($C146,Sales!$C:$F,4,FALSE),1)</f>
        <v/>
      </c>
      <c r="Z146" s="124">
        <f>IF(Y146=0,"Release",IF(AND(L146&lt;J146,Y146=1,H146=FALSE,U146=FALSE,MONTH(L146)&amp;"/"&amp;YEAR(L146)&lt;&gt;MONTH(J146)&amp;"/"&amp;YEAR(J146)),"Release",""))</f>
        <v/>
      </c>
      <c r="AA146" s="128">
        <f>_xlfn.minifs($L:$L,$C:$C,$C146,$F:$F,"&lt;&gt;0")</f>
        <v/>
      </c>
      <c r="AB146" s="128">
        <f>C146&amp;"-"&amp;A146</f>
        <v/>
      </c>
      <c r="AC146" s="128">
        <f>L146</f>
        <v/>
      </c>
    </row>
    <row r="147">
      <c r="A147" s="124" t="inlineStr">
        <is>
          <t>ZREN01</t>
        </is>
      </c>
      <c r="B147" s="124" t="n">
        <v>2</v>
      </c>
      <c r="C147" s="124" t="inlineStr">
        <is>
          <t>HFB311</t>
        </is>
      </c>
      <c r="D147" s="124" t="inlineStr">
        <is>
          <t>B</t>
        </is>
      </c>
      <c r="E147" s="124" t="inlineStr">
        <is>
          <t>van Rensburg Marlene Ann</t>
        </is>
      </c>
      <c r="F147" s="125">
        <f>SUMIFS(Investors!$M:$M, Investors!$I:$I, "&lt;=" &amp; 'NSST Print'!$B$3, Investors!$K:$K, "&gt;" &amp; 'NSST Print'!$B$3, Investors!$A:$A, 'Investor Exit List'!A147, Investors!$E:$E, 'Investor Exit List'!C147)</f>
        <v/>
      </c>
      <c r="G147" s="126" t="n">
        <v>44590</v>
      </c>
      <c r="H147" s="124">
        <f>VLOOKUP($C147,Sales!$C:$E,2,FALSE)</f>
        <v/>
      </c>
      <c r="I147" s="124">
        <f>VLOOKUP($C147,Sales!$C:$E,3,FALSE)</f>
        <v/>
      </c>
      <c r="J147" s="126">
        <f>SUMIFS(Sales!$H:$H,Sales!$C:$C,'Investor Exit List'!$C147)</f>
        <v/>
      </c>
      <c r="K147" s="126">
        <f>IF(I147=TRUE,J147,"")</f>
        <v/>
      </c>
      <c r="L147" s="126">
        <f>G147+730</f>
        <v/>
      </c>
      <c r="M147" s="126" t="n">
        <v>45443</v>
      </c>
      <c r="N147" s="127">
        <f>IFERROR(IF(G147&lt;&gt;"",IF(I147=TRUE,0,IF(U147=TRUE,0,L147-M147)),0),0)</f>
        <v/>
      </c>
      <c r="O147" s="127">
        <f>IF(N147&gt;0,IF(N147&lt;=180,N147,0),0)</f>
        <v/>
      </c>
      <c r="P147" s="125">
        <f>IF(AND(N147&lt;90,N147&gt;0),Q147,0)</f>
        <v/>
      </c>
      <c r="Q147" s="125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25">
        <f>IF(AND(H147=TRUE,I147=FALSE),Q147,0)</f>
        <v/>
      </c>
      <c r="S147" s="125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26">
        <f>IF(U147=TRUE,$J147,"")</f>
        <v/>
      </c>
      <c r="U147" s="124" t="b">
        <v>0</v>
      </c>
      <c r="V147" s="125">
        <f>IF(AND(H147=TRUE,OR(K147="",K147&gt;M147)),S147,0)</f>
        <v/>
      </c>
      <c r="W147" s="124" t="n">
        <v>0</v>
      </c>
      <c r="X147" s="124" t="b">
        <v>0</v>
      </c>
      <c r="Y147" s="127">
        <f>IF(H147=FALSE,VLOOKUP($C147,Sales!$C:$F,4,FALSE),1)</f>
        <v/>
      </c>
      <c r="Z147" s="124">
        <f>IF(Y147=0,"Release",IF(AND(L147&lt;J147,Y147=1,H147=FALSE,U147=FALSE,MONTH(L147)&amp;"/"&amp;YEAR(L147)&lt;&gt;MONTH(J147)&amp;"/"&amp;YEAR(J147)),"Release",""))</f>
        <v/>
      </c>
      <c r="AA147" s="128">
        <f>_xlfn.minifs($L:$L,$C:$C,$C147,$F:$F,"&lt;&gt;0")</f>
        <v/>
      </c>
      <c r="AB147" s="128">
        <f>C147&amp;"-"&amp;A147</f>
        <v/>
      </c>
      <c r="AC147" s="128">
        <f>L147</f>
        <v/>
      </c>
    </row>
    <row r="148">
      <c r="A148" s="124" t="inlineStr">
        <is>
          <t>ZVOR01</t>
        </is>
      </c>
      <c r="B148" s="124" t="n">
        <v>4</v>
      </c>
      <c r="C148" s="124" t="inlineStr">
        <is>
          <t>HFB311</t>
        </is>
      </c>
      <c r="D148" s="124" t="inlineStr">
        <is>
          <t>B</t>
        </is>
      </c>
      <c r="E148" s="124" t="inlineStr">
        <is>
          <t xml:space="preserve">Vorster Sophia Maria Catharina </t>
        </is>
      </c>
      <c r="F148" s="125">
        <f>SUMIFS(Investors!$M:$M, Investors!$I:$I, "&lt;=" &amp; 'NSST Print'!$B$3, Investors!$K:$K, "&gt;" &amp; 'NSST Print'!$B$3, Investors!$A:$A, 'Investor Exit List'!A148, Investors!$E:$E, 'Investor Exit List'!C148)</f>
        <v/>
      </c>
      <c r="G148" s="126" t="n">
        <v>44706</v>
      </c>
      <c r="H148" s="124">
        <f>VLOOKUP($C148,Sales!$C:$E,2,FALSE)</f>
        <v/>
      </c>
      <c r="I148" s="124">
        <f>VLOOKUP($C148,Sales!$C:$E,3,FALSE)</f>
        <v/>
      </c>
      <c r="J148" s="126">
        <f>SUMIFS(Sales!$H:$H,Sales!$C:$C,'Investor Exit List'!$C148)</f>
        <v/>
      </c>
      <c r="K148" s="126">
        <f>IF(I148=TRUE,J148,"")</f>
        <v/>
      </c>
      <c r="L148" s="126">
        <f>G148+730</f>
        <v/>
      </c>
      <c r="M148" s="126" t="n">
        <v>45443</v>
      </c>
      <c r="N148" s="127">
        <f>IFERROR(IF(G148&lt;&gt;"",IF(I148=TRUE,0,IF(U148=TRUE,0,L148-M148)),0),0)</f>
        <v/>
      </c>
      <c r="O148" s="127">
        <f>IF(N148&gt;0,IF(N148&lt;=180,N148,0),0)</f>
        <v/>
      </c>
      <c r="P148" s="125">
        <f>IF(AND(N148&lt;90,N148&gt;0),Q148,0)</f>
        <v/>
      </c>
      <c r="Q148" s="125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25">
        <f>IF(AND(H148=TRUE,I148=FALSE),Q148,0)</f>
        <v/>
      </c>
      <c r="S148" s="125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26">
        <f>IF(U148=TRUE,$J148,"")</f>
        <v/>
      </c>
      <c r="U148" s="124" t="b">
        <v>0</v>
      </c>
      <c r="V148" s="125">
        <f>IF(AND(H148=TRUE,OR(K148="",K148&gt;M148)),S148,0)</f>
        <v/>
      </c>
      <c r="W148" s="124" t="n">
        <v>0</v>
      </c>
      <c r="X148" s="124" t="b">
        <v>0</v>
      </c>
      <c r="Y148" s="127">
        <f>IF(H148=FALSE,VLOOKUP($C148,Sales!$C:$F,4,FALSE),1)</f>
        <v/>
      </c>
      <c r="Z148" s="124">
        <f>IF(Y148=0,"Release",IF(AND(L148&lt;J148,Y148=1,H148=FALSE,U148=FALSE,MONTH(L148)&amp;"/"&amp;YEAR(L148)&lt;&gt;MONTH(J148)&amp;"/"&amp;YEAR(J148)),"Release",""))</f>
        <v/>
      </c>
      <c r="AA148" s="128">
        <f>_xlfn.minifs($L:$L,$C:$C,$C148,$F:$F,"&lt;&gt;0")</f>
        <v/>
      </c>
      <c r="AB148" s="128">
        <f>C148&amp;"-"&amp;A148</f>
        <v/>
      </c>
      <c r="AC148" s="128">
        <f>L148</f>
        <v/>
      </c>
    </row>
    <row r="149">
      <c r="A149" s="124" t="inlineStr">
        <is>
          <t>ZREN01</t>
        </is>
      </c>
      <c r="B149" s="124" t="n">
        <v>3</v>
      </c>
      <c r="C149" s="124" t="inlineStr">
        <is>
          <t>HFB312</t>
        </is>
      </c>
      <c r="D149" s="124" t="inlineStr">
        <is>
          <t>B</t>
        </is>
      </c>
      <c r="E149" s="124" t="inlineStr">
        <is>
          <t>van Rensburg Marlene Ann</t>
        </is>
      </c>
      <c r="F149" s="125">
        <f>SUMIFS(Investors!$M:$M, Investors!$I:$I, "&lt;=" &amp; 'NSST Print'!$B$3, Investors!$K:$K, "&gt;" &amp; 'NSST Print'!$B$3, Investors!$A:$A, 'Investor Exit List'!A149, Investors!$E:$E, 'Investor Exit List'!C149)</f>
        <v/>
      </c>
      <c r="G149" s="126" t="n">
        <v>44581</v>
      </c>
      <c r="H149" s="124">
        <f>VLOOKUP($C149,Sales!$C:$E,2,FALSE)</f>
        <v/>
      </c>
      <c r="I149" s="124">
        <f>VLOOKUP($C149,Sales!$C:$E,3,FALSE)</f>
        <v/>
      </c>
      <c r="J149" s="126">
        <f>SUMIFS(Sales!$H:$H,Sales!$C:$C,'Investor Exit List'!$C149)</f>
        <v/>
      </c>
      <c r="K149" s="126">
        <f>IF(I149=TRUE,J149,"")</f>
        <v/>
      </c>
      <c r="L149" s="126">
        <f>G149+730</f>
        <v/>
      </c>
      <c r="M149" s="126" t="n">
        <v>45443</v>
      </c>
      <c r="N149" s="127">
        <f>IFERROR(IF(G149&lt;&gt;"",IF(I149=TRUE,0,IF(U149=TRUE,0,L149-M149)),0),0)</f>
        <v/>
      </c>
      <c r="O149" s="127">
        <f>IF(N149&gt;0,IF(N149&lt;=180,N149,0),0)</f>
        <v/>
      </c>
      <c r="P149" s="125">
        <f>IF(AND(N149&lt;90,N149&gt;0),Q149,0)</f>
        <v/>
      </c>
      <c r="Q149" s="125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25">
        <f>IF(AND(H149=TRUE,I149=FALSE),Q149,0)</f>
        <v/>
      </c>
      <c r="S149" s="125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26">
        <f>IF(U149=TRUE,$J149,"")</f>
        <v/>
      </c>
      <c r="U149" s="124" t="b">
        <v>0</v>
      </c>
      <c r="V149" s="125">
        <f>IF(AND(H149=TRUE,OR(K149="",K149&gt;M149)),S149,0)</f>
        <v/>
      </c>
      <c r="W149" s="124" t="n">
        <v>0</v>
      </c>
      <c r="X149" s="124" t="b">
        <v>0</v>
      </c>
      <c r="Y149" s="127">
        <f>IF(H149=FALSE,VLOOKUP($C149,Sales!$C:$F,4,FALSE),1)</f>
        <v/>
      </c>
      <c r="Z149" s="124">
        <f>IF(Y149=0,"Release",IF(AND(L149&lt;J149,Y149=1,H149=FALSE,U149=FALSE,MONTH(L149)&amp;"/"&amp;YEAR(L149)&lt;&gt;MONTH(J149)&amp;"/"&amp;YEAR(J149)),"Release",""))</f>
        <v/>
      </c>
      <c r="AA149" s="128">
        <f>_xlfn.minifs($L:$L,$C:$C,$C149,$F:$F,"&lt;&gt;0")</f>
        <v/>
      </c>
      <c r="AB149" s="128">
        <f>C149&amp;"-"&amp;A149</f>
        <v/>
      </c>
      <c r="AC149" s="128">
        <f>L149</f>
        <v/>
      </c>
    </row>
    <row r="150">
      <c r="A150" s="124" t="inlineStr">
        <is>
          <t>ZCON01</t>
        </is>
      </c>
      <c r="B150" s="124" t="n">
        <v>1</v>
      </c>
      <c r="C150" s="124" t="inlineStr">
        <is>
          <t>HFB313</t>
        </is>
      </c>
      <c r="D150" s="124" t="inlineStr">
        <is>
          <t>B</t>
        </is>
      </c>
      <c r="E150" s="124" t="inlineStr">
        <is>
          <t>Conradie Gerhard Lotter</t>
        </is>
      </c>
      <c r="F150" s="125">
        <f>SUMIFS(Investors!$M:$M, Investors!$I:$I, "&lt;=" &amp; 'NSST Print'!$B$3, Investors!$K:$K, "&gt;" &amp; 'NSST Print'!$B$3, Investors!$A:$A, 'Investor Exit List'!A150, Investors!$E:$E, 'Investor Exit List'!C150)</f>
        <v/>
      </c>
      <c r="G150" s="126" t="n">
        <v>44650</v>
      </c>
      <c r="H150" s="124">
        <f>VLOOKUP($C150,Sales!$C:$E,2,FALSE)</f>
        <v/>
      </c>
      <c r="I150" s="124">
        <f>VLOOKUP($C150,Sales!$C:$E,3,FALSE)</f>
        <v/>
      </c>
      <c r="J150" s="126">
        <f>SUMIFS(Sales!$H:$H,Sales!$C:$C,'Investor Exit List'!$C150)</f>
        <v/>
      </c>
      <c r="K150" s="126">
        <f>IF(I150=TRUE,J150,"")</f>
        <v/>
      </c>
      <c r="L150" s="126">
        <f>G150+730</f>
        <v/>
      </c>
      <c r="M150" s="126" t="n">
        <v>45443</v>
      </c>
      <c r="N150" s="127">
        <f>IFERROR(IF(G150&lt;&gt;"",IF(I150=TRUE,0,IF(U150=TRUE,0,L150-M150)),0),0)</f>
        <v/>
      </c>
      <c r="O150" s="127">
        <f>IF(N150&gt;0,IF(N150&lt;=180,N150,0),0)</f>
        <v/>
      </c>
      <c r="P150" s="125">
        <f>IF(AND(N150&lt;90,N150&gt;0),Q150,0)</f>
        <v/>
      </c>
      <c r="Q150" s="125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25">
        <f>IF(AND(H150=TRUE,I150=FALSE),Q150,0)</f>
        <v/>
      </c>
      <c r="S150" s="125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26">
        <f>IF(U150=TRUE,$J150,"")</f>
        <v/>
      </c>
      <c r="U150" s="124" t="b">
        <v>0</v>
      </c>
      <c r="V150" s="125">
        <f>IF(AND(H150=TRUE,OR(K150="",K150&gt;M150)),S150,0)</f>
        <v/>
      </c>
      <c r="W150" s="124" t="n">
        <v>0</v>
      </c>
      <c r="X150" s="124" t="b">
        <v>0</v>
      </c>
      <c r="Y150" s="127">
        <f>IF(H150=FALSE,VLOOKUP($C150,Sales!$C:$F,4,FALSE),1)</f>
        <v/>
      </c>
      <c r="Z150" s="124">
        <f>IF(Y150=0,"Release",IF(AND(L150&lt;J150,Y150=1,H150=FALSE,U150=FALSE,MONTH(L150)&amp;"/"&amp;YEAR(L150)&lt;&gt;MONTH(J150)&amp;"/"&amp;YEAR(J150)),"Release",""))</f>
        <v/>
      </c>
      <c r="AA150" s="128">
        <f>_xlfn.minifs($L:$L,$C:$C,$C150,$F:$F,"&lt;&gt;0")</f>
        <v/>
      </c>
      <c r="AB150" s="128">
        <f>C150&amp;"-"&amp;A150</f>
        <v/>
      </c>
      <c r="AC150" s="128">
        <f>L150</f>
        <v/>
      </c>
    </row>
    <row r="151">
      <c r="A151" s="124" t="inlineStr">
        <is>
          <t>ZCON01</t>
        </is>
      </c>
      <c r="B151" s="124" t="n">
        <v>2</v>
      </c>
      <c r="C151" s="124" t="inlineStr">
        <is>
          <t>HVC101</t>
        </is>
      </c>
      <c r="D151" s="124" t="inlineStr">
        <is>
          <t>C</t>
        </is>
      </c>
      <c r="E151" s="124" t="inlineStr">
        <is>
          <t>Conradie Gerhard Lotter</t>
        </is>
      </c>
      <c r="F151" s="125">
        <f>SUMIFS(Investors!$M:$M, Investors!$I:$I, "&lt;=" &amp; 'NSST Print'!$B$3, Investors!$K:$K, "&gt;" &amp; 'NSST Print'!$B$3, Investors!$A:$A, 'Investor Exit List'!A151, Investors!$E:$E, 'Investor Exit List'!C151)</f>
        <v/>
      </c>
      <c r="G151" s="126" t="n">
        <v>44681</v>
      </c>
      <c r="H151" s="124">
        <f>VLOOKUP($C151,Sales!$C:$E,2,FALSE)</f>
        <v/>
      </c>
      <c r="I151" s="124">
        <f>VLOOKUP($C151,Sales!$C:$E,3,FALSE)</f>
        <v/>
      </c>
      <c r="J151" s="126">
        <f>SUMIFS(Sales!$H:$H,Sales!$C:$C,'Investor Exit List'!$C151)</f>
        <v/>
      </c>
      <c r="K151" s="126">
        <f>IF(I151=TRUE,J151,"")</f>
        <v/>
      </c>
      <c r="L151" s="126">
        <f>G151+730</f>
        <v/>
      </c>
      <c r="M151" s="126" t="n">
        <v>45443</v>
      </c>
      <c r="N151" s="127">
        <f>IFERROR(IF(G151&lt;&gt;"",IF(I151=TRUE,0,IF(U151=TRUE,0,L151-M151)),0),0)</f>
        <v/>
      </c>
      <c r="O151" s="127">
        <f>IF(N151&gt;0,IF(N151&lt;=180,N151,0),0)</f>
        <v/>
      </c>
      <c r="P151" s="125">
        <f>IF(AND(N151&lt;90,N151&gt;0),Q151,0)</f>
        <v/>
      </c>
      <c r="Q151" s="125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25">
        <f>IF(AND(H151=TRUE,I151=FALSE),Q151,0)</f>
        <v/>
      </c>
      <c r="S151" s="125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26">
        <f>IF(U151=TRUE,$J151,"")</f>
        <v/>
      </c>
      <c r="U151" s="124" t="b">
        <v>0</v>
      </c>
      <c r="V151" s="125">
        <f>IF(AND(H151=TRUE,OR(K151="",K151&gt;M151)),S151,0)</f>
        <v/>
      </c>
      <c r="W151" s="124" t="n">
        <v>0</v>
      </c>
      <c r="X151" s="124" t="b">
        <v>0</v>
      </c>
      <c r="Y151" s="127">
        <f>IF(H151=FALSE,VLOOKUP($C151,Sales!$C:$F,4,FALSE),1)</f>
        <v/>
      </c>
      <c r="Z151" s="124">
        <f>IF(Y151=0,"Release",IF(AND(L151&lt;J151,Y151=1,H151=FALSE,U151=FALSE,MONTH(L151)&amp;"/"&amp;YEAR(L151)&lt;&gt;MONTH(J151)&amp;"/"&amp;YEAR(J151)),"Release",""))</f>
        <v/>
      </c>
      <c r="AA151" s="128">
        <f>_xlfn.minifs($L:$L,$C:$C,$C151,$F:$F,"&lt;&gt;0")</f>
        <v/>
      </c>
      <c r="AB151" s="128">
        <f>C151&amp;"-"&amp;A151</f>
        <v/>
      </c>
      <c r="AC151" s="128">
        <f>L151</f>
        <v/>
      </c>
    </row>
    <row r="152">
      <c r="A152" s="124" t="inlineStr">
        <is>
          <t>ZDEH01</t>
        </is>
      </c>
      <c r="B152" s="124" t="n">
        <v>2</v>
      </c>
      <c r="C152" s="124" t="inlineStr">
        <is>
          <t>HVC101</t>
        </is>
      </c>
      <c r="D152" s="124" t="inlineStr">
        <is>
          <t>C</t>
        </is>
      </c>
      <c r="E152" s="124" t="inlineStr">
        <is>
          <t>Oberholzer Charl</t>
        </is>
      </c>
      <c r="F152" s="125">
        <f>SUMIFS(Investors!$M:$M, Investors!$I:$I, "&lt;=" &amp; 'NSST Print'!$B$3, Investors!$K:$K, "&gt;" &amp; 'NSST Print'!$B$3, Investors!$A:$A, 'Investor Exit List'!A152, Investors!$E:$E, 'Investor Exit List'!C152)</f>
        <v/>
      </c>
      <c r="G152" s="126" t="n">
        <v>44889</v>
      </c>
      <c r="H152" s="124">
        <f>VLOOKUP($C152,Sales!$C:$E,2,FALSE)</f>
        <v/>
      </c>
      <c r="I152" s="124">
        <f>VLOOKUP($C152,Sales!$C:$E,3,FALSE)</f>
        <v/>
      </c>
      <c r="J152" s="126">
        <f>SUMIFS(Sales!$H:$H,Sales!$C:$C,'Investor Exit List'!$C152)</f>
        <v/>
      </c>
      <c r="K152" s="126">
        <f>IF(I152=TRUE,J152,"")</f>
        <v/>
      </c>
      <c r="L152" s="126">
        <f>G152+730</f>
        <v/>
      </c>
      <c r="M152" s="126" t="n">
        <v>45443</v>
      </c>
      <c r="N152" s="127">
        <f>IFERROR(IF(G152&lt;&gt;"",IF(I152=TRUE,0,IF(U152=TRUE,0,L152-M152)),0),0)</f>
        <v/>
      </c>
      <c r="O152" s="127">
        <f>IF(N152&gt;0,IF(N152&lt;=180,N152,0),0)</f>
        <v/>
      </c>
      <c r="P152" s="125">
        <f>IF(AND(N152&lt;90,N152&gt;0),Q152,0)</f>
        <v/>
      </c>
      <c r="Q152" s="125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25">
        <f>IF(AND(H152=TRUE,I152=FALSE),Q152,0)</f>
        <v/>
      </c>
      <c r="S152" s="125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26">
        <f>IF(U152=TRUE,$J152,"")</f>
        <v/>
      </c>
      <c r="U152" s="124" t="b">
        <v>0</v>
      </c>
      <c r="V152" s="125">
        <f>IF(AND(H152=TRUE,OR(K152="",K152&gt;M152)),S152,0)</f>
        <v/>
      </c>
      <c r="W152" s="124" t="n">
        <v>0</v>
      </c>
      <c r="X152" s="124" t="b">
        <v>0</v>
      </c>
      <c r="Y152" s="127">
        <f>IF(H152=FALSE,VLOOKUP($C152,Sales!$C:$F,4,FALSE),1)</f>
        <v/>
      </c>
      <c r="Z152" s="124">
        <f>IF(Y152=0,"Release",IF(AND(L152&lt;J152,Y152=1,H152=FALSE,U152=FALSE,MONTH(L152)&amp;"/"&amp;YEAR(L152)&lt;&gt;MONTH(J152)&amp;"/"&amp;YEAR(J152)),"Release",""))</f>
        <v/>
      </c>
      <c r="AA152" s="128">
        <f>_xlfn.minifs($L:$L,$C:$C,$C152,$F:$F,"&lt;&gt;0")</f>
        <v/>
      </c>
      <c r="AB152" s="128">
        <f>C152&amp;"-"&amp;A152</f>
        <v/>
      </c>
      <c r="AC152" s="128">
        <f>L152</f>
        <v/>
      </c>
    </row>
    <row r="153">
      <c r="A153" s="124" t="inlineStr">
        <is>
          <t>ZERA02</t>
        </is>
      </c>
      <c r="B153" s="124" t="n">
        <v>2</v>
      </c>
      <c r="C153" s="124" t="inlineStr">
        <is>
          <t>HVC101</t>
        </is>
      </c>
      <c r="D153" s="124" t="inlineStr">
        <is>
          <t>C</t>
        </is>
      </c>
      <c r="E153" s="124" t="inlineStr">
        <is>
          <t>Erasmus Chantal Celeste Jafthaleen</t>
        </is>
      </c>
      <c r="F153" s="125">
        <f>SUMIFS(Investors!$M:$M, Investors!$I:$I, "&lt;=" &amp; 'NSST Print'!$B$3, Investors!$K:$K, "&gt;" &amp; 'NSST Print'!$B$3, Investors!$A:$A, 'Investor Exit List'!A153, Investors!$E:$E, 'Investor Exit List'!C153)</f>
        <v/>
      </c>
      <c r="G153" s="126" t="n">
        <v>44889</v>
      </c>
      <c r="H153" s="124">
        <f>VLOOKUP($C153,Sales!$C:$E,2,FALSE)</f>
        <v/>
      </c>
      <c r="I153" s="124">
        <f>VLOOKUP($C153,Sales!$C:$E,3,FALSE)</f>
        <v/>
      </c>
      <c r="J153" s="126">
        <f>SUMIFS(Sales!$H:$H,Sales!$C:$C,'Investor Exit List'!$C153)</f>
        <v/>
      </c>
      <c r="K153" s="126">
        <f>IF(I153=TRUE,J153,"")</f>
        <v/>
      </c>
      <c r="L153" s="126">
        <f>G153+730</f>
        <v/>
      </c>
      <c r="M153" s="126" t="n">
        <v>45443</v>
      </c>
      <c r="N153" s="127">
        <f>IFERROR(IF(G153&lt;&gt;"",IF(I153=TRUE,0,IF(U153=TRUE,0,L153-M153)),0),0)</f>
        <v/>
      </c>
      <c r="O153" s="127">
        <f>IF(N153&gt;0,IF(N153&lt;=180,N153,0),0)</f>
        <v/>
      </c>
      <c r="P153" s="125">
        <f>IF(AND(N153&lt;90,N153&gt;0),Q153,0)</f>
        <v/>
      </c>
      <c r="Q153" s="125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25">
        <f>IF(AND(H153=TRUE,I153=FALSE),Q153,0)</f>
        <v/>
      </c>
      <c r="S153" s="125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26">
        <f>IF(U153=TRUE,$J153,"")</f>
        <v/>
      </c>
      <c r="U153" s="124" t="b">
        <v>0</v>
      </c>
      <c r="V153" s="125">
        <f>IF(AND(H153=TRUE,OR(K153="",K153&gt;M153)),S153,0)</f>
        <v/>
      </c>
      <c r="W153" s="124" t="n">
        <v>0</v>
      </c>
      <c r="X153" s="124" t="b">
        <v>0</v>
      </c>
      <c r="Y153" s="127">
        <f>IF(H153=FALSE,VLOOKUP($C153,Sales!$C:$F,4,FALSE),1)</f>
        <v/>
      </c>
      <c r="Z153" s="124">
        <f>IF(Y153=0,"Release",IF(AND(L153&lt;J153,Y153=1,H153=FALSE,U153=FALSE,MONTH(L153)&amp;"/"&amp;YEAR(L153)&lt;&gt;MONTH(J153)&amp;"/"&amp;YEAR(J153)),"Release",""))</f>
        <v/>
      </c>
      <c r="AA153" s="128">
        <f>_xlfn.minifs($L:$L,$C:$C,$C153,$F:$F,"&lt;&gt;0")</f>
        <v/>
      </c>
      <c r="AB153" s="128">
        <f>C153&amp;"-"&amp;A153</f>
        <v/>
      </c>
      <c r="AC153" s="128">
        <f>L153</f>
        <v/>
      </c>
    </row>
    <row r="154">
      <c r="A154" s="124" t="inlineStr">
        <is>
          <t>ZKRI02</t>
        </is>
      </c>
      <c r="B154" s="124" t="n">
        <v>2</v>
      </c>
      <c r="C154" s="124" t="inlineStr">
        <is>
          <t>HVC102</t>
        </is>
      </c>
      <c r="D154" s="124" t="inlineStr">
        <is>
          <t>C</t>
        </is>
      </c>
      <c r="E154" s="124" t="inlineStr">
        <is>
          <t>Kriel Hermanus Johannes</t>
        </is>
      </c>
      <c r="F154" s="125">
        <f>SUMIFS(Investors!$M:$M, Investors!$I:$I, "&lt;=" &amp; 'NSST Print'!$B$3, Investors!$K:$K, "&gt;" &amp; 'NSST Print'!$B$3, Investors!$A:$A, 'Investor Exit List'!A154, Investors!$E:$E, 'Investor Exit List'!C154)</f>
        <v/>
      </c>
      <c r="G154" s="126" t="n">
        <v>44861</v>
      </c>
      <c r="H154" s="124">
        <f>VLOOKUP($C154,Sales!$C:$E,2,FALSE)</f>
        <v/>
      </c>
      <c r="I154" s="124">
        <f>VLOOKUP($C154,Sales!$C:$E,3,FALSE)</f>
        <v/>
      </c>
      <c r="J154" s="126">
        <f>SUMIFS(Sales!$H:$H,Sales!$C:$C,'Investor Exit List'!$C154)</f>
        <v/>
      </c>
      <c r="K154" s="126">
        <f>IF(I154=TRUE,J154,"")</f>
        <v/>
      </c>
      <c r="L154" s="126">
        <f>G154+730</f>
        <v/>
      </c>
      <c r="M154" s="126" t="n">
        <v>45443</v>
      </c>
      <c r="N154" s="127">
        <f>IFERROR(IF(G154&lt;&gt;"",IF(I154=TRUE,0,IF(U154=TRUE,0,L154-M154)),0),0)</f>
        <v/>
      </c>
      <c r="O154" s="127">
        <f>IF(N154&gt;0,IF(N154&lt;=180,N154,0),0)</f>
        <v/>
      </c>
      <c r="P154" s="125">
        <f>IF(AND(N154&lt;90,N154&gt;0),Q154,0)</f>
        <v/>
      </c>
      <c r="Q154" s="125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25">
        <f>IF(AND(H154=TRUE,I154=FALSE),Q154,0)</f>
        <v/>
      </c>
      <c r="S154" s="125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26">
        <f>IF(U154=TRUE,$J154,"")</f>
        <v/>
      </c>
      <c r="U154" s="124" t="b">
        <v>0</v>
      </c>
      <c r="V154" s="125">
        <f>IF(AND(H154=TRUE,OR(K154="",K154&gt;M154)),S154,0)</f>
        <v/>
      </c>
      <c r="W154" s="124" t="n">
        <v>0</v>
      </c>
      <c r="X154" s="124" t="b">
        <v>0</v>
      </c>
      <c r="Y154" s="127">
        <f>IF(H154=FALSE,VLOOKUP($C154,Sales!$C:$F,4,FALSE),1)</f>
        <v/>
      </c>
      <c r="Z154" s="124">
        <f>IF(Y154=0,"Release",IF(AND(L154&lt;J154,Y154=1,H154=FALSE,U154=FALSE,MONTH(L154)&amp;"/"&amp;YEAR(L154)&lt;&gt;MONTH(J154)&amp;"/"&amp;YEAR(J154)),"Release",""))</f>
        <v/>
      </c>
      <c r="AA154" s="128">
        <f>_xlfn.minifs($L:$L,$C:$C,$C154,$F:$F,"&lt;&gt;0")</f>
        <v/>
      </c>
      <c r="AB154" s="128">
        <f>C154&amp;"-"&amp;A154</f>
        <v/>
      </c>
      <c r="AC154" s="128">
        <f>L154</f>
        <v/>
      </c>
    </row>
    <row r="155">
      <c r="A155" s="124" t="inlineStr">
        <is>
          <t>ZDEV01</t>
        </is>
      </c>
      <c r="B155" s="124" t="n">
        <v>1</v>
      </c>
      <c r="C155" s="124" t="inlineStr">
        <is>
          <t>HVC103</t>
        </is>
      </c>
      <c r="D155" s="124" t="inlineStr">
        <is>
          <t>C</t>
        </is>
      </c>
      <c r="E155" s="124" t="inlineStr">
        <is>
          <t>de Villiers Andre Deric</t>
        </is>
      </c>
      <c r="F155" s="125">
        <f>SUMIFS(Investors!$M:$M, Investors!$I:$I, "&lt;=" &amp; 'NSST Print'!$B$3, Investors!$K:$K, "&gt;" &amp; 'NSST Print'!$B$3, Investors!$A:$A, 'Investor Exit List'!A155, Investors!$E:$E, 'Investor Exit List'!C155)</f>
        <v/>
      </c>
      <c r="G155" s="126" t="n">
        <v>44861</v>
      </c>
      <c r="H155" s="124">
        <f>VLOOKUP($C155,Sales!$C:$E,2,FALSE)</f>
        <v/>
      </c>
      <c r="I155" s="124">
        <f>VLOOKUP($C155,Sales!$C:$E,3,FALSE)</f>
        <v/>
      </c>
      <c r="J155" s="126">
        <f>SUMIFS(Sales!$H:$H,Sales!$C:$C,'Investor Exit List'!$C155)</f>
        <v/>
      </c>
      <c r="K155" s="126">
        <f>IF(I155=TRUE,J155,"")</f>
        <v/>
      </c>
      <c r="L155" s="126">
        <f>G155+730</f>
        <v/>
      </c>
      <c r="M155" s="126" t="n">
        <v>45443</v>
      </c>
      <c r="N155" s="127">
        <f>IFERROR(IF(G155&lt;&gt;"",IF(I155=TRUE,0,IF(U155=TRUE,0,L155-M155)),0),0)</f>
        <v/>
      </c>
      <c r="O155" s="127">
        <f>IF(N155&gt;0,IF(N155&lt;=180,N155,0),0)</f>
        <v/>
      </c>
      <c r="P155" s="125">
        <f>IF(AND(N155&lt;90,N155&gt;0),Q155,0)</f>
        <v/>
      </c>
      <c r="Q155" s="125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25">
        <f>IF(AND(H155=TRUE,I155=FALSE),Q155,0)</f>
        <v/>
      </c>
      <c r="S155" s="125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26">
        <f>IF(U155=TRUE,$J155,"")</f>
        <v/>
      </c>
      <c r="U155" s="124" t="b">
        <v>0</v>
      </c>
      <c r="V155" s="125">
        <f>IF(AND(H155=TRUE,OR(K155="",K155&gt;M155)),S155,0)</f>
        <v/>
      </c>
      <c r="W155" s="124" t="n">
        <v>0</v>
      </c>
      <c r="X155" s="124" t="b">
        <v>0</v>
      </c>
      <c r="Y155" s="127">
        <f>IF(H155=FALSE,VLOOKUP($C155,Sales!$C:$F,4,FALSE),1)</f>
        <v/>
      </c>
      <c r="Z155" s="124">
        <f>IF(Y155=0,"Release",IF(AND(L155&lt;J155,Y155=1,H155=FALSE,U155=FALSE,MONTH(L155)&amp;"/"&amp;YEAR(L155)&lt;&gt;MONTH(J155)&amp;"/"&amp;YEAR(J155)),"Release",""))</f>
        <v/>
      </c>
      <c r="AA155" s="128">
        <f>_xlfn.minifs($L:$L,$C:$C,$C155,$F:$F,"&lt;&gt;0")</f>
        <v/>
      </c>
      <c r="AB155" s="128">
        <f>C155&amp;"-"&amp;A155</f>
        <v/>
      </c>
      <c r="AC155" s="128">
        <f>L155</f>
        <v/>
      </c>
    </row>
    <row r="156">
      <c r="A156" s="124" t="inlineStr">
        <is>
          <t>ZTHA01</t>
        </is>
      </c>
      <c r="B156" s="124" t="n">
        <v>2</v>
      </c>
      <c r="C156" s="124" t="inlineStr">
        <is>
          <t>HVC103</t>
        </is>
      </c>
      <c r="D156" s="124" t="inlineStr">
        <is>
          <t>C</t>
        </is>
      </c>
      <c r="E156" s="124" t="inlineStr">
        <is>
          <t>Matthee Gerald Adriaan Odendal</t>
        </is>
      </c>
      <c r="F156" s="125">
        <f>SUMIFS(Investors!$M:$M, Investors!$I:$I, "&lt;=" &amp; 'NSST Print'!$B$3, Investors!$K:$K, "&gt;" &amp; 'NSST Print'!$B$3, Investors!$A:$A, 'Investor Exit List'!A156, Investors!$E:$E, 'Investor Exit List'!C156)</f>
        <v/>
      </c>
      <c r="G156" s="126" t="n">
        <v>44868</v>
      </c>
      <c r="H156" s="124">
        <f>VLOOKUP($C156,Sales!$C:$E,2,FALSE)</f>
        <v/>
      </c>
      <c r="I156" s="124">
        <f>VLOOKUP($C156,Sales!$C:$E,3,FALSE)</f>
        <v/>
      </c>
      <c r="J156" s="126">
        <f>SUMIFS(Sales!$H:$H,Sales!$C:$C,'Investor Exit List'!$C156)</f>
        <v/>
      </c>
      <c r="K156" s="126">
        <f>IF(I156=TRUE,J156,"")</f>
        <v/>
      </c>
      <c r="L156" s="126">
        <f>G156+730</f>
        <v/>
      </c>
      <c r="M156" s="126" t="n">
        <v>45443</v>
      </c>
      <c r="N156" s="127">
        <f>IFERROR(IF(G156&lt;&gt;"",IF(I156=TRUE,0,IF(U156=TRUE,0,L156-M156)),0),0)</f>
        <v/>
      </c>
      <c r="O156" s="127">
        <f>IF(N156&gt;0,IF(N156&lt;=180,N156,0),0)</f>
        <v/>
      </c>
      <c r="P156" s="125">
        <f>IF(AND(N156&lt;90,N156&gt;0),Q156,0)</f>
        <v/>
      </c>
      <c r="Q156" s="125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25">
        <f>IF(AND(H156=TRUE,I156=FALSE),Q156,0)</f>
        <v/>
      </c>
      <c r="S156" s="125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26">
        <f>IF(U156=TRUE,$J156,"")</f>
        <v/>
      </c>
      <c r="U156" s="124" t="b">
        <v>0</v>
      </c>
      <c r="V156" s="125">
        <f>IF(AND(H156=TRUE,OR(K156="",K156&gt;M156)),S156,0)</f>
        <v/>
      </c>
      <c r="W156" s="124" t="n">
        <v>0</v>
      </c>
      <c r="X156" s="124" t="b">
        <v>0</v>
      </c>
      <c r="Y156" s="127">
        <f>IF(H156=FALSE,VLOOKUP($C156,Sales!$C:$F,4,FALSE),1)</f>
        <v/>
      </c>
      <c r="Z156" s="124">
        <f>IF(Y156=0,"Release",IF(AND(L156&lt;J156,Y156=1,H156=FALSE,U156=FALSE,MONTH(L156)&amp;"/"&amp;YEAR(L156)&lt;&gt;MONTH(J156)&amp;"/"&amp;YEAR(J156)),"Release",""))</f>
        <v/>
      </c>
      <c r="AA156" s="128">
        <f>_xlfn.minifs($L:$L,$C:$C,$C156,$F:$F,"&lt;&gt;0")</f>
        <v/>
      </c>
      <c r="AB156" s="128">
        <f>C156&amp;"-"&amp;A156</f>
        <v/>
      </c>
      <c r="AC156" s="128">
        <f>L156</f>
        <v/>
      </c>
    </row>
    <row r="157">
      <c r="A157" s="124" t="inlineStr">
        <is>
          <t>ZBEL01</t>
        </is>
      </c>
      <c r="B157" s="124" t="n">
        <v>4</v>
      </c>
      <c r="C157" s="124" t="inlineStr">
        <is>
          <t>HVC104</t>
        </is>
      </c>
      <c r="D157" s="124" t="inlineStr">
        <is>
          <t>C</t>
        </is>
      </c>
      <c r="E157" s="124" t="inlineStr">
        <is>
          <t>Belford Helen Constance</t>
        </is>
      </c>
      <c r="F157" s="125">
        <f>SUMIFS(Investors!$M:$M, Investors!$I:$I, "&lt;=" &amp; 'NSST Print'!$B$3, Investors!$K:$K, "&gt;" &amp; 'NSST Print'!$B$3, Investors!$A:$A, 'Investor Exit List'!A157, Investors!$E:$E, 'Investor Exit List'!C157)</f>
        <v/>
      </c>
      <c r="G157" s="126" t="n">
        <v>44868</v>
      </c>
      <c r="H157" s="124">
        <f>VLOOKUP($C157,Sales!$C:$E,2,FALSE)</f>
        <v/>
      </c>
      <c r="I157" s="124">
        <f>VLOOKUP($C157,Sales!$C:$E,3,FALSE)</f>
        <v/>
      </c>
      <c r="J157" s="126">
        <f>SUMIFS(Sales!$H:$H,Sales!$C:$C,'Investor Exit List'!$C157)</f>
        <v/>
      </c>
      <c r="K157" s="126">
        <f>IF(I157=TRUE,J157,"")</f>
        <v/>
      </c>
      <c r="L157" s="126">
        <f>G157+730</f>
        <v/>
      </c>
      <c r="M157" s="126" t="n">
        <v>45443</v>
      </c>
      <c r="N157" s="127">
        <f>IFERROR(IF(G157&lt;&gt;"",IF(I157=TRUE,0,IF(U157=TRUE,0,L157-M157)),0),0)</f>
        <v/>
      </c>
      <c r="O157" s="127">
        <f>IF(N157&gt;0,IF(N157&lt;=180,N157,0),0)</f>
        <v/>
      </c>
      <c r="P157" s="125">
        <f>IF(AND(N157&lt;90,N157&gt;0),Q157,0)</f>
        <v/>
      </c>
      <c r="Q157" s="125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25">
        <f>IF(AND(H157=TRUE,I157=FALSE),Q157,0)</f>
        <v/>
      </c>
      <c r="S157" s="125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26">
        <f>IF(U157=TRUE,$J157,"")</f>
        <v/>
      </c>
      <c r="U157" s="124" t="b">
        <v>0</v>
      </c>
      <c r="V157" s="125">
        <f>IF(AND(H157=TRUE,OR(K157="",K157&gt;M157)),S157,0)</f>
        <v/>
      </c>
      <c r="W157" s="124" t="n">
        <v>0</v>
      </c>
      <c r="X157" s="124" t="b">
        <v>0</v>
      </c>
      <c r="Y157" s="127">
        <f>IF(H157=FALSE,VLOOKUP($C157,Sales!$C:$F,4,FALSE),1)</f>
        <v/>
      </c>
      <c r="Z157" s="124">
        <f>IF(Y157=0,"Release",IF(AND(L157&lt;J157,Y157=1,H157=FALSE,U157=FALSE,MONTH(L157)&amp;"/"&amp;YEAR(L157)&lt;&gt;MONTH(J157)&amp;"/"&amp;YEAR(J157)),"Release",""))</f>
        <v/>
      </c>
      <c r="AA157" s="128">
        <f>_xlfn.minifs($L:$L,$C:$C,$C157,$F:$F,"&lt;&gt;0")</f>
        <v/>
      </c>
      <c r="AB157" s="128">
        <f>C157&amp;"-"&amp;A157</f>
        <v/>
      </c>
      <c r="AC157" s="128">
        <f>L157</f>
        <v/>
      </c>
    </row>
    <row r="158">
      <c r="A158" s="124" t="inlineStr">
        <is>
          <t>ZLEW01</t>
        </is>
      </c>
      <c r="B158" s="124" t="n">
        <v>8</v>
      </c>
      <c r="C158" s="124" t="inlineStr">
        <is>
          <t>HVC104</t>
        </is>
      </c>
      <c r="D158" s="124" t="inlineStr">
        <is>
          <t>C</t>
        </is>
      </c>
      <c r="E158" s="124" t="inlineStr">
        <is>
          <t>Lewis Martina Christina</t>
        </is>
      </c>
      <c r="F158" s="125">
        <f>SUMIFS(Investors!$M:$M, Investors!$I:$I, "&lt;=" &amp; 'NSST Print'!$B$3, Investors!$K:$K, "&gt;" &amp; 'NSST Print'!$B$3, Investors!$A:$A, 'Investor Exit List'!A158, Investors!$E:$E, 'Investor Exit List'!C158)</f>
        <v/>
      </c>
      <c r="G158" s="126" t="n">
        <v>44889</v>
      </c>
      <c r="H158" s="124">
        <f>VLOOKUP($C158,Sales!$C:$E,2,FALSE)</f>
        <v/>
      </c>
      <c r="I158" s="124">
        <f>VLOOKUP($C158,Sales!$C:$E,3,FALSE)</f>
        <v/>
      </c>
      <c r="J158" s="126">
        <f>SUMIFS(Sales!$H:$H,Sales!$C:$C,'Investor Exit List'!$C158)</f>
        <v/>
      </c>
      <c r="K158" s="126">
        <f>IF(I158=TRUE,J158,"")</f>
        <v/>
      </c>
      <c r="L158" s="126">
        <f>G158+730</f>
        <v/>
      </c>
      <c r="M158" s="126" t="n">
        <v>45443</v>
      </c>
      <c r="N158" s="127">
        <f>IFERROR(IF(G158&lt;&gt;"",IF(I158=TRUE,0,IF(U158=TRUE,0,L158-M158)),0),0)</f>
        <v/>
      </c>
      <c r="O158" s="127">
        <f>IF(N158&gt;0,IF(N158&lt;=180,N158,0),0)</f>
        <v/>
      </c>
      <c r="P158" s="125">
        <f>IF(AND(N158&lt;90,N158&gt;0),Q158,0)</f>
        <v/>
      </c>
      <c r="Q158" s="125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25">
        <f>IF(AND(H158=TRUE,I158=FALSE),Q158,0)</f>
        <v/>
      </c>
      <c r="S158" s="125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26">
        <f>IF(U158=TRUE,$J158,"")</f>
        <v/>
      </c>
      <c r="U158" s="124" t="b">
        <v>0</v>
      </c>
      <c r="V158" s="125">
        <f>IF(AND(H158=TRUE,OR(K158="",K158&gt;M158)),S158,0)</f>
        <v/>
      </c>
      <c r="W158" s="124" t="n">
        <v>0</v>
      </c>
      <c r="X158" s="124" t="b">
        <v>0</v>
      </c>
      <c r="Y158" s="127">
        <f>IF(H158=FALSE,VLOOKUP($C158,Sales!$C:$F,4,FALSE),1)</f>
        <v/>
      </c>
      <c r="Z158" s="124">
        <f>IF(Y158=0,"Release",IF(AND(L158&lt;J158,Y158=1,H158=FALSE,U158=FALSE,MONTH(L158)&amp;"/"&amp;YEAR(L158)&lt;&gt;MONTH(J158)&amp;"/"&amp;YEAR(J158)),"Release",""))</f>
        <v/>
      </c>
      <c r="AA158" s="128">
        <f>_xlfn.minifs($L:$L,$C:$C,$C158,$F:$F,"&lt;&gt;0")</f>
        <v/>
      </c>
      <c r="AB158" s="128">
        <f>C158&amp;"-"&amp;A158</f>
        <v/>
      </c>
      <c r="AC158" s="128">
        <f>L158</f>
        <v/>
      </c>
    </row>
    <row r="159">
      <c r="A159" s="124" t="inlineStr">
        <is>
          <t>ZDEM01</t>
        </is>
      </c>
      <c r="B159" s="124" t="n">
        <v>2</v>
      </c>
      <c r="C159" s="124" t="inlineStr">
        <is>
          <t>HVC105</t>
        </is>
      </c>
      <c r="D159" s="124" t="inlineStr">
        <is>
          <t>C</t>
        </is>
      </c>
      <c r="E159" s="124" t="inlineStr">
        <is>
          <t>De Montille Gillies Nikian Anton</t>
        </is>
      </c>
      <c r="F159" s="125">
        <f>SUMIFS(Investors!$M:$M, Investors!$I:$I, "&lt;=" &amp; 'NSST Print'!$B$3, Investors!$K:$K, "&gt;" &amp; 'NSST Print'!$B$3, Investors!$A:$A, 'Investor Exit List'!A159, Investors!$E:$E, 'Investor Exit List'!C159)</f>
        <v/>
      </c>
      <c r="G159" s="126" t="n">
        <v>44889</v>
      </c>
      <c r="H159" s="124">
        <f>VLOOKUP($C159,Sales!$C:$E,2,FALSE)</f>
        <v/>
      </c>
      <c r="I159" s="124">
        <f>VLOOKUP($C159,Sales!$C:$E,3,FALSE)</f>
        <v/>
      </c>
      <c r="J159" s="126">
        <f>SUMIFS(Sales!$H:$H,Sales!$C:$C,'Investor Exit List'!$C159)</f>
        <v/>
      </c>
      <c r="K159" s="126">
        <f>IF(I159=TRUE,J159,"")</f>
        <v/>
      </c>
      <c r="L159" s="126">
        <f>G159+730</f>
        <v/>
      </c>
      <c r="M159" s="126" t="n">
        <v>45443</v>
      </c>
      <c r="N159" s="127">
        <f>IFERROR(IF(G159&lt;&gt;"",IF(I159=TRUE,0,IF(U159=TRUE,0,L159-M159)),0),0)</f>
        <v/>
      </c>
      <c r="O159" s="127">
        <f>IF(N159&gt;0,IF(N159&lt;=180,N159,0),0)</f>
        <v/>
      </c>
      <c r="P159" s="125">
        <f>IF(AND(N159&lt;90,N159&gt;0),Q159,0)</f>
        <v/>
      </c>
      <c r="Q159" s="125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25">
        <f>IF(AND(H159=TRUE,I159=FALSE),Q159,0)</f>
        <v/>
      </c>
      <c r="S159" s="125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26">
        <f>IF(U159=TRUE,$J159,"")</f>
        <v/>
      </c>
      <c r="U159" s="124" t="b">
        <v>0</v>
      </c>
      <c r="V159" s="125">
        <f>IF(AND(H159=TRUE,OR(K159="",K159&gt;M159)),S159,0)</f>
        <v/>
      </c>
      <c r="W159" s="124" t="n">
        <v>0</v>
      </c>
      <c r="X159" s="124" t="b">
        <v>0</v>
      </c>
      <c r="Y159" s="127">
        <f>IF(H159=FALSE,VLOOKUP($C159,Sales!$C:$F,4,FALSE),1)</f>
        <v/>
      </c>
      <c r="Z159" s="124">
        <f>IF(Y159=0,"Release",IF(AND(L159&lt;J159,Y159=1,H159=FALSE,U159=FALSE,MONTH(L159)&amp;"/"&amp;YEAR(L159)&lt;&gt;MONTH(J159)&amp;"/"&amp;YEAR(J159)),"Release",""))</f>
        <v/>
      </c>
      <c r="AA159" s="128">
        <f>_xlfn.minifs($L:$L,$C:$C,$C159,$F:$F,"&lt;&gt;0")</f>
        <v/>
      </c>
      <c r="AB159" s="128">
        <f>C159&amp;"-"&amp;A159</f>
        <v/>
      </c>
      <c r="AC159" s="128">
        <f>L159</f>
        <v/>
      </c>
    </row>
    <row r="160">
      <c r="A160" s="124" t="inlineStr">
        <is>
          <t>ZWED01</t>
        </is>
      </c>
      <c r="B160" s="124" t="n">
        <v>6</v>
      </c>
      <c r="C160" s="124" t="inlineStr">
        <is>
          <t>HVC105</t>
        </is>
      </c>
      <c r="D160" s="124" t="inlineStr">
        <is>
          <t>C</t>
        </is>
      </c>
      <c r="E160" s="124" t="inlineStr">
        <is>
          <t>Wedermann Hans Jurgen Peter</t>
        </is>
      </c>
      <c r="F160" s="125">
        <f>SUMIFS(Investors!$M:$M, Investors!$I:$I, "&lt;=" &amp; 'NSST Print'!$B$3, Investors!$K:$K, "&gt;" &amp; 'NSST Print'!$B$3, Investors!$A:$A, 'Investor Exit List'!A160, Investors!$E:$E, 'Investor Exit List'!C160)</f>
        <v/>
      </c>
      <c r="G160" s="126" t="n">
        <v>44861</v>
      </c>
      <c r="H160" s="124">
        <f>VLOOKUP($C160,Sales!$C:$E,2,FALSE)</f>
        <v/>
      </c>
      <c r="I160" s="124">
        <f>VLOOKUP($C160,Sales!$C:$E,3,FALSE)</f>
        <v/>
      </c>
      <c r="J160" s="126">
        <f>SUMIFS(Sales!$H:$H,Sales!$C:$C,'Investor Exit List'!$C160)</f>
        <v/>
      </c>
      <c r="K160" s="126">
        <f>IF(I160=TRUE,J160,"")</f>
        <v/>
      </c>
      <c r="L160" s="126">
        <f>G160+730</f>
        <v/>
      </c>
      <c r="M160" s="126" t="n">
        <v>45443</v>
      </c>
      <c r="N160" s="127">
        <f>IFERROR(IF(G160&lt;&gt;"",IF(I160=TRUE,0,IF(U160=TRUE,0,L160-M160)),0),0)</f>
        <v/>
      </c>
      <c r="O160" s="127">
        <f>IF(N160&gt;0,IF(N160&lt;=180,N160,0),0)</f>
        <v/>
      </c>
      <c r="P160" s="125">
        <f>IF(AND(N160&lt;90,N160&gt;0),Q160,0)</f>
        <v/>
      </c>
      <c r="Q160" s="125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25">
        <f>IF(AND(H160=TRUE,I160=FALSE),Q160,0)</f>
        <v/>
      </c>
      <c r="S160" s="125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26">
        <f>IF(U160=TRUE,$J160,"")</f>
        <v/>
      </c>
      <c r="U160" s="124" t="b">
        <v>0</v>
      </c>
      <c r="V160" s="125">
        <f>IF(AND(H160=TRUE,OR(K160="",K160&gt;M160)),S160,0)</f>
        <v/>
      </c>
      <c r="W160" s="124" t="n">
        <v>0</v>
      </c>
      <c r="X160" s="124" t="b">
        <v>0</v>
      </c>
      <c r="Y160" s="127">
        <f>IF(H160=FALSE,VLOOKUP($C160,Sales!$C:$F,4,FALSE),1)</f>
        <v/>
      </c>
      <c r="Z160" s="124">
        <f>IF(Y160=0,"Release",IF(AND(L160&lt;J160,Y160=1,H160=FALSE,U160=FALSE,MONTH(L160)&amp;"/"&amp;YEAR(L160)&lt;&gt;MONTH(J160)&amp;"/"&amp;YEAR(J160)),"Release",""))</f>
        <v/>
      </c>
      <c r="AA160" s="128">
        <f>_xlfn.minifs($L:$L,$C:$C,$C160,$F:$F,"&lt;&gt;0")</f>
        <v/>
      </c>
      <c r="AB160" s="128">
        <f>C160&amp;"-"&amp;A160</f>
        <v/>
      </c>
      <c r="AC160" s="128">
        <f>L160</f>
        <v/>
      </c>
    </row>
    <row r="161">
      <c r="A161" s="124" t="inlineStr">
        <is>
          <t>ZNUN01</t>
        </is>
      </c>
      <c r="B161" s="124" t="n">
        <v>7</v>
      </c>
      <c r="C161" s="124" t="inlineStr">
        <is>
          <t>HVC106</t>
        </is>
      </c>
      <c r="D161" s="124" t="inlineStr">
        <is>
          <t>C</t>
        </is>
      </c>
      <c r="E161" s="124" t="inlineStr">
        <is>
          <t>Nunes Francisco Antonio</t>
        </is>
      </c>
      <c r="F161" s="125">
        <f>SUMIFS(Investors!$M:$M, Investors!$I:$I, "&lt;=" &amp; 'NSST Print'!$B$3, Investors!$K:$K, "&gt;" &amp; 'NSST Print'!$B$3, Investors!$A:$A, 'Investor Exit List'!A161, Investors!$E:$E, 'Investor Exit List'!C161)</f>
        <v/>
      </c>
      <c r="G161" s="126" t="n">
        <v>44876</v>
      </c>
      <c r="H161" s="124">
        <f>VLOOKUP($C161,Sales!$C:$E,2,FALSE)</f>
        <v/>
      </c>
      <c r="I161" s="124">
        <f>VLOOKUP($C161,Sales!$C:$E,3,FALSE)</f>
        <v/>
      </c>
      <c r="J161" s="126">
        <f>SUMIFS(Sales!$H:$H,Sales!$C:$C,'Investor Exit List'!$C161)</f>
        <v/>
      </c>
      <c r="K161" s="126">
        <f>IF(I161=TRUE,J161,"")</f>
        <v/>
      </c>
      <c r="L161" s="126">
        <f>G161+730</f>
        <v/>
      </c>
      <c r="M161" s="126" t="n">
        <v>45443</v>
      </c>
      <c r="N161" s="127">
        <f>IFERROR(IF(G161&lt;&gt;"",IF(I161=TRUE,0,IF(U161=TRUE,0,L161-M161)),0),0)</f>
        <v/>
      </c>
      <c r="O161" s="127">
        <f>IF(N161&gt;0,IF(N161&lt;=180,N161,0),0)</f>
        <v/>
      </c>
      <c r="P161" s="125">
        <f>IF(AND(N161&lt;90,N161&gt;0),Q161,0)</f>
        <v/>
      </c>
      <c r="Q161" s="125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25">
        <f>IF(AND(H161=TRUE,I161=FALSE),Q161,0)</f>
        <v/>
      </c>
      <c r="S161" s="125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26">
        <f>IF(U161=TRUE,$J161,"")</f>
        <v/>
      </c>
      <c r="U161" s="124" t="b">
        <v>0</v>
      </c>
      <c r="V161" s="125">
        <f>IF(AND(H161=TRUE,OR(K161="",K161&gt;M161)),S161,0)</f>
        <v/>
      </c>
      <c r="W161" s="124" t="n">
        <v>0</v>
      </c>
      <c r="X161" s="124" t="b">
        <v>0</v>
      </c>
      <c r="Y161" s="127">
        <f>IF(H161=FALSE,VLOOKUP($C161,Sales!$C:$F,4,FALSE),1)</f>
        <v/>
      </c>
      <c r="Z161" s="124">
        <f>IF(Y161=0,"Release",IF(AND(L161&lt;J161,Y161=1,H161=FALSE,U161=FALSE,MONTH(L161)&amp;"/"&amp;YEAR(L161)&lt;&gt;MONTH(J161)&amp;"/"&amp;YEAR(J161)),"Release",""))</f>
        <v/>
      </c>
      <c r="AA161" s="128">
        <f>_xlfn.minifs($L:$L,$C:$C,$C161,$F:$F,"&lt;&gt;0")</f>
        <v/>
      </c>
      <c r="AB161" s="128">
        <f>C161&amp;"-"&amp;A161</f>
        <v/>
      </c>
      <c r="AC161" s="128">
        <f>L161</f>
        <v/>
      </c>
    </row>
    <row r="162">
      <c r="A162" s="124" t="inlineStr">
        <is>
          <t>ZOLI01</t>
        </is>
      </c>
      <c r="B162" s="124" t="n">
        <v>3</v>
      </c>
      <c r="C162" s="124" t="inlineStr">
        <is>
          <t>HVC106</t>
        </is>
      </c>
      <c r="D162" s="124" t="inlineStr">
        <is>
          <t>C</t>
        </is>
      </c>
      <c r="E162" s="124" t="inlineStr">
        <is>
          <t>Olivier Jan Lukas Cornelus</t>
        </is>
      </c>
      <c r="F162" s="125">
        <f>SUMIFS(Investors!$M:$M, Investors!$I:$I, "&lt;=" &amp; 'NSST Print'!$B$3, Investors!$K:$K, "&gt;" &amp; 'NSST Print'!$B$3, Investors!$A:$A, 'Investor Exit List'!A162, Investors!$E:$E, 'Investor Exit List'!C162)</f>
        <v/>
      </c>
      <c r="G162" s="126" t="n">
        <v>44889</v>
      </c>
      <c r="H162" s="124">
        <f>VLOOKUP($C162,Sales!$C:$E,2,FALSE)</f>
        <v/>
      </c>
      <c r="I162" s="124">
        <f>VLOOKUP($C162,Sales!$C:$E,3,FALSE)</f>
        <v/>
      </c>
      <c r="J162" s="126">
        <f>SUMIFS(Sales!$H:$H,Sales!$C:$C,'Investor Exit List'!$C162)</f>
        <v/>
      </c>
      <c r="K162" s="126">
        <f>IF(I162=TRUE,J162,"")</f>
        <v/>
      </c>
      <c r="L162" s="126">
        <f>G162+730</f>
        <v/>
      </c>
      <c r="M162" s="126" t="n">
        <v>45443</v>
      </c>
      <c r="N162" s="127">
        <f>IFERROR(IF(G162&lt;&gt;"",IF(I162=TRUE,0,IF(U162=TRUE,0,L162-M162)),0),0)</f>
        <v/>
      </c>
      <c r="O162" s="127">
        <f>IF(N162&gt;0,IF(N162&lt;=180,N162,0),0)</f>
        <v/>
      </c>
      <c r="P162" s="125">
        <f>IF(AND(N162&lt;90,N162&gt;0),Q162,0)</f>
        <v/>
      </c>
      <c r="Q162" s="125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25">
        <f>IF(AND(H162=TRUE,I162=FALSE),Q162,0)</f>
        <v/>
      </c>
      <c r="S162" s="125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26">
        <f>IF(U162=TRUE,$J162,"")</f>
        <v/>
      </c>
      <c r="U162" s="124" t="b">
        <v>0</v>
      </c>
      <c r="V162" s="125">
        <f>IF(AND(H162=TRUE,OR(K162="",K162&gt;M162)),S162,0)</f>
        <v/>
      </c>
      <c r="W162" s="124" t="n">
        <v>0</v>
      </c>
      <c r="X162" s="124" t="b">
        <v>0</v>
      </c>
      <c r="Y162" s="127">
        <f>IF(H162=FALSE,VLOOKUP($C162,Sales!$C:$F,4,FALSE),1)</f>
        <v/>
      </c>
      <c r="Z162" s="124">
        <f>IF(Y162=0,"Release",IF(AND(L162&lt;J162,Y162=1,H162=FALSE,U162=FALSE,MONTH(L162)&amp;"/"&amp;YEAR(L162)&lt;&gt;MONTH(J162)&amp;"/"&amp;YEAR(J162)),"Release",""))</f>
        <v/>
      </c>
      <c r="AA162" s="128">
        <f>_xlfn.minifs($L:$L,$C:$C,$C162,$F:$F,"&lt;&gt;0")</f>
        <v/>
      </c>
      <c r="AB162" s="128">
        <f>C162&amp;"-"&amp;A162</f>
        <v/>
      </c>
      <c r="AC162" s="128">
        <f>L162</f>
        <v/>
      </c>
    </row>
    <row r="163">
      <c r="A163" s="124" t="inlineStr">
        <is>
          <t>ZRIT01</t>
        </is>
      </c>
      <c r="B163" s="124" t="n">
        <v>5</v>
      </c>
      <c r="C163" s="124" t="inlineStr">
        <is>
          <t>HVC106</t>
        </is>
      </c>
      <c r="D163" s="124" t="inlineStr">
        <is>
          <t>C</t>
        </is>
      </c>
      <c r="E163" s="124" t="inlineStr">
        <is>
          <t>Ritter Dennis</t>
        </is>
      </c>
      <c r="F163" s="125">
        <f>SUMIFS(Investors!$M:$M, Investors!$I:$I, "&lt;=" &amp; 'NSST Print'!$B$3, Investors!$K:$K, "&gt;" &amp; 'NSST Print'!$B$3, Investors!$A:$A, 'Investor Exit List'!A163, Investors!$E:$E, 'Investor Exit List'!C163)</f>
        <v/>
      </c>
      <c r="G163" s="126" t="n">
        <v>44889</v>
      </c>
      <c r="H163" s="124">
        <f>VLOOKUP($C163,Sales!$C:$E,2,FALSE)</f>
        <v/>
      </c>
      <c r="I163" s="124">
        <f>VLOOKUP($C163,Sales!$C:$E,3,FALSE)</f>
        <v/>
      </c>
      <c r="J163" s="126">
        <f>SUMIFS(Sales!$H:$H,Sales!$C:$C,'Investor Exit List'!$C163)</f>
        <v/>
      </c>
      <c r="K163" s="126">
        <f>IF(I163=TRUE,J163,"")</f>
        <v/>
      </c>
      <c r="L163" s="126">
        <f>G163+730</f>
        <v/>
      </c>
      <c r="M163" s="126" t="n">
        <v>45443</v>
      </c>
      <c r="N163" s="127">
        <f>IFERROR(IF(G163&lt;&gt;"",IF(I163=TRUE,0,IF(U163=TRUE,0,L163-M163)),0),0)</f>
        <v/>
      </c>
      <c r="O163" s="127">
        <f>IF(N163&gt;0,IF(N163&lt;=180,N163,0),0)</f>
        <v/>
      </c>
      <c r="P163" s="125">
        <f>IF(AND(N163&lt;90,N163&gt;0),Q163,0)</f>
        <v/>
      </c>
      <c r="Q163" s="125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25">
        <f>IF(AND(H163=TRUE,I163=FALSE),Q163,0)</f>
        <v/>
      </c>
      <c r="S163" s="125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26">
        <f>IF(U163=TRUE,$J163,"")</f>
        <v/>
      </c>
      <c r="U163" s="124" t="b">
        <v>0</v>
      </c>
      <c r="V163" s="125">
        <f>IF(AND(H163=TRUE,OR(K163="",K163&gt;M163)),S163,0)</f>
        <v/>
      </c>
      <c r="W163" s="124" t="n">
        <v>0</v>
      </c>
      <c r="X163" s="124" t="b">
        <v>0</v>
      </c>
      <c r="Y163" s="127">
        <f>IF(H163=FALSE,VLOOKUP($C163,Sales!$C:$F,4,FALSE),1)</f>
        <v/>
      </c>
      <c r="Z163" s="124">
        <f>IF(Y163=0,"Release",IF(AND(L163&lt;J163,Y163=1,H163=FALSE,U163=FALSE,MONTH(L163)&amp;"/"&amp;YEAR(L163)&lt;&gt;MONTH(J163)&amp;"/"&amp;YEAR(J163)),"Release",""))</f>
        <v/>
      </c>
      <c r="AA163" s="128">
        <f>_xlfn.minifs($L:$L,$C:$C,$C163,$F:$F,"&lt;&gt;0")</f>
        <v/>
      </c>
      <c r="AB163" s="128">
        <f>C163&amp;"-"&amp;A163</f>
        <v/>
      </c>
      <c r="AC163" s="128">
        <f>L163</f>
        <v/>
      </c>
    </row>
    <row r="164">
      <c r="A164" s="124" t="inlineStr">
        <is>
          <t>ZCON01</t>
        </is>
      </c>
      <c r="B164" s="124" t="n">
        <v>3</v>
      </c>
      <c r="C164" s="124" t="inlineStr">
        <is>
          <t>HVC201</t>
        </is>
      </c>
      <c r="D164" s="124" t="inlineStr">
        <is>
          <t>C</t>
        </is>
      </c>
      <c r="E164" s="124" t="inlineStr">
        <is>
          <t>Conradie Gerhard Lotter</t>
        </is>
      </c>
      <c r="F164" s="125">
        <f>SUMIFS(Investors!$M:$M, Investors!$I:$I, "&lt;=" &amp; 'NSST Print'!$B$3, Investors!$K:$K, "&gt;" &amp; 'NSST Print'!$B$3, Investors!$A:$A, 'Investor Exit List'!A164, Investors!$E:$E, 'Investor Exit List'!C164)</f>
        <v/>
      </c>
      <c r="G164" s="126" t="n">
        <v>44711</v>
      </c>
      <c r="H164" s="124">
        <f>VLOOKUP($C164,Sales!$C:$E,2,FALSE)</f>
        <v/>
      </c>
      <c r="I164" s="124">
        <f>VLOOKUP($C164,Sales!$C:$E,3,FALSE)</f>
        <v/>
      </c>
      <c r="J164" s="126">
        <f>SUMIFS(Sales!$H:$H,Sales!$C:$C,'Investor Exit List'!$C164)</f>
        <v/>
      </c>
      <c r="K164" s="126">
        <f>IF(I164=TRUE,J164,"")</f>
        <v/>
      </c>
      <c r="L164" s="126">
        <f>G164+730</f>
        <v/>
      </c>
      <c r="M164" s="126" t="n">
        <v>45443</v>
      </c>
      <c r="N164" s="127">
        <f>IFERROR(IF(G164&lt;&gt;"",IF(I164=TRUE,0,IF(U164=TRUE,0,L164-M164)),0),0)</f>
        <v/>
      </c>
      <c r="O164" s="127">
        <f>IF(N164&gt;0,IF(N164&lt;=180,N164,0),0)</f>
        <v/>
      </c>
      <c r="P164" s="125">
        <f>IF(AND(N164&lt;90,N164&gt;0),Q164,0)</f>
        <v/>
      </c>
      <c r="Q164" s="125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25">
        <f>IF(AND(H164=TRUE,I164=FALSE),Q164,0)</f>
        <v/>
      </c>
      <c r="S164" s="125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26">
        <f>IF(U164=TRUE,$J164,"")</f>
        <v/>
      </c>
      <c r="U164" s="124" t="b">
        <v>0</v>
      </c>
      <c r="V164" s="125">
        <f>IF(AND(H164=TRUE,OR(K164="",K164&gt;M164)),S164,0)</f>
        <v/>
      </c>
      <c r="W164" s="124" t="n">
        <v>0</v>
      </c>
      <c r="X164" s="124" t="b">
        <v>0</v>
      </c>
      <c r="Y164" s="127">
        <f>IF(H164=FALSE,VLOOKUP($C164,Sales!$C:$F,4,FALSE),1)</f>
        <v/>
      </c>
      <c r="Z164" s="124">
        <f>IF(Y164=0,"Release",IF(AND(L164&lt;J164,Y164=1,H164=FALSE,U164=FALSE,MONTH(L164)&amp;"/"&amp;YEAR(L164)&lt;&gt;MONTH(J164)&amp;"/"&amp;YEAR(J164)),"Release",""))</f>
        <v/>
      </c>
      <c r="AA164" s="128">
        <f>_xlfn.minifs($L:$L,$C:$C,$C164,$F:$F,"&lt;&gt;0")</f>
        <v/>
      </c>
      <c r="AB164" s="128">
        <f>C164&amp;"-"&amp;A164</f>
        <v/>
      </c>
      <c r="AC164" s="128">
        <f>L164</f>
        <v/>
      </c>
    </row>
    <row r="165">
      <c r="A165" s="124" t="inlineStr">
        <is>
          <t>ZDAV01</t>
        </is>
      </c>
      <c r="B165" s="124" t="n">
        <v>4</v>
      </c>
      <c r="C165" s="124" t="inlineStr">
        <is>
          <t>HVC201</t>
        </is>
      </c>
      <c r="D165" s="124" t="inlineStr">
        <is>
          <t>C</t>
        </is>
      </c>
      <c r="E165" s="124" t="inlineStr">
        <is>
          <t>Davies Heather Mary Lyn</t>
        </is>
      </c>
      <c r="F165" s="125">
        <f>SUMIFS(Investors!$M:$M, Investors!$I:$I, "&lt;=" &amp; 'NSST Print'!$B$3, Investors!$K:$K, "&gt;" &amp; 'NSST Print'!$B$3, Investors!$A:$A, 'Investor Exit List'!A165, Investors!$E:$E, 'Investor Exit List'!C165)</f>
        <v/>
      </c>
      <c r="G165" s="126" t="n">
        <v>44889</v>
      </c>
      <c r="H165" s="124">
        <f>VLOOKUP($C165,Sales!$C:$E,2,FALSE)</f>
        <v/>
      </c>
      <c r="I165" s="124">
        <f>VLOOKUP($C165,Sales!$C:$E,3,FALSE)</f>
        <v/>
      </c>
      <c r="J165" s="126">
        <f>SUMIFS(Sales!$H:$H,Sales!$C:$C,'Investor Exit List'!$C165)</f>
        <v/>
      </c>
      <c r="K165" s="126">
        <f>IF(I165=TRUE,J165,"")</f>
        <v/>
      </c>
      <c r="L165" s="126">
        <f>G165+730</f>
        <v/>
      </c>
      <c r="M165" s="126" t="n">
        <v>45443</v>
      </c>
      <c r="N165" s="127">
        <f>IFERROR(IF(G165&lt;&gt;"",IF(I165=TRUE,0,IF(U165=TRUE,0,L165-M165)),0),0)</f>
        <v/>
      </c>
      <c r="O165" s="127">
        <f>IF(N165&gt;0,IF(N165&lt;=180,N165,0),0)</f>
        <v/>
      </c>
      <c r="P165" s="125">
        <f>IF(AND(N165&lt;90,N165&gt;0),Q165,0)</f>
        <v/>
      </c>
      <c r="Q165" s="125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25">
        <f>IF(AND(H165=TRUE,I165=FALSE),Q165,0)</f>
        <v/>
      </c>
      <c r="S165" s="125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26">
        <f>IF(U165=TRUE,$J165,"")</f>
        <v/>
      </c>
      <c r="U165" s="124" t="b">
        <v>0</v>
      </c>
      <c r="V165" s="125">
        <f>IF(AND(H165=TRUE,OR(K165="",K165&gt;M165)),S165,0)</f>
        <v/>
      </c>
      <c r="W165" s="124" t="n">
        <v>0</v>
      </c>
      <c r="X165" s="124" t="b">
        <v>0</v>
      </c>
      <c r="Y165" s="127">
        <f>IF(H165=FALSE,VLOOKUP($C165,Sales!$C:$F,4,FALSE),1)</f>
        <v/>
      </c>
      <c r="Z165" s="124">
        <f>IF(Y165=0,"Release",IF(AND(L165&lt;J165,Y165=1,H165=FALSE,U165=FALSE,MONTH(L165)&amp;"/"&amp;YEAR(L165)&lt;&gt;MONTH(J165)&amp;"/"&amp;YEAR(J165)),"Release",""))</f>
        <v/>
      </c>
      <c r="AA165" s="128">
        <f>_xlfn.minifs($L:$L,$C:$C,$C165,$F:$F,"&lt;&gt;0")</f>
        <v/>
      </c>
      <c r="AB165" s="128">
        <f>C165&amp;"-"&amp;A165</f>
        <v/>
      </c>
      <c r="AC165" s="128">
        <f>L165</f>
        <v/>
      </c>
    </row>
    <row r="166">
      <c r="A166" s="124" t="inlineStr">
        <is>
          <t>ZKUS03</t>
        </is>
      </c>
      <c r="B166" s="124" t="n">
        <v>4</v>
      </c>
      <c r="C166" s="124" t="inlineStr">
        <is>
          <t>HVC201</t>
        </is>
      </c>
      <c r="D166" s="124" t="inlineStr">
        <is>
          <t>C</t>
        </is>
      </c>
      <c r="E166" s="124" t="inlineStr">
        <is>
          <t>Kuster Joanne Tracy</t>
        </is>
      </c>
      <c r="F166" s="125">
        <f>SUMIFS(Investors!$M:$M, Investors!$I:$I, "&lt;=" &amp; 'NSST Print'!$B$3, Investors!$K:$K, "&gt;" &amp; 'NSST Print'!$B$3, Investors!$A:$A, 'Investor Exit List'!A166, Investors!$E:$E, 'Investor Exit List'!C166)</f>
        <v/>
      </c>
      <c r="G166" s="126" t="n">
        <v>44903</v>
      </c>
      <c r="H166" s="124">
        <f>VLOOKUP($C166,Sales!$C:$E,2,FALSE)</f>
        <v/>
      </c>
      <c r="I166" s="124">
        <f>VLOOKUP($C166,Sales!$C:$E,3,FALSE)</f>
        <v/>
      </c>
      <c r="J166" s="126">
        <f>SUMIFS(Sales!$H:$H,Sales!$C:$C,'Investor Exit List'!$C166)</f>
        <v/>
      </c>
      <c r="K166" s="126">
        <f>IF(I166=TRUE,J166,"")</f>
        <v/>
      </c>
      <c r="L166" s="126">
        <f>G166+730</f>
        <v/>
      </c>
      <c r="M166" s="126" t="n">
        <v>45443</v>
      </c>
      <c r="N166" s="127">
        <f>IFERROR(IF(G166&lt;&gt;"",IF(I166=TRUE,0,IF(U166=TRUE,0,L166-M166)),0),0)</f>
        <v/>
      </c>
      <c r="O166" s="127">
        <f>IF(N166&gt;0,IF(N166&lt;=180,N166,0),0)</f>
        <v/>
      </c>
      <c r="P166" s="125">
        <f>IF(AND(N166&lt;90,N166&gt;0),Q166,0)</f>
        <v/>
      </c>
      <c r="Q166" s="125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25">
        <f>IF(AND(H166=TRUE,I166=FALSE),Q166,0)</f>
        <v/>
      </c>
      <c r="S166" s="125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26">
        <f>IF(U166=TRUE,$J166,"")</f>
        <v/>
      </c>
      <c r="U166" s="124" t="b">
        <v>0</v>
      </c>
      <c r="V166" s="125">
        <f>IF(AND(H166=TRUE,OR(K166="",K166&gt;M166)),S166,0)</f>
        <v/>
      </c>
      <c r="W166" s="124" t="n">
        <v>0</v>
      </c>
      <c r="X166" s="124" t="b">
        <v>0</v>
      </c>
      <c r="Y166" s="127">
        <f>IF(H166=FALSE,VLOOKUP($C166,Sales!$C:$F,4,FALSE),1)</f>
        <v/>
      </c>
      <c r="Z166" s="124">
        <f>IF(Y166=0,"Release",IF(AND(L166&lt;J166,Y166=1,H166=FALSE,U166=FALSE,MONTH(L166)&amp;"/"&amp;YEAR(L166)&lt;&gt;MONTH(J166)&amp;"/"&amp;YEAR(J166)),"Release",""))</f>
        <v/>
      </c>
      <c r="AA166" s="128">
        <f>_xlfn.minifs($L:$L,$C:$C,$C166,$F:$F,"&lt;&gt;0")</f>
        <v/>
      </c>
      <c r="AB166" s="128">
        <f>C166&amp;"-"&amp;A166</f>
        <v/>
      </c>
      <c r="AC166" s="128">
        <f>L166</f>
        <v/>
      </c>
    </row>
    <row r="167">
      <c r="A167" s="124" t="inlineStr">
        <is>
          <t>ZALM01</t>
        </is>
      </c>
      <c r="B167" s="124" t="n">
        <v>6</v>
      </c>
      <c r="C167" s="124" t="inlineStr">
        <is>
          <t>HVC202</t>
        </is>
      </c>
      <c r="D167" s="124" t="inlineStr">
        <is>
          <t>C</t>
        </is>
      </c>
      <c r="E167" s="124" t="inlineStr">
        <is>
          <t>Lunau Marc</t>
        </is>
      </c>
      <c r="F167" s="125">
        <f>SUMIFS(Investors!$M:$M, Investors!$I:$I, "&lt;=" &amp; 'NSST Print'!$B$3, Investors!$K:$K, "&gt;" &amp; 'NSST Print'!$B$3, Investors!$A:$A, 'Investor Exit List'!A167, Investors!$E:$E, 'Investor Exit List'!C167)</f>
        <v/>
      </c>
      <c r="G167" s="126" t="n">
        <v>44889</v>
      </c>
      <c r="H167" s="124">
        <f>VLOOKUP($C167,Sales!$C:$E,2,FALSE)</f>
        <v/>
      </c>
      <c r="I167" s="124">
        <f>VLOOKUP($C167,Sales!$C:$E,3,FALSE)</f>
        <v/>
      </c>
      <c r="J167" s="126">
        <f>SUMIFS(Sales!$H:$H,Sales!$C:$C,'Investor Exit List'!$C167)</f>
        <v/>
      </c>
      <c r="K167" s="126">
        <f>IF(I167=TRUE,J167,"")</f>
        <v/>
      </c>
      <c r="L167" s="126">
        <f>G167+730</f>
        <v/>
      </c>
      <c r="M167" s="126" t="n">
        <v>45443</v>
      </c>
      <c r="N167" s="127">
        <f>IFERROR(IF(G167&lt;&gt;"",IF(I167=TRUE,0,IF(U167=TRUE,0,L167-M167)),0),0)</f>
        <v/>
      </c>
      <c r="O167" s="127">
        <f>IF(N167&gt;0,IF(N167&lt;=180,N167,0),0)</f>
        <v/>
      </c>
      <c r="P167" s="125">
        <f>IF(AND(N167&lt;90,N167&gt;0),Q167,0)</f>
        <v/>
      </c>
      <c r="Q167" s="125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25">
        <f>IF(AND(H167=TRUE,I167=FALSE),Q167,0)</f>
        <v/>
      </c>
      <c r="S167" s="125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26">
        <f>IF(U167=TRUE,$J167,"")</f>
        <v/>
      </c>
      <c r="U167" s="124" t="b">
        <v>0</v>
      </c>
      <c r="V167" s="125">
        <f>IF(AND(H167=TRUE,OR(K167="",K167&gt;M167)),S167,0)</f>
        <v/>
      </c>
      <c r="W167" s="124" t="n">
        <v>0</v>
      </c>
      <c r="X167" s="124" t="b">
        <v>0</v>
      </c>
      <c r="Y167" s="127">
        <f>IF(H167=FALSE,VLOOKUP($C167,Sales!$C:$F,4,FALSE),1)</f>
        <v/>
      </c>
      <c r="Z167" s="124">
        <f>IF(Y167=0,"Release",IF(AND(L167&lt;J167,Y167=1,H167=FALSE,U167=FALSE,MONTH(L167)&amp;"/"&amp;YEAR(L167)&lt;&gt;MONTH(J167)&amp;"/"&amp;YEAR(J167)),"Release",""))</f>
        <v/>
      </c>
      <c r="AA167" s="128">
        <f>_xlfn.minifs($L:$L,$C:$C,$C167,$F:$F,"&lt;&gt;0")</f>
        <v/>
      </c>
      <c r="AB167" s="128">
        <f>C167&amp;"-"&amp;A167</f>
        <v/>
      </c>
      <c r="AC167" s="128">
        <f>L167</f>
        <v/>
      </c>
    </row>
    <row r="168">
      <c r="A168" s="124" t="inlineStr">
        <is>
          <t>ZINT01</t>
        </is>
      </c>
      <c r="B168" s="124" t="n">
        <v>14</v>
      </c>
      <c r="C168" s="124" t="inlineStr">
        <is>
          <t>HVC202</t>
        </is>
      </c>
      <c r="D168" s="124" t="inlineStr">
        <is>
          <t>C</t>
        </is>
      </c>
      <c r="E168" s="124" t="inlineStr">
        <is>
          <t>Lunau Marc</t>
        </is>
      </c>
      <c r="F168" s="125">
        <f>SUMIFS(Investors!$M:$M, Investors!$I:$I, "&lt;=" &amp; 'NSST Print'!$B$3, Investors!$K:$K, "&gt;" &amp; 'NSST Print'!$B$3, Investors!$A:$A, 'Investor Exit List'!A168, Investors!$E:$E, 'Investor Exit List'!C168)</f>
        <v/>
      </c>
      <c r="G168" s="126" t="n">
        <v>45072</v>
      </c>
      <c r="H168" s="124">
        <f>VLOOKUP($C168,Sales!$C:$E,2,FALSE)</f>
        <v/>
      </c>
      <c r="I168" s="124">
        <f>VLOOKUP($C168,Sales!$C:$E,3,FALSE)</f>
        <v/>
      </c>
      <c r="J168" s="126">
        <f>SUMIFS(Sales!$H:$H,Sales!$C:$C,'Investor Exit List'!$C168)</f>
        <v/>
      </c>
      <c r="K168" s="126">
        <f>IF(I168=TRUE,J168,"")</f>
        <v/>
      </c>
      <c r="L168" s="126">
        <f>G168+730</f>
        <v/>
      </c>
      <c r="M168" s="126" t="n">
        <v>45443</v>
      </c>
      <c r="N168" s="127">
        <f>IFERROR(IF(G168&lt;&gt;"",IF(I168=TRUE,0,IF(U168=TRUE,0,L168-M168)),0),0)</f>
        <v/>
      </c>
      <c r="O168" s="127">
        <f>IF(N168&gt;0,IF(N168&lt;=180,N168,0),0)</f>
        <v/>
      </c>
      <c r="P168" s="125">
        <f>IF(AND(N168&lt;90,N168&gt;0),Q168,0)</f>
        <v/>
      </c>
      <c r="Q168" s="125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25">
        <f>IF(AND(H168=TRUE,I168=FALSE),Q168,0)</f>
        <v/>
      </c>
      <c r="S168" s="125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26">
        <f>IF(U168=TRUE,$J168,"")</f>
        <v/>
      </c>
      <c r="U168" s="124" t="b">
        <v>0</v>
      </c>
      <c r="V168" s="125">
        <f>IF(AND(H168=TRUE,OR(K168="",K168&gt;M168)),S168,0)</f>
        <v/>
      </c>
      <c r="W168" s="124" t="n">
        <v>0</v>
      </c>
      <c r="X168" s="124" t="b">
        <v>0</v>
      </c>
      <c r="Y168" s="127">
        <f>IF(H168=FALSE,VLOOKUP($C168,Sales!$C:$F,4,FALSE),1)</f>
        <v/>
      </c>
      <c r="Z168" s="124">
        <f>IF(Y168=0,"Release",IF(AND(L168&lt;J168,Y168=1,H168=FALSE,U168=FALSE,MONTH(L168)&amp;"/"&amp;YEAR(L168)&lt;&gt;MONTH(J168)&amp;"/"&amp;YEAR(J168)),"Release",""))</f>
        <v/>
      </c>
      <c r="AA168" s="128">
        <f>_xlfn.minifs($L:$L,$C:$C,$C168,$F:$F,"&lt;&gt;0")</f>
        <v/>
      </c>
      <c r="AB168" s="128">
        <f>C168&amp;"-"&amp;A168</f>
        <v/>
      </c>
      <c r="AC168" s="128">
        <f>L168</f>
        <v/>
      </c>
    </row>
    <row r="169">
      <c r="A169" s="124" t="inlineStr">
        <is>
          <t>ZMON01</t>
        </is>
      </c>
      <c r="B169" s="124" t="n">
        <v>1</v>
      </c>
      <c r="C169" s="124" t="inlineStr">
        <is>
          <t>HVC202</t>
        </is>
      </c>
      <c r="D169" s="124" t="inlineStr">
        <is>
          <t>C</t>
        </is>
      </c>
      <c r="E169" s="124" t="inlineStr">
        <is>
          <t>Moni Zolani</t>
        </is>
      </c>
      <c r="F169" s="125">
        <f>SUMIFS(Investors!$M:$M, Investors!$I:$I, "&lt;=" &amp; 'NSST Print'!$B$3, Investors!$K:$K, "&gt;" &amp; 'NSST Print'!$B$3, Investors!$A:$A, 'Investor Exit List'!A169, Investors!$E:$E, 'Investor Exit List'!C169)</f>
        <v/>
      </c>
      <c r="G169" s="126" t="n">
        <v>45016</v>
      </c>
      <c r="H169" s="124">
        <f>VLOOKUP($C169,Sales!$C:$E,2,FALSE)</f>
        <v/>
      </c>
      <c r="I169" s="124">
        <f>VLOOKUP($C169,Sales!$C:$E,3,FALSE)</f>
        <v/>
      </c>
      <c r="J169" s="126">
        <f>SUMIFS(Sales!$H:$H,Sales!$C:$C,'Investor Exit List'!$C169)</f>
        <v/>
      </c>
      <c r="K169" s="126">
        <f>IF(I169=TRUE,J169,"")</f>
        <v/>
      </c>
      <c r="L169" s="126">
        <f>G169+730</f>
        <v/>
      </c>
      <c r="M169" s="126" t="n">
        <v>45443</v>
      </c>
      <c r="N169" s="127">
        <f>IFERROR(IF(G169&lt;&gt;"",IF(I169=TRUE,0,IF(U169=TRUE,0,L169-M169)),0),0)</f>
        <v/>
      </c>
      <c r="O169" s="127">
        <f>IF(N169&gt;0,IF(N169&lt;=180,N169,0),0)</f>
        <v/>
      </c>
      <c r="P169" s="125">
        <f>IF(AND(N169&lt;90,N169&gt;0),Q169,0)</f>
        <v/>
      </c>
      <c r="Q169" s="125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25">
        <f>IF(AND(H169=TRUE,I169=FALSE),Q169,0)</f>
        <v/>
      </c>
      <c r="S169" s="125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26">
        <f>IF(U169=TRUE,$J169,"")</f>
        <v/>
      </c>
      <c r="U169" s="124" t="b">
        <v>0</v>
      </c>
      <c r="V169" s="125">
        <f>IF(AND(H169=TRUE,OR(K169="",K169&gt;M169)),S169,0)</f>
        <v/>
      </c>
      <c r="W169" s="124" t="n">
        <v>0</v>
      </c>
      <c r="X169" s="124" t="b">
        <v>0</v>
      </c>
      <c r="Y169" s="127">
        <f>IF(H169=FALSE,VLOOKUP($C169,Sales!$C:$F,4,FALSE),1)</f>
        <v/>
      </c>
      <c r="Z169" s="124">
        <f>IF(Y169=0,"Release",IF(AND(L169&lt;J169,Y169=1,H169=FALSE,U169=FALSE,MONTH(L169)&amp;"/"&amp;YEAR(L169)&lt;&gt;MONTH(J169)&amp;"/"&amp;YEAR(J169)),"Release",""))</f>
        <v/>
      </c>
      <c r="AA169" s="128">
        <f>_xlfn.minifs($L:$L,$C:$C,$C169,$F:$F,"&lt;&gt;0")</f>
        <v/>
      </c>
      <c r="AB169" s="128">
        <f>C169&amp;"-"&amp;A169</f>
        <v/>
      </c>
      <c r="AC169" s="128">
        <f>L169</f>
        <v/>
      </c>
    </row>
    <row r="170">
      <c r="A170" s="124" t="inlineStr">
        <is>
          <t>ZPER01</t>
        </is>
      </c>
      <c r="B170" s="124" t="n">
        <v>1</v>
      </c>
      <c r="C170" s="124" t="inlineStr">
        <is>
          <t>HVC202</t>
        </is>
      </c>
      <c r="D170" s="124" t="inlineStr">
        <is>
          <t>C</t>
        </is>
      </c>
      <c r="E170" s="124" t="inlineStr">
        <is>
          <t>Olivier Abraham Jacobus</t>
        </is>
      </c>
      <c r="F170" s="125">
        <f>SUMIFS(Investors!$M:$M, Investors!$I:$I, "&lt;=" &amp; 'NSST Print'!$B$3, Investors!$K:$K, "&gt;" &amp; 'NSST Print'!$B$3, Investors!$A:$A, 'Investor Exit List'!A170, Investors!$E:$E, 'Investor Exit List'!C170)</f>
        <v/>
      </c>
      <c r="G170" s="126" t="n">
        <v>44903</v>
      </c>
      <c r="H170" s="124">
        <f>VLOOKUP($C170,Sales!$C:$E,2,FALSE)</f>
        <v/>
      </c>
      <c r="I170" s="124">
        <f>VLOOKUP($C170,Sales!$C:$E,3,FALSE)</f>
        <v/>
      </c>
      <c r="J170" s="126">
        <f>SUMIFS(Sales!$H:$H,Sales!$C:$C,'Investor Exit List'!$C170)</f>
        <v/>
      </c>
      <c r="K170" s="126">
        <f>IF(I170=TRUE,J170,"")</f>
        <v/>
      </c>
      <c r="L170" s="126">
        <f>G170+730</f>
        <v/>
      </c>
      <c r="M170" s="126" t="n">
        <v>45443</v>
      </c>
      <c r="N170" s="127">
        <f>IFERROR(IF(G170&lt;&gt;"",IF(I170=TRUE,0,IF(U170=TRUE,0,L170-M170)),0),0)</f>
        <v/>
      </c>
      <c r="O170" s="127">
        <f>IF(N170&gt;0,IF(N170&lt;=180,N170,0),0)</f>
        <v/>
      </c>
      <c r="P170" s="125">
        <f>IF(AND(N170&lt;90,N170&gt;0),Q170,0)</f>
        <v/>
      </c>
      <c r="Q170" s="125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25">
        <f>IF(AND(H170=TRUE,I170=FALSE),Q170,0)</f>
        <v/>
      </c>
      <c r="S170" s="125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26">
        <f>IF(U170=TRUE,$J170,"")</f>
        <v/>
      </c>
      <c r="U170" s="124" t="b">
        <v>0</v>
      </c>
      <c r="V170" s="125">
        <f>IF(AND(H170=TRUE,OR(K170="",K170&gt;M170)),S170,0)</f>
        <v/>
      </c>
      <c r="W170" s="124" t="n">
        <v>0</v>
      </c>
      <c r="X170" s="124" t="b">
        <v>0</v>
      </c>
      <c r="Y170" s="127">
        <f>IF(H170=FALSE,VLOOKUP($C170,Sales!$C:$F,4,FALSE),1)</f>
        <v/>
      </c>
      <c r="Z170" s="124">
        <f>IF(Y170=0,"Release",IF(AND(L170&lt;J170,Y170=1,H170=FALSE,U170=FALSE,MONTH(L170)&amp;"/"&amp;YEAR(L170)&lt;&gt;MONTH(J170)&amp;"/"&amp;YEAR(J170)),"Release",""))</f>
        <v/>
      </c>
      <c r="AA170" s="128">
        <f>_xlfn.minifs($L:$L,$C:$C,$C170,$F:$F,"&lt;&gt;0")</f>
        <v/>
      </c>
      <c r="AB170" s="128">
        <f>C170&amp;"-"&amp;A170</f>
        <v/>
      </c>
      <c r="AC170" s="128">
        <f>L170</f>
        <v/>
      </c>
    </row>
    <row r="171">
      <c r="A171" s="124" t="inlineStr">
        <is>
          <t>ZRAB02</t>
        </is>
      </c>
      <c r="B171" s="124" t="n">
        <v>2</v>
      </c>
      <c r="C171" s="124" t="inlineStr">
        <is>
          <t>HVC202</t>
        </is>
      </c>
      <c r="D171" s="124" t="inlineStr">
        <is>
          <t>C</t>
        </is>
      </c>
      <c r="E171" s="124" t="inlineStr">
        <is>
          <t>Rabe Roisin Natalie</t>
        </is>
      </c>
      <c r="F171" s="125">
        <f>SUMIFS(Investors!$M:$M, Investors!$I:$I, "&lt;=" &amp; 'NSST Print'!$B$3, Investors!$K:$K, "&gt;" &amp; 'NSST Print'!$B$3, Investors!$A:$A, 'Investor Exit List'!A171, Investors!$E:$E, 'Investor Exit List'!C171)</f>
        <v/>
      </c>
      <c r="G171" s="126" t="n">
        <v>44903</v>
      </c>
      <c r="H171" s="124">
        <f>VLOOKUP($C171,Sales!$C:$E,2,FALSE)</f>
        <v/>
      </c>
      <c r="I171" s="124">
        <f>VLOOKUP($C171,Sales!$C:$E,3,FALSE)</f>
        <v/>
      </c>
      <c r="J171" s="126">
        <f>SUMIFS(Sales!$H:$H,Sales!$C:$C,'Investor Exit List'!$C171)</f>
        <v/>
      </c>
      <c r="K171" s="126">
        <f>IF(I171=TRUE,J171,"")</f>
        <v/>
      </c>
      <c r="L171" s="126">
        <f>G171+730</f>
        <v/>
      </c>
      <c r="M171" s="126" t="n">
        <v>45443</v>
      </c>
      <c r="N171" s="127">
        <f>IFERROR(IF(G171&lt;&gt;"",IF(I171=TRUE,0,IF(U171=TRUE,0,L171-M171)),0),0)</f>
        <v/>
      </c>
      <c r="O171" s="127">
        <f>IF(N171&gt;0,IF(N171&lt;=180,N171,0),0)</f>
        <v/>
      </c>
      <c r="P171" s="125">
        <f>IF(AND(N171&lt;90,N171&gt;0),Q171,0)</f>
        <v/>
      </c>
      <c r="Q171" s="125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25">
        <f>IF(AND(H171=TRUE,I171=FALSE),Q171,0)</f>
        <v/>
      </c>
      <c r="S171" s="125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26">
        <f>IF(U171=TRUE,$J171,"")</f>
        <v/>
      </c>
      <c r="U171" s="124" t="b">
        <v>0</v>
      </c>
      <c r="V171" s="125">
        <f>IF(AND(H171=TRUE,OR(K171="",K171&gt;M171)),S171,0)</f>
        <v/>
      </c>
      <c r="W171" s="124" t="n">
        <v>0</v>
      </c>
      <c r="X171" s="124" t="b">
        <v>0</v>
      </c>
      <c r="Y171" s="127">
        <f>IF(H171=FALSE,VLOOKUP($C171,Sales!$C:$F,4,FALSE),1)</f>
        <v/>
      </c>
      <c r="Z171" s="124">
        <f>IF(Y171=0,"Release",IF(AND(L171&lt;J171,Y171=1,H171=FALSE,U171=FALSE,MONTH(L171)&amp;"/"&amp;YEAR(L171)&lt;&gt;MONTH(J171)&amp;"/"&amp;YEAR(J171)),"Release",""))</f>
        <v/>
      </c>
      <c r="AA171" s="128">
        <f>_xlfn.minifs($L:$L,$C:$C,$C171,$F:$F,"&lt;&gt;0")</f>
        <v/>
      </c>
      <c r="AB171" s="128">
        <f>C171&amp;"-"&amp;A171</f>
        <v/>
      </c>
      <c r="AC171" s="128">
        <f>L171</f>
        <v/>
      </c>
    </row>
    <row r="172">
      <c r="A172" s="124" t="inlineStr">
        <is>
          <t>ZRIT01</t>
        </is>
      </c>
      <c r="B172" s="124" t="n">
        <v>6</v>
      </c>
      <c r="C172" s="124" t="inlineStr">
        <is>
          <t>HVC202</t>
        </is>
      </c>
      <c r="D172" s="124" t="inlineStr">
        <is>
          <t>C</t>
        </is>
      </c>
      <c r="E172" s="124" t="inlineStr">
        <is>
          <t>Ritter Dennis</t>
        </is>
      </c>
      <c r="F172" s="125">
        <f>SUMIFS(Investors!$M:$M, Investors!$I:$I, "&lt;=" &amp; 'NSST Print'!$B$3, Investors!$K:$K, "&gt;" &amp; 'NSST Print'!$B$3, Investors!$A:$A, 'Investor Exit List'!A172, Investors!$E:$E, 'Investor Exit List'!C172)</f>
        <v/>
      </c>
      <c r="G172" s="126" t="n">
        <v>44889</v>
      </c>
      <c r="H172" s="124">
        <f>VLOOKUP($C172,Sales!$C:$E,2,FALSE)</f>
        <v/>
      </c>
      <c r="I172" s="124">
        <f>VLOOKUP($C172,Sales!$C:$E,3,FALSE)</f>
        <v/>
      </c>
      <c r="J172" s="126">
        <f>SUMIFS(Sales!$H:$H,Sales!$C:$C,'Investor Exit List'!$C172)</f>
        <v/>
      </c>
      <c r="K172" s="126">
        <f>IF(I172=TRUE,J172,"")</f>
        <v/>
      </c>
      <c r="L172" s="126">
        <f>G172+730</f>
        <v/>
      </c>
      <c r="M172" s="126" t="n">
        <v>45443</v>
      </c>
      <c r="N172" s="127">
        <f>IFERROR(IF(G172&lt;&gt;"",IF(I172=TRUE,0,IF(U172=TRUE,0,L172-M172)),0),0)</f>
        <v/>
      </c>
      <c r="O172" s="127">
        <f>IF(N172&gt;0,IF(N172&lt;=180,N172,0),0)</f>
        <v/>
      </c>
      <c r="P172" s="125">
        <f>IF(AND(N172&lt;90,N172&gt;0),Q172,0)</f>
        <v/>
      </c>
      <c r="Q172" s="125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25">
        <f>IF(AND(H172=TRUE,I172=FALSE),Q172,0)</f>
        <v/>
      </c>
      <c r="S172" s="125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26">
        <f>IF(U172=TRUE,$J172,"")</f>
        <v/>
      </c>
      <c r="U172" s="124" t="b">
        <v>0</v>
      </c>
      <c r="V172" s="125">
        <f>IF(AND(H172=TRUE,OR(K172="",K172&gt;M172)),S172,0)</f>
        <v/>
      </c>
      <c r="W172" s="124" t="n">
        <v>0</v>
      </c>
      <c r="X172" s="124" t="b">
        <v>0</v>
      </c>
      <c r="Y172" s="127">
        <f>IF(H172=FALSE,VLOOKUP($C172,Sales!$C:$F,4,FALSE),1)</f>
        <v/>
      </c>
      <c r="Z172" s="124">
        <f>IF(Y172=0,"Release",IF(AND(L172&lt;J172,Y172=1,H172=FALSE,U172=FALSE,MONTH(L172)&amp;"/"&amp;YEAR(L172)&lt;&gt;MONTH(J172)&amp;"/"&amp;YEAR(J172)),"Release",""))</f>
        <v/>
      </c>
      <c r="AA172" s="128">
        <f>_xlfn.minifs($L:$L,$C:$C,$C172,$F:$F,"&lt;&gt;0")</f>
        <v/>
      </c>
      <c r="AB172" s="128">
        <f>C172&amp;"-"&amp;A172</f>
        <v/>
      </c>
      <c r="AC172" s="128">
        <f>L172</f>
        <v/>
      </c>
    </row>
    <row r="173">
      <c r="A173" s="124" t="inlineStr">
        <is>
          <t>ZVAN11</t>
        </is>
      </c>
      <c r="B173" s="124" t="n">
        <v>1</v>
      </c>
      <c r="C173" s="124" t="inlineStr">
        <is>
          <t>HVC202</t>
        </is>
      </c>
      <c r="D173" s="124" t="inlineStr">
        <is>
          <t>C</t>
        </is>
      </c>
      <c r="E173" s="124" t="inlineStr">
        <is>
          <t>van Bosch Wilma</t>
        </is>
      </c>
      <c r="F173" s="125">
        <f>SUMIFS(Investors!$M:$M, Investors!$I:$I, "&lt;=" &amp; 'NSST Print'!$B$3, Investors!$K:$K, "&gt;" &amp; 'NSST Print'!$B$3, Investors!$A:$A, 'Investor Exit List'!A173, Investors!$E:$E, 'Investor Exit List'!C173)</f>
        <v/>
      </c>
      <c r="G173" s="126" t="n">
        <v>44903</v>
      </c>
      <c r="H173" s="124">
        <f>VLOOKUP($C173,Sales!$C:$E,2,FALSE)</f>
        <v/>
      </c>
      <c r="I173" s="124">
        <f>VLOOKUP($C173,Sales!$C:$E,3,FALSE)</f>
        <v/>
      </c>
      <c r="J173" s="126">
        <f>SUMIFS(Sales!$H:$H,Sales!$C:$C,'Investor Exit List'!$C173)</f>
        <v/>
      </c>
      <c r="K173" s="126">
        <f>IF(I173=TRUE,J173,"")</f>
        <v/>
      </c>
      <c r="L173" s="126">
        <f>G173+730</f>
        <v/>
      </c>
      <c r="M173" s="126" t="n">
        <v>45443</v>
      </c>
      <c r="N173" s="127">
        <f>IFERROR(IF(G173&lt;&gt;"",IF(I173=TRUE,0,IF(U173=TRUE,0,L173-M173)),0),0)</f>
        <v/>
      </c>
      <c r="O173" s="127">
        <f>IF(N173&gt;0,IF(N173&lt;=180,N173,0),0)</f>
        <v/>
      </c>
      <c r="P173" s="125">
        <f>IF(AND(N173&lt;90,N173&gt;0),Q173,0)</f>
        <v/>
      </c>
      <c r="Q173" s="125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25">
        <f>IF(AND(H173=TRUE,I173=FALSE),Q173,0)</f>
        <v/>
      </c>
      <c r="S173" s="125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26">
        <f>IF(U173=TRUE,$J173,"")</f>
        <v/>
      </c>
      <c r="U173" s="124" t="b">
        <v>0</v>
      </c>
      <c r="V173" s="125">
        <f>IF(AND(H173=TRUE,OR(K173="",K173&gt;M173)),S173,0)</f>
        <v/>
      </c>
      <c r="W173" s="124" t="n">
        <v>0</v>
      </c>
      <c r="X173" s="124" t="b">
        <v>0</v>
      </c>
      <c r="Y173" s="127">
        <f>IF(H173=FALSE,VLOOKUP($C173,Sales!$C:$F,4,FALSE),1)</f>
        <v/>
      </c>
      <c r="Z173" s="124">
        <f>IF(Y173=0,"Release",IF(AND(L173&lt;J173,Y173=1,H173=FALSE,U173=FALSE,MONTH(L173)&amp;"/"&amp;YEAR(L173)&lt;&gt;MONTH(J173)&amp;"/"&amp;YEAR(J173)),"Release",""))</f>
        <v/>
      </c>
      <c r="AA173" s="128">
        <f>_xlfn.minifs($L:$L,$C:$C,$C173,$F:$F,"&lt;&gt;0")</f>
        <v/>
      </c>
      <c r="AB173" s="128">
        <f>C173&amp;"-"&amp;A173</f>
        <v/>
      </c>
      <c r="AC173" s="128">
        <f>L173</f>
        <v/>
      </c>
    </row>
    <row r="174">
      <c r="A174" s="124" t="inlineStr">
        <is>
          <t>ZDEC01</t>
        </is>
      </c>
      <c r="B174" s="124" t="n">
        <v>2</v>
      </c>
      <c r="C174" s="124" t="inlineStr">
        <is>
          <t>HVC203</t>
        </is>
      </c>
      <c r="D174" s="124" t="inlineStr">
        <is>
          <t>C</t>
        </is>
      </c>
      <c r="E174" s="124" t="inlineStr">
        <is>
          <t>de Clerk Hendrik</t>
        </is>
      </c>
      <c r="F174" s="125">
        <f>SUMIFS(Investors!$M:$M, Investors!$I:$I, "&lt;=" &amp; 'NSST Print'!$B$3, Investors!$K:$K, "&gt;" &amp; 'NSST Print'!$B$3, Investors!$A:$A, 'Investor Exit List'!A174, Investors!$E:$E, 'Investor Exit List'!C174)</f>
        <v/>
      </c>
      <c r="G174" s="126" t="n">
        <v>44889</v>
      </c>
      <c r="H174" s="124">
        <f>VLOOKUP($C174,Sales!$C:$E,2,FALSE)</f>
        <v/>
      </c>
      <c r="I174" s="124">
        <f>VLOOKUP($C174,Sales!$C:$E,3,FALSE)</f>
        <v/>
      </c>
      <c r="J174" s="126">
        <f>SUMIFS(Sales!$H:$H,Sales!$C:$C,'Investor Exit List'!$C174)</f>
        <v/>
      </c>
      <c r="K174" s="126">
        <f>IF(I174=TRUE,J174,"")</f>
        <v/>
      </c>
      <c r="L174" s="126">
        <f>G174+730</f>
        <v/>
      </c>
      <c r="M174" s="126" t="n">
        <v>45443</v>
      </c>
      <c r="N174" s="127">
        <f>IFERROR(IF(G174&lt;&gt;"",IF(I174=TRUE,0,IF(U174=TRUE,0,L174-M174)),0),0)</f>
        <v/>
      </c>
      <c r="O174" s="127">
        <f>IF(N174&gt;0,IF(N174&lt;=180,N174,0),0)</f>
        <v/>
      </c>
      <c r="P174" s="125">
        <f>IF(AND(N174&lt;90,N174&gt;0),Q174,0)</f>
        <v/>
      </c>
      <c r="Q174" s="125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25">
        <f>IF(AND(H174=TRUE,I174=FALSE),Q174,0)</f>
        <v/>
      </c>
      <c r="S174" s="125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26">
        <f>IF(U174=TRUE,$J174,"")</f>
        <v/>
      </c>
      <c r="U174" s="124" t="b">
        <v>0</v>
      </c>
      <c r="V174" s="125">
        <f>IF(AND(H174=TRUE,OR(K174="",K174&gt;M174)),S174,0)</f>
        <v/>
      </c>
      <c r="W174" s="124" t="n">
        <v>0</v>
      </c>
      <c r="X174" s="124" t="b">
        <v>0</v>
      </c>
      <c r="Y174" s="127">
        <f>IF(H174=FALSE,VLOOKUP($C174,Sales!$C:$F,4,FALSE),1)</f>
        <v/>
      </c>
      <c r="Z174" s="124">
        <f>IF(Y174=0,"Release",IF(AND(L174&lt;J174,Y174=1,H174=FALSE,U174=FALSE,MONTH(L174)&amp;"/"&amp;YEAR(L174)&lt;&gt;MONTH(J174)&amp;"/"&amp;YEAR(J174)),"Release",""))</f>
        <v/>
      </c>
      <c r="AA174" s="128">
        <f>_xlfn.minifs($L:$L,$C:$C,$C174,$F:$F,"&lt;&gt;0")</f>
        <v/>
      </c>
      <c r="AB174" s="128">
        <f>C174&amp;"-"&amp;A174</f>
        <v/>
      </c>
      <c r="AC174" s="128">
        <f>L174</f>
        <v/>
      </c>
    </row>
    <row r="175">
      <c r="A175" s="124" t="inlineStr">
        <is>
          <t>ZNIE02</t>
        </is>
      </c>
      <c r="B175" s="124" t="n">
        <v>2</v>
      </c>
      <c r="C175" s="124" t="inlineStr">
        <is>
          <t>HVC203</t>
        </is>
      </c>
      <c r="D175" s="124" t="inlineStr">
        <is>
          <t>C</t>
        </is>
      </c>
      <c r="E175" s="124" t="inlineStr">
        <is>
          <t>van Niekerk Linda Kathleen</t>
        </is>
      </c>
      <c r="F175" s="125">
        <f>SUMIFS(Investors!$M:$M, Investors!$I:$I, "&lt;=" &amp; 'NSST Print'!$B$3, Investors!$K:$K, "&gt;" &amp; 'NSST Print'!$B$3, Investors!$A:$A, 'Investor Exit List'!A175, Investors!$E:$E, 'Investor Exit List'!C175)</f>
        <v/>
      </c>
      <c r="G175" s="126" t="n">
        <v>44889</v>
      </c>
      <c r="H175" s="124">
        <f>VLOOKUP($C175,Sales!$C:$E,2,FALSE)</f>
        <v/>
      </c>
      <c r="I175" s="124">
        <f>VLOOKUP($C175,Sales!$C:$E,3,FALSE)</f>
        <v/>
      </c>
      <c r="J175" s="126">
        <f>SUMIFS(Sales!$H:$H,Sales!$C:$C,'Investor Exit List'!$C175)</f>
        <v/>
      </c>
      <c r="K175" s="126">
        <f>IF(I175=TRUE,J175,"")</f>
        <v/>
      </c>
      <c r="L175" s="126">
        <f>G175+730</f>
        <v/>
      </c>
      <c r="M175" s="126" t="n">
        <v>45443</v>
      </c>
      <c r="N175" s="127">
        <f>IFERROR(IF(G175&lt;&gt;"",IF(I175=TRUE,0,IF(U175=TRUE,0,L175-M175)),0),0)</f>
        <v/>
      </c>
      <c r="O175" s="127">
        <f>IF(N175&gt;0,IF(N175&lt;=180,N175,0),0)</f>
        <v/>
      </c>
      <c r="P175" s="125">
        <f>IF(AND(N175&lt;90,N175&gt;0),Q175,0)</f>
        <v/>
      </c>
      <c r="Q175" s="125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25">
        <f>IF(AND(H175=TRUE,I175=FALSE),Q175,0)</f>
        <v/>
      </c>
      <c r="S175" s="125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26">
        <f>IF(U175=TRUE,$J175,"")</f>
        <v/>
      </c>
      <c r="U175" s="124" t="b">
        <v>0</v>
      </c>
      <c r="V175" s="125">
        <f>IF(AND(H175=TRUE,OR(K175="",K175&gt;M175)),S175,0)</f>
        <v/>
      </c>
      <c r="W175" s="124" t="n">
        <v>0</v>
      </c>
      <c r="X175" s="124" t="b">
        <v>0</v>
      </c>
      <c r="Y175" s="127">
        <f>IF(H175=FALSE,VLOOKUP($C175,Sales!$C:$F,4,FALSE),1)</f>
        <v/>
      </c>
      <c r="Z175" s="124">
        <f>IF(Y175=0,"Release",IF(AND(L175&lt;J175,Y175=1,H175=FALSE,U175=FALSE,MONTH(L175)&amp;"/"&amp;YEAR(L175)&lt;&gt;MONTH(J175)&amp;"/"&amp;YEAR(J175)),"Release",""))</f>
        <v/>
      </c>
      <c r="AA175" s="128">
        <f>_xlfn.minifs($L:$L,$C:$C,$C175,$F:$F,"&lt;&gt;0")</f>
        <v/>
      </c>
      <c r="AB175" s="128">
        <f>C175&amp;"-"&amp;A175</f>
        <v/>
      </c>
      <c r="AC175" s="128">
        <f>L175</f>
        <v/>
      </c>
    </row>
    <row r="176">
      <c r="A176" s="124" t="inlineStr">
        <is>
          <t>ZCRO01</t>
        </is>
      </c>
      <c r="B176" s="124" t="n">
        <v>13</v>
      </c>
      <c r="C176" s="124" t="inlineStr">
        <is>
          <t>HVC204</t>
        </is>
      </c>
      <c r="D176" s="124" t="inlineStr">
        <is>
          <t>C</t>
        </is>
      </c>
      <c r="E176" s="124" t="inlineStr">
        <is>
          <t>Lunau Marc</t>
        </is>
      </c>
      <c r="F176" s="125">
        <f>SUMIFS(Investors!$M:$M, Investors!$I:$I, "&lt;=" &amp; 'NSST Print'!$B$3, Investors!$K:$K, "&gt;" &amp; 'NSST Print'!$B$3, Investors!$A:$A, 'Investor Exit List'!A176, Investors!$E:$E, 'Investor Exit List'!C176)</f>
        <v/>
      </c>
      <c r="G176" s="126" t="n">
        <v>45107</v>
      </c>
      <c r="H176" s="124">
        <f>VLOOKUP($C176,Sales!$C:$E,2,FALSE)</f>
        <v/>
      </c>
      <c r="I176" s="124">
        <f>VLOOKUP($C176,Sales!$C:$E,3,FALSE)</f>
        <v/>
      </c>
      <c r="J176" s="126">
        <f>SUMIFS(Sales!$H:$H,Sales!$C:$C,'Investor Exit List'!$C176)</f>
        <v/>
      </c>
      <c r="K176" s="126">
        <f>IF(I176=TRUE,J176,"")</f>
        <v/>
      </c>
      <c r="L176" s="126">
        <f>G176+730</f>
        <v/>
      </c>
      <c r="M176" s="126" t="n">
        <v>45443</v>
      </c>
      <c r="N176" s="127">
        <f>IFERROR(IF(G176&lt;&gt;"",IF(I176=TRUE,0,IF(U176=TRUE,0,L176-M176)),0),0)</f>
        <v/>
      </c>
      <c r="O176" s="127">
        <f>IF(N176&gt;0,IF(N176&lt;=180,N176,0),0)</f>
        <v/>
      </c>
      <c r="P176" s="125">
        <f>IF(AND(N176&lt;90,N176&gt;0),Q176,0)</f>
        <v/>
      </c>
      <c r="Q176" s="125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25">
        <f>IF(AND(H176=TRUE,I176=FALSE),Q176,0)</f>
        <v/>
      </c>
      <c r="S176" s="125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26">
        <f>IF(U176=TRUE,$J176,"")</f>
        <v/>
      </c>
      <c r="U176" s="124" t="b">
        <v>0</v>
      </c>
      <c r="V176" s="125">
        <f>IF(AND(H176=TRUE,OR(K176="",K176&gt;M176)),S176,0)</f>
        <v/>
      </c>
      <c r="W176" s="124" t="n">
        <v>0</v>
      </c>
      <c r="X176" s="124" t="b">
        <v>0</v>
      </c>
      <c r="Y176" s="127">
        <f>IF(H176=FALSE,VLOOKUP($C176,Sales!$C:$F,4,FALSE),1)</f>
        <v/>
      </c>
      <c r="Z176" s="124">
        <f>IF(Y176=0,"Release",IF(AND(L176&lt;J176,Y176=1,H176=FALSE,U176=FALSE,MONTH(L176)&amp;"/"&amp;YEAR(L176)&lt;&gt;MONTH(J176)&amp;"/"&amp;YEAR(J176)),"Release",""))</f>
        <v/>
      </c>
      <c r="AA176" s="128">
        <f>_xlfn.minifs($L:$L,$C:$C,$C176,$F:$F,"&lt;&gt;0")</f>
        <v/>
      </c>
      <c r="AB176" s="128">
        <f>C176&amp;"-"&amp;A176</f>
        <v/>
      </c>
      <c r="AC176" s="128">
        <f>L176</f>
        <v/>
      </c>
    </row>
    <row r="177">
      <c r="A177" s="124" t="inlineStr">
        <is>
          <t>ZFEM01</t>
        </is>
      </c>
      <c r="B177" s="124" t="n">
        <v>3</v>
      </c>
      <c r="C177" s="124" t="inlineStr">
        <is>
          <t>HVC204</t>
        </is>
      </c>
      <c r="D177" s="124" t="inlineStr">
        <is>
          <t>C</t>
        </is>
      </c>
      <c r="E177" s="124" t="inlineStr">
        <is>
          <t>Morkel Francina Elisabeth</t>
        </is>
      </c>
      <c r="F177" s="125">
        <f>SUMIFS(Investors!$M:$M, Investors!$I:$I, "&lt;=" &amp; 'NSST Print'!$B$3, Investors!$K:$K, "&gt;" &amp; 'NSST Print'!$B$3, Investors!$A:$A, 'Investor Exit List'!A177, Investors!$E:$E, 'Investor Exit List'!C177)</f>
        <v/>
      </c>
      <c r="G177" s="126" t="n">
        <v>44916</v>
      </c>
      <c r="H177" s="124">
        <f>VLOOKUP($C177,Sales!$C:$E,2,FALSE)</f>
        <v/>
      </c>
      <c r="I177" s="124">
        <f>VLOOKUP($C177,Sales!$C:$E,3,FALSE)</f>
        <v/>
      </c>
      <c r="J177" s="126">
        <f>SUMIFS(Sales!$H:$H,Sales!$C:$C,'Investor Exit List'!$C177)</f>
        <v/>
      </c>
      <c r="K177" s="126">
        <f>IF(I177=TRUE,J177,"")</f>
        <v/>
      </c>
      <c r="L177" s="126">
        <f>G177+730</f>
        <v/>
      </c>
      <c r="M177" s="126" t="n">
        <v>45443</v>
      </c>
      <c r="N177" s="127">
        <f>IFERROR(IF(G177&lt;&gt;"",IF(I177=TRUE,0,IF(U177=TRUE,0,L177-M177)),0),0)</f>
        <v/>
      </c>
      <c r="O177" s="127">
        <f>IF(N177&gt;0,IF(N177&lt;=180,N177,0),0)</f>
        <v/>
      </c>
      <c r="P177" s="125">
        <f>IF(AND(N177&lt;90,N177&gt;0),Q177,0)</f>
        <v/>
      </c>
      <c r="Q177" s="125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25">
        <f>IF(AND(H177=TRUE,I177=FALSE),Q177,0)</f>
        <v/>
      </c>
      <c r="S177" s="125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26">
        <f>IF(U177=TRUE,$J177,"")</f>
        <v/>
      </c>
      <c r="U177" s="124" t="b">
        <v>0</v>
      </c>
      <c r="V177" s="125">
        <f>IF(AND(H177=TRUE,OR(K177="",K177&gt;M177)),S177,0)</f>
        <v/>
      </c>
      <c r="W177" s="124" t="n">
        <v>0</v>
      </c>
      <c r="X177" s="124" t="b">
        <v>0</v>
      </c>
      <c r="Y177" s="127">
        <f>IF(H177=FALSE,VLOOKUP($C177,Sales!$C:$F,4,FALSE),1)</f>
        <v/>
      </c>
      <c r="Z177" s="124">
        <f>IF(Y177=0,"Release",IF(AND(L177&lt;J177,Y177=1,H177=FALSE,U177=FALSE,MONTH(L177)&amp;"/"&amp;YEAR(L177)&lt;&gt;MONTH(J177)&amp;"/"&amp;YEAR(J177)),"Release",""))</f>
        <v/>
      </c>
      <c r="AA177" s="128">
        <f>_xlfn.minifs($L:$L,$C:$C,$C177,$F:$F,"&lt;&gt;0")</f>
        <v/>
      </c>
      <c r="AB177" s="128">
        <f>C177&amp;"-"&amp;A177</f>
        <v/>
      </c>
      <c r="AC177" s="128">
        <f>L177</f>
        <v/>
      </c>
    </row>
    <row r="178">
      <c r="A178" s="124" t="inlineStr">
        <is>
          <t>ZKUS02</t>
        </is>
      </c>
      <c r="B178" s="124" t="n">
        <v>3</v>
      </c>
      <c r="C178" s="124" t="inlineStr">
        <is>
          <t>HVC204</t>
        </is>
      </c>
      <c r="D178" s="124" t="inlineStr">
        <is>
          <t>C</t>
        </is>
      </c>
      <c r="E178" s="124" t="inlineStr">
        <is>
          <t>Kuster Kerry Lisa</t>
        </is>
      </c>
      <c r="F178" s="125">
        <f>SUMIFS(Investors!$M:$M, Investors!$I:$I, "&lt;=" &amp; 'NSST Print'!$B$3, Investors!$K:$K, "&gt;" &amp; 'NSST Print'!$B$3, Investors!$A:$A, 'Investor Exit List'!A178, Investors!$E:$E, 'Investor Exit List'!C178)</f>
        <v/>
      </c>
      <c r="G178" s="126" t="n">
        <v>44889</v>
      </c>
      <c r="H178" s="124">
        <f>VLOOKUP($C178,Sales!$C:$E,2,FALSE)</f>
        <v/>
      </c>
      <c r="I178" s="124">
        <f>VLOOKUP($C178,Sales!$C:$E,3,FALSE)</f>
        <v/>
      </c>
      <c r="J178" s="126">
        <f>SUMIFS(Sales!$H:$H,Sales!$C:$C,'Investor Exit List'!$C178)</f>
        <v/>
      </c>
      <c r="K178" s="126">
        <f>IF(I178=TRUE,J178,"")</f>
        <v/>
      </c>
      <c r="L178" s="126">
        <f>G178+730</f>
        <v/>
      </c>
      <c r="M178" s="126" t="n">
        <v>45443</v>
      </c>
      <c r="N178" s="127">
        <f>IFERROR(IF(G178&lt;&gt;"",IF(I178=TRUE,0,IF(U178=TRUE,0,L178-M178)),0),0)</f>
        <v/>
      </c>
      <c r="O178" s="127">
        <f>IF(N178&gt;0,IF(N178&lt;=180,N178,0),0)</f>
        <v/>
      </c>
      <c r="P178" s="125">
        <f>IF(AND(N178&lt;90,N178&gt;0),Q178,0)</f>
        <v/>
      </c>
      <c r="Q178" s="125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25">
        <f>IF(AND(H178=TRUE,I178=FALSE),Q178,0)</f>
        <v/>
      </c>
      <c r="S178" s="125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26">
        <f>IF(U178=TRUE,$J178,"")</f>
        <v/>
      </c>
      <c r="U178" s="124" t="b">
        <v>0</v>
      </c>
      <c r="V178" s="125">
        <f>IF(AND(H178=TRUE,OR(K178="",K178&gt;M178)),S178,0)</f>
        <v/>
      </c>
      <c r="W178" s="124" t="n">
        <v>0</v>
      </c>
      <c r="X178" s="124" t="b">
        <v>0</v>
      </c>
      <c r="Y178" s="127">
        <f>IF(H178=FALSE,VLOOKUP($C178,Sales!$C:$F,4,FALSE),1)</f>
        <v/>
      </c>
      <c r="Z178" s="124">
        <f>IF(Y178=0,"Release",IF(AND(L178&lt;J178,Y178=1,H178=FALSE,U178=FALSE,MONTH(L178)&amp;"/"&amp;YEAR(L178)&lt;&gt;MONTH(J178)&amp;"/"&amp;YEAR(J178)),"Release",""))</f>
        <v/>
      </c>
      <c r="AA178" s="128">
        <f>_xlfn.minifs($L:$L,$C:$C,$C178,$F:$F,"&lt;&gt;0")</f>
        <v/>
      </c>
      <c r="AB178" s="128">
        <f>C178&amp;"-"&amp;A178</f>
        <v/>
      </c>
      <c r="AC178" s="128">
        <f>L178</f>
        <v/>
      </c>
    </row>
    <row r="179">
      <c r="A179" s="124" t="inlineStr">
        <is>
          <t>ZSTO01</t>
        </is>
      </c>
      <c r="B179" s="124" t="n">
        <v>3</v>
      </c>
      <c r="C179" s="124" t="inlineStr">
        <is>
          <t>HVC204</t>
        </is>
      </c>
      <c r="D179" s="124" t="inlineStr">
        <is>
          <t>C</t>
        </is>
      </c>
      <c r="E179" s="124" t="inlineStr">
        <is>
          <t>Stols Nicolaas</t>
        </is>
      </c>
      <c r="F179" s="125">
        <f>SUMIFS(Investors!$M:$M, Investors!$I:$I, "&lt;=" &amp; 'NSST Print'!$B$3, Investors!$K:$K, "&gt;" &amp; 'NSST Print'!$B$3, Investors!$A:$A, 'Investor Exit List'!A179, Investors!$E:$E, 'Investor Exit List'!C179)</f>
        <v/>
      </c>
      <c r="G179" s="126" t="n">
        <v>44889</v>
      </c>
      <c r="H179" s="124">
        <f>VLOOKUP($C179,Sales!$C:$E,2,FALSE)</f>
        <v/>
      </c>
      <c r="I179" s="124">
        <f>VLOOKUP($C179,Sales!$C:$E,3,FALSE)</f>
        <v/>
      </c>
      <c r="J179" s="126">
        <f>SUMIFS(Sales!$H:$H,Sales!$C:$C,'Investor Exit List'!$C179)</f>
        <v/>
      </c>
      <c r="K179" s="126">
        <f>IF(I179=TRUE,J179,"")</f>
        <v/>
      </c>
      <c r="L179" s="126">
        <f>G179+730</f>
        <v/>
      </c>
      <c r="M179" s="126" t="n">
        <v>45443</v>
      </c>
      <c r="N179" s="127">
        <f>IFERROR(IF(G179&lt;&gt;"",IF(I179=TRUE,0,IF(U179=TRUE,0,L179-M179)),0),0)</f>
        <v/>
      </c>
      <c r="O179" s="127">
        <f>IF(N179&gt;0,IF(N179&lt;=180,N179,0),0)</f>
        <v/>
      </c>
      <c r="P179" s="125">
        <f>IF(AND(N179&lt;90,N179&gt;0),Q179,0)</f>
        <v/>
      </c>
      <c r="Q179" s="125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25">
        <f>IF(AND(H179=TRUE,I179=FALSE),Q179,0)</f>
        <v/>
      </c>
      <c r="S179" s="125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26">
        <f>IF(U179=TRUE,$J179,"")</f>
        <v/>
      </c>
      <c r="U179" s="124" t="b">
        <v>0</v>
      </c>
      <c r="V179" s="125">
        <f>IF(AND(H179=TRUE,OR(K179="",K179&gt;M179)),S179,0)</f>
        <v/>
      </c>
      <c r="W179" s="124" t="n">
        <v>0</v>
      </c>
      <c r="X179" s="124" t="b">
        <v>0</v>
      </c>
      <c r="Y179" s="127">
        <f>IF(H179=FALSE,VLOOKUP($C179,Sales!$C:$F,4,FALSE),1)</f>
        <v/>
      </c>
      <c r="Z179" s="124">
        <f>IF(Y179=0,"Release",IF(AND(L179&lt;J179,Y179=1,H179=FALSE,U179=FALSE,MONTH(L179)&amp;"/"&amp;YEAR(L179)&lt;&gt;MONTH(J179)&amp;"/"&amp;YEAR(J179)),"Release",""))</f>
        <v/>
      </c>
      <c r="AA179" s="128">
        <f>_xlfn.minifs($L:$L,$C:$C,$C179,$F:$F,"&lt;&gt;0")</f>
        <v/>
      </c>
      <c r="AB179" s="128">
        <f>C179&amp;"-"&amp;A179</f>
        <v/>
      </c>
      <c r="AC179" s="128">
        <f>L179</f>
        <v/>
      </c>
    </row>
    <row r="180">
      <c r="A180" s="124" t="inlineStr">
        <is>
          <t>ZVAN10</t>
        </is>
      </c>
      <c r="B180" s="124" t="n">
        <v>1</v>
      </c>
      <c r="C180" s="124" t="inlineStr">
        <is>
          <t>HVC204</t>
        </is>
      </c>
      <c r="D180" s="124" t="inlineStr">
        <is>
          <t>C</t>
        </is>
      </c>
      <c r="E180" s="124" t="inlineStr">
        <is>
          <t>van der Merwe Wilhelm Johannes</t>
        </is>
      </c>
      <c r="F180" s="125">
        <f>SUMIFS(Investors!$M:$M, Investors!$I:$I, "&lt;=" &amp; 'NSST Print'!$B$3, Investors!$K:$K, "&gt;" &amp; 'NSST Print'!$B$3, Investors!$A:$A, 'Investor Exit List'!A180, Investors!$E:$E, 'Investor Exit List'!C180)</f>
        <v/>
      </c>
      <c r="G180" s="126" t="n">
        <v>44889</v>
      </c>
      <c r="H180" s="124">
        <f>VLOOKUP($C180,Sales!$C:$E,2,FALSE)</f>
        <v/>
      </c>
      <c r="I180" s="124">
        <f>VLOOKUP($C180,Sales!$C:$E,3,FALSE)</f>
        <v/>
      </c>
      <c r="J180" s="126">
        <f>SUMIFS(Sales!$H:$H,Sales!$C:$C,'Investor Exit List'!$C180)</f>
        <v/>
      </c>
      <c r="K180" s="126">
        <f>IF(I180=TRUE,J180,"")</f>
        <v/>
      </c>
      <c r="L180" s="126">
        <f>G180+730</f>
        <v/>
      </c>
      <c r="M180" s="126" t="n">
        <v>45443</v>
      </c>
      <c r="N180" s="127">
        <f>IFERROR(IF(G180&lt;&gt;"",IF(I180=TRUE,0,IF(U180=TRUE,0,L180-M180)),0),0)</f>
        <v/>
      </c>
      <c r="O180" s="127">
        <f>IF(N180&gt;0,IF(N180&lt;=180,N180,0),0)</f>
        <v/>
      </c>
      <c r="P180" s="125">
        <f>IF(AND(N180&lt;90,N180&gt;0),Q180,0)</f>
        <v/>
      </c>
      <c r="Q180" s="125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25">
        <f>IF(AND(H180=TRUE,I180=FALSE),Q180,0)</f>
        <v/>
      </c>
      <c r="S180" s="125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26">
        <f>IF(U180=TRUE,$J180,"")</f>
        <v/>
      </c>
      <c r="U180" s="124" t="b">
        <v>0</v>
      </c>
      <c r="V180" s="125">
        <f>IF(AND(H180=TRUE,OR(K180="",K180&gt;M180)),S180,0)</f>
        <v/>
      </c>
      <c r="W180" s="124" t="n">
        <v>0</v>
      </c>
      <c r="X180" s="124" t="b">
        <v>0</v>
      </c>
      <c r="Y180" s="127">
        <f>IF(H180=FALSE,VLOOKUP($C180,Sales!$C:$F,4,FALSE),1)</f>
        <v/>
      </c>
      <c r="Z180" s="124">
        <f>IF(Y180=0,"Release",IF(AND(L180&lt;J180,Y180=1,H180=FALSE,U180=FALSE,MONTH(L180)&amp;"/"&amp;YEAR(L180)&lt;&gt;MONTH(J180)&amp;"/"&amp;YEAR(J180)),"Release",""))</f>
        <v/>
      </c>
      <c r="AA180" s="128">
        <f>_xlfn.minifs($L:$L,$C:$C,$C180,$F:$F,"&lt;&gt;0")</f>
        <v/>
      </c>
      <c r="AB180" s="128">
        <f>C180&amp;"-"&amp;A180</f>
        <v/>
      </c>
      <c r="AC180" s="128">
        <f>L180</f>
        <v/>
      </c>
    </row>
    <row r="181">
      <c r="A181" s="124" t="inlineStr">
        <is>
          <t>ZWIL01</t>
        </is>
      </c>
      <c r="B181" s="124" t="n">
        <v>2</v>
      </c>
      <c r="C181" s="124" t="inlineStr">
        <is>
          <t>HVC204</t>
        </is>
      </c>
      <c r="D181" s="124" t="inlineStr">
        <is>
          <t>C</t>
        </is>
      </c>
      <c r="E181" s="124" t="inlineStr">
        <is>
          <t>Wilson Gail</t>
        </is>
      </c>
      <c r="F181" s="125">
        <f>SUMIFS(Investors!$M:$M, Investors!$I:$I, "&lt;=" &amp; 'NSST Print'!$B$3, Investors!$K:$K, "&gt;" &amp; 'NSST Print'!$B$3, Investors!$A:$A, 'Investor Exit List'!A181, Investors!$E:$E, 'Investor Exit List'!C181)</f>
        <v/>
      </c>
      <c r="G181" s="126" t="n">
        <v>44903</v>
      </c>
      <c r="H181" s="124">
        <f>VLOOKUP($C181,Sales!$C:$E,2,FALSE)</f>
        <v/>
      </c>
      <c r="I181" s="124">
        <f>VLOOKUP($C181,Sales!$C:$E,3,FALSE)</f>
        <v/>
      </c>
      <c r="J181" s="126">
        <f>SUMIFS(Sales!$H:$H,Sales!$C:$C,'Investor Exit List'!$C181)</f>
        <v/>
      </c>
      <c r="K181" s="126">
        <f>IF(I181=TRUE,J181,"")</f>
        <v/>
      </c>
      <c r="L181" s="126">
        <f>G181+730</f>
        <v/>
      </c>
      <c r="M181" s="126" t="n">
        <v>45443</v>
      </c>
      <c r="N181" s="127">
        <f>IFERROR(IF(G181&lt;&gt;"",IF(I181=TRUE,0,IF(U181=TRUE,0,L181-M181)),0),0)</f>
        <v/>
      </c>
      <c r="O181" s="127">
        <f>IF(N181&gt;0,IF(N181&lt;=180,N181,0),0)</f>
        <v/>
      </c>
      <c r="P181" s="125">
        <f>IF(AND(N181&lt;90,N181&gt;0),Q181,0)</f>
        <v/>
      </c>
      <c r="Q181" s="125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25">
        <f>IF(AND(H181=TRUE,I181=FALSE),Q181,0)</f>
        <v/>
      </c>
      <c r="S181" s="125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26">
        <f>IF(U181=TRUE,$J181,"")</f>
        <v/>
      </c>
      <c r="U181" s="124" t="b">
        <v>0</v>
      </c>
      <c r="V181" s="125">
        <f>IF(AND(H181=TRUE,OR(K181="",K181&gt;M181)),S181,0)</f>
        <v/>
      </c>
      <c r="W181" s="124" t="n">
        <v>0</v>
      </c>
      <c r="X181" s="124" t="b">
        <v>0</v>
      </c>
      <c r="Y181" s="127">
        <f>IF(H181=FALSE,VLOOKUP($C181,Sales!$C:$F,4,FALSE),1)</f>
        <v/>
      </c>
      <c r="Z181" s="124">
        <f>IF(Y181=0,"Release",IF(AND(L181&lt;J181,Y181=1,H181=FALSE,U181=FALSE,MONTH(L181)&amp;"/"&amp;YEAR(L181)&lt;&gt;MONTH(J181)&amp;"/"&amp;YEAR(J181)),"Release",""))</f>
        <v/>
      </c>
      <c r="AA181" s="128">
        <f>_xlfn.minifs($L:$L,$C:$C,$C181,$F:$F,"&lt;&gt;0")</f>
        <v/>
      </c>
      <c r="AB181" s="128">
        <f>C181&amp;"-"&amp;A181</f>
        <v/>
      </c>
      <c r="AC181" s="128">
        <f>L181</f>
        <v/>
      </c>
    </row>
    <row r="182">
      <c r="A182" s="124" t="inlineStr">
        <is>
          <t>ZMIL01</t>
        </is>
      </c>
      <c r="B182" s="124" t="n">
        <v>1</v>
      </c>
      <c r="C182" s="124" t="inlineStr">
        <is>
          <t>HVC205</t>
        </is>
      </c>
      <c r="D182" s="124" t="inlineStr">
        <is>
          <t>C</t>
        </is>
      </c>
      <c r="E182" s="124" t="inlineStr">
        <is>
          <t xml:space="preserve">Milne Arno </t>
        </is>
      </c>
      <c r="F182" s="125">
        <f>SUMIFS(Investors!$M:$M, Investors!$I:$I, "&lt;=" &amp; 'NSST Print'!$B$3, Investors!$K:$K, "&gt;" &amp; 'NSST Print'!$B$3, Investors!$A:$A, 'Investor Exit List'!A182, Investors!$E:$E, 'Investor Exit List'!C182)</f>
        <v/>
      </c>
      <c r="G182" s="126" t="n">
        <v>44903</v>
      </c>
      <c r="H182" s="124">
        <f>VLOOKUP($C182,Sales!$C:$E,2,FALSE)</f>
        <v/>
      </c>
      <c r="I182" s="124">
        <f>VLOOKUP($C182,Sales!$C:$E,3,FALSE)</f>
        <v/>
      </c>
      <c r="J182" s="126">
        <f>SUMIFS(Sales!$H:$H,Sales!$C:$C,'Investor Exit List'!$C182)</f>
        <v/>
      </c>
      <c r="K182" s="126">
        <f>IF(I182=TRUE,J182,"")</f>
        <v/>
      </c>
      <c r="L182" s="126">
        <f>G182+730</f>
        <v/>
      </c>
      <c r="M182" s="126" t="n">
        <v>45443</v>
      </c>
      <c r="N182" s="127">
        <f>IFERROR(IF(G182&lt;&gt;"",IF(I182=TRUE,0,IF(U182=TRUE,0,L182-M182)),0),0)</f>
        <v/>
      </c>
      <c r="O182" s="127">
        <f>IF(N182&gt;0,IF(N182&lt;=180,N182,0),0)</f>
        <v/>
      </c>
      <c r="P182" s="125">
        <f>IF(AND(N182&lt;90,N182&gt;0),Q182,0)</f>
        <v/>
      </c>
      <c r="Q182" s="125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25">
        <f>IF(AND(H182=TRUE,I182=FALSE),Q182,0)</f>
        <v/>
      </c>
      <c r="S182" s="125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26">
        <f>IF(U182=TRUE,$J182,"")</f>
        <v/>
      </c>
      <c r="U182" s="124" t="b">
        <v>0</v>
      </c>
      <c r="V182" s="125">
        <f>IF(AND(H182=TRUE,OR(K182="",K182&gt;M182)),S182,0)</f>
        <v/>
      </c>
      <c r="W182" s="124" t="n">
        <v>0</v>
      </c>
      <c r="X182" s="124" t="b">
        <v>0</v>
      </c>
      <c r="Y182" s="127">
        <f>IF(H182=FALSE,VLOOKUP($C182,Sales!$C:$F,4,FALSE),1)</f>
        <v/>
      </c>
      <c r="Z182" s="124">
        <f>IF(Y182=0,"Release",IF(AND(L182&lt;J182,Y182=1,H182=FALSE,U182=FALSE,MONTH(L182)&amp;"/"&amp;YEAR(L182)&lt;&gt;MONTH(J182)&amp;"/"&amp;YEAR(J182)),"Release",""))</f>
        <v/>
      </c>
      <c r="AA182" s="128">
        <f>_xlfn.minifs($L:$L,$C:$C,$C182,$F:$F,"&lt;&gt;0")</f>
        <v/>
      </c>
      <c r="AB182" s="128">
        <f>C182&amp;"-"&amp;A182</f>
        <v/>
      </c>
      <c r="AC182" s="128">
        <f>L182</f>
        <v/>
      </c>
    </row>
    <row r="183">
      <c r="A183" s="124" t="inlineStr">
        <is>
          <t>ZSCA03</t>
        </is>
      </c>
      <c r="B183" s="124" t="n">
        <v>2</v>
      </c>
      <c r="C183" s="124" t="inlineStr">
        <is>
          <t>HVC205</t>
        </is>
      </c>
      <c r="D183" s="124" t="inlineStr">
        <is>
          <t>C</t>
        </is>
      </c>
      <c r="E183" s="124" t="inlineStr">
        <is>
          <t>Scalzini Gerda Margaret</t>
        </is>
      </c>
      <c r="F183" s="125">
        <f>SUMIFS(Investors!$M:$M, Investors!$I:$I, "&lt;=" &amp; 'NSST Print'!$B$3, Investors!$K:$K, "&gt;" &amp; 'NSST Print'!$B$3, Investors!$A:$A, 'Investor Exit List'!A183, Investors!$E:$E, 'Investor Exit List'!C183)</f>
        <v/>
      </c>
      <c r="G183" s="126" t="n">
        <v>44903</v>
      </c>
      <c r="H183" s="124">
        <f>VLOOKUP($C183,Sales!$C:$E,2,FALSE)</f>
        <v/>
      </c>
      <c r="I183" s="124">
        <f>VLOOKUP($C183,Sales!$C:$E,3,FALSE)</f>
        <v/>
      </c>
      <c r="J183" s="126">
        <f>SUMIFS(Sales!$H:$H,Sales!$C:$C,'Investor Exit List'!$C183)</f>
        <v/>
      </c>
      <c r="K183" s="126">
        <f>IF(I183=TRUE,J183,"")</f>
        <v/>
      </c>
      <c r="L183" s="126">
        <f>G183+730</f>
        <v/>
      </c>
      <c r="M183" s="126" t="n">
        <v>45443</v>
      </c>
      <c r="N183" s="127">
        <f>IFERROR(IF(G183&lt;&gt;"",IF(I183=TRUE,0,IF(U183=TRUE,0,L183-M183)),0),0)</f>
        <v/>
      </c>
      <c r="O183" s="127">
        <f>IF(N183&gt;0,IF(N183&lt;=180,N183,0),0)</f>
        <v/>
      </c>
      <c r="P183" s="125">
        <f>IF(AND(N183&lt;90,N183&gt;0),Q183,0)</f>
        <v/>
      </c>
      <c r="Q183" s="125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25">
        <f>IF(AND(H183=TRUE,I183=FALSE),Q183,0)</f>
        <v/>
      </c>
      <c r="S183" s="125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26">
        <f>IF(U183=TRUE,$J183,"")</f>
        <v/>
      </c>
      <c r="U183" s="124" t="b">
        <v>0</v>
      </c>
      <c r="V183" s="125">
        <f>IF(AND(H183=TRUE,OR(K183="",K183&gt;M183)),S183,0)</f>
        <v/>
      </c>
      <c r="W183" s="124" t="n">
        <v>0</v>
      </c>
      <c r="X183" s="124" t="b">
        <v>0</v>
      </c>
      <c r="Y183" s="127">
        <f>IF(H183=FALSE,VLOOKUP($C183,Sales!$C:$F,4,FALSE),1)</f>
        <v/>
      </c>
      <c r="Z183" s="124">
        <f>IF(Y183=0,"Release",IF(AND(L183&lt;J183,Y183=1,H183=FALSE,U183=FALSE,MONTH(L183)&amp;"/"&amp;YEAR(L183)&lt;&gt;MONTH(J183)&amp;"/"&amp;YEAR(J183)),"Release",""))</f>
        <v/>
      </c>
      <c r="AA183" s="128">
        <f>_xlfn.minifs($L:$L,$C:$C,$C183,$F:$F,"&lt;&gt;0")</f>
        <v/>
      </c>
      <c r="AB183" s="128">
        <f>C183&amp;"-"&amp;A183</f>
        <v/>
      </c>
      <c r="AC183" s="128">
        <f>L183</f>
        <v/>
      </c>
    </row>
    <row r="184">
      <c r="A184" s="124" t="inlineStr">
        <is>
          <t>ZVIV01</t>
        </is>
      </c>
      <c r="B184" s="124" t="n">
        <v>1</v>
      </c>
      <c r="C184" s="124" t="inlineStr">
        <is>
          <t>HVC205</t>
        </is>
      </c>
      <c r="D184" s="124" t="inlineStr">
        <is>
          <t>C</t>
        </is>
      </c>
      <c r="E184" s="124" t="inlineStr">
        <is>
          <t>Vivier Philip Gerhard</t>
        </is>
      </c>
      <c r="F184" s="125">
        <f>SUMIFS(Investors!$M:$M, Investors!$I:$I, "&lt;=" &amp; 'NSST Print'!$B$3, Investors!$K:$K, "&gt;" &amp; 'NSST Print'!$B$3, Investors!$A:$A, 'Investor Exit List'!A184, Investors!$E:$E, 'Investor Exit List'!C184)</f>
        <v/>
      </c>
      <c r="G184" s="126" t="n">
        <v>44903</v>
      </c>
      <c r="H184" s="124">
        <f>VLOOKUP($C184,Sales!$C:$E,2,FALSE)</f>
        <v/>
      </c>
      <c r="I184" s="124">
        <f>VLOOKUP($C184,Sales!$C:$E,3,FALSE)</f>
        <v/>
      </c>
      <c r="J184" s="126">
        <f>SUMIFS(Sales!$H:$H,Sales!$C:$C,'Investor Exit List'!$C184)</f>
        <v/>
      </c>
      <c r="K184" s="126">
        <f>IF(I184=TRUE,J184,"")</f>
        <v/>
      </c>
      <c r="L184" s="126">
        <f>G184+730</f>
        <v/>
      </c>
      <c r="M184" s="126" t="n">
        <v>45443</v>
      </c>
      <c r="N184" s="127">
        <f>IFERROR(IF(G184&lt;&gt;"",IF(I184=TRUE,0,IF(U184=TRUE,0,L184-M184)),0),0)</f>
        <v/>
      </c>
      <c r="O184" s="127">
        <f>IF(N184&gt;0,IF(N184&lt;=180,N184,0),0)</f>
        <v/>
      </c>
      <c r="P184" s="125">
        <f>IF(AND(N184&lt;90,N184&gt;0),Q184,0)</f>
        <v/>
      </c>
      <c r="Q184" s="125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25">
        <f>IF(AND(H184=TRUE,I184=FALSE),Q184,0)</f>
        <v/>
      </c>
      <c r="S184" s="125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26">
        <f>IF(U184=TRUE,$J184,"")</f>
        <v/>
      </c>
      <c r="U184" s="124" t="b">
        <v>0</v>
      </c>
      <c r="V184" s="125">
        <f>IF(AND(H184=TRUE,OR(K184="",K184&gt;M184)),S184,0)</f>
        <v/>
      </c>
      <c r="W184" s="124" t="n">
        <v>0</v>
      </c>
      <c r="X184" s="124" t="b">
        <v>0</v>
      </c>
      <c r="Y184" s="127">
        <f>IF(H184=FALSE,VLOOKUP($C184,Sales!$C:$F,4,FALSE),1)</f>
        <v/>
      </c>
      <c r="Z184" s="124">
        <f>IF(Y184=0,"Release",IF(AND(L184&lt;J184,Y184=1,H184=FALSE,U184=FALSE,MONTH(L184)&amp;"/"&amp;YEAR(L184)&lt;&gt;MONTH(J184)&amp;"/"&amp;YEAR(J184)),"Release",""))</f>
        <v/>
      </c>
      <c r="AA184" s="128">
        <f>_xlfn.minifs($L:$L,$C:$C,$C184,$F:$F,"&lt;&gt;0")</f>
        <v/>
      </c>
      <c r="AB184" s="128">
        <f>C184&amp;"-"&amp;A184</f>
        <v/>
      </c>
      <c r="AC184" s="128">
        <f>L184</f>
        <v/>
      </c>
    </row>
    <row r="185">
      <c r="A185" s="124" t="inlineStr">
        <is>
          <t>ZWAL02</t>
        </is>
      </c>
      <c r="B185" s="124" t="n">
        <v>4</v>
      </c>
      <c r="C185" s="124" t="inlineStr">
        <is>
          <t>HVC205</t>
        </is>
      </c>
      <c r="D185" s="124" t="inlineStr">
        <is>
          <t>C</t>
        </is>
      </c>
      <c r="E185" s="124" t="inlineStr">
        <is>
          <t>Wallander Johann</t>
        </is>
      </c>
      <c r="F185" s="125">
        <f>SUMIFS(Investors!$M:$M, Investors!$I:$I, "&lt;=" &amp; 'NSST Print'!$B$3, Investors!$K:$K, "&gt;" &amp; 'NSST Print'!$B$3, Investors!$A:$A, 'Investor Exit List'!A185, Investors!$E:$E, 'Investor Exit List'!C185)</f>
        <v/>
      </c>
      <c r="G185" s="126" t="n">
        <v>44903</v>
      </c>
      <c r="H185" s="124">
        <f>VLOOKUP($C185,Sales!$C:$E,2,FALSE)</f>
        <v/>
      </c>
      <c r="I185" s="124">
        <f>VLOOKUP($C185,Sales!$C:$E,3,FALSE)</f>
        <v/>
      </c>
      <c r="J185" s="126">
        <f>SUMIFS(Sales!$H:$H,Sales!$C:$C,'Investor Exit List'!$C185)</f>
        <v/>
      </c>
      <c r="K185" s="126">
        <f>IF(I185=TRUE,J185,"")</f>
        <v/>
      </c>
      <c r="L185" s="126">
        <f>G185+730</f>
        <v/>
      </c>
      <c r="M185" s="126" t="n">
        <v>45443</v>
      </c>
      <c r="N185" s="127">
        <f>IFERROR(IF(G185&lt;&gt;"",IF(I185=TRUE,0,IF(U185=TRUE,0,L185-M185)),0),0)</f>
        <v/>
      </c>
      <c r="O185" s="127">
        <f>IF(N185&gt;0,IF(N185&lt;=180,N185,0),0)</f>
        <v/>
      </c>
      <c r="P185" s="125">
        <f>IF(AND(N185&lt;90,N185&gt;0),Q185,0)</f>
        <v/>
      </c>
      <c r="Q185" s="125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25">
        <f>IF(AND(H185=TRUE,I185=FALSE),Q185,0)</f>
        <v/>
      </c>
      <c r="S185" s="125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26">
        <f>IF(U185=TRUE,$J185,"")</f>
        <v/>
      </c>
      <c r="U185" s="124" t="b">
        <v>0</v>
      </c>
      <c r="V185" s="125">
        <f>IF(AND(H185=TRUE,OR(K185="",K185&gt;M185)),S185,0)</f>
        <v/>
      </c>
      <c r="W185" s="124" t="n">
        <v>0</v>
      </c>
      <c r="X185" s="124" t="b">
        <v>0</v>
      </c>
      <c r="Y185" s="127">
        <f>IF(H185=FALSE,VLOOKUP($C185,Sales!$C:$F,4,FALSE),1)</f>
        <v/>
      </c>
      <c r="Z185" s="124">
        <f>IF(Y185=0,"Release",IF(AND(L185&lt;J185,Y185=1,H185=FALSE,U185=FALSE,MONTH(L185)&amp;"/"&amp;YEAR(L185)&lt;&gt;MONTH(J185)&amp;"/"&amp;YEAR(J185)),"Release",""))</f>
        <v/>
      </c>
      <c r="AA185" s="128">
        <f>_xlfn.minifs($L:$L,$C:$C,$C185,$F:$F,"&lt;&gt;0")</f>
        <v/>
      </c>
      <c r="AB185" s="128">
        <f>C185&amp;"-"&amp;A185</f>
        <v/>
      </c>
      <c r="AC185" s="128">
        <f>L185</f>
        <v/>
      </c>
    </row>
    <row r="186">
      <c r="A186" s="124" t="inlineStr">
        <is>
          <t>ZKRI02</t>
        </is>
      </c>
      <c r="B186" s="124" t="n">
        <v>3</v>
      </c>
      <c r="C186" s="124" t="inlineStr">
        <is>
          <t>HVC206</t>
        </is>
      </c>
      <c r="D186" s="124" t="inlineStr">
        <is>
          <t>C</t>
        </is>
      </c>
      <c r="E186" s="124" t="inlineStr">
        <is>
          <t>Kriel Hermanus Johannes</t>
        </is>
      </c>
      <c r="F186" s="125">
        <f>SUMIFS(Investors!$M:$M, Investors!$I:$I, "&lt;=" &amp; 'NSST Print'!$B$3, Investors!$K:$K, "&gt;" &amp; 'NSST Print'!$B$3, Investors!$A:$A, 'Investor Exit List'!A186, Investors!$E:$E, 'Investor Exit List'!C186)</f>
        <v/>
      </c>
      <c r="G186" s="126" t="n">
        <v>44861</v>
      </c>
      <c r="H186" s="124">
        <f>VLOOKUP($C186,Sales!$C:$E,2,FALSE)</f>
        <v/>
      </c>
      <c r="I186" s="124">
        <f>VLOOKUP($C186,Sales!$C:$E,3,FALSE)</f>
        <v/>
      </c>
      <c r="J186" s="126">
        <f>SUMIFS(Sales!$H:$H,Sales!$C:$C,'Investor Exit List'!$C186)</f>
        <v/>
      </c>
      <c r="K186" s="126">
        <f>IF(I186=TRUE,J186,"")</f>
        <v/>
      </c>
      <c r="L186" s="126">
        <f>G186+730</f>
        <v/>
      </c>
      <c r="M186" s="126" t="n">
        <v>45443</v>
      </c>
      <c r="N186" s="127">
        <f>IFERROR(IF(G186&lt;&gt;"",IF(I186=TRUE,0,IF(U186=TRUE,0,L186-M186)),0),0)</f>
        <v/>
      </c>
      <c r="O186" s="127">
        <f>IF(N186&gt;0,IF(N186&lt;=180,N186,0),0)</f>
        <v/>
      </c>
      <c r="P186" s="125">
        <f>IF(AND(N186&lt;90,N186&gt;0),Q186,0)</f>
        <v/>
      </c>
      <c r="Q186" s="125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25">
        <f>IF(AND(H186=TRUE,I186=FALSE),Q186,0)</f>
        <v/>
      </c>
      <c r="S186" s="125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26">
        <f>IF(U186=TRUE,$J186,"")</f>
        <v/>
      </c>
      <c r="U186" s="124" t="b">
        <v>0</v>
      </c>
      <c r="V186" s="125">
        <f>IF(AND(H186=TRUE,OR(K186="",K186&gt;M186)),S186,0)</f>
        <v/>
      </c>
      <c r="W186" s="124" t="n">
        <v>0</v>
      </c>
      <c r="X186" s="124" t="b">
        <v>0</v>
      </c>
      <c r="Y186" s="127">
        <f>IF(H186=FALSE,VLOOKUP($C186,Sales!$C:$F,4,FALSE),1)</f>
        <v/>
      </c>
      <c r="Z186" s="124">
        <f>IF(Y186=0,"Release",IF(AND(L186&lt;J186,Y186=1,H186=FALSE,U186=FALSE,MONTH(L186)&amp;"/"&amp;YEAR(L186)&lt;&gt;MONTH(J186)&amp;"/"&amp;YEAR(J186)),"Release",""))</f>
        <v/>
      </c>
      <c r="AA186" s="128">
        <f>_xlfn.minifs($L:$L,$C:$C,$C186,$F:$F,"&lt;&gt;0")</f>
        <v/>
      </c>
      <c r="AB186" s="128">
        <f>C186&amp;"-"&amp;A186</f>
        <v/>
      </c>
      <c r="AC186" s="128">
        <f>L186</f>
        <v/>
      </c>
    </row>
    <row r="187">
      <c r="A187" s="124" t="inlineStr">
        <is>
          <t>ZCON01</t>
        </is>
      </c>
      <c r="B187" s="124" t="n">
        <v>4</v>
      </c>
      <c r="C187" s="124" t="inlineStr">
        <is>
          <t>HVC301</t>
        </is>
      </c>
      <c r="D187" s="124" t="inlineStr">
        <is>
          <t>C</t>
        </is>
      </c>
      <c r="E187" s="124" t="inlineStr">
        <is>
          <t>Conradie Gerhard Lotter</t>
        </is>
      </c>
      <c r="F187" s="125">
        <f>SUMIFS(Investors!$M:$M, Investors!$I:$I, "&lt;=" &amp; 'NSST Print'!$B$3, Investors!$K:$K, "&gt;" &amp; 'NSST Print'!$B$3, Investors!$A:$A, 'Investor Exit List'!A187, Investors!$E:$E, 'Investor Exit List'!C187)</f>
        <v/>
      </c>
      <c r="G187" s="126" t="n">
        <v>44755</v>
      </c>
      <c r="H187" s="124">
        <f>VLOOKUP($C187,Sales!$C:$E,2,FALSE)</f>
        <v/>
      </c>
      <c r="I187" s="124">
        <f>VLOOKUP($C187,Sales!$C:$E,3,FALSE)</f>
        <v/>
      </c>
      <c r="J187" s="126">
        <f>SUMIFS(Sales!$H:$H,Sales!$C:$C,'Investor Exit List'!$C187)</f>
        <v/>
      </c>
      <c r="K187" s="126">
        <f>IF(I187=TRUE,J187,"")</f>
        <v/>
      </c>
      <c r="L187" s="126">
        <f>G187+730</f>
        <v/>
      </c>
      <c r="M187" s="126" t="n">
        <v>45443</v>
      </c>
      <c r="N187" s="127">
        <f>IFERROR(IF(G187&lt;&gt;"",IF(I187=TRUE,0,IF(U187=TRUE,0,L187-M187)),0),0)</f>
        <v/>
      </c>
      <c r="O187" s="127">
        <f>IF(N187&gt;0,IF(N187&lt;=180,N187,0),0)</f>
        <v/>
      </c>
      <c r="P187" s="125">
        <f>IF(AND(N187&lt;90,N187&gt;0),Q187,0)</f>
        <v/>
      </c>
      <c r="Q187" s="125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25">
        <f>IF(AND(H187=TRUE,I187=FALSE),Q187,0)</f>
        <v/>
      </c>
      <c r="S187" s="125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26">
        <f>IF(U187=TRUE,$J187,"")</f>
        <v/>
      </c>
      <c r="U187" s="124" t="b">
        <v>0</v>
      </c>
      <c r="V187" s="125">
        <f>IF(AND(H187=TRUE,OR(K187="",K187&gt;M187)),S187,0)</f>
        <v/>
      </c>
      <c r="W187" s="124" t="n">
        <v>0</v>
      </c>
      <c r="X187" s="124" t="b">
        <v>0</v>
      </c>
      <c r="Y187" s="127">
        <f>IF(H187=FALSE,VLOOKUP($C187,Sales!$C:$F,4,FALSE),1)</f>
        <v/>
      </c>
      <c r="Z187" s="124">
        <f>IF(Y187=0,"Release",IF(AND(L187&lt;J187,Y187=1,H187=FALSE,U187=FALSE,MONTH(L187)&amp;"/"&amp;YEAR(L187)&lt;&gt;MONTH(J187)&amp;"/"&amp;YEAR(J187)),"Release",""))</f>
        <v/>
      </c>
      <c r="AA187" s="128">
        <f>_xlfn.minifs($L:$L,$C:$C,$C187,$F:$F,"&lt;&gt;0")</f>
        <v/>
      </c>
      <c r="AB187" s="128">
        <f>C187&amp;"-"&amp;A187</f>
        <v/>
      </c>
      <c r="AC187" s="128">
        <f>L187</f>
        <v/>
      </c>
    </row>
    <row r="188">
      <c r="A188" s="124" t="inlineStr">
        <is>
          <t>ZINT01</t>
        </is>
      </c>
      <c r="B188" s="124" t="n">
        <v>15</v>
      </c>
      <c r="C188" s="124" t="inlineStr">
        <is>
          <t>HVC301</t>
        </is>
      </c>
      <c r="D188" s="124" t="inlineStr">
        <is>
          <t>C</t>
        </is>
      </c>
      <c r="E188" s="124" t="inlineStr">
        <is>
          <t>Lunau Marc</t>
        </is>
      </c>
      <c r="F188" s="125">
        <f>SUMIFS(Investors!$M:$M, Investors!$I:$I, "&lt;=" &amp; 'NSST Print'!$B$3, Investors!$K:$K, "&gt;" &amp; 'NSST Print'!$B$3, Investors!$A:$A, 'Investor Exit List'!A188, Investors!$E:$E, 'Investor Exit List'!C188)</f>
        <v/>
      </c>
      <c r="G188" s="126" t="n">
        <v>45072</v>
      </c>
      <c r="H188" s="124">
        <f>VLOOKUP($C188,Sales!$C:$E,2,FALSE)</f>
        <v/>
      </c>
      <c r="I188" s="124">
        <f>VLOOKUP($C188,Sales!$C:$E,3,FALSE)</f>
        <v/>
      </c>
      <c r="J188" s="126">
        <f>SUMIFS(Sales!$H:$H,Sales!$C:$C,'Investor Exit List'!$C188)</f>
        <v/>
      </c>
      <c r="K188" s="126">
        <f>IF(I188=TRUE,J188,"")</f>
        <v/>
      </c>
      <c r="L188" s="126">
        <f>G188+730</f>
        <v/>
      </c>
      <c r="M188" s="126" t="n">
        <v>45443</v>
      </c>
      <c r="N188" s="127">
        <f>IFERROR(IF(G188&lt;&gt;"",IF(I188=TRUE,0,IF(U188=TRUE,0,L188-M188)),0),0)</f>
        <v/>
      </c>
      <c r="O188" s="127">
        <f>IF(N188&gt;0,IF(N188&lt;=180,N188,0),0)</f>
        <v/>
      </c>
      <c r="P188" s="125">
        <f>IF(AND(N188&lt;90,N188&gt;0),Q188,0)</f>
        <v/>
      </c>
      <c r="Q188" s="125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25">
        <f>IF(AND(H188=TRUE,I188=FALSE),Q188,0)</f>
        <v/>
      </c>
      <c r="S188" s="125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26">
        <f>IF(U188=TRUE,$J188,"")</f>
        <v/>
      </c>
      <c r="U188" s="124" t="b">
        <v>0</v>
      </c>
      <c r="V188" s="125">
        <f>IF(AND(H188=TRUE,OR(K188="",K188&gt;M188)),S188,0)</f>
        <v/>
      </c>
      <c r="W188" s="124" t="n">
        <v>0</v>
      </c>
      <c r="X188" s="124" t="b">
        <v>0</v>
      </c>
      <c r="Y188" s="127">
        <f>IF(H188=FALSE,VLOOKUP($C188,Sales!$C:$F,4,FALSE),1)</f>
        <v/>
      </c>
      <c r="Z188" s="124">
        <f>IF(Y188=0,"Release",IF(AND(L188&lt;J188,Y188=1,H188=FALSE,U188=FALSE,MONTH(L188)&amp;"/"&amp;YEAR(L188)&lt;&gt;MONTH(J188)&amp;"/"&amp;YEAR(J188)),"Release",""))</f>
        <v/>
      </c>
      <c r="AA188" s="128">
        <f>_xlfn.minifs($L:$L,$C:$C,$C188,$F:$F,"&lt;&gt;0")</f>
        <v/>
      </c>
      <c r="AB188" s="128">
        <f>C188&amp;"-"&amp;A188</f>
        <v/>
      </c>
      <c r="AC188" s="128">
        <f>L188</f>
        <v/>
      </c>
    </row>
    <row r="189">
      <c r="A189" s="124" t="inlineStr">
        <is>
          <t>ZCON01</t>
        </is>
      </c>
      <c r="B189" s="124" t="n">
        <v>5</v>
      </c>
      <c r="C189" s="124" t="inlineStr">
        <is>
          <t>HVC302</t>
        </is>
      </c>
      <c r="D189" s="124" t="inlineStr">
        <is>
          <t>C</t>
        </is>
      </c>
      <c r="E189" s="124" t="inlineStr">
        <is>
          <t>Conradie Gerhard Lotter</t>
        </is>
      </c>
      <c r="F189" s="125">
        <f>SUMIFS(Investors!$M:$M, Investors!$I:$I, "&lt;=" &amp; 'NSST Print'!$B$3, Investors!$K:$K, "&gt;" &amp; 'NSST Print'!$B$3, Investors!$A:$A, 'Investor Exit List'!A189, Investors!$E:$E, 'Investor Exit List'!C189)</f>
        <v/>
      </c>
      <c r="G189" s="126" t="n">
        <v>44755</v>
      </c>
      <c r="H189" s="124">
        <f>VLOOKUP($C189,Sales!$C:$E,2,FALSE)</f>
        <v/>
      </c>
      <c r="I189" s="124">
        <f>VLOOKUP($C189,Sales!$C:$E,3,FALSE)</f>
        <v/>
      </c>
      <c r="J189" s="126">
        <f>SUMIFS(Sales!$H:$H,Sales!$C:$C,'Investor Exit List'!$C189)</f>
        <v/>
      </c>
      <c r="K189" s="126">
        <f>IF(I189=TRUE,J189,"")</f>
        <v/>
      </c>
      <c r="L189" s="126">
        <f>G189+730</f>
        <v/>
      </c>
      <c r="M189" s="126" t="n">
        <v>45443</v>
      </c>
      <c r="N189" s="127">
        <f>IFERROR(IF(G189&lt;&gt;"",IF(I189=TRUE,0,IF(U189=TRUE,0,L189-M189)),0),0)</f>
        <v/>
      </c>
      <c r="O189" s="127">
        <f>IF(N189&gt;0,IF(N189&lt;=180,N189,0),0)</f>
        <v/>
      </c>
      <c r="P189" s="125">
        <f>IF(AND(N189&lt;90,N189&gt;0),Q189,0)</f>
        <v/>
      </c>
      <c r="Q189" s="125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25">
        <f>IF(AND(H189=TRUE,I189=FALSE),Q189,0)</f>
        <v/>
      </c>
      <c r="S189" s="125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26">
        <f>IF(U189=TRUE,$J189,"")</f>
        <v/>
      </c>
      <c r="U189" s="124" t="b">
        <v>0</v>
      </c>
      <c r="V189" s="125">
        <f>IF(AND(H189=TRUE,OR(K189="",K189&gt;M189)),S189,0)</f>
        <v/>
      </c>
      <c r="W189" s="124" t="n">
        <v>0</v>
      </c>
      <c r="X189" s="124" t="b">
        <v>0</v>
      </c>
      <c r="Y189" s="127">
        <f>IF(H189=FALSE,VLOOKUP($C189,Sales!$C:$F,4,FALSE),1)</f>
        <v/>
      </c>
      <c r="Z189" s="124">
        <f>IF(Y189=0,"Release",IF(AND(L189&lt;J189,Y189=1,H189=FALSE,U189=FALSE,MONTH(L189)&amp;"/"&amp;YEAR(L189)&lt;&gt;MONTH(J189)&amp;"/"&amp;YEAR(J189)),"Release",""))</f>
        <v/>
      </c>
      <c r="AA189" s="128">
        <f>_xlfn.minifs($L:$L,$C:$C,$C189,$F:$F,"&lt;&gt;0")</f>
        <v/>
      </c>
      <c r="AB189" s="128">
        <f>C189&amp;"-"&amp;A189</f>
        <v/>
      </c>
      <c r="AC189" s="128">
        <f>L189</f>
        <v/>
      </c>
    </row>
    <row r="190">
      <c r="A190" s="124" t="inlineStr">
        <is>
          <t>ZKEW01</t>
        </is>
      </c>
      <c r="B190" s="124" t="n">
        <v>2</v>
      </c>
      <c r="C190" s="124" t="inlineStr">
        <is>
          <t>HVC302</t>
        </is>
      </c>
      <c r="D190" s="124" t="inlineStr">
        <is>
          <t>C</t>
        </is>
      </c>
      <c r="E190" s="124" t="inlineStr">
        <is>
          <t>Kewley Lisa Maree</t>
        </is>
      </c>
      <c r="F190" s="125">
        <f>SUMIFS(Investors!$M:$M, Investors!$I:$I, "&lt;=" &amp; 'NSST Print'!$B$3, Investors!$K:$K, "&gt;" &amp; 'NSST Print'!$B$3, Investors!$A:$A, 'Investor Exit List'!A190, Investors!$E:$E, 'Investor Exit List'!C190)</f>
        <v/>
      </c>
      <c r="G190" s="126" t="n">
        <v>44903</v>
      </c>
      <c r="H190" s="124">
        <f>VLOOKUP($C190,Sales!$C:$E,2,FALSE)</f>
        <v/>
      </c>
      <c r="I190" s="124">
        <f>VLOOKUP($C190,Sales!$C:$E,3,FALSE)</f>
        <v/>
      </c>
      <c r="J190" s="126">
        <f>SUMIFS(Sales!$H:$H,Sales!$C:$C,'Investor Exit List'!$C190)</f>
        <v/>
      </c>
      <c r="K190" s="126">
        <f>IF(I190=TRUE,J190,"")</f>
        <v/>
      </c>
      <c r="L190" s="126">
        <f>G190+730</f>
        <v/>
      </c>
      <c r="M190" s="126" t="n">
        <v>45443</v>
      </c>
      <c r="N190" s="127">
        <f>IFERROR(IF(G190&lt;&gt;"",IF(I190=TRUE,0,IF(U190=TRUE,0,L190-M190)),0),0)</f>
        <v/>
      </c>
      <c r="O190" s="127">
        <f>IF(N190&gt;0,IF(N190&lt;=180,N190,0),0)</f>
        <v/>
      </c>
      <c r="P190" s="125">
        <f>IF(AND(N190&lt;90,N190&gt;0),Q190,0)</f>
        <v/>
      </c>
      <c r="Q190" s="125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25">
        <f>IF(AND(H190=TRUE,I190=FALSE),Q190,0)</f>
        <v/>
      </c>
      <c r="S190" s="125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26">
        <f>IF(U190=TRUE,$J190,"")</f>
        <v/>
      </c>
      <c r="U190" s="124" t="b">
        <v>0</v>
      </c>
      <c r="V190" s="125">
        <f>IF(AND(H190=TRUE,OR(K190="",K190&gt;M190)),S190,0)</f>
        <v/>
      </c>
      <c r="W190" s="124" t="n">
        <v>0</v>
      </c>
      <c r="X190" s="124" t="b">
        <v>0</v>
      </c>
      <c r="Y190" s="127">
        <f>IF(H190=FALSE,VLOOKUP($C190,Sales!$C:$F,4,FALSE),1)</f>
        <v/>
      </c>
      <c r="Z190" s="124">
        <f>IF(Y190=0,"Release",IF(AND(L190&lt;J190,Y190=1,H190=FALSE,U190=FALSE,MONTH(L190)&amp;"/"&amp;YEAR(L190)&lt;&gt;MONTH(J190)&amp;"/"&amp;YEAR(J190)),"Release",""))</f>
        <v/>
      </c>
      <c r="AA190" s="128">
        <f>_xlfn.minifs($L:$L,$C:$C,$C190,$F:$F,"&lt;&gt;0")</f>
        <v/>
      </c>
      <c r="AB190" s="128">
        <f>C190&amp;"-"&amp;A190</f>
        <v/>
      </c>
      <c r="AC190" s="128">
        <f>L190</f>
        <v/>
      </c>
    </row>
    <row r="191">
      <c r="A191" s="124" t="inlineStr">
        <is>
          <t>ZJEN01</t>
        </is>
      </c>
      <c r="B191" s="124" t="n">
        <v>2</v>
      </c>
      <c r="C191" s="124" t="inlineStr">
        <is>
          <t>HVC303</t>
        </is>
      </c>
      <c r="D191" s="124" t="inlineStr">
        <is>
          <t>C</t>
        </is>
      </c>
      <c r="E191" s="124" t="inlineStr">
        <is>
          <t>Jennings Daryl Anne</t>
        </is>
      </c>
      <c r="F191" s="125">
        <f>SUMIFS(Investors!$M:$M, Investors!$I:$I, "&lt;=" &amp; 'NSST Print'!$B$3, Investors!$K:$K, "&gt;" &amp; 'NSST Print'!$B$3, Investors!$A:$A, 'Investor Exit List'!A191, Investors!$E:$E, 'Investor Exit List'!C191)</f>
        <v/>
      </c>
      <c r="G191" s="126" t="n">
        <v>44903</v>
      </c>
      <c r="H191" s="124">
        <f>VLOOKUP($C191,Sales!$C:$E,2,FALSE)</f>
        <v/>
      </c>
      <c r="I191" s="124">
        <f>VLOOKUP($C191,Sales!$C:$E,3,FALSE)</f>
        <v/>
      </c>
      <c r="J191" s="126">
        <f>SUMIFS(Sales!$H:$H,Sales!$C:$C,'Investor Exit List'!$C191)</f>
        <v/>
      </c>
      <c r="K191" s="126">
        <f>IF(I191=TRUE,J191,"")</f>
        <v/>
      </c>
      <c r="L191" s="126">
        <f>G191+730</f>
        <v/>
      </c>
      <c r="M191" s="126" t="n">
        <v>45443</v>
      </c>
      <c r="N191" s="127">
        <f>IFERROR(IF(G191&lt;&gt;"",IF(I191=TRUE,0,IF(U191=TRUE,0,L191-M191)),0),0)</f>
        <v/>
      </c>
      <c r="O191" s="127">
        <f>IF(N191&gt;0,IF(N191&lt;=180,N191,0),0)</f>
        <v/>
      </c>
      <c r="P191" s="125">
        <f>IF(AND(N191&lt;90,N191&gt;0),Q191,0)</f>
        <v/>
      </c>
      <c r="Q191" s="125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25">
        <f>IF(AND(H191=TRUE,I191=FALSE),Q191,0)</f>
        <v/>
      </c>
      <c r="S191" s="125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26">
        <f>IF(U191=TRUE,$J191,"")</f>
        <v/>
      </c>
      <c r="U191" s="124" t="b">
        <v>0</v>
      </c>
      <c r="V191" s="125">
        <f>IF(AND(H191=TRUE,OR(K191="",K191&gt;M191)),S191,0)</f>
        <v/>
      </c>
      <c r="W191" s="124" t="n">
        <v>0</v>
      </c>
      <c r="X191" s="124" t="b">
        <v>0</v>
      </c>
      <c r="Y191" s="127">
        <f>IF(H191=FALSE,VLOOKUP($C191,Sales!$C:$F,4,FALSE),1)</f>
        <v/>
      </c>
      <c r="Z191" s="124">
        <f>IF(Y191=0,"Release",IF(AND(L191&lt;J191,Y191=1,H191=FALSE,U191=FALSE,MONTH(L191)&amp;"/"&amp;YEAR(L191)&lt;&gt;MONTH(J191)&amp;"/"&amp;YEAR(J191)),"Release",""))</f>
        <v/>
      </c>
      <c r="AA191" s="128">
        <f>_xlfn.minifs($L:$L,$C:$C,$C191,$F:$F,"&lt;&gt;0")</f>
        <v/>
      </c>
      <c r="AB191" s="128">
        <f>C191&amp;"-"&amp;A191</f>
        <v/>
      </c>
      <c r="AC191" s="128">
        <f>L191</f>
        <v/>
      </c>
    </row>
    <row r="192">
      <c r="A192" s="124" t="inlineStr">
        <is>
          <t>ZMEY02</t>
        </is>
      </c>
      <c r="B192" s="124" t="n">
        <v>2</v>
      </c>
      <c r="C192" s="124" t="inlineStr">
        <is>
          <t>HVC303</t>
        </is>
      </c>
      <c r="D192" s="124" t="inlineStr">
        <is>
          <t>C</t>
        </is>
      </c>
      <c r="E192" s="124" t="inlineStr">
        <is>
          <t>Meyer Catharina Levina</t>
        </is>
      </c>
      <c r="F192" s="125">
        <f>SUMIFS(Investors!$M:$M, Investors!$I:$I, "&lt;=" &amp; 'NSST Print'!$B$3, Investors!$K:$K, "&gt;" &amp; 'NSST Print'!$B$3, Investors!$A:$A, 'Investor Exit List'!A192, Investors!$E:$E, 'Investor Exit List'!C192)</f>
        <v/>
      </c>
      <c r="G192" s="126" t="n">
        <v>44903</v>
      </c>
      <c r="H192" s="124">
        <f>VLOOKUP($C192,Sales!$C:$E,2,FALSE)</f>
        <v/>
      </c>
      <c r="I192" s="124">
        <f>VLOOKUP($C192,Sales!$C:$E,3,FALSE)</f>
        <v/>
      </c>
      <c r="J192" s="126">
        <f>SUMIFS(Sales!$H:$H,Sales!$C:$C,'Investor Exit List'!$C192)</f>
        <v/>
      </c>
      <c r="K192" s="126">
        <f>IF(I192=TRUE,J192,"")</f>
        <v/>
      </c>
      <c r="L192" s="126">
        <f>G192+730</f>
        <v/>
      </c>
      <c r="M192" s="126" t="n">
        <v>45443</v>
      </c>
      <c r="N192" s="127">
        <f>IFERROR(IF(G192&lt;&gt;"",IF(I192=TRUE,0,IF(U192=TRUE,0,L192-M192)),0),0)</f>
        <v/>
      </c>
      <c r="O192" s="127">
        <f>IF(N192&gt;0,IF(N192&lt;=180,N192,0),0)</f>
        <v/>
      </c>
      <c r="P192" s="125">
        <f>IF(AND(N192&lt;90,N192&gt;0),Q192,0)</f>
        <v/>
      </c>
      <c r="Q192" s="125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25">
        <f>IF(AND(H192=TRUE,I192=FALSE),Q192,0)</f>
        <v/>
      </c>
      <c r="S192" s="125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26">
        <f>IF(U192=TRUE,$J192,"")</f>
        <v/>
      </c>
      <c r="U192" s="124" t="b">
        <v>0</v>
      </c>
      <c r="V192" s="125">
        <f>IF(AND(H192=TRUE,OR(K192="",K192&gt;M192)),S192,0)</f>
        <v/>
      </c>
      <c r="W192" s="124" t="n">
        <v>0</v>
      </c>
      <c r="X192" s="124" t="b">
        <v>0</v>
      </c>
      <c r="Y192" s="127">
        <f>IF(H192=FALSE,VLOOKUP($C192,Sales!$C:$F,4,FALSE),1)</f>
        <v/>
      </c>
      <c r="Z192" s="124">
        <f>IF(Y192=0,"Release",IF(AND(L192&lt;J192,Y192=1,H192=FALSE,U192=FALSE,MONTH(L192)&amp;"/"&amp;YEAR(L192)&lt;&gt;MONTH(J192)&amp;"/"&amp;YEAR(J192)),"Release",""))</f>
        <v/>
      </c>
      <c r="AA192" s="128">
        <f>_xlfn.minifs($L:$L,$C:$C,$C192,$F:$F,"&lt;&gt;0")</f>
        <v/>
      </c>
      <c r="AB192" s="128">
        <f>C192&amp;"-"&amp;A192</f>
        <v/>
      </c>
      <c r="AC192" s="128">
        <f>L192</f>
        <v/>
      </c>
    </row>
    <row r="193">
      <c r="A193" s="124" t="inlineStr">
        <is>
          <t>ZRIT01</t>
        </is>
      </c>
      <c r="B193" s="124" t="n">
        <v>7</v>
      </c>
      <c r="C193" s="124" t="inlineStr">
        <is>
          <t>HVC303</t>
        </is>
      </c>
      <c r="D193" s="124" t="inlineStr">
        <is>
          <t>C</t>
        </is>
      </c>
      <c r="E193" s="124" t="inlineStr">
        <is>
          <t>Ritter Dennis</t>
        </is>
      </c>
      <c r="F193" s="125">
        <f>SUMIFS(Investors!$M:$M, Investors!$I:$I, "&lt;=" &amp; 'NSST Print'!$B$3, Investors!$K:$K, "&gt;" &amp; 'NSST Print'!$B$3, Investors!$A:$A, 'Investor Exit List'!A193, Investors!$E:$E, 'Investor Exit List'!C193)</f>
        <v/>
      </c>
      <c r="G193" s="126" t="n">
        <v>44903</v>
      </c>
      <c r="H193" s="124">
        <f>VLOOKUP($C193,Sales!$C:$E,2,FALSE)</f>
        <v/>
      </c>
      <c r="I193" s="124">
        <f>VLOOKUP($C193,Sales!$C:$E,3,FALSE)</f>
        <v/>
      </c>
      <c r="J193" s="126">
        <f>SUMIFS(Sales!$H:$H,Sales!$C:$C,'Investor Exit List'!$C193)</f>
        <v/>
      </c>
      <c r="K193" s="126">
        <f>IF(I193=TRUE,J193,"")</f>
        <v/>
      </c>
      <c r="L193" s="126">
        <f>G193+730</f>
        <v/>
      </c>
      <c r="M193" s="126" t="n">
        <v>45443</v>
      </c>
      <c r="N193" s="127">
        <f>IFERROR(IF(G193&lt;&gt;"",IF(I193=TRUE,0,IF(U193=TRUE,0,L193-M193)),0),0)</f>
        <v/>
      </c>
      <c r="O193" s="127">
        <f>IF(N193&gt;0,IF(N193&lt;=180,N193,0),0)</f>
        <v/>
      </c>
      <c r="P193" s="125">
        <f>IF(AND(N193&lt;90,N193&gt;0),Q193,0)</f>
        <v/>
      </c>
      <c r="Q193" s="125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25">
        <f>IF(AND(H193=TRUE,I193=FALSE),Q193,0)</f>
        <v/>
      </c>
      <c r="S193" s="125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26">
        <f>IF(U193=TRUE,$J193,"")</f>
        <v/>
      </c>
      <c r="U193" s="124" t="b">
        <v>0</v>
      </c>
      <c r="V193" s="125">
        <f>IF(AND(H193=TRUE,OR(K193="",K193&gt;M193)),S193,0)</f>
        <v/>
      </c>
      <c r="W193" s="124" t="n">
        <v>0</v>
      </c>
      <c r="X193" s="124" t="b">
        <v>0</v>
      </c>
      <c r="Y193" s="127">
        <f>IF(H193=FALSE,VLOOKUP($C193,Sales!$C:$F,4,FALSE),1)</f>
        <v/>
      </c>
      <c r="Z193" s="124">
        <f>IF(Y193=0,"Release",IF(AND(L193&lt;J193,Y193=1,H193=FALSE,U193=FALSE,MONTH(L193)&amp;"/"&amp;YEAR(L193)&lt;&gt;MONTH(J193)&amp;"/"&amp;YEAR(J193)),"Release",""))</f>
        <v/>
      </c>
      <c r="AA193" s="128">
        <f>_xlfn.minifs($L:$L,$C:$C,$C193,$F:$F,"&lt;&gt;0")</f>
        <v/>
      </c>
      <c r="AB193" s="128">
        <f>C193&amp;"-"&amp;A193</f>
        <v/>
      </c>
      <c r="AC193" s="128">
        <f>L193</f>
        <v/>
      </c>
    </row>
    <row r="194">
      <c r="A194" s="124" t="inlineStr">
        <is>
          <t>ZWES01</t>
        </is>
      </c>
      <c r="B194" s="124" t="n">
        <v>2</v>
      </c>
      <c r="C194" s="124" t="inlineStr">
        <is>
          <t>HVC303</t>
        </is>
      </c>
      <c r="D194" s="124" t="inlineStr">
        <is>
          <t>C</t>
        </is>
      </c>
      <c r="E194" s="124" t="inlineStr">
        <is>
          <t>Wessels Gerhardus Jacobus</t>
        </is>
      </c>
      <c r="F194" s="125">
        <f>SUMIFS(Investors!$M:$M, Investors!$I:$I, "&lt;=" &amp; 'NSST Print'!$B$3, Investors!$K:$K, "&gt;" &amp; 'NSST Print'!$B$3, Investors!$A:$A, 'Investor Exit List'!A194, Investors!$E:$E, 'Investor Exit List'!C194)</f>
        <v/>
      </c>
      <c r="G194" s="126" t="n">
        <v>44903</v>
      </c>
      <c r="H194" s="124">
        <f>VLOOKUP($C194,Sales!$C:$E,2,FALSE)</f>
        <v/>
      </c>
      <c r="I194" s="124">
        <f>VLOOKUP($C194,Sales!$C:$E,3,FALSE)</f>
        <v/>
      </c>
      <c r="J194" s="126">
        <f>SUMIFS(Sales!$H:$H,Sales!$C:$C,'Investor Exit List'!$C194)</f>
        <v/>
      </c>
      <c r="K194" s="126">
        <f>IF(I194=TRUE,J194,"")</f>
        <v/>
      </c>
      <c r="L194" s="126">
        <f>G194+730</f>
        <v/>
      </c>
      <c r="M194" s="126" t="n">
        <v>45443</v>
      </c>
      <c r="N194" s="127">
        <f>IFERROR(IF(G194&lt;&gt;"",IF(I194=TRUE,0,IF(U194=TRUE,0,L194-M194)),0),0)</f>
        <v/>
      </c>
      <c r="O194" s="127">
        <f>IF(N194&gt;0,IF(N194&lt;=180,N194,0),0)</f>
        <v/>
      </c>
      <c r="P194" s="125">
        <f>IF(AND(N194&lt;90,N194&gt;0),Q194,0)</f>
        <v/>
      </c>
      <c r="Q194" s="125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25">
        <f>IF(AND(H194=TRUE,I194=FALSE),Q194,0)</f>
        <v/>
      </c>
      <c r="S194" s="125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26">
        <f>IF(U194=TRUE,$J194,"")</f>
        <v/>
      </c>
      <c r="U194" s="124" t="b">
        <v>0</v>
      </c>
      <c r="V194" s="125">
        <f>IF(AND(H194=TRUE,OR(K194="",K194&gt;M194)),S194,0)</f>
        <v/>
      </c>
      <c r="W194" s="124" t="n">
        <v>0</v>
      </c>
      <c r="X194" s="124" t="b">
        <v>0</v>
      </c>
      <c r="Y194" s="127">
        <f>IF(H194=FALSE,VLOOKUP($C194,Sales!$C:$F,4,FALSE),1)</f>
        <v/>
      </c>
      <c r="Z194" s="124">
        <f>IF(Y194=0,"Release",IF(AND(L194&lt;J194,Y194=1,H194=FALSE,U194=FALSE,MONTH(L194)&amp;"/"&amp;YEAR(L194)&lt;&gt;MONTH(J194)&amp;"/"&amp;YEAR(J194)),"Release",""))</f>
        <v/>
      </c>
      <c r="AA194" s="128">
        <f>_xlfn.minifs($L:$L,$C:$C,$C194,$F:$F,"&lt;&gt;0")</f>
        <v/>
      </c>
      <c r="AB194" s="128">
        <f>C194&amp;"-"&amp;A194</f>
        <v/>
      </c>
      <c r="AC194" s="128">
        <f>L194</f>
        <v/>
      </c>
    </row>
    <row r="195">
      <c r="A195" s="124" t="inlineStr">
        <is>
          <t>ZVAN05</t>
        </is>
      </c>
      <c r="B195" s="124" t="n">
        <v>3</v>
      </c>
      <c r="C195" s="124" t="inlineStr">
        <is>
          <t>HVC304</t>
        </is>
      </c>
      <c r="D195" s="124" t="inlineStr">
        <is>
          <t>C</t>
        </is>
      </c>
      <c r="E195" s="124" t="inlineStr">
        <is>
          <t>van der Sandt Hermanus</t>
        </is>
      </c>
      <c r="F195" s="125">
        <f>SUMIFS(Investors!$M:$M, Investors!$I:$I, "&lt;=" &amp; 'NSST Print'!$B$3, Investors!$K:$K, "&gt;" &amp; 'NSST Print'!$B$3, Investors!$A:$A, 'Investor Exit List'!A195, Investors!$E:$E, 'Investor Exit List'!C195)</f>
        <v/>
      </c>
      <c r="G195" s="126" t="n">
        <v>44903</v>
      </c>
      <c r="H195" s="124">
        <f>VLOOKUP($C195,Sales!$C:$E,2,FALSE)</f>
        <v/>
      </c>
      <c r="I195" s="124">
        <f>VLOOKUP($C195,Sales!$C:$E,3,FALSE)</f>
        <v/>
      </c>
      <c r="J195" s="126">
        <f>SUMIFS(Sales!$H:$H,Sales!$C:$C,'Investor Exit List'!$C195)</f>
        <v/>
      </c>
      <c r="K195" s="126">
        <f>IF(I195=TRUE,J195,"")</f>
        <v/>
      </c>
      <c r="L195" s="126">
        <f>G195+730</f>
        <v/>
      </c>
      <c r="M195" s="126" t="n">
        <v>45443</v>
      </c>
      <c r="N195" s="127">
        <f>IFERROR(IF(G195&lt;&gt;"",IF(I195=TRUE,0,IF(U195=TRUE,0,L195-M195)),0),0)</f>
        <v/>
      </c>
      <c r="O195" s="127">
        <f>IF(N195&gt;0,IF(N195&lt;=180,N195,0),0)</f>
        <v/>
      </c>
      <c r="P195" s="125">
        <f>IF(AND(N195&lt;90,N195&gt;0),Q195,0)</f>
        <v/>
      </c>
      <c r="Q195" s="125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25">
        <f>IF(AND(H195=TRUE,I195=FALSE),Q195,0)</f>
        <v/>
      </c>
      <c r="S195" s="125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26">
        <f>IF(U195=TRUE,$J195,"")</f>
        <v/>
      </c>
      <c r="U195" s="124" t="b">
        <v>0</v>
      </c>
      <c r="V195" s="125">
        <f>IF(AND(H195=TRUE,OR(K195="",K195&gt;M195)),S195,0)</f>
        <v/>
      </c>
      <c r="W195" s="124" t="n">
        <v>0</v>
      </c>
      <c r="X195" s="124" t="b">
        <v>0</v>
      </c>
      <c r="Y195" s="127">
        <f>IF(H195=FALSE,VLOOKUP($C195,Sales!$C:$F,4,FALSE),1)</f>
        <v/>
      </c>
      <c r="Z195" s="124">
        <f>IF(Y195=0,"Release",IF(AND(L195&lt;J195,Y195=1,H195=FALSE,U195=FALSE,MONTH(L195)&amp;"/"&amp;YEAR(L195)&lt;&gt;MONTH(J195)&amp;"/"&amp;YEAR(J195)),"Release",""))</f>
        <v/>
      </c>
      <c r="AA195" s="128">
        <f>_xlfn.minifs($L:$L,$C:$C,$C195,$F:$F,"&lt;&gt;0")</f>
        <v/>
      </c>
      <c r="AB195" s="128">
        <f>C195&amp;"-"&amp;A195</f>
        <v/>
      </c>
      <c r="AC195" s="128">
        <f>L195</f>
        <v/>
      </c>
    </row>
    <row r="196">
      <c r="A196" s="124" t="inlineStr">
        <is>
          <t>ZBER01</t>
        </is>
      </c>
      <c r="B196" s="124" t="n">
        <v>1</v>
      </c>
      <c r="C196" s="124" t="inlineStr">
        <is>
          <t>HVC305</t>
        </is>
      </c>
      <c r="D196" s="124" t="inlineStr">
        <is>
          <t>C</t>
        </is>
      </c>
      <c r="E196" s="124" t="inlineStr">
        <is>
          <t>Berk-Heinze Beverley</t>
        </is>
      </c>
      <c r="F196" s="125">
        <f>SUMIFS(Investors!$M:$M, Investors!$I:$I, "&lt;=" &amp; 'NSST Print'!$B$3, Investors!$K:$K, "&gt;" &amp; 'NSST Print'!$B$3, Investors!$A:$A, 'Investor Exit List'!A196, Investors!$E:$E, 'Investor Exit List'!C196)</f>
        <v/>
      </c>
      <c r="G196" s="126" t="n">
        <v>44909</v>
      </c>
      <c r="H196" s="124">
        <f>VLOOKUP($C196,Sales!$C:$E,2,FALSE)</f>
        <v/>
      </c>
      <c r="I196" s="124">
        <f>VLOOKUP($C196,Sales!$C:$E,3,FALSE)</f>
        <v/>
      </c>
      <c r="J196" s="126">
        <f>SUMIFS(Sales!$H:$H,Sales!$C:$C,'Investor Exit List'!$C196)</f>
        <v/>
      </c>
      <c r="K196" s="126">
        <f>IF(I196=TRUE,J196,"")</f>
        <v/>
      </c>
      <c r="L196" s="126">
        <f>G196+730</f>
        <v/>
      </c>
      <c r="M196" s="126" t="n">
        <v>45443</v>
      </c>
      <c r="N196" s="127">
        <f>IFERROR(IF(G196&lt;&gt;"",IF(I196=TRUE,0,IF(U196=TRUE,0,L196-M196)),0),0)</f>
        <v/>
      </c>
      <c r="O196" s="127">
        <f>IF(N196&gt;0,IF(N196&lt;=180,N196,0),0)</f>
        <v/>
      </c>
      <c r="P196" s="125">
        <f>IF(AND(N196&lt;90,N196&gt;0),Q196,0)</f>
        <v/>
      </c>
      <c r="Q196" s="125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25">
        <f>IF(AND(H196=TRUE,I196=FALSE),Q196,0)</f>
        <v/>
      </c>
      <c r="S196" s="125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26">
        <f>IF(U196=TRUE,$J196,"")</f>
        <v/>
      </c>
      <c r="U196" s="124" t="b">
        <v>0</v>
      </c>
      <c r="V196" s="125">
        <f>IF(AND(H196=TRUE,OR(K196="",K196&gt;M196)),S196,0)</f>
        <v/>
      </c>
      <c r="W196" s="124" t="n">
        <v>0</v>
      </c>
      <c r="X196" s="124" t="b">
        <v>0</v>
      </c>
      <c r="Y196" s="127">
        <f>IF(H196=FALSE,VLOOKUP($C196,Sales!$C:$F,4,FALSE),1)</f>
        <v/>
      </c>
      <c r="Z196" s="124">
        <f>IF(Y196=0,"Release",IF(AND(L196&lt;J196,Y196=1,H196=FALSE,U196=FALSE,MONTH(L196)&amp;"/"&amp;YEAR(L196)&lt;&gt;MONTH(J196)&amp;"/"&amp;YEAR(J196)),"Release",""))</f>
        <v/>
      </c>
      <c r="AA196" s="128">
        <f>_xlfn.minifs($L:$L,$C:$C,$C196,$F:$F,"&lt;&gt;0")</f>
        <v/>
      </c>
      <c r="AB196" s="128">
        <f>C196&amp;"-"&amp;A196</f>
        <v/>
      </c>
      <c r="AC196" s="128">
        <f>L196</f>
        <v/>
      </c>
    </row>
    <row r="197">
      <c r="A197" s="124" t="inlineStr">
        <is>
          <t>ZDEK01</t>
        </is>
      </c>
      <c r="B197" s="124" t="n">
        <v>3</v>
      </c>
      <c r="C197" s="124" t="inlineStr">
        <is>
          <t>HVC305</t>
        </is>
      </c>
      <c r="D197" s="124" t="inlineStr">
        <is>
          <t>C</t>
        </is>
      </c>
      <c r="E197" s="124" t="inlineStr">
        <is>
          <t>De Klerk (Way) Dawn Margaret</t>
        </is>
      </c>
      <c r="F197" s="125">
        <f>SUMIFS(Investors!$M:$M, Investors!$I:$I, "&lt;=" &amp; 'NSST Print'!$B$3, Investors!$K:$K, "&gt;" &amp; 'NSST Print'!$B$3, Investors!$A:$A, 'Investor Exit List'!A197, Investors!$E:$E, 'Investor Exit List'!C197)</f>
        <v/>
      </c>
      <c r="G197" s="126" t="n">
        <v>45107</v>
      </c>
      <c r="H197" s="124">
        <f>VLOOKUP($C197,Sales!$C:$E,2,FALSE)</f>
        <v/>
      </c>
      <c r="I197" s="124">
        <f>VLOOKUP($C197,Sales!$C:$E,3,FALSE)</f>
        <v/>
      </c>
      <c r="J197" s="126">
        <f>SUMIFS(Sales!$H:$H,Sales!$C:$C,'Investor Exit List'!$C197)</f>
        <v/>
      </c>
      <c r="K197" s="126">
        <f>IF(I197=TRUE,J197,"")</f>
        <v/>
      </c>
      <c r="L197" s="126">
        <f>G197+730</f>
        <v/>
      </c>
      <c r="M197" s="126" t="n">
        <v>45443</v>
      </c>
      <c r="N197" s="127">
        <f>IFERROR(IF(G197&lt;&gt;"",IF(I197=TRUE,0,IF(U197=TRUE,0,L197-M197)),0),0)</f>
        <v/>
      </c>
      <c r="O197" s="127">
        <f>IF(N197&gt;0,IF(N197&lt;=180,N197,0),0)</f>
        <v/>
      </c>
      <c r="P197" s="125">
        <f>IF(AND(N197&lt;90,N197&gt;0),Q197,0)</f>
        <v/>
      </c>
      <c r="Q197" s="125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25">
        <f>IF(AND(H197=TRUE,I197=FALSE),Q197,0)</f>
        <v/>
      </c>
      <c r="S197" s="125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26">
        <f>IF(U197=TRUE,$J197,"")</f>
        <v/>
      </c>
      <c r="U197" s="124" t="b">
        <v>0</v>
      </c>
      <c r="V197" s="125">
        <f>IF(AND(H197=TRUE,OR(K197="",K197&gt;M197)),S197,0)</f>
        <v/>
      </c>
      <c r="W197" s="124" t="n">
        <v>0</v>
      </c>
      <c r="X197" s="124" t="b">
        <v>0</v>
      </c>
      <c r="Y197" s="127">
        <f>IF(H197=FALSE,VLOOKUP($C197,Sales!$C:$F,4,FALSE),1)</f>
        <v/>
      </c>
      <c r="Z197" s="124">
        <f>IF(Y197=0,"Release",IF(AND(L197&lt;J197,Y197=1,H197=FALSE,U197=FALSE,MONTH(L197)&amp;"/"&amp;YEAR(L197)&lt;&gt;MONTH(J197)&amp;"/"&amp;YEAR(J197)),"Release",""))</f>
        <v/>
      </c>
      <c r="AA197" s="128">
        <f>_xlfn.minifs($L:$L,$C:$C,$C197,$F:$F,"&lt;&gt;0")</f>
        <v/>
      </c>
      <c r="AB197" s="128">
        <f>C197&amp;"-"&amp;A197</f>
        <v/>
      </c>
      <c r="AC197" s="128">
        <f>L197</f>
        <v/>
      </c>
    </row>
    <row r="198">
      <c r="A198" s="124" t="inlineStr">
        <is>
          <t>ZDUT01</t>
        </is>
      </c>
      <c r="B198" s="124" t="n">
        <v>1</v>
      </c>
      <c r="C198" s="124" t="inlineStr">
        <is>
          <t>HVC305</t>
        </is>
      </c>
      <c r="D198" s="124" t="inlineStr">
        <is>
          <t>C</t>
        </is>
      </c>
      <c r="E198" s="124" t="inlineStr">
        <is>
          <t>du Toit Willem Anton</t>
        </is>
      </c>
      <c r="F198" s="125">
        <f>SUMIFS(Investors!$M:$M, Investors!$I:$I, "&lt;=" &amp; 'NSST Print'!$B$3, Investors!$K:$K, "&gt;" &amp; 'NSST Print'!$B$3, Investors!$A:$A, 'Investor Exit List'!A198, Investors!$E:$E, 'Investor Exit List'!C198)</f>
        <v/>
      </c>
      <c r="G198" s="126" t="n">
        <v>44903</v>
      </c>
      <c r="H198" s="124">
        <f>VLOOKUP($C198,Sales!$C:$E,2,FALSE)</f>
        <v/>
      </c>
      <c r="I198" s="124">
        <f>VLOOKUP($C198,Sales!$C:$E,3,FALSE)</f>
        <v/>
      </c>
      <c r="J198" s="126">
        <f>SUMIFS(Sales!$H:$H,Sales!$C:$C,'Investor Exit List'!$C198)</f>
        <v/>
      </c>
      <c r="K198" s="126">
        <f>IF(I198=TRUE,J198,"")</f>
        <v/>
      </c>
      <c r="L198" s="126">
        <f>G198+730</f>
        <v/>
      </c>
      <c r="M198" s="126" t="n">
        <v>45443</v>
      </c>
      <c r="N198" s="127">
        <f>IFERROR(IF(G198&lt;&gt;"",IF(I198=TRUE,0,IF(U198=TRUE,0,L198-M198)),0),0)</f>
        <v/>
      </c>
      <c r="O198" s="127">
        <f>IF(N198&gt;0,IF(N198&lt;=180,N198,0),0)</f>
        <v/>
      </c>
      <c r="P198" s="125">
        <f>IF(AND(N198&lt;90,N198&gt;0),Q198,0)</f>
        <v/>
      </c>
      <c r="Q198" s="125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25">
        <f>IF(AND(H198=TRUE,I198=FALSE),Q198,0)</f>
        <v/>
      </c>
      <c r="S198" s="125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26">
        <f>IF(U198=TRUE,$J198,"")</f>
        <v/>
      </c>
      <c r="U198" s="124" t="b">
        <v>0</v>
      </c>
      <c r="V198" s="125">
        <f>IF(AND(H198=TRUE,OR(K198="",K198&gt;M198)),S198,0)</f>
        <v/>
      </c>
      <c r="W198" s="124" t="n">
        <v>0</v>
      </c>
      <c r="X198" s="124" t="b">
        <v>0</v>
      </c>
      <c r="Y198" s="127">
        <f>IF(H198=FALSE,VLOOKUP($C198,Sales!$C:$F,4,FALSE),1)</f>
        <v/>
      </c>
      <c r="Z198" s="124">
        <f>IF(Y198=0,"Release",IF(AND(L198&lt;J198,Y198=1,H198=FALSE,U198=FALSE,MONTH(L198)&amp;"/"&amp;YEAR(L198)&lt;&gt;MONTH(J198)&amp;"/"&amp;YEAR(J198)),"Release",""))</f>
        <v/>
      </c>
      <c r="AA198" s="128">
        <f>_xlfn.minifs($L:$L,$C:$C,$C198,$F:$F,"&lt;&gt;0")</f>
        <v/>
      </c>
      <c r="AB198" s="128">
        <f>C198&amp;"-"&amp;A198</f>
        <v/>
      </c>
      <c r="AC198" s="128">
        <f>L198</f>
        <v/>
      </c>
    </row>
    <row r="199">
      <c r="A199" s="124" t="inlineStr">
        <is>
          <t>ZKRO01</t>
        </is>
      </c>
      <c r="B199" s="124" t="n">
        <v>3</v>
      </c>
      <c r="C199" s="124" t="inlineStr">
        <is>
          <t>HVC305</t>
        </is>
      </c>
      <c r="D199" s="124" t="inlineStr">
        <is>
          <t>C</t>
        </is>
      </c>
      <c r="E199" s="124" t="inlineStr">
        <is>
          <t>van der Merwe Frans</t>
        </is>
      </c>
      <c r="F199" s="125">
        <f>SUMIFS(Investors!$M:$M, Investors!$I:$I, "&lt;=" &amp; 'NSST Print'!$B$3, Investors!$K:$K, "&gt;" &amp; 'NSST Print'!$B$3, Investors!$A:$A, 'Investor Exit List'!A199, Investors!$E:$E, 'Investor Exit List'!C199)</f>
        <v/>
      </c>
      <c r="G199" s="126" t="n">
        <v>44916</v>
      </c>
      <c r="H199" s="124">
        <f>VLOOKUP($C199,Sales!$C:$E,2,FALSE)</f>
        <v/>
      </c>
      <c r="I199" s="124">
        <f>VLOOKUP($C199,Sales!$C:$E,3,FALSE)</f>
        <v/>
      </c>
      <c r="J199" s="126">
        <f>SUMIFS(Sales!$H:$H,Sales!$C:$C,'Investor Exit List'!$C199)</f>
        <v/>
      </c>
      <c r="K199" s="126">
        <f>IF(I199=TRUE,J199,"")</f>
        <v/>
      </c>
      <c r="L199" s="126">
        <f>G199+730</f>
        <v/>
      </c>
      <c r="M199" s="126" t="n">
        <v>45443</v>
      </c>
      <c r="N199" s="127">
        <f>IFERROR(IF(G199&lt;&gt;"",IF(I199=TRUE,0,IF(U199=TRUE,0,L199-M199)),0),0)</f>
        <v/>
      </c>
      <c r="O199" s="127">
        <f>IF(N199&gt;0,IF(N199&lt;=180,N199,0),0)</f>
        <v/>
      </c>
      <c r="P199" s="125">
        <f>IF(AND(N199&lt;90,N199&gt;0),Q199,0)</f>
        <v/>
      </c>
      <c r="Q199" s="125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25">
        <f>IF(AND(H199=TRUE,I199=FALSE),Q199,0)</f>
        <v/>
      </c>
      <c r="S199" s="125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26">
        <f>IF(U199=TRUE,$J199,"")</f>
        <v/>
      </c>
      <c r="U199" s="124" t="b">
        <v>0</v>
      </c>
      <c r="V199" s="125">
        <f>IF(AND(H199=TRUE,OR(K199="",K199&gt;M199)),S199,0)</f>
        <v/>
      </c>
      <c r="W199" s="124" t="n">
        <v>0</v>
      </c>
      <c r="X199" s="124" t="b">
        <v>0</v>
      </c>
      <c r="Y199" s="127">
        <f>IF(H199=FALSE,VLOOKUP($C199,Sales!$C:$F,4,FALSE),1)</f>
        <v/>
      </c>
      <c r="Z199" s="124">
        <f>IF(Y199=0,"Release",IF(AND(L199&lt;J199,Y199=1,H199=FALSE,U199=FALSE,MONTH(L199)&amp;"/"&amp;YEAR(L199)&lt;&gt;MONTH(J199)&amp;"/"&amp;YEAR(J199)),"Release",""))</f>
        <v/>
      </c>
      <c r="AA199" s="128">
        <f>_xlfn.minifs($L:$L,$C:$C,$C199,$F:$F,"&lt;&gt;0")</f>
        <v/>
      </c>
      <c r="AB199" s="128">
        <f>C199&amp;"-"&amp;A199</f>
        <v/>
      </c>
      <c r="AC199" s="128">
        <f>L199</f>
        <v/>
      </c>
    </row>
    <row r="200">
      <c r="A200" s="124" t="inlineStr">
        <is>
          <t>ZVOL01</t>
        </is>
      </c>
      <c r="B200" s="124" t="n">
        <v>4</v>
      </c>
      <c r="C200" s="124" t="inlineStr">
        <is>
          <t>HVC305</t>
        </is>
      </c>
      <c r="D200" s="124" t="inlineStr">
        <is>
          <t>C</t>
        </is>
      </c>
      <c r="E200" s="124" t="inlineStr">
        <is>
          <t>Volschenk Gideon Cornelius</t>
        </is>
      </c>
      <c r="F200" s="125">
        <f>SUMIFS(Investors!$M:$M, Investors!$I:$I, "&lt;=" &amp; 'NSST Print'!$B$3, Investors!$K:$K, "&gt;" &amp; 'NSST Print'!$B$3, Investors!$A:$A, 'Investor Exit List'!A200, Investors!$E:$E, 'Investor Exit List'!C200)</f>
        <v/>
      </c>
      <c r="G200" s="126" t="n">
        <v>44903</v>
      </c>
      <c r="H200" s="124">
        <f>VLOOKUP($C200,Sales!$C:$E,2,FALSE)</f>
        <v/>
      </c>
      <c r="I200" s="124">
        <f>VLOOKUP($C200,Sales!$C:$E,3,FALSE)</f>
        <v/>
      </c>
      <c r="J200" s="126">
        <f>SUMIFS(Sales!$H:$H,Sales!$C:$C,'Investor Exit List'!$C200)</f>
        <v/>
      </c>
      <c r="K200" s="126">
        <f>IF(I200=TRUE,J200,"")</f>
        <v/>
      </c>
      <c r="L200" s="126">
        <f>G200+730</f>
        <v/>
      </c>
      <c r="M200" s="126" t="n">
        <v>45443</v>
      </c>
      <c r="N200" s="127">
        <f>IFERROR(IF(G200&lt;&gt;"",IF(I200=TRUE,0,IF(U200=TRUE,0,L200-M200)),0),0)</f>
        <v/>
      </c>
      <c r="O200" s="127">
        <f>IF(N200&gt;0,IF(N200&lt;=180,N200,0),0)</f>
        <v/>
      </c>
      <c r="P200" s="125">
        <f>IF(AND(N200&lt;90,N200&gt;0),Q200,0)</f>
        <v/>
      </c>
      <c r="Q200" s="125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25">
        <f>IF(AND(H200=TRUE,I200=FALSE),Q200,0)</f>
        <v/>
      </c>
      <c r="S200" s="125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26">
        <f>IF(U200=TRUE,$J200,"")</f>
        <v/>
      </c>
      <c r="U200" s="124" t="b">
        <v>0</v>
      </c>
      <c r="V200" s="125">
        <f>IF(AND(H200=TRUE,OR(K200="",K200&gt;M200)),S200,0)</f>
        <v/>
      </c>
      <c r="W200" s="124" t="n">
        <v>0</v>
      </c>
      <c r="X200" s="124" t="b">
        <v>0</v>
      </c>
      <c r="Y200" s="127">
        <f>IF(H200=FALSE,VLOOKUP($C200,Sales!$C:$F,4,FALSE),1)</f>
        <v/>
      </c>
      <c r="Z200" s="124">
        <f>IF(Y200=0,"Release",IF(AND(L200&lt;J200,Y200=1,H200=FALSE,U200=FALSE,MONTH(L200)&amp;"/"&amp;YEAR(L200)&lt;&gt;MONTH(J200)&amp;"/"&amp;YEAR(J200)),"Release",""))</f>
        <v/>
      </c>
      <c r="AA200" s="128">
        <f>_xlfn.minifs($L:$L,$C:$C,$C200,$F:$F,"&lt;&gt;0")</f>
        <v/>
      </c>
      <c r="AB200" s="128">
        <f>C200&amp;"-"&amp;A200</f>
        <v/>
      </c>
      <c r="AC200" s="128">
        <f>L200</f>
        <v/>
      </c>
    </row>
    <row r="201">
      <c r="A201" s="124" t="inlineStr">
        <is>
          <t>ZVAN05</t>
        </is>
      </c>
      <c r="B201" s="124" t="n">
        <v>4</v>
      </c>
      <c r="C201" s="124" t="inlineStr">
        <is>
          <t>HVC306</t>
        </is>
      </c>
      <c r="D201" s="124" t="inlineStr">
        <is>
          <t>C</t>
        </is>
      </c>
      <c r="E201" s="124" t="inlineStr">
        <is>
          <t>van der Sandt Hermanus</t>
        </is>
      </c>
      <c r="F201" s="125">
        <f>SUMIFS(Investors!$M:$M, Investors!$I:$I, "&lt;=" &amp; 'NSST Print'!$B$3, Investors!$K:$K, "&gt;" &amp; 'NSST Print'!$B$3, Investors!$A:$A, 'Investor Exit List'!A201, Investors!$E:$E, 'Investor Exit List'!C201)</f>
        <v/>
      </c>
      <c r="G201" s="126" t="n">
        <v>44903</v>
      </c>
      <c r="H201" s="124">
        <f>VLOOKUP($C201,Sales!$C:$E,2,FALSE)</f>
        <v/>
      </c>
      <c r="I201" s="124">
        <f>VLOOKUP($C201,Sales!$C:$E,3,FALSE)</f>
        <v/>
      </c>
      <c r="J201" s="126">
        <f>SUMIFS(Sales!$H:$H,Sales!$C:$C,'Investor Exit List'!$C201)</f>
        <v/>
      </c>
      <c r="K201" s="126">
        <f>IF(I201=TRUE,J201,"")</f>
        <v/>
      </c>
      <c r="L201" s="126">
        <f>G201+730</f>
        <v/>
      </c>
      <c r="M201" s="126" t="n">
        <v>45443</v>
      </c>
      <c r="N201" s="127">
        <f>IFERROR(IF(G201&lt;&gt;"",IF(I201=TRUE,0,IF(U201=TRUE,0,L201-M201)),0),0)</f>
        <v/>
      </c>
      <c r="O201" s="127">
        <f>IF(N201&gt;0,IF(N201&lt;=180,N201,0),0)</f>
        <v/>
      </c>
      <c r="P201" s="125">
        <f>IF(AND(N201&lt;90,N201&gt;0),Q201,0)</f>
        <v/>
      </c>
      <c r="Q201" s="125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25">
        <f>IF(AND(H201=TRUE,I201=FALSE),Q201,0)</f>
        <v/>
      </c>
      <c r="S201" s="125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26">
        <f>IF(U201=TRUE,$J201,"")</f>
        <v/>
      </c>
      <c r="U201" s="124" t="b">
        <v>0</v>
      </c>
      <c r="V201" s="125">
        <f>IF(AND(H201=TRUE,OR(K201="",K201&gt;M201)),S201,0)</f>
        <v/>
      </c>
      <c r="W201" s="124" t="n">
        <v>0</v>
      </c>
      <c r="X201" s="124" t="b">
        <v>0</v>
      </c>
      <c r="Y201" s="127">
        <f>IF(H201=FALSE,VLOOKUP($C201,Sales!$C:$F,4,FALSE),1)</f>
        <v/>
      </c>
      <c r="Z201" s="124">
        <f>IF(Y201=0,"Release",IF(AND(L201&lt;J201,Y201=1,H201=FALSE,U201=FALSE,MONTH(L201)&amp;"/"&amp;YEAR(L201)&lt;&gt;MONTH(J201)&amp;"/"&amp;YEAR(J201)),"Release",""))</f>
        <v/>
      </c>
      <c r="AA201" s="128">
        <f>_xlfn.minifs($L:$L,$C:$C,$C201,$F:$F,"&lt;&gt;0")</f>
        <v/>
      </c>
      <c r="AB201" s="128">
        <f>C201&amp;"-"&amp;A201</f>
        <v/>
      </c>
      <c r="AC201" s="128">
        <f>L201</f>
        <v/>
      </c>
    </row>
    <row r="202">
      <c r="A202" s="124" t="inlineStr">
        <is>
          <t>ZINT01</t>
        </is>
      </c>
      <c r="B202" s="124" t="n">
        <v>9</v>
      </c>
      <c r="C202" s="124" t="inlineStr">
        <is>
          <t>HVD101</t>
        </is>
      </c>
      <c r="D202" s="124" t="inlineStr">
        <is>
          <t>D</t>
        </is>
      </c>
      <c r="E202" s="124" t="inlineStr">
        <is>
          <t>Lunau Marc</t>
        </is>
      </c>
      <c r="F202" s="125">
        <f>SUMIFS(Investors!$M:$M, Investors!$I:$I, "&lt;=" &amp; 'NSST Print'!$B$3, Investors!$K:$K, "&gt;" &amp; 'NSST Print'!$B$3, Investors!$A:$A, 'Investor Exit List'!A202, Investors!$E:$E, 'Investor Exit List'!C202)</f>
        <v/>
      </c>
      <c r="G202" s="126" t="n">
        <v>44706</v>
      </c>
      <c r="H202" s="124">
        <f>VLOOKUP($C202,Sales!$C:$E,2,FALSE)</f>
        <v/>
      </c>
      <c r="I202" s="124">
        <f>VLOOKUP($C202,Sales!$C:$E,3,FALSE)</f>
        <v/>
      </c>
      <c r="J202" s="126">
        <f>SUMIFS(Sales!$H:$H,Sales!$C:$C,'Investor Exit List'!$C202)</f>
        <v/>
      </c>
      <c r="K202" s="126">
        <f>IF(I202=TRUE,J202,"")</f>
        <v/>
      </c>
      <c r="L202" s="126">
        <f>G202+730</f>
        <v/>
      </c>
      <c r="M202" s="126" t="n">
        <v>45443</v>
      </c>
      <c r="N202" s="127">
        <f>IFERROR(IF(G202&lt;&gt;"",IF(I202=TRUE,0,IF(U202=TRUE,0,L202-M202)),0),0)</f>
        <v/>
      </c>
      <c r="O202" s="127">
        <f>IF(N202&gt;0,IF(N202&lt;=180,N202,0),0)</f>
        <v/>
      </c>
      <c r="P202" s="125">
        <f>IF(AND(N202&lt;90,N202&gt;0),Q202,0)</f>
        <v/>
      </c>
      <c r="Q202" s="125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25">
        <f>IF(AND(H202=TRUE,I202=FALSE),Q202,0)</f>
        <v/>
      </c>
      <c r="S202" s="125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26">
        <f>IF(U202=TRUE,$J202,"")</f>
        <v/>
      </c>
      <c r="U202" s="124" t="b">
        <v>1</v>
      </c>
      <c r="V202" s="125">
        <f>IF(AND(H202=TRUE,OR(K202="",K202&gt;M202)),S202,0)</f>
        <v/>
      </c>
      <c r="W202" s="124" t="n">
        <v>0</v>
      </c>
      <c r="X202" s="124" t="b">
        <v>0</v>
      </c>
      <c r="Y202" s="127">
        <f>IF(H202=FALSE,VLOOKUP($C202,Sales!$C:$F,4,FALSE),1)</f>
        <v/>
      </c>
      <c r="Z202" s="124">
        <f>IF(Y202=0,"Release",IF(AND(L202&lt;J202,Y202=1,H202=FALSE,U202=FALSE,MONTH(L202)&amp;"/"&amp;YEAR(L202)&lt;&gt;MONTH(J202)&amp;"/"&amp;YEAR(J202)),"Release",""))</f>
        <v/>
      </c>
      <c r="AA202" s="128">
        <f>_xlfn.minifs($L:$L,$C:$C,$C202,$F:$F,"&lt;&gt;0")</f>
        <v/>
      </c>
      <c r="AB202" s="128">
        <f>C202&amp;"-"&amp;A202</f>
        <v/>
      </c>
      <c r="AC202" s="128">
        <f>L202</f>
        <v/>
      </c>
    </row>
    <row r="203">
      <c r="A203" s="124" t="inlineStr">
        <is>
          <t>ZMAT03</t>
        </is>
      </c>
      <c r="B203" s="124" t="n">
        <v>3</v>
      </c>
      <c r="C203" s="124" t="inlineStr">
        <is>
          <t>HVD101</t>
        </is>
      </c>
      <c r="D203" s="124" t="inlineStr">
        <is>
          <t>D</t>
        </is>
      </c>
      <c r="E203" s="124" t="inlineStr">
        <is>
          <t>Matthee Delia</t>
        </is>
      </c>
      <c r="F203" s="125">
        <f>SUMIFS(Investors!$M:$M, Investors!$I:$I, "&lt;=" &amp; 'NSST Print'!$B$3, Investors!$K:$K, "&gt;" &amp; 'NSST Print'!$B$3, Investors!$A:$A, 'Investor Exit List'!A203, Investors!$E:$E, 'Investor Exit List'!C203)</f>
        <v/>
      </c>
      <c r="G203" s="126" t="n">
        <v>44706</v>
      </c>
      <c r="H203" s="124">
        <f>VLOOKUP($C203,Sales!$C:$E,2,FALSE)</f>
        <v/>
      </c>
      <c r="I203" s="124">
        <f>VLOOKUP($C203,Sales!$C:$E,3,FALSE)</f>
        <v/>
      </c>
      <c r="J203" s="126">
        <f>SUMIFS(Sales!$H:$H,Sales!$C:$C,'Investor Exit List'!$C203)</f>
        <v/>
      </c>
      <c r="K203" s="126">
        <f>IF(I203=TRUE,J203,"")</f>
        <v/>
      </c>
      <c r="L203" s="126">
        <f>G203+730</f>
        <v/>
      </c>
      <c r="M203" s="126" t="n">
        <v>45443</v>
      </c>
      <c r="N203" s="127">
        <f>IFERROR(IF(G203&lt;&gt;"",IF(I203=TRUE,0,IF(U203=TRUE,0,L203-M203)),0),0)</f>
        <v/>
      </c>
      <c r="O203" s="127">
        <f>IF(N203&gt;0,IF(N203&lt;=180,N203,0),0)</f>
        <v/>
      </c>
      <c r="P203" s="125">
        <f>IF(AND(N203&lt;90,N203&gt;0),Q203,0)</f>
        <v/>
      </c>
      <c r="Q203" s="125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25">
        <f>IF(AND(H203=TRUE,I203=FALSE),Q203,0)</f>
        <v/>
      </c>
      <c r="S203" s="125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26">
        <f>IF(U203=TRUE,$J203,"")</f>
        <v/>
      </c>
      <c r="U203" s="124" t="b">
        <v>0</v>
      </c>
      <c r="V203" s="125">
        <f>IF(AND(H203=TRUE,OR(K203="",K203&gt;M203)),S203,0)</f>
        <v/>
      </c>
      <c r="W203" s="124" t="n">
        <v>0</v>
      </c>
      <c r="X203" s="124" t="b">
        <v>0</v>
      </c>
      <c r="Y203" s="127">
        <f>IF(H203=FALSE,VLOOKUP($C203,Sales!$C:$F,4,FALSE),1)</f>
        <v/>
      </c>
      <c r="Z203" s="124">
        <f>IF(Y203=0,"Release",IF(AND(L203&lt;J203,Y203=1,H203=FALSE,U203=FALSE,MONTH(L203)&amp;"/"&amp;YEAR(L203)&lt;&gt;MONTH(J203)&amp;"/"&amp;YEAR(J203)),"Release",""))</f>
        <v/>
      </c>
      <c r="AA203" s="128">
        <f>_xlfn.minifs($L:$L,$C:$C,$C203,$F:$F,"&lt;&gt;0")</f>
        <v/>
      </c>
      <c r="AB203" s="128">
        <f>C203&amp;"-"&amp;A203</f>
        <v/>
      </c>
      <c r="AC203" s="128">
        <f>L203</f>
        <v/>
      </c>
    </row>
    <row r="204">
      <c r="A204" s="124" t="inlineStr">
        <is>
          <t>ZWAT01</t>
        </is>
      </c>
      <c r="B204" s="124" t="n">
        <v>10</v>
      </c>
      <c r="C204" s="124" t="inlineStr">
        <is>
          <t>HVD101</t>
        </is>
      </c>
      <c r="D204" s="124" t="inlineStr">
        <is>
          <t>D</t>
        </is>
      </c>
      <c r="E204" s="124" t="inlineStr">
        <is>
          <t>Watts Peter Gregory</t>
        </is>
      </c>
      <c r="F204" s="125">
        <f>SUMIFS(Investors!$M:$M, Investors!$I:$I, "&lt;=" &amp; 'NSST Print'!$B$3, Investors!$K:$K, "&gt;" &amp; 'NSST Print'!$B$3, Investors!$A:$A, 'Investor Exit List'!A204, Investors!$E:$E, 'Investor Exit List'!C204)</f>
        <v/>
      </c>
      <c r="G204" s="126" t="n">
        <v>44713</v>
      </c>
      <c r="H204" s="124">
        <f>VLOOKUP($C204,Sales!$C:$E,2,FALSE)</f>
        <v/>
      </c>
      <c r="I204" s="124">
        <f>VLOOKUP($C204,Sales!$C:$E,3,FALSE)</f>
        <v/>
      </c>
      <c r="J204" s="126">
        <f>SUMIFS(Sales!$H:$H,Sales!$C:$C,'Investor Exit List'!$C204)</f>
        <v/>
      </c>
      <c r="K204" s="126">
        <f>IF(I204=TRUE,J204,"")</f>
        <v/>
      </c>
      <c r="L204" s="126">
        <f>G204+730</f>
        <v/>
      </c>
      <c r="M204" s="126" t="n">
        <v>45443</v>
      </c>
      <c r="N204" s="127">
        <f>IFERROR(IF(G204&lt;&gt;"",IF(I204=TRUE,0,IF(U204=TRUE,0,L204-M204)),0),0)</f>
        <v/>
      </c>
      <c r="O204" s="127">
        <f>IF(N204&gt;0,IF(N204&lt;=180,N204,0),0)</f>
        <v/>
      </c>
      <c r="P204" s="125">
        <f>IF(AND(N204&lt;90,N204&gt;0),Q204,0)</f>
        <v/>
      </c>
      <c r="Q204" s="125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25">
        <f>IF(AND(H204=TRUE,I204=FALSE),Q204,0)</f>
        <v/>
      </c>
      <c r="S204" s="125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26">
        <f>IF(U204=TRUE,$J204,"")</f>
        <v/>
      </c>
      <c r="U204" s="124" t="b">
        <v>1</v>
      </c>
      <c r="V204" s="125">
        <f>IF(AND(H204=TRUE,OR(K204="",K204&gt;M204)),S204,0)</f>
        <v/>
      </c>
      <c r="W204" s="124" t="n">
        <v>0</v>
      </c>
      <c r="X204" s="124" t="b">
        <v>0</v>
      </c>
      <c r="Y204" s="127">
        <f>IF(H204=FALSE,VLOOKUP($C204,Sales!$C:$F,4,FALSE),1)</f>
        <v/>
      </c>
      <c r="Z204" s="124">
        <f>IF(Y204=0,"Release",IF(AND(L204&lt;J204,Y204=1,H204=FALSE,U204=FALSE,MONTH(L204)&amp;"/"&amp;YEAR(L204)&lt;&gt;MONTH(J204)&amp;"/"&amp;YEAR(J204)),"Release",""))</f>
        <v/>
      </c>
      <c r="AA204" s="128">
        <f>_xlfn.minifs($L:$L,$C:$C,$C204,$F:$F,"&lt;&gt;0")</f>
        <v/>
      </c>
      <c r="AB204" s="128">
        <f>C204&amp;"-"&amp;A204</f>
        <v/>
      </c>
      <c r="AC204" s="128">
        <f>L204</f>
        <v/>
      </c>
    </row>
    <row r="205">
      <c r="A205" s="124" t="inlineStr">
        <is>
          <t>ZHAL03</t>
        </is>
      </c>
      <c r="B205" s="124" t="n">
        <v>1</v>
      </c>
      <c r="C205" s="124" t="inlineStr">
        <is>
          <t>HVD102</t>
        </is>
      </c>
      <c r="D205" s="124" t="inlineStr">
        <is>
          <t>D</t>
        </is>
      </c>
      <c r="E205" s="124" t="inlineStr">
        <is>
          <t>Hall Graeme Haffenden</t>
        </is>
      </c>
      <c r="F205" s="125">
        <f>SUMIFS(Investors!$M:$M, Investors!$I:$I, "&lt;=" &amp; 'NSST Print'!$B$3, Investors!$K:$K, "&gt;" &amp; 'NSST Print'!$B$3, Investors!$A:$A, 'Investor Exit List'!A205, Investors!$E:$E, 'Investor Exit List'!C205)</f>
        <v/>
      </c>
      <c r="G205" s="126" t="n">
        <v>44819</v>
      </c>
      <c r="H205" s="124">
        <f>VLOOKUP($C205,Sales!$C:$E,2,FALSE)</f>
        <v/>
      </c>
      <c r="I205" s="124">
        <f>VLOOKUP($C205,Sales!$C:$E,3,FALSE)</f>
        <v/>
      </c>
      <c r="J205" s="126">
        <f>SUMIFS(Sales!$H:$H,Sales!$C:$C,'Investor Exit List'!$C205)</f>
        <v/>
      </c>
      <c r="K205" s="126">
        <f>IF(I205=TRUE,J205,"")</f>
        <v/>
      </c>
      <c r="L205" s="126">
        <f>G205+730</f>
        <v/>
      </c>
      <c r="M205" s="126" t="n">
        <v>45443</v>
      </c>
      <c r="N205" s="127">
        <f>IFERROR(IF(G205&lt;&gt;"",IF(I205=TRUE,0,IF(U205=TRUE,0,L205-M205)),0),0)</f>
        <v/>
      </c>
      <c r="O205" s="127">
        <f>IF(N205&gt;0,IF(N205&lt;=180,N205,0),0)</f>
        <v/>
      </c>
      <c r="P205" s="125">
        <f>IF(AND(N205&lt;90,N205&gt;0),Q205,0)</f>
        <v/>
      </c>
      <c r="Q205" s="125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25">
        <f>IF(AND(H205=TRUE,I205=FALSE),Q205,0)</f>
        <v/>
      </c>
      <c r="S205" s="125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26">
        <f>IF(U205=TRUE,$J205,"")</f>
        <v/>
      </c>
      <c r="U205" s="124" t="b">
        <v>1</v>
      </c>
      <c r="V205" s="125">
        <f>IF(AND(H205=TRUE,OR(K205="",K205&gt;M205)),S205,0)</f>
        <v/>
      </c>
      <c r="W205" s="124" t="n">
        <v>0</v>
      </c>
      <c r="X205" s="124" t="b">
        <v>0</v>
      </c>
      <c r="Y205" s="127">
        <f>IF(H205=FALSE,VLOOKUP($C205,Sales!$C:$F,4,FALSE),1)</f>
        <v/>
      </c>
      <c r="Z205" s="124">
        <f>IF(Y205=0,"Release",IF(AND(L205&lt;J205,Y205=1,H205=FALSE,U205=FALSE,MONTH(L205)&amp;"/"&amp;YEAR(L205)&lt;&gt;MONTH(J205)&amp;"/"&amp;YEAR(J205)),"Release",""))</f>
        <v/>
      </c>
      <c r="AA205" s="128">
        <f>_xlfn.minifs($L:$L,$C:$C,$C205,$F:$F,"&lt;&gt;0")</f>
        <v/>
      </c>
      <c r="AB205" s="128">
        <f>C205&amp;"-"&amp;A205</f>
        <v/>
      </c>
      <c r="AC205" s="128">
        <f>L205</f>
        <v/>
      </c>
    </row>
    <row r="206">
      <c r="A206" s="124" t="inlineStr">
        <is>
          <t>ZLEB01</t>
        </is>
      </c>
      <c r="B206" s="124" t="n">
        <v>10</v>
      </c>
      <c r="C206" s="124" t="inlineStr">
        <is>
          <t>HVD102</t>
        </is>
      </c>
      <c r="D206" s="124" t="inlineStr">
        <is>
          <t>D</t>
        </is>
      </c>
      <c r="E206" s="124" t="inlineStr">
        <is>
          <t>Lebusa Hopolang</t>
        </is>
      </c>
      <c r="F206" s="125">
        <f>SUMIFS(Investors!$M:$M, Investors!$I:$I, "&lt;=" &amp; 'NSST Print'!$B$3, Investors!$K:$K, "&gt;" &amp; 'NSST Print'!$B$3, Investors!$A:$A, 'Investor Exit List'!A206, Investors!$E:$E, 'Investor Exit List'!C206)</f>
        <v/>
      </c>
      <c r="G206" s="126" t="n">
        <v>44694</v>
      </c>
      <c r="H206" s="124">
        <f>VLOOKUP($C206,Sales!$C:$E,2,FALSE)</f>
        <v/>
      </c>
      <c r="I206" s="124">
        <f>VLOOKUP($C206,Sales!$C:$E,3,FALSE)</f>
        <v/>
      </c>
      <c r="J206" s="126">
        <f>SUMIFS(Sales!$H:$H,Sales!$C:$C,'Investor Exit List'!$C206)</f>
        <v/>
      </c>
      <c r="K206" s="126">
        <f>IF(I206=TRUE,J206,"")</f>
        <v/>
      </c>
      <c r="L206" s="126">
        <f>G206+730</f>
        <v/>
      </c>
      <c r="M206" s="126" t="n">
        <v>45443</v>
      </c>
      <c r="N206" s="127">
        <f>IFERROR(IF(G206&lt;&gt;"",IF(I206=TRUE,0,IF(U206=TRUE,0,L206-M206)),0),0)</f>
        <v/>
      </c>
      <c r="O206" s="127">
        <f>IF(N206&gt;0,IF(N206&lt;=180,N206,0),0)</f>
        <v/>
      </c>
      <c r="P206" s="125">
        <f>IF(AND(N206&lt;90,N206&gt;0),Q206,0)</f>
        <v/>
      </c>
      <c r="Q206" s="125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25">
        <f>IF(AND(H206=TRUE,I206=FALSE),Q206,0)</f>
        <v/>
      </c>
      <c r="S206" s="125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26">
        <f>IF(U206=TRUE,$J206,"")</f>
        <v/>
      </c>
      <c r="U206" s="124" t="b">
        <v>1</v>
      </c>
      <c r="V206" s="125">
        <f>IF(AND(H206=TRUE,OR(K206="",K206&gt;M206)),S206,0)</f>
        <v/>
      </c>
      <c r="W206" s="124" t="n">
        <v>0</v>
      </c>
      <c r="X206" s="124" t="b">
        <v>0</v>
      </c>
      <c r="Y206" s="127">
        <f>IF(H206=FALSE,VLOOKUP($C206,Sales!$C:$F,4,FALSE),1)</f>
        <v/>
      </c>
      <c r="Z206" s="124">
        <f>IF(Y206=0,"Release",IF(AND(L206&lt;J206,Y206=1,H206=FALSE,U206=FALSE,MONTH(L206)&amp;"/"&amp;YEAR(L206)&lt;&gt;MONTH(J206)&amp;"/"&amp;YEAR(J206)),"Release",""))</f>
        <v/>
      </c>
      <c r="AA206" s="128">
        <f>_xlfn.minifs($L:$L,$C:$C,$C206,$F:$F,"&lt;&gt;0")</f>
        <v/>
      </c>
      <c r="AB206" s="128">
        <f>C206&amp;"-"&amp;A206</f>
        <v/>
      </c>
      <c r="AC206" s="128">
        <f>L206</f>
        <v/>
      </c>
    </row>
    <row r="207">
      <c r="A207" s="124" t="inlineStr">
        <is>
          <t>ZCUP01</t>
        </is>
      </c>
      <c r="B207" s="124" t="n">
        <v>2</v>
      </c>
      <c r="C207" s="124" t="inlineStr">
        <is>
          <t>HVD103</t>
        </is>
      </c>
      <c r="D207" s="124" t="inlineStr">
        <is>
          <t>D</t>
        </is>
      </c>
      <c r="E207" s="124" t="inlineStr">
        <is>
          <t>Cupido Tyrone</t>
        </is>
      </c>
      <c r="F207" s="125">
        <f>SUMIFS(Investors!$M:$M, Investors!$I:$I, "&lt;=" &amp; 'NSST Print'!$B$3, Investors!$K:$K, "&gt;" &amp; 'NSST Print'!$B$3, Investors!$A:$A, 'Investor Exit List'!A207, Investors!$E:$E, 'Investor Exit List'!C207)</f>
        <v/>
      </c>
      <c r="G207" s="126" t="n">
        <v>45008</v>
      </c>
      <c r="H207" s="124">
        <f>VLOOKUP($C207,Sales!$C:$E,2,FALSE)</f>
        <v/>
      </c>
      <c r="I207" s="124">
        <f>VLOOKUP($C207,Sales!$C:$E,3,FALSE)</f>
        <v/>
      </c>
      <c r="J207" s="126">
        <f>SUMIFS(Sales!$H:$H,Sales!$C:$C,'Investor Exit List'!$C207)</f>
        <v/>
      </c>
      <c r="K207" s="126">
        <f>IF(I207=TRUE,J207,"")</f>
        <v/>
      </c>
      <c r="L207" s="126">
        <f>G207+730</f>
        <v/>
      </c>
      <c r="M207" s="126" t="n">
        <v>45443</v>
      </c>
      <c r="N207" s="127">
        <f>IFERROR(IF(G207&lt;&gt;"",IF(I207=TRUE,0,IF(U207=TRUE,0,L207-M207)),0),0)</f>
        <v/>
      </c>
      <c r="O207" s="127">
        <f>IF(N207&gt;0,IF(N207&lt;=180,N207,0),0)</f>
        <v/>
      </c>
      <c r="P207" s="125">
        <f>IF(AND(N207&lt;90,N207&gt;0),Q207,0)</f>
        <v/>
      </c>
      <c r="Q207" s="125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25">
        <f>IF(AND(H207=TRUE,I207=FALSE),Q207,0)</f>
        <v/>
      </c>
      <c r="S207" s="125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26">
        <f>IF(U207=TRUE,$J207,"")</f>
        <v/>
      </c>
      <c r="U207" s="124" t="b">
        <v>0</v>
      </c>
      <c r="V207" s="125">
        <f>IF(AND(H207=TRUE,OR(K207="",K207&gt;M207)),S207,0)</f>
        <v/>
      </c>
      <c r="W207" s="124" t="n">
        <v>0</v>
      </c>
      <c r="X207" s="124" t="b">
        <v>0</v>
      </c>
      <c r="Y207" s="127">
        <f>IF(H207=FALSE,VLOOKUP($C207,Sales!$C:$F,4,FALSE),1)</f>
        <v/>
      </c>
      <c r="Z207" s="124">
        <f>IF(Y207=0,"Release",IF(AND(L207&lt;J207,Y207=1,H207=FALSE,U207=FALSE,MONTH(L207)&amp;"/"&amp;YEAR(L207)&lt;&gt;MONTH(J207)&amp;"/"&amp;YEAR(J207)),"Release",""))</f>
        <v/>
      </c>
      <c r="AA207" s="128">
        <f>_xlfn.minifs($L:$L,$C:$C,$C207,$F:$F,"&lt;&gt;0")</f>
        <v/>
      </c>
      <c r="AB207" s="128">
        <f>C207&amp;"-"&amp;A207</f>
        <v/>
      </c>
      <c r="AC207" s="128">
        <f>L207</f>
        <v/>
      </c>
    </row>
    <row r="208">
      <c r="A208" s="124" t="inlineStr">
        <is>
          <t>ZHEN01</t>
        </is>
      </c>
      <c r="B208" s="124" t="n">
        <v>3</v>
      </c>
      <c r="C208" s="124" t="inlineStr">
        <is>
          <t>HVD103</t>
        </is>
      </c>
      <c r="D208" s="124" t="inlineStr">
        <is>
          <t>D</t>
        </is>
      </c>
      <c r="E208" s="124" t="inlineStr">
        <is>
          <t>Hendricks Theodore Shane</t>
        </is>
      </c>
      <c r="F208" s="125">
        <f>SUMIFS(Investors!$M:$M, Investors!$I:$I, "&lt;=" &amp; 'NSST Print'!$B$3, Investors!$K:$K, "&gt;" &amp; 'NSST Print'!$B$3, Investors!$A:$A, 'Investor Exit List'!A208, Investors!$E:$E, 'Investor Exit List'!C208)</f>
        <v/>
      </c>
      <c r="G208" s="126" t="n">
        <v>44719</v>
      </c>
      <c r="H208" s="124">
        <f>VLOOKUP($C208,Sales!$C:$E,2,FALSE)</f>
        <v/>
      </c>
      <c r="I208" s="124">
        <f>VLOOKUP($C208,Sales!$C:$E,3,FALSE)</f>
        <v/>
      </c>
      <c r="J208" s="126">
        <f>SUMIFS(Sales!$H:$H,Sales!$C:$C,'Investor Exit List'!$C208)</f>
        <v/>
      </c>
      <c r="K208" s="126">
        <f>IF(I208=TRUE,J208,"")</f>
        <v/>
      </c>
      <c r="L208" s="126">
        <f>G208+730</f>
        <v/>
      </c>
      <c r="M208" s="126" t="n">
        <v>45443</v>
      </c>
      <c r="N208" s="127">
        <f>IFERROR(IF(G208&lt;&gt;"",IF(I208=TRUE,0,IF(U208=TRUE,0,L208-M208)),0),0)</f>
        <v/>
      </c>
      <c r="O208" s="127">
        <f>IF(N208&gt;0,IF(N208&lt;=180,N208,0),0)</f>
        <v/>
      </c>
      <c r="P208" s="125">
        <f>IF(AND(N208&lt;90,N208&gt;0),Q208,0)</f>
        <v/>
      </c>
      <c r="Q208" s="125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25">
        <f>IF(AND(H208=TRUE,I208=FALSE),Q208,0)</f>
        <v/>
      </c>
      <c r="S208" s="125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26">
        <f>IF(U208=TRUE,$J208,"")</f>
        <v/>
      </c>
      <c r="U208" s="124" t="b">
        <v>1</v>
      </c>
      <c r="V208" s="125">
        <f>IF(AND(H208=TRUE,OR(K208="",K208&gt;M208)),S208,0)</f>
        <v/>
      </c>
      <c r="W208" s="124" t="n">
        <v>0</v>
      </c>
      <c r="X208" s="124" t="b">
        <v>0</v>
      </c>
      <c r="Y208" s="127">
        <f>IF(H208=FALSE,VLOOKUP($C208,Sales!$C:$F,4,FALSE),1)</f>
        <v/>
      </c>
      <c r="Z208" s="124">
        <f>IF(Y208=0,"Release",IF(AND(L208&lt;J208,Y208=1,H208=FALSE,U208=FALSE,MONTH(L208)&amp;"/"&amp;YEAR(L208)&lt;&gt;MONTH(J208)&amp;"/"&amp;YEAR(J208)),"Release",""))</f>
        <v/>
      </c>
      <c r="AA208" s="128">
        <f>_xlfn.minifs($L:$L,$C:$C,$C208,$F:$F,"&lt;&gt;0")</f>
        <v/>
      </c>
      <c r="AB208" s="128">
        <f>C208&amp;"-"&amp;A208</f>
        <v/>
      </c>
      <c r="AC208" s="128">
        <f>L208</f>
        <v/>
      </c>
    </row>
    <row r="209">
      <c r="A209" s="124" t="inlineStr">
        <is>
          <t>ZLEB01</t>
        </is>
      </c>
      <c r="B209" s="124" t="n">
        <v>11</v>
      </c>
      <c r="C209" s="124" t="inlineStr">
        <is>
          <t>HVD103</t>
        </is>
      </c>
      <c r="D209" s="124" t="inlineStr">
        <is>
          <t>D</t>
        </is>
      </c>
      <c r="E209" s="124" t="inlineStr">
        <is>
          <t>Lebusa Hopolang</t>
        </is>
      </c>
      <c r="F209" s="125">
        <f>SUMIFS(Investors!$M:$M, Investors!$I:$I, "&lt;=" &amp; 'NSST Print'!$B$3, Investors!$K:$K, "&gt;" &amp; 'NSST Print'!$B$3, Investors!$A:$A, 'Investor Exit List'!A209, Investors!$E:$E, 'Investor Exit List'!C209)</f>
        <v/>
      </c>
      <c r="G209" s="126" t="n">
        <v>44694</v>
      </c>
      <c r="H209" s="124">
        <f>VLOOKUP($C209,Sales!$C:$E,2,FALSE)</f>
        <v/>
      </c>
      <c r="I209" s="124">
        <f>VLOOKUP($C209,Sales!$C:$E,3,FALSE)</f>
        <v/>
      </c>
      <c r="J209" s="126">
        <f>SUMIFS(Sales!$H:$H,Sales!$C:$C,'Investor Exit List'!$C209)</f>
        <v/>
      </c>
      <c r="K209" s="126">
        <f>IF(I209=TRUE,J209,"")</f>
        <v/>
      </c>
      <c r="L209" s="126">
        <f>G209+730</f>
        <v/>
      </c>
      <c r="M209" s="126" t="n">
        <v>45443</v>
      </c>
      <c r="N209" s="127">
        <f>IFERROR(IF(G209&lt;&gt;"",IF(I209=TRUE,0,IF(U209=TRUE,0,L209-M209)),0),0)</f>
        <v/>
      </c>
      <c r="O209" s="127">
        <f>IF(N209&gt;0,IF(N209&lt;=180,N209,0),0)</f>
        <v/>
      </c>
      <c r="P209" s="125">
        <f>IF(AND(N209&lt;90,N209&gt;0),Q209,0)</f>
        <v/>
      </c>
      <c r="Q209" s="125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25">
        <f>IF(AND(H209=TRUE,I209=FALSE),Q209,0)</f>
        <v/>
      </c>
      <c r="S209" s="125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26">
        <f>IF(U209=TRUE,$J209,"")</f>
        <v/>
      </c>
      <c r="U209" s="124" t="b">
        <v>0</v>
      </c>
      <c r="V209" s="125">
        <f>IF(AND(H209=TRUE,OR(K209="",K209&gt;M209)),S209,0)</f>
        <v/>
      </c>
      <c r="W209" s="124" t="n">
        <v>0</v>
      </c>
      <c r="X209" s="124" t="b">
        <v>0</v>
      </c>
      <c r="Y209" s="127">
        <f>IF(H209=FALSE,VLOOKUP($C209,Sales!$C:$F,4,FALSE),1)</f>
        <v/>
      </c>
      <c r="Z209" s="124">
        <f>IF(Y209=0,"Release",IF(AND(L209&lt;J209,Y209=1,H209=FALSE,U209=FALSE,MONTH(L209)&amp;"/"&amp;YEAR(L209)&lt;&gt;MONTH(J209)&amp;"/"&amp;YEAR(J209)),"Release",""))</f>
        <v/>
      </c>
      <c r="AA209" s="128">
        <f>_xlfn.minifs($L:$L,$C:$C,$C209,$F:$F,"&lt;&gt;0")</f>
        <v/>
      </c>
      <c r="AB209" s="128">
        <f>C209&amp;"-"&amp;A209</f>
        <v/>
      </c>
      <c r="AC209" s="128">
        <f>L209</f>
        <v/>
      </c>
    </row>
    <row r="210">
      <c r="A210" s="124" t="inlineStr">
        <is>
          <t>ZLES01</t>
        </is>
      </c>
      <c r="B210" s="124" t="n">
        <v>1</v>
      </c>
      <c r="C210" s="124" t="inlineStr">
        <is>
          <t>HVD103</t>
        </is>
      </c>
      <c r="D210" s="124" t="inlineStr">
        <is>
          <t>D</t>
        </is>
      </c>
      <c r="E210" s="124" t="inlineStr">
        <is>
          <t>Leslie Megan Frances</t>
        </is>
      </c>
      <c r="F210" s="125">
        <f>SUMIFS(Investors!$M:$M, Investors!$I:$I, "&lt;=" &amp; 'NSST Print'!$B$3, Investors!$K:$K, "&gt;" &amp; 'NSST Print'!$B$3, Investors!$A:$A, 'Investor Exit List'!A210, Investors!$E:$E, 'Investor Exit List'!C210)</f>
        <v/>
      </c>
      <c r="G210" s="126" t="n">
        <v>45016</v>
      </c>
      <c r="H210" s="124">
        <f>VLOOKUP($C210,Sales!$C:$E,2,FALSE)</f>
        <v/>
      </c>
      <c r="I210" s="124">
        <f>VLOOKUP($C210,Sales!$C:$E,3,FALSE)</f>
        <v/>
      </c>
      <c r="J210" s="126">
        <f>SUMIFS(Sales!$H:$H,Sales!$C:$C,'Investor Exit List'!$C210)</f>
        <v/>
      </c>
      <c r="K210" s="126">
        <f>IF(I210=TRUE,J210,"")</f>
        <v/>
      </c>
      <c r="L210" s="126">
        <f>G210+730</f>
        <v/>
      </c>
      <c r="M210" s="126" t="n">
        <v>45443</v>
      </c>
      <c r="N210" s="127">
        <f>IFERROR(IF(G210&lt;&gt;"",IF(I210=TRUE,0,IF(U210=TRUE,0,L210-M210)),0),0)</f>
        <v/>
      </c>
      <c r="O210" s="127">
        <f>IF(N210&gt;0,IF(N210&lt;=180,N210,0),0)</f>
        <v/>
      </c>
      <c r="P210" s="125">
        <f>IF(AND(N210&lt;90,N210&gt;0),Q210,0)</f>
        <v/>
      </c>
      <c r="Q210" s="125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25">
        <f>IF(AND(H210=TRUE,I210=FALSE),Q210,0)</f>
        <v/>
      </c>
      <c r="S210" s="125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26">
        <f>IF(U210=TRUE,$J210,"")</f>
        <v/>
      </c>
      <c r="U210" s="124" t="b">
        <v>1</v>
      </c>
      <c r="V210" s="125">
        <f>IF(AND(H210=TRUE,OR(K210="",K210&gt;M210)),S210,0)</f>
        <v/>
      </c>
      <c r="W210" s="124" t="n">
        <v>0</v>
      </c>
      <c r="X210" s="124" t="b">
        <v>0</v>
      </c>
      <c r="Y210" s="127">
        <f>IF(H210=FALSE,VLOOKUP($C210,Sales!$C:$F,4,FALSE),1)</f>
        <v/>
      </c>
      <c r="Z210" s="124">
        <f>IF(Y210=0,"Release",IF(AND(L210&lt;J210,Y210=1,H210=FALSE,U210=FALSE,MONTH(L210)&amp;"/"&amp;YEAR(L210)&lt;&gt;MONTH(J210)&amp;"/"&amp;YEAR(J210)),"Release",""))</f>
        <v/>
      </c>
      <c r="AA210" s="128">
        <f>_xlfn.minifs($L:$L,$C:$C,$C210,$F:$F,"&lt;&gt;0")</f>
        <v/>
      </c>
      <c r="AB210" s="128">
        <f>C210&amp;"-"&amp;A210</f>
        <v/>
      </c>
      <c r="AC210" s="128">
        <f>L210</f>
        <v/>
      </c>
    </row>
    <row r="211">
      <c r="A211" s="124" t="inlineStr">
        <is>
          <t>ZZYL04</t>
        </is>
      </c>
      <c r="B211" s="124" t="n">
        <v>1</v>
      </c>
      <c r="C211" s="124" t="inlineStr">
        <is>
          <t>HVD103</t>
        </is>
      </c>
      <c r="D211" s="124" t="inlineStr">
        <is>
          <t>D</t>
        </is>
      </c>
      <c r="E211" s="124" t="inlineStr">
        <is>
          <t>Zylstra Steven Michael</t>
        </is>
      </c>
      <c r="F211" s="125">
        <f>SUMIFS(Investors!$M:$M, Investors!$I:$I, "&lt;=" &amp; 'NSST Print'!$B$3, Investors!$K:$K, "&gt;" &amp; 'NSST Print'!$B$3, Investors!$A:$A, 'Investor Exit List'!A211, Investors!$E:$E, 'Investor Exit List'!C211)</f>
        <v/>
      </c>
      <c r="G211" s="126" t="n">
        <v>44706</v>
      </c>
      <c r="H211" s="124">
        <f>VLOOKUP($C211,Sales!$C:$E,2,FALSE)</f>
        <v/>
      </c>
      <c r="I211" s="124">
        <f>VLOOKUP($C211,Sales!$C:$E,3,FALSE)</f>
        <v/>
      </c>
      <c r="J211" s="126">
        <f>SUMIFS(Sales!$H:$H,Sales!$C:$C,'Investor Exit List'!$C211)</f>
        <v/>
      </c>
      <c r="K211" s="126">
        <f>IF(I211=TRUE,J211,"")</f>
        <v/>
      </c>
      <c r="L211" s="126">
        <f>G211+730</f>
        <v/>
      </c>
      <c r="M211" s="126" t="n">
        <v>45443</v>
      </c>
      <c r="N211" s="127">
        <f>IFERROR(IF(G211&lt;&gt;"",IF(I211=TRUE,0,IF(U211=TRUE,0,L211-M211)),0),0)</f>
        <v/>
      </c>
      <c r="O211" s="127">
        <f>IF(N211&gt;0,IF(N211&lt;=180,N211,0),0)</f>
        <v/>
      </c>
      <c r="P211" s="125">
        <f>IF(AND(N211&lt;90,N211&gt;0),Q211,0)</f>
        <v/>
      </c>
      <c r="Q211" s="125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25">
        <f>IF(AND(H211=TRUE,I211=FALSE),Q211,0)</f>
        <v/>
      </c>
      <c r="S211" s="125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26">
        <f>IF(U211=TRUE,$J211,"")</f>
        <v/>
      </c>
      <c r="U211" s="124" t="b">
        <v>1</v>
      </c>
      <c r="V211" s="125">
        <f>IF(AND(H211=TRUE,OR(K211="",K211&gt;M211)),S211,0)</f>
        <v/>
      </c>
      <c r="W211" s="124" t="n">
        <v>0</v>
      </c>
      <c r="X211" s="124" t="b">
        <v>0</v>
      </c>
      <c r="Y211" s="127">
        <f>IF(H211=FALSE,VLOOKUP($C211,Sales!$C:$F,4,FALSE),1)</f>
        <v/>
      </c>
      <c r="Z211" s="124">
        <f>IF(Y211=0,"Release",IF(AND(L211&lt;J211,Y211=1,H211=FALSE,U211=FALSE,MONTH(L211)&amp;"/"&amp;YEAR(L211)&lt;&gt;MONTH(J211)&amp;"/"&amp;YEAR(J211)),"Release",""))</f>
        <v/>
      </c>
      <c r="AA211" s="128">
        <f>_xlfn.minifs($L:$L,$C:$C,$C211,$F:$F,"&lt;&gt;0")</f>
        <v/>
      </c>
      <c r="AB211" s="128">
        <f>C211&amp;"-"&amp;A211</f>
        <v/>
      </c>
      <c r="AC211" s="128">
        <f>L211</f>
        <v/>
      </c>
    </row>
    <row r="212">
      <c r="A212" s="124" t="inlineStr">
        <is>
          <t>ZFON01</t>
        </is>
      </c>
      <c r="B212" s="124" t="n">
        <v>4</v>
      </c>
      <c r="C212" s="124" t="inlineStr">
        <is>
          <t>HVD104</t>
        </is>
      </c>
      <c r="D212" s="124" t="inlineStr">
        <is>
          <t>D</t>
        </is>
      </c>
      <c r="E212" s="124" t="inlineStr">
        <is>
          <t>Aveling-Fountain Lorraine</t>
        </is>
      </c>
      <c r="F212" s="125">
        <f>SUMIFS(Investors!$M:$M, Investors!$I:$I, "&lt;=" &amp; 'NSST Print'!$B$3, Investors!$K:$K, "&gt;" &amp; 'NSST Print'!$B$3, Investors!$A:$A, 'Investor Exit List'!A212, Investors!$E:$E, 'Investor Exit List'!C212)</f>
        <v/>
      </c>
      <c r="G212" s="126" t="n">
        <v>44706</v>
      </c>
      <c r="H212" s="124">
        <f>VLOOKUP($C212,Sales!$C:$E,2,FALSE)</f>
        <v/>
      </c>
      <c r="I212" s="124">
        <f>VLOOKUP($C212,Sales!$C:$E,3,FALSE)</f>
        <v/>
      </c>
      <c r="J212" s="126">
        <f>SUMIFS(Sales!$H:$H,Sales!$C:$C,'Investor Exit List'!$C212)</f>
        <v/>
      </c>
      <c r="K212" s="126">
        <f>IF(I212=TRUE,J212,"")</f>
        <v/>
      </c>
      <c r="L212" s="126">
        <f>G212+730</f>
        <v/>
      </c>
      <c r="M212" s="126" t="n">
        <v>45443</v>
      </c>
      <c r="N212" s="127">
        <f>IFERROR(IF(G212&lt;&gt;"",IF(I212=TRUE,0,IF(U212=TRUE,0,L212-M212)),0),0)</f>
        <v/>
      </c>
      <c r="O212" s="127">
        <f>IF(N212&gt;0,IF(N212&lt;=180,N212,0),0)</f>
        <v/>
      </c>
      <c r="P212" s="125">
        <f>IF(AND(N212&lt;90,N212&gt;0),Q212,0)</f>
        <v/>
      </c>
      <c r="Q212" s="125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25">
        <f>IF(AND(H212=TRUE,I212=FALSE),Q212,0)</f>
        <v/>
      </c>
      <c r="S212" s="125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26">
        <f>IF(U212=TRUE,$J212,"")</f>
        <v/>
      </c>
      <c r="U212" s="124" t="b">
        <v>1</v>
      </c>
      <c r="V212" s="125">
        <f>IF(AND(H212=TRUE,OR(K212="",K212&gt;M212)),S212,0)</f>
        <v/>
      </c>
      <c r="W212" s="124" t="n">
        <v>0</v>
      </c>
      <c r="X212" s="124" t="b">
        <v>0</v>
      </c>
      <c r="Y212" s="127">
        <f>IF(H212=FALSE,VLOOKUP($C212,Sales!$C:$F,4,FALSE),1)</f>
        <v/>
      </c>
      <c r="Z212" s="124">
        <f>IF(Y212=0,"Release",IF(AND(L212&lt;J212,Y212=1,H212=FALSE,U212=FALSE,MONTH(L212)&amp;"/"&amp;YEAR(L212)&lt;&gt;MONTH(J212)&amp;"/"&amp;YEAR(J212)),"Release",""))</f>
        <v/>
      </c>
      <c r="AA212" s="128">
        <f>_xlfn.minifs($L:$L,$C:$C,$C212,$F:$F,"&lt;&gt;0")</f>
        <v/>
      </c>
      <c r="AB212" s="128">
        <f>C212&amp;"-"&amp;A212</f>
        <v/>
      </c>
      <c r="AC212" s="128">
        <f>L212</f>
        <v/>
      </c>
    </row>
    <row r="213">
      <c r="A213" s="124" t="inlineStr">
        <is>
          <t>ZGMA01</t>
        </is>
      </c>
      <c r="B213" s="124" t="n">
        <v>2</v>
      </c>
      <c r="C213" s="124" t="inlineStr">
        <is>
          <t>HVD104</t>
        </is>
      </c>
      <c r="D213" s="124" t="inlineStr">
        <is>
          <t>D</t>
        </is>
      </c>
      <c r="E213" s="124" t="inlineStr">
        <is>
          <t>Matthee Gerald Adriaan Odendal</t>
        </is>
      </c>
      <c r="F213" s="125">
        <f>SUMIFS(Investors!$M:$M, Investors!$I:$I, "&lt;=" &amp; 'NSST Print'!$B$3, Investors!$K:$K, "&gt;" &amp; 'NSST Print'!$B$3, Investors!$A:$A, 'Investor Exit List'!A213, Investors!$E:$E, 'Investor Exit List'!C213)</f>
        <v/>
      </c>
      <c r="G213" s="126" t="n">
        <v>44706</v>
      </c>
      <c r="H213" s="124">
        <f>VLOOKUP($C213,Sales!$C:$E,2,FALSE)</f>
        <v/>
      </c>
      <c r="I213" s="124">
        <f>VLOOKUP($C213,Sales!$C:$E,3,FALSE)</f>
        <v/>
      </c>
      <c r="J213" s="126">
        <f>SUMIFS(Sales!$H:$H,Sales!$C:$C,'Investor Exit List'!$C213)</f>
        <v/>
      </c>
      <c r="K213" s="126">
        <f>IF(I213=TRUE,J213,"")</f>
        <v/>
      </c>
      <c r="L213" s="126">
        <f>G213+730</f>
        <v/>
      </c>
      <c r="M213" s="126" t="n">
        <v>45443</v>
      </c>
      <c r="N213" s="127">
        <f>IFERROR(IF(G213&lt;&gt;"",IF(I213=TRUE,0,IF(U213=TRUE,0,L213-M213)),0),0)</f>
        <v/>
      </c>
      <c r="O213" s="127">
        <f>IF(N213&gt;0,IF(N213&lt;=180,N213,0),0)</f>
        <v/>
      </c>
      <c r="P213" s="125">
        <f>IF(AND(N213&lt;90,N213&gt;0),Q213,0)</f>
        <v/>
      </c>
      <c r="Q213" s="125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25">
        <f>IF(AND(H213=TRUE,I213=FALSE),Q213,0)</f>
        <v/>
      </c>
      <c r="S213" s="125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26">
        <f>IF(U213=TRUE,$J213,"")</f>
        <v/>
      </c>
      <c r="U213" s="124" t="b">
        <v>1</v>
      </c>
      <c r="V213" s="125">
        <f>IF(AND(H213=TRUE,OR(K213="",K213&gt;M213)),S213,0)</f>
        <v/>
      </c>
      <c r="W213" s="124" t="n">
        <v>0</v>
      </c>
      <c r="X213" s="124" t="b">
        <v>0</v>
      </c>
      <c r="Y213" s="127">
        <f>IF(H213=FALSE,VLOOKUP($C213,Sales!$C:$F,4,FALSE),1)</f>
        <v/>
      </c>
      <c r="Z213" s="124">
        <f>IF(Y213=0,"Release",IF(AND(L213&lt;J213,Y213=1,H213=FALSE,U213=FALSE,MONTH(L213)&amp;"/"&amp;YEAR(L213)&lt;&gt;MONTH(J213)&amp;"/"&amp;YEAR(J213)),"Release",""))</f>
        <v/>
      </c>
      <c r="AA213" s="128">
        <f>_xlfn.minifs($L:$L,$C:$C,$C213,$F:$F,"&lt;&gt;0")</f>
        <v/>
      </c>
      <c r="AB213" s="128">
        <f>C213&amp;"-"&amp;A213</f>
        <v/>
      </c>
      <c r="AC213" s="128">
        <f>L213</f>
        <v/>
      </c>
    </row>
    <row r="214">
      <c r="A214" s="124" t="inlineStr">
        <is>
          <t>ZVAL02</t>
        </is>
      </c>
      <c r="B214" s="124" t="n">
        <v>1</v>
      </c>
      <c r="C214" s="124" t="inlineStr">
        <is>
          <t>HVD104</t>
        </is>
      </c>
      <c r="D214" s="124" t="inlineStr">
        <is>
          <t>D</t>
        </is>
      </c>
      <c r="E214" s="124" t="inlineStr">
        <is>
          <t>Vallabh Himal Dipak</t>
        </is>
      </c>
      <c r="F214" s="125">
        <f>SUMIFS(Investors!$M:$M, Investors!$I:$I, "&lt;=" &amp; 'NSST Print'!$B$3, Investors!$K:$K, "&gt;" &amp; 'NSST Print'!$B$3, Investors!$A:$A, 'Investor Exit List'!A214, Investors!$E:$E, 'Investor Exit List'!C214)</f>
        <v/>
      </c>
      <c r="G214" s="126" t="n">
        <v>44706</v>
      </c>
      <c r="H214" s="124">
        <f>VLOOKUP($C214,Sales!$C:$E,2,FALSE)</f>
        <v/>
      </c>
      <c r="I214" s="124">
        <f>VLOOKUP($C214,Sales!$C:$E,3,FALSE)</f>
        <v/>
      </c>
      <c r="J214" s="126">
        <f>SUMIFS(Sales!$H:$H,Sales!$C:$C,'Investor Exit List'!$C214)</f>
        <v/>
      </c>
      <c r="K214" s="126">
        <f>IF(I214=TRUE,J214,"")</f>
        <v/>
      </c>
      <c r="L214" s="126">
        <f>G214+730</f>
        <v/>
      </c>
      <c r="M214" s="126" t="n">
        <v>45443</v>
      </c>
      <c r="N214" s="127">
        <f>IFERROR(IF(G214&lt;&gt;"",IF(I214=TRUE,0,IF(U214=TRUE,0,L214-M214)),0),0)</f>
        <v/>
      </c>
      <c r="O214" s="127">
        <f>IF(N214&gt;0,IF(N214&lt;=180,N214,0),0)</f>
        <v/>
      </c>
      <c r="P214" s="125">
        <f>IF(AND(N214&lt;90,N214&gt;0),Q214,0)</f>
        <v/>
      </c>
      <c r="Q214" s="125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25">
        <f>IF(AND(H214=TRUE,I214=FALSE),Q214,0)</f>
        <v/>
      </c>
      <c r="S214" s="125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26">
        <f>IF(U214=TRUE,$J214,"")</f>
        <v/>
      </c>
      <c r="U214" s="124" t="b">
        <v>1</v>
      </c>
      <c r="V214" s="125">
        <f>IF(AND(H214=TRUE,OR(K214="",K214&gt;M214)),S214,0)</f>
        <v/>
      </c>
      <c r="W214" s="124" t="n">
        <v>0</v>
      </c>
      <c r="X214" s="124" t="b">
        <v>0</v>
      </c>
      <c r="Y214" s="127">
        <f>IF(H214=FALSE,VLOOKUP($C214,Sales!$C:$F,4,FALSE),1)</f>
        <v/>
      </c>
      <c r="Z214" s="124">
        <f>IF(Y214=0,"Release",IF(AND(L214&lt;J214,Y214=1,H214=FALSE,U214=FALSE,MONTH(L214)&amp;"/"&amp;YEAR(L214)&lt;&gt;MONTH(J214)&amp;"/"&amp;YEAR(J214)),"Release",""))</f>
        <v/>
      </c>
      <c r="AA214" s="128">
        <f>_xlfn.minifs($L:$L,$C:$C,$C214,$F:$F,"&lt;&gt;0")</f>
        <v/>
      </c>
      <c r="AB214" s="128">
        <f>C214&amp;"-"&amp;A214</f>
        <v/>
      </c>
      <c r="AC214" s="128">
        <f>L214</f>
        <v/>
      </c>
    </row>
    <row r="215">
      <c r="A215" s="124" t="inlineStr">
        <is>
          <t>ZHEI01</t>
        </is>
      </c>
      <c r="B215" s="124" t="n">
        <v>9</v>
      </c>
      <c r="C215" s="124" t="inlineStr">
        <is>
          <t>HVD201</t>
        </is>
      </c>
      <c r="D215" s="124" t="inlineStr">
        <is>
          <t>D</t>
        </is>
      </c>
      <c r="E215" s="124" t="inlineStr">
        <is>
          <t>Heinze Dieter Raimund</t>
        </is>
      </c>
      <c r="F215" s="125">
        <f>SUMIFS(Investors!$M:$M, Investors!$I:$I, "&lt;=" &amp; 'NSST Print'!$B$3, Investors!$K:$K, "&gt;" &amp; 'NSST Print'!$B$3, Investors!$A:$A, 'Investor Exit List'!A215, Investors!$E:$E, 'Investor Exit List'!C215)</f>
        <v/>
      </c>
      <c r="G215" s="126" t="n">
        <v>44719</v>
      </c>
      <c r="H215" s="124">
        <f>VLOOKUP($C215,Sales!$C:$E,2,FALSE)</f>
        <v/>
      </c>
      <c r="I215" s="124">
        <f>VLOOKUP($C215,Sales!$C:$E,3,FALSE)</f>
        <v/>
      </c>
      <c r="J215" s="126">
        <f>SUMIFS(Sales!$H:$H,Sales!$C:$C,'Investor Exit List'!$C215)</f>
        <v/>
      </c>
      <c r="K215" s="126">
        <f>IF(I215=TRUE,J215,"")</f>
        <v/>
      </c>
      <c r="L215" s="126">
        <f>G215+730</f>
        <v/>
      </c>
      <c r="M215" s="126" t="n">
        <v>45443</v>
      </c>
      <c r="N215" s="127">
        <f>IFERROR(IF(G215&lt;&gt;"",IF(I215=TRUE,0,IF(U215=TRUE,0,L215-M215)),0),0)</f>
        <v/>
      </c>
      <c r="O215" s="127">
        <f>IF(N215&gt;0,IF(N215&lt;=180,N215,0),0)</f>
        <v/>
      </c>
      <c r="P215" s="125">
        <f>IF(AND(N215&lt;90,N215&gt;0),Q215,0)</f>
        <v/>
      </c>
      <c r="Q215" s="125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25">
        <f>IF(AND(H215=TRUE,I215=FALSE),Q215,0)</f>
        <v/>
      </c>
      <c r="S215" s="125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26">
        <f>IF(U215=TRUE,$J215,"")</f>
        <v/>
      </c>
      <c r="U215" s="124" t="b">
        <v>1</v>
      </c>
      <c r="V215" s="125">
        <f>IF(AND(H215=TRUE,OR(K215="",K215&gt;M215)),S215,0)</f>
        <v/>
      </c>
      <c r="W215" s="124" t="n">
        <v>0</v>
      </c>
      <c r="X215" s="124" t="b">
        <v>0</v>
      </c>
      <c r="Y215" s="127">
        <f>IF(H215=FALSE,VLOOKUP($C215,Sales!$C:$F,4,FALSE),1)</f>
        <v/>
      </c>
      <c r="Z215" s="124">
        <f>IF(Y215=0,"Release",IF(AND(L215&lt;J215,Y215=1,H215=FALSE,U215=FALSE,MONTH(L215)&amp;"/"&amp;YEAR(L215)&lt;&gt;MONTH(J215)&amp;"/"&amp;YEAR(J215)),"Release",""))</f>
        <v/>
      </c>
      <c r="AA215" s="128">
        <f>_xlfn.minifs($L:$L,$C:$C,$C215,$F:$F,"&lt;&gt;0")</f>
        <v/>
      </c>
      <c r="AB215" s="128">
        <f>C215&amp;"-"&amp;A215</f>
        <v/>
      </c>
      <c r="AC215" s="128">
        <f>L215</f>
        <v/>
      </c>
    </row>
    <row r="216">
      <c r="A216" s="124" t="inlineStr">
        <is>
          <t>ZHUT01</t>
        </is>
      </c>
      <c r="B216" s="124" t="n">
        <v>7</v>
      </c>
      <c r="C216" s="124" t="inlineStr">
        <is>
          <t>HVD201</t>
        </is>
      </c>
      <c r="D216" s="124" t="inlineStr">
        <is>
          <t>D</t>
        </is>
      </c>
      <c r="E216" s="124" t="inlineStr">
        <is>
          <t>Hutchings Tracy Jane</t>
        </is>
      </c>
      <c r="F216" s="125">
        <f>SUMIFS(Investors!$M:$M, Investors!$I:$I, "&lt;=" &amp; 'NSST Print'!$B$3, Investors!$K:$K, "&gt;" &amp; 'NSST Print'!$B$3, Investors!$A:$A, 'Investor Exit List'!A216, Investors!$E:$E, 'Investor Exit List'!C216)</f>
        <v/>
      </c>
      <c r="G216" s="126" t="n">
        <v>44721</v>
      </c>
      <c r="H216" s="124">
        <f>VLOOKUP($C216,Sales!$C:$E,2,FALSE)</f>
        <v/>
      </c>
      <c r="I216" s="124">
        <f>VLOOKUP($C216,Sales!$C:$E,3,FALSE)</f>
        <v/>
      </c>
      <c r="J216" s="126">
        <f>SUMIFS(Sales!$H:$H,Sales!$C:$C,'Investor Exit List'!$C216)</f>
        <v/>
      </c>
      <c r="K216" s="126">
        <f>IF(I216=TRUE,J216,"")</f>
        <v/>
      </c>
      <c r="L216" s="126">
        <f>G216+730</f>
        <v/>
      </c>
      <c r="M216" s="126" t="n">
        <v>45443</v>
      </c>
      <c r="N216" s="127">
        <f>IFERROR(IF(G216&lt;&gt;"",IF(I216=TRUE,0,IF(U216=TRUE,0,L216-M216)),0),0)</f>
        <v/>
      </c>
      <c r="O216" s="127">
        <f>IF(N216&gt;0,IF(N216&lt;=180,N216,0),0)</f>
        <v/>
      </c>
      <c r="P216" s="125">
        <f>IF(AND(N216&lt;90,N216&gt;0),Q216,0)</f>
        <v/>
      </c>
      <c r="Q216" s="125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25">
        <f>IF(AND(H216=TRUE,I216=FALSE),Q216,0)</f>
        <v/>
      </c>
      <c r="S216" s="125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26">
        <f>IF(U216=TRUE,$J216,"")</f>
        <v/>
      </c>
      <c r="U216" s="124" t="b">
        <v>1</v>
      </c>
      <c r="V216" s="125">
        <f>IF(AND(H216=TRUE,OR(K216="",K216&gt;M216)),S216,0)</f>
        <v/>
      </c>
      <c r="W216" s="124" t="n">
        <v>0</v>
      </c>
      <c r="X216" s="124" t="b">
        <v>0</v>
      </c>
      <c r="Y216" s="127">
        <f>IF(H216=FALSE,VLOOKUP($C216,Sales!$C:$F,4,FALSE),1)</f>
        <v/>
      </c>
      <c r="Z216" s="124">
        <f>IF(Y216=0,"Release",IF(AND(L216&lt;J216,Y216=1,H216=FALSE,U216=FALSE,MONTH(L216)&amp;"/"&amp;YEAR(L216)&lt;&gt;MONTH(J216)&amp;"/"&amp;YEAR(J216)),"Release",""))</f>
        <v/>
      </c>
      <c r="AA216" s="128">
        <f>_xlfn.minifs($L:$L,$C:$C,$C216,$F:$F,"&lt;&gt;0")</f>
        <v/>
      </c>
      <c r="AB216" s="128">
        <f>C216&amp;"-"&amp;A216</f>
        <v/>
      </c>
      <c r="AC216" s="128">
        <f>L216</f>
        <v/>
      </c>
    </row>
    <row r="217">
      <c r="A217" s="124" t="inlineStr">
        <is>
          <t>ZFER01</t>
        </is>
      </c>
      <c r="B217" s="124" t="n">
        <v>2</v>
      </c>
      <c r="C217" s="124" t="inlineStr">
        <is>
          <t>HVD202</t>
        </is>
      </c>
      <c r="D217" s="124" t="inlineStr">
        <is>
          <t>D</t>
        </is>
      </c>
      <c r="E217" s="124" t="inlineStr">
        <is>
          <t>Ferreira Leon</t>
        </is>
      </c>
      <c r="F217" s="125">
        <f>SUMIFS(Investors!$M:$M, Investors!$I:$I, "&lt;=" &amp; 'NSST Print'!$B$3, Investors!$K:$K, "&gt;" &amp; 'NSST Print'!$B$3, Investors!$A:$A, 'Investor Exit List'!A217, Investors!$E:$E, 'Investor Exit List'!C217)</f>
        <v/>
      </c>
      <c r="G217" s="126" t="n">
        <v>44791</v>
      </c>
      <c r="H217" s="124">
        <f>VLOOKUP($C217,Sales!$C:$E,2,FALSE)</f>
        <v/>
      </c>
      <c r="I217" s="124">
        <f>VLOOKUP($C217,Sales!$C:$E,3,FALSE)</f>
        <v/>
      </c>
      <c r="J217" s="126">
        <f>SUMIFS(Sales!$H:$H,Sales!$C:$C,'Investor Exit List'!$C217)</f>
        <v/>
      </c>
      <c r="K217" s="126">
        <f>IF(I217=TRUE,J217,"")</f>
        <v/>
      </c>
      <c r="L217" s="126">
        <f>G217+730</f>
        <v/>
      </c>
      <c r="M217" s="126" t="n">
        <v>45443</v>
      </c>
      <c r="N217" s="127">
        <f>IFERROR(IF(G217&lt;&gt;"",IF(I217=TRUE,0,IF(U217=TRUE,0,L217-M217)),0),0)</f>
        <v/>
      </c>
      <c r="O217" s="127">
        <f>IF(N217&gt;0,IF(N217&lt;=180,N217,0),0)</f>
        <v/>
      </c>
      <c r="P217" s="125">
        <f>IF(AND(N217&lt;90,N217&gt;0),Q217,0)</f>
        <v/>
      </c>
      <c r="Q217" s="125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25">
        <f>IF(AND(H217=TRUE,I217=FALSE),Q217,0)</f>
        <v/>
      </c>
      <c r="S217" s="125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26">
        <f>IF(U217=TRUE,$J217,"")</f>
        <v/>
      </c>
      <c r="U217" s="124" t="b">
        <v>0</v>
      </c>
      <c r="V217" s="125">
        <f>IF(AND(H217=TRUE,OR(K217="",K217&gt;M217)),S217,0)</f>
        <v/>
      </c>
      <c r="W217" s="124" t="n">
        <v>0</v>
      </c>
      <c r="X217" s="124" t="b">
        <v>0</v>
      </c>
      <c r="Y217" s="127">
        <f>IF(H217=FALSE,VLOOKUP($C217,Sales!$C:$F,4,FALSE),1)</f>
        <v/>
      </c>
      <c r="Z217" s="124">
        <f>IF(Y217=0,"Release",IF(AND(L217&lt;J217,Y217=1,H217=FALSE,U217=FALSE,MONTH(L217)&amp;"/"&amp;YEAR(L217)&lt;&gt;MONTH(J217)&amp;"/"&amp;YEAR(J217)),"Release",""))</f>
        <v/>
      </c>
      <c r="AA217" s="128">
        <f>_xlfn.minifs($L:$L,$C:$C,$C217,$F:$F,"&lt;&gt;0")</f>
        <v/>
      </c>
      <c r="AB217" s="128">
        <f>C217&amp;"-"&amp;A217</f>
        <v/>
      </c>
      <c r="AC217" s="128">
        <f>L217</f>
        <v/>
      </c>
    </row>
    <row r="218">
      <c r="A218" s="124" t="inlineStr">
        <is>
          <t>ZHAR01</t>
        </is>
      </c>
      <c r="B218" s="124" t="n">
        <v>2</v>
      </c>
      <c r="C218" s="124" t="inlineStr">
        <is>
          <t>HVD202</t>
        </is>
      </c>
      <c r="D218" s="124" t="inlineStr">
        <is>
          <t>D</t>
        </is>
      </c>
      <c r="E218" s="124" t="inlineStr">
        <is>
          <t>Hart Teresa-Ann</t>
        </is>
      </c>
      <c r="F218" s="125">
        <f>SUMIFS(Investors!$M:$M, Investors!$I:$I, "&lt;=" &amp; 'NSST Print'!$B$3, Investors!$K:$K, "&gt;" &amp; 'NSST Print'!$B$3, Investors!$A:$A, 'Investor Exit List'!A218, Investors!$E:$E, 'Investor Exit List'!C218)</f>
        <v/>
      </c>
      <c r="G218" s="126" t="n">
        <v>44735</v>
      </c>
      <c r="H218" s="124">
        <f>VLOOKUP($C218,Sales!$C:$E,2,FALSE)</f>
        <v/>
      </c>
      <c r="I218" s="124">
        <f>VLOOKUP($C218,Sales!$C:$E,3,FALSE)</f>
        <v/>
      </c>
      <c r="J218" s="126">
        <f>SUMIFS(Sales!$H:$H,Sales!$C:$C,'Investor Exit List'!$C218)</f>
        <v/>
      </c>
      <c r="K218" s="126">
        <f>IF(I218=TRUE,J218,"")</f>
        <v/>
      </c>
      <c r="L218" s="126">
        <f>G218+730</f>
        <v/>
      </c>
      <c r="M218" s="126" t="n">
        <v>45443</v>
      </c>
      <c r="N218" s="127">
        <f>IFERROR(IF(G218&lt;&gt;"",IF(I218=TRUE,0,IF(U218=TRUE,0,L218-M218)),0),0)</f>
        <v/>
      </c>
      <c r="O218" s="127">
        <f>IF(N218&gt;0,IF(N218&lt;=180,N218,0),0)</f>
        <v/>
      </c>
      <c r="P218" s="125">
        <f>IF(AND(N218&lt;90,N218&gt;0),Q218,0)</f>
        <v/>
      </c>
      <c r="Q218" s="125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25">
        <f>IF(AND(H218=TRUE,I218=FALSE),Q218,0)</f>
        <v/>
      </c>
      <c r="S218" s="125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26">
        <f>IF(U218=TRUE,$J218,"")</f>
        <v/>
      </c>
      <c r="U218" s="124" t="b">
        <v>1</v>
      </c>
      <c r="V218" s="125">
        <f>IF(AND(H218=TRUE,OR(K218="",K218&gt;M218)),S218,0)</f>
        <v/>
      </c>
      <c r="W218" s="124" t="n">
        <v>0</v>
      </c>
      <c r="X218" s="124" t="b">
        <v>0</v>
      </c>
      <c r="Y218" s="127">
        <f>IF(H218=FALSE,VLOOKUP($C218,Sales!$C:$F,4,FALSE),1)</f>
        <v/>
      </c>
      <c r="Z218" s="124">
        <f>IF(Y218=0,"Release",IF(AND(L218&lt;J218,Y218=1,H218=FALSE,U218=FALSE,MONTH(L218)&amp;"/"&amp;YEAR(L218)&lt;&gt;MONTH(J218)&amp;"/"&amp;YEAR(J218)),"Release",""))</f>
        <v/>
      </c>
      <c r="AA218" s="128">
        <f>_xlfn.minifs($L:$L,$C:$C,$C218,$F:$F,"&lt;&gt;0")</f>
        <v/>
      </c>
      <c r="AB218" s="128">
        <f>C218&amp;"-"&amp;A218</f>
        <v/>
      </c>
      <c r="AC218" s="128">
        <f>L218</f>
        <v/>
      </c>
    </row>
    <row r="219">
      <c r="A219" s="124" t="inlineStr">
        <is>
          <t>ZJAN01</t>
        </is>
      </c>
      <c r="B219" s="124" t="n">
        <v>2</v>
      </c>
      <c r="C219" s="124" t="inlineStr">
        <is>
          <t>HVD202</t>
        </is>
      </c>
      <c r="D219" s="124" t="inlineStr">
        <is>
          <t>D</t>
        </is>
      </c>
      <c r="E219" s="124" t="inlineStr">
        <is>
          <t>Jansen van Rensburg Petrus Johannes</t>
        </is>
      </c>
      <c r="F219" s="125">
        <f>SUMIFS(Investors!$M:$M, Investors!$I:$I, "&lt;=" &amp; 'NSST Print'!$B$3, Investors!$K:$K, "&gt;" &amp; 'NSST Print'!$B$3, Investors!$A:$A, 'Investor Exit List'!A219, Investors!$E:$E, 'Investor Exit List'!C219)</f>
        <v/>
      </c>
      <c r="G219" s="126" t="n">
        <v>44721</v>
      </c>
      <c r="H219" s="124">
        <f>VLOOKUP($C219,Sales!$C:$E,2,FALSE)</f>
        <v/>
      </c>
      <c r="I219" s="124">
        <f>VLOOKUP($C219,Sales!$C:$E,3,FALSE)</f>
        <v/>
      </c>
      <c r="J219" s="126">
        <f>SUMIFS(Sales!$H:$H,Sales!$C:$C,'Investor Exit List'!$C219)</f>
        <v/>
      </c>
      <c r="K219" s="126">
        <f>IF(I219=TRUE,J219,"")</f>
        <v/>
      </c>
      <c r="L219" s="126">
        <f>G219+730</f>
        <v/>
      </c>
      <c r="M219" s="126" t="n">
        <v>45443</v>
      </c>
      <c r="N219" s="127">
        <f>IFERROR(IF(G219&lt;&gt;"",IF(I219=TRUE,0,IF(U219=TRUE,0,L219-M219)),0),0)</f>
        <v/>
      </c>
      <c r="O219" s="127">
        <f>IF(N219&gt;0,IF(N219&lt;=180,N219,0),0)</f>
        <v/>
      </c>
      <c r="P219" s="125">
        <f>IF(AND(N219&lt;90,N219&gt;0),Q219,0)</f>
        <v/>
      </c>
      <c r="Q219" s="125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25">
        <f>IF(AND(H219=TRUE,I219=FALSE),Q219,0)</f>
        <v/>
      </c>
      <c r="S219" s="125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26">
        <f>IF(U219=TRUE,$J219,"")</f>
        <v/>
      </c>
      <c r="U219" s="124" t="b">
        <v>0</v>
      </c>
      <c r="V219" s="125">
        <f>IF(AND(H219=TRUE,OR(K219="",K219&gt;M219)),S219,0)</f>
        <v/>
      </c>
      <c r="W219" s="124" t="n">
        <v>0</v>
      </c>
      <c r="X219" s="124" t="b">
        <v>0</v>
      </c>
      <c r="Y219" s="127">
        <f>IF(H219=FALSE,VLOOKUP($C219,Sales!$C:$F,4,FALSE),1)</f>
        <v/>
      </c>
      <c r="Z219" s="124">
        <f>IF(Y219=0,"Release",IF(AND(L219&lt;J219,Y219=1,H219=FALSE,U219=FALSE,MONTH(L219)&amp;"/"&amp;YEAR(L219)&lt;&gt;MONTH(J219)&amp;"/"&amp;YEAR(J219)),"Release",""))</f>
        <v/>
      </c>
      <c r="AA219" s="128">
        <f>_xlfn.minifs($L:$L,$C:$C,$C219,$F:$F,"&lt;&gt;0")</f>
        <v/>
      </c>
      <c r="AB219" s="128">
        <f>C219&amp;"-"&amp;A219</f>
        <v/>
      </c>
      <c r="AC219" s="128">
        <f>L219</f>
        <v/>
      </c>
    </row>
    <row r="220">
      <c r="A220" s="124" t="inlineStr">
        <is>
          <t>ZSON01</t>
        </is>
      </c>
      <c r="B220" s="124" t="n">
        <v>12</v>
      </c>
      <c r="C220" s="124" t="inlineStr">
        <is>
          <t>HVD202</t>
        </is>
      </c>
      <c r="D220" s="124" t="inlineStr">
        <is>
          <t>D</t>
        </is>
      </c>
      <c r="E220" s="124" t="inlineStr">
        <is>
          <t>Maduna Charles</t>
        </is>
      </c>
      <c r="F220" s="125">
        <f>SUMIFS(Investors!$M:$M, Investors!$I:$I, "&lt;=" &amp; 'NSST Print'!$B$3, Investors!$K:$K, "&gt;" &amp; 'NSST Print'!$B$3, Investors!$A:$A, 'Investor Exit List'!A220, Investors!$E:$E, 'Investor Exit List'!C220)</f>
        <v/>
      </c>
      <c r="G220" s="126" t="n">
        <v>44819</v>
      </c>
      <c r="H220" s="124">
        <f>VLOOKUP($C220,Sales!$C:$E,2,FALSE)</f>
        <v/>
      </c>
      <c r="I220" s="124">
        <f>VLOOKUP($C220,Sales!$C:$E,3,FALSE)</f>
        <v/>
      </c>
      <c r="J220" s="126">
        <f>SUMIFS(Sales!$H:$H,Sales!$C:$C,'Investor Exit List'!$C220)</f>
        <v/>
      </c>
      <c r="K220" s="126">
        <f>IF(I220=TRUE,J220,"")</f>
        <v/>
      </c>
      <c r="L220" s="126">
        <f>G220+730</f>
        <v/>
      </c>
      <c r="M220" s="126" t="n">
        <v>45443</v>
      </c>
      <c r="N220" s="127">
        <f>IFERROR(IF(G220&lt;&gt;"",IF(I220=TRUE,0,IF(U220=TRUE,0,L220-M220)),0),0)</f>
        <v/>
      </c>
      <c r="O220" s="127">
        <f>IF(N220&gt;0,IF(N220&lt;=180,N220,0),0)</f>
        <v/>
      </c>
      <c r="P220" s="125">
        <f>IF(AND(N220&lt;90,N220&gt;0),Q220,0)</f>
        <v/>
      </c>
      <c r="Q220" s="125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25">
        <f>IF(AND(H220=TRUE,I220=FALSE),Q220,0)</f>
        <v/>
      </c>
      <c r="S220" s="125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26">
        <f>IF(U220=TRUE,$J220,"")</f>
        <v/>
      </c>
      <c r="U220" s="124" t="b">
        <v>0</v>
      </c>
      <c r="V220" s="125">
        <f>IF(AND(H220=TRUE,OR(K220="",K220&gt;M220)),S220,0)</f>
        <v/>
      </c>
      <c r="W220" s="124" t="n">
        <v>0</v>
      </c>
      <c r="X220" s="124" t="b">
        <v>0</v>
      </c>
      <c r="Y220" s="127">
        <f>IF(H220=FALSE,VLOOKUP($C220,Sales!$C:$F,4,FALSE),1)</f>
        <v/>
      </c>
      <c r="Z220" s="124">
        <f>IF(Y220=0,"Release",IF(AND(L220&lt;J220,Y220=1,H220=FALSE,U220=FALSE,MONTH(L220)&amp;"/"&amp;YEAR(L220)&lt;&gt;MONTH(J220)&amp;"/"&amp;YEAR(J220)),"Release",""))</f>
        <v/>
      </c>
      <c r="AA220" s="128">
        <f>_xlfn.minifs($L:$L,$C:$C,$C220,$F:$F,"&lt;&gt;0")</f>
        <v/>
      </c>
      <c r="AB220" s="128">
        <f>C220&amp;"-"&amp;A220</f>
        <v/>
      </c>
      <c r="AC220" s="128">
        <f>L220</f>
        <v/>
      </c>
    </row>
    <row r="221">
      <c r="A221" s="124" t="inlineStr">
        <is>
          <t>ZWEL01</t>
        </is>
      </c>
      <c r="B221" s="124" t="n">
        <v>3</v>
      </c>
      <c r="C221" s="124" t="inlineStr">
        <is>
          <t>HVD202</t>
        </is>
      </c>
      <c r="D221" s="124" t="inlineStr">
        <is>
          <t>D</t>
        </is>
      </c>
      <c r="E221" s="124" t="inlineStr">
        <is>
          <t>Welham Christopher John</t>
        </is>
      </c>
      <c r="F221" s="125">
        <f>SUMIFS(Investors!$M:$M, Investors!$I:$I, "&lt;=" &amp; 'NSST Print'!$B$3, Investors!$K:$K, "&gt;" &amp; 'NSST Print'!$B$3, Investors!$A:$A, 'Investor Exit List'!A221, Investors!$E:$E, 'Investor Exit List'!C221)</f>
        <v/>
      </c>
      <c r="G221" s="126" t="n">
        <v>44721</v>
      </c>
      <c r="H221" s="124">
        <f>VLOOKUP($C221,Sales!$C:$E,2,FALSE)</f>
        <v/>
      </c>
      <c r="I221" s="124">
        <f>VLOOKUP($C221,Sales!$C:$E,3,FALSE)</f>
        <v/>
      </c>
      <c r="J221" s="126">
        <f>SUMIFS(Sales!$H:$H,Sales!$C:$C,'Investor Exit List'!$C221)</f>
        <v/>
      </c>
      <c r="K221" s="126">
        <f>IF(I221=TRUE,J221,"")</f>
        <v/>
      </c>
      <c r="L221" s="126">
        <f>G221+730</f>
        <v/>
      </c>
      <c r="M221" s="126" t="n">
        <v>45443</v>
      </c>
      <c r="N221" s="127">
        <f>IFERROR(IF(G221&lt;&gt;"",IF(I221=TRUE,0,IF(U221=TRUE,0,L221-M221)),0),0)</f>
        <v/>
      </c>
      <c r="O221" s="127">
        <f>IF(N221&gt;0,IF(N221&lt;=180,N221,0),0)</f>
        <v/>
      </c>
      <c r="P221" s="125">
        <f>IF(AND(N221&lt;90,N221&gt;0),Q221,0)</f>
        <v/>
      </c>
      <c r="Q221" s="125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25">
        <f>IF(AND(H221=TRUE,I221=FALSE),Q221,0)</f>
        <v/>
      </c>
      <c r="S221" s="125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26">
        <f>IF(U221=TRUE,$J221,"")</f>
        <v/>
      </c>
      <c r="U221" s="124" t="b">
        <v>0</v>
      </c>
      <c r="V221" s="125">
        <f>IF(AND(H221=TRUE,OR(K221="",K221&gt;M221)),S221,0)</f>
        <v/>
      </c>
      <c r="W221" s="124" t="n">
        <v>0</v>
      </c>
      <c r="X221" s="124" t="b">
        <v>0</v>
      </c>
      <c r="Y221" s="127">
        <f>IF(H221=FALSE,VLOOKUP($C221,Sales!$C:$F,4,FALSE),1)</f>
        <v/>
      </c>
      <c r="Z221" s="124">
        <f>IF(Y221=0,"Release",IF(AND(L221&lt;J221,Y221=1,H221=FALSE,U221=FALSE,MONTH(L221)&amp;"/"&amp;YEAR(L221)&lt;&gt;MONTH(J221)&amp;"/"&amp;YEAR(J221)),"Release",""))</f>
        <v/>
      </c>
      <c r="AA221" s="128">
        <f>_xlfn.minifs($L:$L,$C:$C,$C221,$F:$F,"&lt;&gt;0")</f>
        <v/>
      </c>
      <c r="AB221" s="128">
        <f>C221&amp;"-"&amp;A221</f>
        <v/>
      </c>
      <c r="AC221" s="128">
        <f>L221</f>
        <v/>
      </c>
    </row>
    <row r="222">
      <c r="A222" s="124" t="inlineStr">
        <is>
          <t>ZDIC01</t>
        </is>
      </c>
      <c r="B222" s="124" t="n">
        <v>8</v>
      </c>
      <c r="C222" s="124" t="inlineStr">
        <is>
          <t>HVD203</t>
        </is>
      </c>
      <c r="D222" s="124" t="inlineStr">
        <is>
          <t>D</t>
        </is>
      </c>
      <c r="E222" s="124" t="inlineStr">
        <is>
          <t>Dickinson Grant Allan</t>
        </is>
      </c>
      <c r="F222" s="125">
        <f>SUMIFS(Investors!$M:$M, Investors!$I:$I, "&lt;=" &amp; 'NSST Print'!$B$3, Investors!$K:$K, "&gt;" &amp; 'NSST Print'!$B$3, Investors!$A:$A, 'Investor Exit List'!A222, Investors!$E:$E, 'Investor Exit List'!C222)</f>
        <v/>
      </c>
      <c r="G222" s="126" t="n">
        <v>44721</v>
      </c>
      <c r="H222" s="124">
        <f>VLOOKUP($C222,Sales!$C:$E,2,FALSE)</f>
        <v/>
      </c>
      <c r="I222" s="124">
        <f>VLOOKUP($C222,Sales!$C:$E,3,FALSE)</f>
        <v/>
      </c>
      <c r="J222" s="126">
        <f>SUMIFS(Sales!$H:$H,Sales!$C:$C,'Investor Exit List'!$C222)</f>
        <v/>
      </c>
      <c r="K222" s="126">
        <f>IF(I222=TRUE,J222,"")</f>
        <v/>
      </c>
      <c r="L222" s="126">
        <f>G222+730</f>
        <v/>
      </c>
      <c r="M222" s="126" t="n">
        <v>45443</v>
      </c>
      <c r="N222" s="127">
        <f>IFERROR(IF(G222&lt;&gt;"",IF(I222=TRUE,0,IF(U222=TRUE,0,L222-M222)),0),0)</f>
        <v/>
      </c>
      <c r="O222" s="127">
        <f>IF(N222&gt;0,IF(N222&lt;=180,N222,0),0)</f>
        <v/>
      </c>
      <c r="P222" s="125">
        <f>IF(AND(N222&lt;90,N222&gt;0),Q222,0)</f>
        <v/>
      </c>
      <c r="Q222" s="125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25">
        <f>IF(AND(H222=TRUE,I222=FALSE),Q222,0)</f>
        <v/>
      </c>
      <c r="S222" s="125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26">
        <f>IF(U222=TRUE,$J222,"")</f>
        <v/>
      </c>
      <c r="U222" s="124" t="b">
        <v>0</v>
      </c>
      <c r="V222" s="125">
        <f>IF(AND(H222=TRUE,OR(K222="",K222&gt;M222)),S222,0)</f>
        <v/>
      </c>
      <c r="W222" s="124" t="n">
        <v>0</v>
      </c>
      <c r="X222" s="124" t="b">
        <v>0</v>
      </c>
      <c r="Y222" s="127">
        <f>IF(H222=FALSE,VLOOKUP($C222,Sales!$C:$F,4,FALSE),1)</f>
        <v/>
      </c>
      <c r="Z222" s="124">
        <f>IF(Y222=0,"Release",IF(AND(L222&lt;J222,Y222=1,H222=FALSE,U222=FALSE,MONTH(L222)&amp;"/"&amp;YEAR(L222)&lt;&gt;MONTH(J222)&amp;"/"&amp;YEAR(J222)),"Release",""))</f>
        <v/>
      </c>
      <c r="AA222" s="128">
        <f>_xlfn.minifs($L:$L,$C:$C,$C222,$F:$F,"&lt;&gt;0")</f>
        <v/>
      </c>
      <c r="AB222" s="128">
        <f>C222&amp;"-"&amp;A222</f>
        <v/>
      </c>
      <c r="AC222" s="128">
        <f>L222</f>
        <v/>
      </c>
    </row>
    <row r="223">
      <c r="A223" s="124" t="inlineStr">
        <is>
          <t>ZBOT01</t>
        </is>
      </c>
      <c r="B223" s="124" t="n">
        <v>4</v>
      </c>
      <c r="C223" s="124" t="inlineStr">
        <is>
          <t>HVD204</t>
        </is>
      </c>
      <c r="D223" s="124" t="inlineStr">
        <is>
          <t>D</t>
        </is>
      </c>
      <c r="E223" s="124" t="inlineStr">
        <is>
          <t>Botha Carina</t>
        </is>
      </c>
      <c r="F223" s="125">
        <f>SUMIFS(Investors!$M:$M, Investors!$I:$I, "&lt;=" &amp; 'NSST Print'!$B$3, Investors!$K:$K, "&gt;" &amp; 'NSST Print'!$B$3, Investors!$A:$A, 'Investor Exit List'!A223, Investors!$E:$E, 'Investor Exit List'!C223)</f>
        <v/>
      </c>
      <c r="G223" s="126" t="n">
        <v>44719</v>
      </c>
      <c r="H223" s="124">
        <f>VLOOKUP($C223,Sales!$C:$E,2,FALSE)</f>
        <v/>
      </c>
      <c r="I223" s="124">
        <f>VLOOKUP($C223,Sales!$C:$E,3,FALSE)</f>
        <v/>
      </c>
      <c r="J223" s="126">
        <f>SUMIFS(Sales!$H:$H,Sales!$C:$C,'Investor Exit List'!$C223)</f>
        <v/>
      </c>
      <c r="K223" s="126">
        <f>IF(I223=TRUE,J223,"")</f>
        <v/>
      </c>
      <c r="L223" s="126">
        <f>G223+730</f>
        <v/>
      </c>
      <c r="M223" s="126" t="n">
        <v>45443</v>
      </c>
      <c r="N223" s="127">
        <f>IFERROR(IF(G223&lt;&gt;"",IF(I223=TRUE,0,IF(U223=TRUE,0,L223-M223)),0),0)</f>
        <v/>
      </c>
      <c r="O223" s="127">
        <f>IF(N223&gt;0,IF(N223&lt;=180,N223,0),0)</f>
        <v/>
      </c>
      <c r="P223" s="125">
        <f>IF(AND(N223&lt;90,N223&gt;0),Q223,0)</f>
        <v/>
      </c>
      <c r="Q223" s="125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25">
        <f>IF(AND(H223=TRUE,I223=FALSE),Q223,0)</f>
        <v/>
      </c>
      <c r="S223" s="125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26">
        <f>IF(U223=TRUE,$J223,"")</f>
        <v/>
      </c>
      <c r="U223" s="124" t="b">
        <v>0</v>
      </c>
      <c r="V223" s="125">
        <f>IF(AND(H223=TRUE,OR(K223="",K223&gt;M223)),S223,0)</f>
        <v/>
      </c>
      <c r="W223" s="124" t="n">
        <v>0</v>
      </c>
      <c r="X223" s="124" t="b">
        <v>0</v>
      </c>
      <c r="Y223" s="127">
        <f>IF(H223=FALSE,VLOOKUP($C223,Sales!$C:$F,4,FALSE),1)</f>
        <v/>
      </c>
      <c r="Z223" s="124">
        <f>IF(Y223=0,"Release",IF(AND(L223&lt;J223,Y223=1,H223=FALSE,U223=FALSE,MONTH(L223)&amp;"/"&amp;YEAR(L223)&lt;&gt;MONTH(J223)&amp;"/"&amp;YEAR(J223)),"Release",""))</f>
        <v/>
      </c>
      <c r="AA223" s="128">
        <f>_xlfn.minifs($L:$L,$C:$C,$C223,$F:$F,"&lt;&gt;0")</f>
        <v/>
      </c>
      <c r="AB223" s="128">
        <f>C223&amp;"-"&amp;A223</f>
        <v/>
      </c>
      <c r="AC223" s="128">
        <f>L223</f>
        <v/>
      </c>
    </row>
    <row r="224">
      <c r="A224" s="124" t="inlineStr">
        <is>
          <t>ZNAT01</t>
        </is>
      </c>
      <c r="B224" s="124" t="n">
        <v>4</v>
      </c>
      <c r="C224" s="124" t="inlineStr">
        <is>
          <t>HVD204</t>
        </is>
      </c>
      <c r="D224" s="124" t="inlineStr">
        <is>
          <t>D</t>
        </is>
      </c>
      <c r="E224" s="124" t="inlineStr">
        <is>
          <t>Hlapolosa Thandekile Evelyn</t>
        </is>
      </c>
      <c r="F224" s="125">
        <f>SUMIFS(Investors!$M:$M, Investors!$I:$I, "&lt;=" &amp; 'NSST Print'!$B$3, Investors!$K:$K, "&gt;" &amp; 'NSST Print'!$B$3, Investors!$A:$A, 'Investor Exit List'!A224, Investors!$E:$E, 'Investor Exit List'!C224)</f>
        <v/>
      </c>
      <c r="G224" s="126" t="n">
        <v>44735</v>
      </c>
      <c r="H224" s="124">
        <f>VLOOKUP($C224,Sales!$C:$E,2,FALSE)</f>
        <v/>
      </c>
      <c r="I224" s="124">
        <f>VLOOKUP($C224,Sales!$C:$E,3,FALSE)</f>
        <v/>
      </c>
      <c r="J224" s="126">
        <f>SUMIFS(Sales!$H:$H,Sales!$C:$C,'Investor Exit List'!$C224)</f>
        <v/>
      </c>
      <c r="K224" s="126">
        <f>IF(I224=TRUE,J224,"")</f>
        <v/>
      </c>
      <c r="L224" s="126">
        <f>G224+730</f>
        <v/>
      </c>
      <c r="M224" s="126" t="n">
        <v>45443</v>
      </c>
      <c r="N224" s="127">
        <f>IFERROR(IF(G224&lt;&gt;"",IF(I224=TRUE,0,IF(U224=TRUE,0,L224-M224)),0),0)</f>
        <v/>
      </c>
      <c r="O224" s="127">
        <f>IF(N224&gt;0,IF(N224&lt;=180,N224,0),0)</f>
        <v/>
      </c>
      <c r="P224" s="125">
        <f>IF(AND(N224&lt;90,N224&gt;0),Q224,0)</f>
        <v/>
      </c>
      <c r="Q224" s="125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25">
        <f>IF(AND(H224=TRUE,I224=FALSE),Q224,0)</f>
        <v/>
      </c>
      <c r="S224" s="125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26">
        <f>IF(U224=TRUE,$J224,"")</f>
        <v/>
      </c>
      <c r="U224" s="124" t="b">
        <v>1</v>
      </c>
      <c r="V224" s="125">
        <f>IF(AND(H224=TRUE,OR(K224="",K224&gt;M224)),S224,0)</f>
        <v/>
      </c>
      <c r="W224" s="124" t="n">
        <v>0</v>
      </c>
      <c r="X224" s="124" t="b">
        <v>0</v>
      </c>
      <c r="Y224" s="127">
        <f>IF(H224=FALSE,VLOOKUP($C224,Sales!$C:$F,4,FALSE),1)</f>
        <v/>
      </c>
      <c r="Z224" s="124">
        <f>IF(Y224=0,"Release",IF(AND(L224&lt;J224,Y224=1,H224=FALSE,U224=FALSE,MONTH(L224)&amp;"/"&amp;YEAR(L224)&lt;&gt;MONTH(J224)&amp;"/"&amp;YEAR(J224)),"Release",""))</f>
        <v/>
      </c>
      <c r="AA224" s="128">
        <f>_xlfn.minifs($L:$L,$C:$C,$C224,$F:$F,"&lt;&gt;0")</f>
        <v/>
      </c>
      <c r="AB224" s="128">
        <f>C224&amp;"-"&amp;A224</f>
        <v/>
      </c>
      <c r="AC224" s="128">
        <f>L224</f>
        <v/>
      </c>
    </row>
    <row r="225">
      <c r="A225" s="124" t="inlineStr">
        <is>
          <t>ZSCH01</t>
        </is>
      </c>
      <c r="B225" s="124" t="n">
        <v>13</v>
      </c>
      <c r="C225" s="124" t="inlineStr">
        <is>
          <t>HVD204</t>
        </is>
      </c>
      <c r="D225" s="124" t="inlineStr">
        <is>
          <t>D</t>
        </is>
      </c>
      <c r="E225" s="124" t="inlineStr">
        <is>
          <t>Schubert Inge</t>
        </is>
      </c>
      <c r="F225" s="125">
        <f>SUMIFS(Investors!$M:$M, Investors!$I:$I, "&lt;=" &amp; 'NSST Print'!$B$3, Investors!$K:$K, "&gt;" &amp; 'NSST Print'!$B$3, Investors!$A:$A, 'Investor Exit List'!A225, Investors!$E:$E, 'Investor Exit List'!C225)</f>
        <v/>
      </c>
      <c r="G225" s="126" t="n">
        <v>44719</v>
      </c>
      <c r="H225" s="124">
        <f>VLOOKUP($C225,Sales!$C:$E,2,FALSE)</f>
        <v/>
      </c>
      <c r="I225" s="124">
        <f>VLOOKUP($C225,Sales!$C:$E,3,FALSE)</f>
        <v/>
      </c>
      <c r="J225" s="126">
        <f>SUMIFS(Sales!$H:$H,Sales!$C:$C,'Investor Exit List'!$C225)</f>
        <v/>
      </c>
      <c r="K225" s="126">
        <f>IF(I225=TRUE,J225,"")</f>
        <v/>
      </c>
      <c r="L225" s="126">
        <f>G225+730</f>
        <v/>
      </c>
      <c r="M225" s="126" t="n">
        <v>45443</v>
      </c>
      <c r="N225" s="127">
        <f>IFERROR(IF(G225&lt;&gt;"",IF(I225=TRUE,0,IF(U225=TRUE,0,L225-M225)),0),0)</f>
        <v/>
      </c>
      <c r="O225" s="127">
        <f>IF(N225&gt;0,IF(N225&lt;=180,N225,0),0)</f>
        <v/>
      </c>
      <c r="P225" s="125">
        <f>IF(AND(N225&lt;90,N225&gt;0),Q225,0)</f>
        <v/>
      </c>
      <c r="Q225" s="125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25">
        <f>IF(AND(H225=TRUE,I225=FALSE),Q225,0)</f>
        <v/>
      </c>
      <c r="S225" s="125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26">
        <f>IF(U225=TRUE,$J225,"")</f>
        <v/>
      </c>
      <c r="U225" s="124" t="b">
        <v>0</v>
      </c>
      <c r="V225" s="125">
        <f>IF(AND(H225=TRUE,OR(K225="",K225&gt;M225)),S225,0)</f>
        <v/>
      </c>
      <c r="W225" s="124" t="n">
        <v>0</v>
      </c>
      <c r="X225" s="124" t="b">
        <v>0</v>
      </c>
      <c r="Y225" s="127">
        <f>IF(H225=FALSE,VLOOKUP($C225,Sales!$C:$F,4,FALSE),1)</f>
        <v/>
      </c>
      <c r="Z225" s="124">
        <f>IF(Y225=0,"Release",IF(AND(L225&lt;J225,Y225=1,H225=FALSE,U225=FALSE,MONTH(L225)&amp;"/"&amp;YEAR(L225)&lt;&gt;MONTH(J225)&amp;"/"&amp;YEAR(J225)),"Release",""))</f>
        <v/>
      </c>
      <c r="AA225" s="128">
        <f>_xlfn.minifs($L:$L,$C:$C,$C225,$F:$F,"&lt;&gt;0")</f>
        <v/>
      </c>
      <c r="AB225" s="128">
        <f>C225&amp;"-"&amp;A225</f>
        <v/>
      </c>
      <c r="AC225" s="128">
        <f>L225</f>
        <v/>
      </c>
    </row>
    <row r="226">
      <c r="A226" s="124" t="inlineStr">
        <is>
          <t>ZSON01</t>
        </is>
      </c>
      <c r="B226" s="124" t="n">
        <v>11</v>
      </c>
      <c r="C226" s="124" t="inlineStr">
        <is>
          <t>HVD301</t>
        </is>
      </c>
      <c r="D226" s="124" t="inlineStr">
        <is>
          <t>D</t>
        </is>
      </c>
      <c r="E226" s="124" t="inlineStr">
        <is>
          <t>Maduna Charles</t>
        </is>
      </c>
      <c r="F226" s="125">
        <f>SUMIFS(Investors!$M:$M, Investors!$I:$I, "&lt;=" &amp; 'NSST Print'!$B$3, Investors!$K:$K, "&gt;" &amp; 'NSST Print'!$B$3, Investors!$A:$A, 'Investor Exit List'!A226, Investors!$E:$E, 'Investor Exit List'!C226)</f>
        <v/>
      </c>
      <c r="G226" s="126" t="n">
        <v>44735</v>
      </c>
      <c r="H226" s="124">
        <f>VLOOKUP($C226,Sales!$C:$E,2,FALSE)</f>
        <v/>
      </c>
      <c r="I226" s="124">
        <f>VLOOKUP($C226,Sales!$C:$E,3,FALSE)</f>
        <v/>
      </c>
      <c r="J226" s="126">
        <f>SUMIFS(Sales!$H:$H,Sales!$C:$C,'Investor Exit List'!$C226)</f>
        <v/>
      </c>
      <c r="K226" s="126">
        <f>IF(I226=TRUE,J226,"")</f>
        <v/>
      </c>
      <c r="L226" s="126">
        <f>G226+730</f>
        <v/>
      </c>
      <c r="M226" s="126" t="n">
        <v>45443</v>
      </c>
      <c r="N226" s="127">
        <f>IFERROR(IF(G226&lt;&gt;"",IF(I226=TRUE,0,IF(U226=TRUE,0,L226-M226)),0),0)</f>
        <v/>
      </c>
      <c r="O226" s="127">
        <f>IF(N226&gt;0,IF(N226&lt;=180,N226,0),0)</f>
        <v/>
      </c>
      <c r="P226" s="125">
        <f>IF(AND(N226&lt;90,N226&gt;0),Q226,0)</f>
        <v/>
      </c>
      <c r="Q226" s="125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25">
        <f>IF(AND(H226=TRUE,I226=FALSE),Q226,0)</f>
        <v/>
      </c>
      <c r="S226" s="125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26">
        <f>IF(U226=TRUE,$J226,"")</f>
        <v/>
      </c>
      <c r="U226" s="124" t="b">
        <v>1</v>
      </c>
      <c r="V226" s="125">
        <f>IF(AND(H226=TRUE,OR(K226="",K226&gt;M226)),S226,0)</f>
        <v/>
      </c>
      <c r="W226" s="124" t="n">
        <v>0</v>
      </c>
      <c r="X226" s="124" t="b">
        <v>0</v>
      </c>
      <c r="Y226" s="127">
        <f>IF(H226=FALSE,VLOOKUP($C226,Sales!$C:$F,4,FALSE),1)</f>
        <v/>
      </c>
      <c r="Z226" s="124">
        <f>IF(Y226=0,"Release",IF(AND(L226&lt;J226,Y226=1,H226=FALSE,U226=FALSE,MONTH(L226)&amp;"/"&amp;YEAR(L226)&lt;&gt;MONTH(J226)&amp;"/"&amp;YEAR(J226)),"Release",""))</f>
        <v/>
      </c>
      <c r="AA226" s="128">
        <f>_xlfn.minifs($L:$L,$C:$C,$C226,$F:$F,"&lt;&gt;0")</f>
        <v/>
      </c>
      <c r="AB226" s="128">
        <f>C226&amp;"-"&amp;A226</f>
        <v/>
      </c>
      <c r="AC226" s="128">
        <f>L226</f>
        <v/>
      </c>
    </row>
    <row r="227">
      <c r="A227" s="124" t="inlineStr">
        <is>
          <t>ZHAY01</t>
        </is>
      </c>
      <c r="B227" s="124" t="n">
        <v>1</v>
      </c>
      <c r="C227" s="124" t="inlineStr">
        <is>
          <t>HVD302</t>
        </is>
      </c>
      <c r="D227" s="124" t="inlineStr">
        <is>
          <t>D</t>
        </is>
      </c>
      <c r="E227" s="124" t="inlineStr">
        <is>
          <t>Haywood Johannes Wynand</t>
        </is>
      </c>
      <c r="F227" s="125">
        <f>SUMIFS(Investors!$M:$M, Investors!$I:$I, "&lt;=" &amp; 'NSST Print'!$B$3, Investors!$K:$K, "&gt;" &amp; 'NSST Print'!$B$3, Investors!$A:$A, 'Investor Exit List'!A227, Investors!$E:$E, 'Investor Exit List'!C227)</f>
        <v/>
      </c>
      <c r="G227" s="126" t="n">
        <v>45443</v>
      </c>
      <c r="H227" s="124">
        <f>VLOOKUP($C227,Sales!$C:$E,2,FALSE)</f>
        <v/>
      </c>
      <c r="I227" s="124">
        <f>VLOOKUP($C227,Sales!$C:$E,3,FALSE)</f>
        <v/>
      </c>
      <c r="J227" s="126">
        <f>SUMIFS(Sales!$H:$H,Sales!$C:$C,'Investor Exit List'!$C227)</f>
        <v/>
      </c>
      <c r="K227" s="126">
        <f>IF(I227=TRUE,J227,"")</f>
        <v/>
      </c>
      <c r="L227" s="126">
        <f>G227+730</f>
        <v/>
      </c>
      <c r="M227" s="126" t="n">
        <v>45443</v>
      </c>
      <c r="N227" s="127">
        <f>IFERROR(IF(G227&lt;&gt;"",IF(I227=TRUE,0,IF(U227=TRUE,0,L227-M227)),0),0)</f>
        <v/>
      </c>
      <c r="O227" s="127">
        <f>IF(N227&gt;0,IF(N227&lt;=180,N227,0),0)</f>
        <v/>
      </c>
      <c r="P227" s="125">
        <f>IF(AND(N227&lt;90,N227&gt;0),Q227,0)</f>
        <v/>
      </c>
      <c r="Q227" s="125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25">
        <f>IF(AND(H227=TRUE,I227=FALSE),Q227,0)</f>
        <v/>
      </c>
      <c r="S227" s="125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26">
        <f>IF(U227=TRUE,$J227,"")</f>
        <v/>
      </c>
      <c r="U227" s="124" t="b">
        <v>0</v>
      </c>
      <c r="V227" s="125">
        <f>IF(AND(H227=TRUE,OR(K227="",K227&gt;M227)),S227,0)</f>
        <v/>
      </c>
      <c r="W227" s="124" t="n">
        <v>0</v>
      </c>
      <c r="X227" s="124" t="b">
        <v>0</v>
      </c>
      <c r="Y227" s="127">
        <f>IF(H227=FALSE,VLOOKUP($C227,Sales!$C:$F,4,FALSE),1)</f>
        <v/>
      </c>
      <c r="Z227" s="124">
        <f>IF(Y227=0,"Release",IF(AND(L227&lt;J227,Y227=1,H227=FALSE,U227=FALSE,MONTH(L227)&amp;"/"&amp;YEAR(L227)&lt;&gt;MONTH(J227)&amp;"/"&amp;YEAR(J227)),"Release",""))</f>
        <v/>
      </c>
      <c r="AA227" s="128">
        <f>_xlfn.minifs($L:$L,$C:$C,$C227,$F:$F,"&lt;&gt;0")</f>
        <v/>
      </c>
      <c r="AB227" s="128">
        <f>C227&amp;"-"&amp;A227</f>
        <v/>
      </c>
      <c r="AC227" s="128">
        <f>L227</f>
        <v/>
      </c>
    </row>
    <row r="228">
      <c r="A228" s="124" t="inlineStr">
        <is>
          <t>ZKRU01</t>
        </is>
      </c>
      <c r="B228" s="124" t="n">
        <v>5</v>
      </c>
      <c r="C228" s="124" t="inlineStr">
        <is>
          <t>HVD302</t>
        </is>
      </c>
      <c r="D228" s="124" t="inlineStr">
        <is>
          <t>D</t>
        </is>
      </c>
      <c r="E228" s="124" t="inlineStr">
        <is>
          <t>Kruger Jurgen</t>
        </is>
      </c>
      <c r="F228" s="125">
        <f>SUMIFS(Investors!$M:$M, Investors!$I:$I, "&lt;=" &amp; 'NSST Print'!$B$3, Investors!$K:$K, "&gt;" &amp; 'NSST Print'!$B$3, Investors!$A:$A, 'Investor Exit List'!A228, Investors!$E:$E, 'Investor Exit List'!C228)</f>
        <v/>
      </c>
      <c r="G228" s="126" t="n">
        <v>44713</v>
      </c>
      <c r="H228" s="124">
        <f>VLOOKUP($C228,Sales!$C:$E,2,FALSE)</f>
        <v/>
      </c>
      <c r="I228" s="124">
        <f>VLOOKUP($C228,Sales!$C:$E,3,FALSE)</f>
        <v/>
      </c>
      <c r="J228" s="126">
        <f>SUMIFS(Sales!$H:$H,Sales!$C:$C,'Investor Exit List'!$C228)</f>
        <v/>
      </c>
      <c r="K228" s="126">
        <f>IF(I228=TRUE,J228,"")</f>
        <v/>
      </c>
      <c r="L228" s="126">
        <f>G228+730</f>
        <v/>
      </c>
      <c r="M228" s="126" t="n">
        <v>45443</v>
      </c>
      <c r="N228" s="127">
        <f>IFERROR(IF(G228&lt;&gt;"",IF(I228=TRUE,0,IF(U228=TRUE,0,L228-M228)),0),0)</f>
        <v/>
      </c>
      <c r="O228" s="127">
        <f>IF(N228&gt;0,IF(N228&lt;=180,N228,0),0)</f>
        <v/>
      </c>
      <c r="P228" s="125">
        <f>IF(AND(N228&lt;90,N228&gt;0),Q228,0)</f>
        <v/>
      </c>
      <c r="Q228" s="125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25">
        <f>IF(AND(H228=TRUE,I228=FALSE),Q228,0)</f>
        <v/>
      </c>
      <c r="S228" s="125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26">
        <f>IF(U228=TRUE,$J228,"")</f>
        <v/>
      </c>
      <c r="U228" s="124" t="b">
        <v>1</v>
      </c>
      <c r="V228" s="125">
        <f>IF(AND(H228=TRUE,OR(K228="",K228&gt;M228)),S228,0)</f>
        <v/>
      </c>
      <c r="W228" s="124" t="n">
        <v>0</v>
      </c>
      <c r="X228" s="124" t="b">
        <v>0</v>
      </c>
      <c r="Y228" s="127">
        <f>IF(H228=FALSE,VLOOKUP($C228,Sales!$C:$F,4,FALSE),1)</f>
        <v/>
      </c>
      <c r="Z228" s="124">
        <f>IF(Y228=0,"Release",IF(AND(L228&lt;J228,Y228=1,H228=FALSE,U228=FALSE,MONTH(L228)&amp;"/"&amp;YEAR(L228)&lt;&gt;MONTH(J228)&amp;"/"&amp;YEAR(J228)),"Release",""))</f>
        <v/>
      </c>
      <c r="AA228" s="128">
        <f>_xlfn.minifs($L:$L,$C:$C,$C228,$F:$F,"&lt;&gt;0")</f>
        <v/>
      </c>
      <c r="AB228" s="128">
        <f>C228&amp;"-"&amp;A228</f>
        <v/>
      </c>
      <c r="AC228" s="128">
        <f>L228</f>
        <v/>
      </c>
    </row>
    <row r="229">
      <c r="A229" s="124" t="inlineStr">
        <is>
          <t>ZWEL01</t>
        </is>
      </c>
      <c r="B229" s="124" t="n">
        <v>4</v>
      </c>
      <c r="C229" s="124" t="inlineStr">
        <is>
          <t>HVD302</t>
        </is>
      </c>
      <c r="D229" s="124" t="inlineStr">
        <is>
          <t>D</t>
        </is>
      </c>
      <c r="E229" s="124" t="inlineStr">
        <is>
          <t>Welham Christopher John</t>
        </is>
      </c>
      <c r="F229" s="125">
        <f>SUMIFS(Investors!$M:$M, Investors!$I:$I, "&lt;=" &amp; 'NSST Print'!$B$3, Investors!$K:$K, "&gt;" &amp; 'NSST Print'!$B$3, Investors!$A:$A, 'Investor Exit List'!A229, Investors!$E:$E, 'Investor Exit List'!C229)</f>
        <v/>
      </c>
      <c r="G229" s="126" t="n">
        <v>44735</v>
      </c>
      <c r="H229" s="124">
        <f>VLOOKUP($C229,Sales!$C:$E,2,FALSE)</f>
        <v/>
      </c>
      <c r="I229" s="124">
        <f>VLOOKUP($C229,Sales!$C:$E,3,FALSE)</f>
        <v/>
      </c>
      <c r="J229" s="126">
        <f>SUMIFS(Sales!$H:$H,Sales!$C:$C,'Investor Exit List'!$C229)</f>
        <v/>
      </c>
      <c r="K229" s="126">
        <f>IF(I229=TRUE,J229,"")</f>
        <v/>
      </c>
      <c r="L229" s="126">
        <f>G229+730</f>
        <v/>
      </c>
      <c r="M229" s="126" t="n">
        <v>45443</v>
      </c>
      <c r="N229" s="127">
        <f>IFERROR(IF(G229&lt;&gt;"",IF(I229=TRUE,0,IF(U229=TRUE,0,L229-M229)),0),0)</f>
        <v/>
      </c>
      <c r="O229" s="127">
        <f>IF(N229&gt;0,IF(N229&lt;=180,N229,0),0)</f>
        <v/>
      </c>
      <c r="P229" s="125">
        <f>IF(AND(N229&lt;90,N229&gt;0),Q229,0)</f>
        <v/>
      </c>
      <c r="Q229" s="125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25">
        <f>IF(AND(H229=TRUE,I229=FALSE),Q229,0)</f>
        <v/>
      </c>
      <c r="S229" s="125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26">
        <f>IF(U229=TRUE,$J229,"")</f>
        <v/>
      </c>
      <c r="U229" s="124" t="b">
        <v>1</v>
      </c>
      <c r="V229" s="125">
        <f>IF(AND(H229=TRUE,OR(K229="",K229&gt;M229)),S229,0)</f>
        <v/>
      </c>
      <c r="W229" s="124" t="n">
        <v>0</v>
      </c>
      <c r="X229" s="124" t="b">
        <v>0</v>
      </c>
      <c r="Y229" s="127">
        <f>IF(H229=FALSE,VLOOKUP($C229,Sales!$C:$F,4,FALSE),1)</f>
        <v/>
      </c>
      <c r="Z229" s="124">
        <f>IF(Y229=0,"Release",IF(AND(L229&lt;J229,Y229=1,H229=FALSE,U229=FALSE,MONTH(L229)&amp;"/"&amp;YEAR(L229)&lt;&gt;MONTH(J229)&amp;"/"&amp;YEAR(J229)),"Release",""))</f>
        <v/>
      </c>
      <c r="AA229" s="128">
        <f>_xlfn.minifs($L:$L,$C:$C,$C229,$F:$F,"&lt;&gt;0")</f>
        <v/>
      </c>
      <c r="AB229" s="128">
        <f>C229&amp;"-"&amp;A229</f>
        <v/>
      </c>
      <c r="AC229" s="128">
        <f>L229</f>
        <v/>
      </c>
    </row>
    <row r="230">
      <c r="A230" s="124" t="inlineStr">
        <is>
          <t>ZDIC01</t>
        </is>
      </c>
      <c r="B230" s="124" t="n">
        <v>9</v>
      </c>
      <c r="C230" s="124" t="inlineStr">
        <is>
          <t>HVD303</t>
        </is>
      </c>
      <c r="D230" s="124" t="inlineStr">
        <is>
          <t>D</t>
        </is>
      </c>
      <c r="E230" s="124" t="inlineStr">
        <is>
          <t>Dickinson Grant Allan</t>
        </is>
      </c>
      <c r="F230" s="125">
        <f>SUMIFS(Investors!$M:$M, Investors!$I:$I, "&lt;=" &amp; 'NSST Print'!$B$3, Investors!$K:$K, "&gt;" &amp; 'NSST Print'!$B$3, Investors!$A:$A, 'Investor Exit List'!A230, Investors!$E:$E, 'Investor Exit List'!C230)</f>
        <v/>
      </c>
      <c r="G230" s="126" t="n">
        <v>44735</v>
      </c>
      <c r="H230" s="124">
        <f>VLOOKUP($C230,Sales!$C:$E,2,FALSE)</f>
        <v/>
      </c>
      <c r="I230" s="124">
        <f>VLOOKUP($C230,Sales!$C:$E,3,FALSE)</f>
        <v/>
      </c>
      <c r="J230" s="126">
        <f>SUMIFS(Sales!$H:$H,Sales!$C:$C,'Investor Exit List'!$C230)</f>
        <v/>
      </c>
      <c r="K230" s="126">
        <f>IF(I230=TRUE,J230,"")</f>
        <v/>
      </c>
      <c r="L230" s="126">
        <f>G230+730</f>
        <v/>
      </c>
      <c r="M230" s="126" t="n">
        <v>45443</v>
      </c>
      <c r="N230" s="127">
        <f>IFERROR(IF(G230&lt;&gt;"",IF(I230=TRUE,0,IF(U230=TRUE,0,L230-M230)),0),0)</f>
        <v/>
      </c>
      <c r="O230" s="127">
        <f>IF(N230&gt;0,IF(N230&lt;=180,N230,0),0)</f>
        <v/>
      </c>
      <c r="P230" s="125">
        <f>IF(AND(N230&lt;90,N230&gt;0),Q230,0)</f>
        <v/>
      </c>
      <c r="Q230" s="125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25">
        <f>IF(AND(H230=TRUE,I230=FALSE),Q230,0)</f>
        <v/>
      </c>
      <c r="S230" s="125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26">
        <f>IF(U230=TRUE,$J230,"")</f>
        <v/>
      </c>
      <c r="U230" s="124" t="b">
        <v>0</v>
      </c>
      <c r="V230" s="125">
        <f>IF(AND(H230=TRUE,OR(K230="",K230&gt;M230)),S230,0)</f>
        <v/>
      </c>
      <c r="W230" s="124" t="n">
        <v>0</v>
      </c>
      <c r="X230" s="124" t="b">
        <v>0</v>
      </c>
      <c r="Y230" s="127">
        <f>IF(H230=FALSE,VLOOKUP($C230,Sales!$C:$F,4,FALSE),1)</f>
        <v/>
      </c>
      <c r="Z230" s="124">
        <f>IF(Y230=0,"Release",IF(AND(L230&lt;J230,Y230=1,H230=FALSE,U230=FALSE,MONTH(L230)&amp;"/"&amp;YEAR(L230)&lt;&gt;MONTH(J230)&amp;"/"&amp;YEAR(J230)),"Release",""))</f>
        <v/>
      </c>
      <c r="AA230" s="128">
        <f>_xlfn.minifs($L:$L,$C:$C,$C230,$F:$F,"&lt;&gt;0")</f>
        <v/>
      </c>
      <c r="AB230" s="128">
        <f>C230&amp;"-"&amp;A230</f>
        <v/>
      </c>
      <c r="AC230" s="128">
        <f>L230</f>
        <v/>
      </c>
    </row>
    <row r="231">
      <c r="A231" s="124" t="inlineStr">
        <is>
          <t>ZHAY01</t>
        </is>
      </c>
      <c r="B231" s="124" t="n">
        <v>2</v>
      </c>
      <c r="C231" s="124" t="inlineStr">
        <is>
          <t>HVD303</t>
        </is>
      </c>
      <c r="D231" s="124" t="inlineStr">
        <is>
          <t>D</t>
        </is>
      </c>
      <c r="E231" s="124" t="inlineStr">
        <is>
          <t>Haywood Johannes Wynand</t>
        </is>
      </c>
      <c r="F231" s="125">
        <f>SUMIFS(Investors!$M:$M, Investors!$I:$I, "&lt;=" &amp; 'NSST Print'!$B$3, Investors!$K:$K, "&gt;" &amp; 'NSST Print'!$B$3, Investors!$A:$A, 'Investor Exit List'!A231, Investors!$E:$E, 'Investor Exit List'!C231)</f>
        <v/>
      </c>
      <c r="G231" s="126" t="n">
        <v>45443</v>
      </c>
      <c r="H231" s="124">
        <f>VLOOKUP($C231,Sales!$C:$E,2,FALSE)</f>
        <v/>
      </c>
      <c r="I231" s="124">
        <f>VLOOKUP($C231,Sales!$C:$E,3,FALSE)</f>
        <v/>
      </c>
      <c r="J231" s="126">
        <f>SUMIFS(Sales!$H:$H,Sales!$C:$C,'Investor Exit List'!$C231)</f>
        <v/>
      </c>
      <c r="K231" s="126">
        <f>IF(I231=TRUE,J231,"")</f>
        <v/>
      </c>
      <c r="L231" s="126">
        <f>G231+730</f>
        <v/>
      </c>
      <c r="M231" s="126" t="n">
        <v>45443</v>
      </c>
      <c r="N231" s="127">
        <f>IFERROR(IF(G231&lt;&gt;"",IF(I231=TRUE,0,IF(U231=TRUE,0,L231-M231)),0),0)</f>
        <v/>
      </c>
      <c r="O231" s="127">
        <f>IF(N231&gt;0,IF(N231&lt;=180,N231,0),0)</f>
        <v/>
      </c>
      <c r="P231" s="125">
        <f>IF(AND(N231&lt;90,N231&gt;0),Q231,0)</f>
        <v/>
      </c>
      <c r="Q231" s="125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25">
        <f>IF(AND(H231=TRUE,I231=FALSE),Q231,0)</f>
        <v/>
      </c>
      <c r="S231" s="125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26">
        <f>IF(U231=TRUE,$J231,"")</f>
        <v/>
      </c>
      <c r="U231" s="124" t="b">
        <v>0</v>
      </c>
      <c r="V231" s="125">
        <f>IF(AND(H231=TRUE,OR(K231="",K231&gt;M231)),S231,0)</f>
        <v/>
      </c>
      <c r="W231" s="124" t="n">
        <v>0</v>
      </c>
      <c r="X231" s="124" t="b">
        <v>0</v>
      </c>
      <c r="Y231" s="127">
        <f>IF(H231=FALSE,VLOOKUP($C231,Sales!$C:$F,4,FALSE),1)</f>
        <v/>
      </c>
      <c r="Z231" s="124">
        <f>IF(Y231=0,"Release",IF(AND(L231&lt;J231,Y231=1,H231=FALSE,U231=FALSE,MONTH(L231)&amp;"/"&amp;YEAR(L231)&lt;&gt;MONTH(J231)&amp;"/"&amp;YEAR(J231)),"Release",""))</f>
        <v/>
      </c>
      <c r="AA231" s="128">
        <f>_xlfn.minifs($L:$L,$C:$C,$C231,$F:$F,"&lt;&gt;0")</f>
        <v/>
      </c>
      <c r="AB231" s="128">
        <f>C231&amp;"-"&amp;A231</f>
        <v/>
      </c>
      <c r="AC231" s="128">
        <f>L231</f>
        <v/>
      </c>
    </row>
    <row r="232">
      <c r="A232" s="124" t="inlineStr">
        <is>
          <t>ZPLA01</t>
        </is>
      </c>
      <c r="B232" s="124" t="n">
        <v>2</v>
      </c>
      <c r="C232" s="124" t="inlineStr">
        <is>
          <t>HVD303</t>
        </is>
      </c>
      <c r="D232" s="124" t="inlineStr">
        <is>
          <t>D</t>
        </is>
      </c>
      <c r="E232" s="124" t="inlineStr">
        <is>
          <t>Placzkowska Aneta</t>
        </is>
      </c>
      <c r="F232" s="125">
        <f>SUMIFS(Investors!$M:$M, Investors!$I:$I, "&lt;=" &amp; 'NSST Print'!$B$3, Investors!$K:$K, "&gt;" &amp; 'NSST Print'!$B$3, Investors!$A:$A, 'Investor Exit List'!A232, Investors!$E:$E, 'Investor Exit List'!C232)</f>
        <v/>
      </c>
      <c r="G232" s="126" t="n">
        <v>44721</v>
      </c>
      <c r="H232" s="124">
        <f>VLOOKUP($C232,Sales!$C:$E,2,FALSE)</f>
        <v/>
      </c>
      <c r="I232" s="124">
        <f>VLOOKUP($C232,Sales!$C:$E,3,FALSE)</f>
        <v/>
      </c>
      <c r="J232" s="126">
        <f>SUMIFS(Sales!$H:$H,Sales!$C:$C,'Investor Exit List'!$C232)</f>
        <v/>
      </c>
      <c r="K232" s="126">
        <f>IF(I232=TRUE,J232,"")</f>
        <v/>
      </c>
      <c r="L232" s="126">
        <f>G232+730</f>
        <v/>
      </c>
      <c r="M232" s="126" t="n">
        <v>45443</v>
      </c>
      <c r="N232" s="127">
        <f>IFERROR(IF(G232&lt;&gt;"",IF(I232=TRUE,0,IF(U232=TRUE,0,L232-M232)),0),0)</f>
        <v/>
      </c>
      <c r="O232" s="127">
        <f>IF(N232&gt;0,IF(N232&lt;=180,N232,0),0)</f>
        <v/>
      </c>
      <c r="P232" s="125">
        <f>IF(AND(N232&lt;90,N232&gt;0),Q232,0)</f>
        <v/>
      </c>
      <c r="Q232" s="125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25">
        <f>IF(AND(H232=TRUE,I232=FALSE),Q232,0)</f>
        <v/>
      </c>
      <c r="S232" s="125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26">
        <f>IF(U232=TRUE,$J232,"")</f>
        <v/>
      </c>
      <c r="U232" s="124" t="b">
        <v>1</v>
      </c>
      <c r="V232" s="125">
        <f>IF(AND(H232=TRUE,OR(K232="",K232&gt;M232)),S232,0)</f>
        <v/>
      </c>
      <c r="W232" s="124" t="n">
        <v>0</v>
      </c>
      <c r="X232" s="124" t="b">
        <v>0</v>
      </c>
      <c r="Y232" s="127">
        <f>IF(H232=FALSE,VLOOKUP($C232,Sales!$C:$F,4,FALSE),1)</f>
        <v/>
      </c>
      <c r="Z232" s="124">
        <f>IF(Y232=0,"Release",IF(AND(L232&lt;J232,Y232=1,H232=FALSE,U232=FALSE,MONTH(L232)&amp;"/"&amp;YEAR(L232)&lt;&gt;MONTH(J232)&amp;"/"&amp;YEAR(J232)),"Release",""))</f>
        <v/>
      </c>
      <c r="AA232" s="128">
        <f>_xlfn.minifs($L:$L,$C:$C,$C232,$F:$F,"&lt;&gt;0")</f>
        <v/>
      </c>
      <c r="AB232" s="128">
        <f>C232&amp;"-"&amp;A232</f>
        <v/>
      </c>
      <c r="AC232" s="128">
        <f>L232</f>
        <v/>
      </c>
    </row>
    <row r="233">
      <c r="A233" s="124" t="inlineStr">
        <is>
          <t>ZHAY01</t>
        </is>
      </c>
      <c r="B233" s="124" t="n">
        <v>8</v>
      </c>
      <c r="C233" s="124" t="inlineStr">
        <is>
          <t>HVD304</t>
        </is>
      </c>
      <c r="D233" s="124" t="inlineStr">
        <is>
          <t>D</t>
        </is>
      </c>
      <c r="E233" s="124" t="inlineStr">
        <is>
          <t>Haywood Johannes Wynand</t>
        </is>
      </c>
      <c r="F233" s="125">
        <f>SUMIFS(Investors!$M:$M, Investors!$I:$I, "&lt;=" &amp; 'NSST Print'!$B$3, Investors!$K:$K, "&gt;" &amp; 'NSST Print'!$B$3, Investors!$A:$A, 'Investor Exit List'!A233, Investors!$E:$E, 'Investor Exit List'!C233)</f>
        <v/>
      </c>
      <c r="G233" s="126" t="n">
        <v>45471</v>
      </c>
      <c r="H233" s="124">
        <f>VLOOKUP($C233,Sales!$C:$E,2,FALSE)</f>
        <v/>
      </c>
      <c r="I233" s="124">
        <f>VLOOKUP($C233,Sales!$C:$E,3,FALSE)</f>
        <v/>
      </c>
      <c r="J233" s="126">
        <f>SUMIFS(Sales!$H:$H,Sales!$C:$C,'Investor Exit List'!$C233)</f>
        <v/>
      </c>
      <c r="K233" s="126">
        <f>IF(I233=TRUE,J233,"")</f>
        <v/>
      </c>
      <c r="L233" s="126">
        <f>G233+730</f>
        <v/>
      </c>
      <c r="M233" s="126" t="n">
        <v>45443</v>
      </c>
      <c r="N233" s="127">
        <f>IFERROR(IF(G233&lt;&gt;"",IF(I233=TRUE,0,IF(U233=TRUE,0,L233-M233)),0),0)</f>
        <v/>
      </c>
      <c r="O233" s="127">
        <f>IF(N233&gt;0,IF(N233&lt;=180,N233,0),0)</f>
        <v/>
      </c>
      <c r="P233" s="125">
        <f>IF(AND(N233&lt;90,N233&gt;0),Q233,0)</f>
        <v/>
      </c>
      <c r="Q233" s="125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25">
        <f>IF(AND(H233=TRUE,I233=FALSE),Q233,0)</f>
        <v/>
      </c>
      <c r="S233" s="125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26">
        <f>IF(U233=TRUE,$J233,"")</f>
        <v/>
      </c>
      <c r="U233" s="124" t="b">
        <v>0</v>
      </c>
      <c r="V233" s="125">
        <f>IF(AND(H233=TRUE,OR(K233="",K233&gt;M233)),S233,0)</f>
        <v/>
      </c>
      <c r="W233" s="124" t="n">
        <v>0</v>
      </c>
      <c r="X233" s="124" t="b">
        <v>0</v>
      </c>
      <c r="Y233" s="127">
        <f>IF(H233=FALSE,VLOOKUP($C233,Sales!$C:$F,4,FALSE),1)</f>
        <v/>
      </c>
      <c r="Z233" s="124">
        <f>IF(Y233=0,"Release",IF(AND(L233&lt;J233,Y233=1,H233=FALSE,U233=FALSE,MONTH(L233)&amp;"/"&amp;YEAR(L233)&lt;&gt;MONTH(J233)&amp;"/"&amp;YEAR(J233)),"Release",""))</f>
        <v/>
      </c>
      <c r="AA233" s="128">
        <f>_xlfn.minifs($L:$L,$C:$C,$C233,$F:$F,"&lt;&gt;0")</f>
        <v/>
      </c>
      <c r="AB233" s="128">
        <f>C233&amp;"-"&amp;A233</f>
        <v/>
      </c>
      <c r="AC233" s="128">
        <f>L233</f>
        <v/>
      </c>
    </row>
    <row r="234">
      <c r="A234" s="124" t="inlineStr">
        <is>
          <t>ZOOS01</t>
        </is>
      </c>
      <c r="B234" s="124" t="n">
        <v>1</v>
      </c>
      <c r="C234" s="124" t="inlineStr">
        <is>
          <t>HVD304</t>
        </is>
      </c>
      <c r="D234" s="124" t="inlineStr">
        <is>
          <t>D</t>
        </is>
      </c>
      <c r="E234" s="124" t="inlineStr">
        <is>
          <t>Oosthuizen Diana</t>
        </is>
      </c>
      <c r="F234" s="125">
        <f>SUMIFS(Investors!$M:$M, Investors!$I:$I, "&lt;=" &amp; 'NSST Print'!$B$3, Investors!$K:$K, "&gt;" &amp; 'NSST Print'!$B$3, Investors!$A:$A, 'Investor Exit List'!A234, Investors!$E:$E, 'Investor Exit List'!C234)</f>
        <v/>
      </c>
      <c r="G234" s="126" t="n">
        <v>44743</v>
      </c>
      <c r="H234" s="124">
        <f>VLOOKUP($C234,Sales!$C:$E,2,FALSE)</f>
        <v/>
      </c>
      <c r="I234" s="124">
        <f>VLOOKUP($C234,Sales!$C:$E,3,FALSE)</f>
        <v/>
      </c>
      <c r="J234" s="126">
        <f>SUMIFS(Sales!$H:$H,Sales!$C:$C,'Investor Exit List'!$C234)</f>
        <v/>
      </c>
      <c r="K234" s="126">
        <f>IF(I234=TRUE,J234,"")</f>
        <v/>
      </c>
      <c r="L234" s="126">
        <f>G234+730</f>
        <v/>
      </c>
      <c r="M234" s="126" t="n">
        <v>45443</v>
      </c>
      <c r="N234" s="127">
        <f>IFERROR(IF(G234&lt;&gt;"",IF(I234=TRUE,0,IF(U234=TRUE,0,L234-M234)),0),0)</f>
        <v/>
      </c>
      <c r="O234" s="127">
        <f>IF(N234&gt;0,IF(N234&lt;=180,N234,0),0)</f>
        <v/>
      </c>
      <c r="P234" s="125">
        <f>IF(AND(N234&lt;90,N234&gt;0),Q234,0)</f>
        <v/>
      </c>
      <c r="Q234" s="125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25">
        <f>IF(AND(H234=TRUE,I234=FALSE),Q234,0)</f>
        <v/>
      </c>
      <c r="S234" s="125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26">
        <f>IF(U234=TRUE,$J234,"")</f>
        <v/>
      </c>
      <c r="U234" s="124" t="b">
        <v>1</v>
      </c>
      <c r="V234" s="125">
        <f>IF(AND(H234=TRUE,OR(K234="",K234&gt;M234)),S234,0)</f>
        <v/>
      </c>
      <c r="W234" s="124" t="n">
        <v>0</v>
      </c>
      <c r="X234" s="124" t="b">
        <v>0</v>
      </c>
      <c r="Y234" s="127">
        <f>IF(H234=FALSE,VLOOKUP($C234,Sales!$C:$F,4,FALSE),1)</f>
        <v/>
      </c>
      <c r="Z234" s="124">
        <f>IF(Y234=0,"Release",IF(AND(L234&lt;J234,Y234=1,H234=FALSE,U234=FALSE,MONTH(L234)&amp;"/"&amp;YEAR(L234)&lt;&gt;MONTH(J234)&amp;"/"&amp;YEAR(J234)),"Release",""))</f>
        <v/>
      </c>
      <c r="AA234" s="128">
        <f>_xlfn.minifs($L:$L,$C:$C,$C234,$F:$F,"&lt;&gt;0")</f>
        <v/>
      </c>
      <c r="AB234" s="128">
        <f>C234&amp;"-"&amp;A234</f>
        <v/>
      </c>
      <c r="AC234" s="128">
        <f>L234</f>
        <v/>
      </c>
    </row>
    <row r="235">
      <c r="A235" s="124" t="inlineStr">
        <is>
          <t>ZRAN01</t>
        </is>
      </c>
      <c r="B235" s="124" t="n">
        <v>22</v>
      </c>
      <c r="C235" s="124" t="inlineStr">
        <is>
          <t>HVD304</t>
        </is>
      </c>
      <c r="D235" s="124" t="inlineStr">
        <is>
          <t>D</t>
        </is>
      </c>
      <c r="E235" s="124" t="inlineStr">
        <is>
          <t>Rankin Ross Partick Gemill</t>
        </is>
      </c>
      <c r="F235" s="125">
        <f>SUMIFS(Investors!$M:$M, Investors!$I:$I, "&lt;=" &amp; 'NSST Print'!$B$3, Investors!$K:$K, "&gt;" &amp; 'NSST Print'!$B$3, Investors!$A:$A, 'Investor Exit List'!A235, Investors!$E:$E, 'Investor Exit List'!C235)</f>
        <v/>
      </c>
      <c r="G235" s="126" t="n">
        <v>44735</v>
      </c>
      <c r="H235" s="124">
        <f>VLOOKUP($C235,Sales!$C:$E,2,FALSE)</f>
        <v/>
      </c>
      <c r="I235" s="124">
        <f>VLOOKUP($C235,Sales!$C:$E,3,FALSE)</f>
        <v/>
      </c>
      <c r="J235" s="126">
        <f>SUMIFS(Sales!$H:$H,Sales!$C:$C,'Investor Exit List'!$C235)</f>
        <v/>
      </c>
      <c r="K235" s="126">
        <f>IF(I235=TRUE,J235,"")</f>
        <v/>
      </c>
      <c r="L235" s="126">
        <f>G235+730</f>
        <v/>
      </c>
      <c r="M235" s="126" t="n">
        <v>45443</v>
      </c>
      <c r="N235" s="127">
        <f>IFERROR(IF(G235&lt;&gt;"",IF(I235=TRUE,0,IF(U235=TRUE,0,L235-M235)),0),0)</f>
        <v/>
      </c>
      <c r="O235" s="127">
        <f>IF(N235&gt;0,IF(N235&lt;=180,N235,0),0)</f>
        <v/>
      </c>
      <c r="P235" s="125">
        <f>IF(AND(N235&lt;90,N235&gt;0),Q235,0)</f>
        <v/>
      </c>
      <c r="Q235" s="125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25">
        <f>IF(AND(H235=TRUE,I235=FALSE),Q235,0)</f>
        <v/>
      </c>
      <c r="S235" s="125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26">
        <f>IF(U235=TRUE,$J235,"")</f>
        <v/>
      </c>
      <c r="U235" s="124" t="b">
        <v>0</v>
      </c>
      <c r="V235" s="125">
        <f>IF(AND(H235=TRUE,OR(K235="",K235&gt;M235)),S235,0)</f>
        <v/>
      </c>
      <c r="W235" s="124" t="n">
        <v>0</v>
      </c>
      <c r="X235" s="124" t="b">
        <v>0</v>
      </c>
      <c r="Y235" s="127">
        <f>IF(H235=FALSE,VLOOKUP($C235,Sales!$C:$F,4,FALSE),1)</f>
        <v/>
      </c>
      <c r="Z235" s="124">
        <f>IF(Y235=0,"Release",IF(AND(L235&lt;J235,Y235=1,H235=FALSE,U235=FALSE,MONTH(L235)&amp;"/"&amp;YEAR(L235)&lt;&gt;MONTH(J235)&amp;"/"&amp;YEAR(J235)),"Release",""))</f>
        <v/>
      </c>
      <c r="AA235" s="128">
        <f>_xlfn.minifs($L:$L,$C:$C,$C235,$F:$F,"&lt;&gt;0")</f>
        <v/>
      </c>
      <c r="AB235" s="128">
        <f>C235&amp;"-"&amp;A235</f>
        <v/>
      </c>
      <c r="AC235" s="128">
        <f>L235</f>
        <v/>
      </c>
    </row>
    <row r="236">
      <c r="A236" s="124" t="inlineStr">
        <is>
          <t>ZHAA02</t>
        </is>
      </c>
      <c r="B236" s="124" t="n">
        <v>1</v>
      </c>
      <c r="C236" s="124" t="inlineStr">
        <is>
          <t>HVE101</t>
        </is>
      </c>
      <c r="D236" s="124" t="inlineStr">
        <is>
          <t>E</t>
        </is>
      </c>
      <c r="E236" s="124" t="inlineStr">
        <is>
          <t>Haasbroek Wilhelmina Petronella (Willa)</t>
        </is>
      </c>
      <c r="F236" s="125">
        <f>SUMIFS(Investors!$M:$M, Investors!$I:$I, "&lt;=" &amp; 'NSST Print'!$B$3, Investors!$K:$K, "&gt;" &amp; 'NSST Print'!$B$3, Investors!$A:$A, 'Investor Exit List'!A236, Investors!$E:$E, 'Investor Exit List'!C236)</f>
        <v/>
      </c>
      <c r="G236" s="126" t="n">
        <v>45468</v>
      </c>
      <c r="H236" s="124">
        <f>VLOOKUP($C236,Sales!$C:$E,2,FALSE)</f>
        <v/>
      </c>
      <c r="I236" s="124">
        <f>VLOOKUP($C236,Sales!$C:$E,3,FALSE)</f>
        <v/>
      </c>
      <c r="J236" s="126">
        <f>SUMIFS(Sales!$H:$H,Sales!$C:$C,'Investor Exit List'!$C236)</f>
        <v/>
      </c>
      <c r="K236" s="126">
        <f>IF(I236=TRUE,J236,"")</f>
        <v/>
      </c>
      <c r="L236" s="126">
        <f>G236+730</f>
        <v/>
      </c>
      <c r="M236" s="126" t="n">
        <v>45443</v>
      </c>
      <c r="N236" s="127">
        <f>IFERROR(IF(G236&lt;&gt;"",IF(I236=TRUE,0,IF(U236=TRUE,0,L236-M236)),0),0)</f>
        <v/>
      </c>
      <c r="O236" s="127">
        <f>IF(N236&gt;0,IF(N236&lt;=180,N236,0),0)</f>
        <v/>
      </c>
      <c r="P236" s="125">
        <f>IF(AND(N236&lt;90,N236&gt;0),Q236,0)</f>
        <v/>
      </c>
      <c r="Q236" s="125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25">
        <f>IF(AND(H236=TRUE,I236=FALSE),Q236,0)</f>
        <v/>
      </c>
      <c r="S236" s="125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26">
        <f>IF(U236=TRUE,$J236,"")</f>
        <v/>
      </c>
      <c r="U236" s="124" t="b">
        <v>0</v>
      </c>
      <c r="V236" s="125">
        <f>IF(AND(H236=TRUE,OR(K236="",K236&gt;M236)),S236,0)</f>
        <v/>
      </c>
      <c r="W236" s="124" t="n">
        <v>0</v>
      </c>
      <c r="X236" s="124" t="b">
        <v>0</v>
      </c>
      <c r="Y236" s="127">
        <f>IF(H236=FALSE,VLOOKUP($C236,Sales!$C:$F,4,FALSE),1)</f>
        <v/>
      </c>
      <c r="Z236" s="124">
        <f>IF(Y236=0,"Release",IF(AND(L236&lt;J236,Y236=1,H236=FALSE,U236=FALSE,MONTH(L236)&amp;"/"&amp;YEAR(L236)&lt;&gt;MONTH(J236)&amp;"/"&amp;YEAR(J236)),"Release",""))</f>
        <v/>
      </c>
      <c r="AA236" s="128">
        <f>_xlfn.minifs($L:$L,$C:$C,$C236,$F:$F,"&lt;&gt;0")</f>
        <v/>
      </c>
      <c r="AB236" s="128">
        <f>C236&amp;"-"&amp;A236</f>
        <v/>
      </c>
      <c r="AC236" s="128">
        <f>L236</f>
        <v/>
      </c>
    </row>
    <row r="237">
      <c r="A237" s="124" t="inlineStr">
        <is>
          <t>ZMEY02</t>
        </is>
      </c>
      <c r="B237" s="124" t="n">
        <v>3</v>
      </c>
      <c r="C237" s="124" t="inlineStr">
        <is>
          <t>HVE101</t>
        </is>
      </c>
      <c r="D237" s="124" t="inlineStr">
        <is>
          <t>E</t>
        </is>
      </c>
      <c r="E237" s="124" t="inlineStr">
        <is>
          <t>Meyer Catharina Levina</t>
        </is>
      </c>
      <c r="F237" s="125">
        <f>SUMIFS(Investors!$M:$M, Investors!$I:$I, "&lt;=" &amp; 'NSST Print'!$B$3, Investors!$K:$K, "&gt;" &amp; 'NSST Print'!$B$3, Investors!$A:$A, 'Investor Exit List'!A237, Investors!$E:$E, 'Investor Exit List'!C237)</f>
        <v/>
      </c>
      <c r="G237" s="126" t="n">
        <v>45321</v>
      </c>
      <c r="H237" s="124">
        <f>VLOOKUP($C237,Sales!$C:$E,2,FALSE)</f>
        <v/>
      </c>
      <c r="I237" s="124">
        <f>VLOOKUP($C237,Sales!$C:$E,3,FALSE)</f>
        <v/>
      </c>
      <c r="J237" s="126">
        <f>SUMIFS(Sales!$H:$H,Sales!$C:$C,'Investor Exit List'!$C237)</f>
        <v/>
      </c>
      <c r="K237" s="126">
        <f>IF(I237=TRUE,J237,"")</f>
        <v/>
      </c>
      <c r="L237" s="126">
        <f>G237+730</f>
        <v/>
      </c>
      <c r="M237" s="126" t="n">
        <v>45443</v>
      </c>
      <c r="N237" s="127">
        <f>IFERROR(IF(G237&lt;&gt;"",IF(I237=TRUE,0,IF(U237=TRUE,0,L237-M237)),0),0)</f>
        <v/>
      </c>
      <c r="O237" s="127">
        <f>IF(N237&gt;0,IF(N237&lt;=180,N237,0),0)</f>
        <v/>
      </c>
      <c r="P237" s="125">
        <f>IF(AND(N237&lt;90,N237&gt;0),Q237,0)</f>
        <v/>
      </c>
      <c r="Q237" s="125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25">
        <f>IF(AND(H237=TRUE,I237=FALSE),Q237,0)</f>
        <v/>
      </c>
      <c r="S237" s="125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26">
        <f>IF(U237=TRUE,$J237,"")</f>
        <v/>
      </c>
      <c r="U237" s="124" t="b">
        <v>0</v>
      </c>
      <c r="V237" s="125">
        <f>IF(AND(H237=TRUE,OR(K237="",K237&gt;M237)),S237,0)</f>
        <v/>
      </c>
      <c r="W237" s="124" t="n">
        <v>0</v>
      </c>
      <c r="X237" s="124" t="b">
        <v>0</v>
      </c>
      <c r="Y237" s="127">
        <f>IF(H237=FALSE,VLOOKUP($C237,Sales!$C:$F,4,FALSE),1)</f>
        <v/>
      </c>
      <c r="Z237" s="124">
        <f>IF(Y237=0,"Release",IF(AND(L237&lt;J237,Y237=1,H237=FALSE,U237=FALSE,MONTH(L237)&amp;"/"&amp;YEAR(L237)&lt;&gt;MONTH(J237)&amp;"/"&amp;YEAR(J237)),"Release",""))</f>
        <v/>
      </c>
      <c r="AA237" s="128">
        <f>_xlfn.minifs($L:$L,$C:$C,$C237,$F:$F,"&lt;&gt;0")</f>
        <v/>
      </c>
      <c r="AB237" s="128">
        <f>C237&amp;"-"&amp;A237</f>
        <v/>
      </c>
      <c r="AC237" s="128">
        <f>L237</f>
        <v/>
      </c>
    </row>
    <row r="238">
      <c r="A238" s="124" t="inlineStr">
        <is>
          <t>ZTHA01</t>
        </is>
      </c>
      <c r="B238" s="124" t="n">
        <v>11</v>
      </c>
      <c r="C238" s="124" t="inlineStr">
        <is>
          <t>HVE101</t>
        </is>
      </c>
      <c r="D238" s="124" t="inlineStr">
        <is>
          <t>E</t>
        </is>
      </c>
      <c r="E238" s="124" t="inlineStr">
        <is>
          <t>Matthee Gerald Adriaan Odendal</t>
        </is>
      </c>
      <c r="F238" s="125">
        <f>SUMIFS(Investors!$M:$M, Investors!$I:$I, "&lt;=" &amp; 'NSST Print'!$B$3, Investors!$K:$K, "&gt;" &amp; 'NSST Print'!$B$3, Investors!$A:$A, 'Investor Exit List'!A238, Investors!$E:$E, 'Investor Exit List'!C238)</f>
        <v/>
      </c>
      <c r="G238" s="126" t="n">
        <v>45408</v>
      </c>
      <c r="H238" s="124">
        <f>VLOOKUP($C238,Sales!$C:$E,2,FALSE)</f>
        <v/>
      </c>
      <c r="I238" s="124">
        <f>VLOOKUP($C238,Sales!$C:$E,3,FALSE)</f>
        <v/>
      </c>
      <c r="J238" s="126">
        <f>SUMIFS(Sales!$H:$H,Sales!$C:$C,'Investor Exit List'!$C238)</f>
        <v/>
      </c>
      <c r="K238" s="126">
        <f>IF(I238=TRUE,J238,"")</f>
        <v/>
      </c>
      <c r="L238" s="126">
        <f>G238+730</f>
        <v/>
      </c>
      <c r="M238" s="126" t="n">
        <v>45443</v>
      </c>
      <c r="N238" s="127">
        <f>IFERROR(IF(G238&lt;&gt;"",IF(I238=TRUE,0,IF(U238=TRUE,0,L238-M238)),0),0)</f>
        <v/>
      </c>
      <c r="O238" s="127">
        <f>IF(N238&gt;0,IF(N238&lt;=180,N238,0),0)</f>
        <v/>
      </c>
      <c r="P238" s="125">
        <f>IF(AND(N238&lt;90,N238&gt;0),Q238,0)</f>
        <v/>
      </c>
      <c r="Q238" s="125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25">
        <f>IF(AND(H238=TRUE,I238=FALSE),Q238,0)</f>
        <v/>
      </c>
      <c r="S238" s="125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26">
        <f>IF(U238=TRUE,$J238,"")</f>
        <v/>
      </c>
      <c r="U238" s="124" t="b">
        <v>0</v>
      </c>
      <c r="V238" s="125">
        <f>IF(AND(H238=TRUE,OR(K238="",K238&gt;M238)),S238,0)</f>
        <v/>
      </c>
      <c r="W238" s="124" t="n">
        <v>0</v>
      </c>
      <c r="X238" s="124" t="b">
        <v>0</v>
      </c>
      <c r="Y238" s="127">
        <f>IF(H238=FALSE,VLOOKUP($C238,Sales!$C:$F,4,FALSE),1)</f>
        <v/>
      </c>
      <c r="Z238" s="124">
        <f>IF(Y238=0,"Release",IF(AND(L238&lt;J238,Y238=1,H238=FALSE,U238=FALSE,MONTH(L238)&amp;"/"&amp;YEAR(L238)&lt;&gt;MONTH(J238)&amp;"/"&amp;YEAR(J238)),"Release",""))</f>
        <v/>
      </c>
      <c r="AA238" s="128">
        <f>_xlfn.minifs($L:$L,$C:$C,$C238,$F:$F,"&lt;&gt;0")</f>
        <v/>
      </c>
      <c r="AB238" s="128">
        <f>C238&amp;"-"&amp;A238</f>
        <v/>
      </c>
      <c r="AC238" s="128">
        <f>L238</f>
        <v/>
      </c>
    </row>
    <row r="239">
      <c r="A239" s="124" t="inlineStr">
        <is>
          <t>ZVER02</t>
        </is>
      </c>
      <c r="B239" s="124" t="n">
        <v>7</v>
      </c>
      <c r="C239" s="124" t="inlineStr">
        <is>
          <t>HVE101</t>
        </is>
      </c>
      <c r="D239" s="124" t="inlineStr">
        <is>
          <t>E</t>
        </is>
      </c>
      <c r="E239" s="124" t="inlineStr">
        <is>
          <t>Verhaeghe Jean-Jacques EP</t>
        </is>
      </c>
      <c r="F239" s="125">
        <f>SUMIFS(Investors!$M:$M, Investors!$I:$I, "&lt;=" &amp; 'NSST Print'!$B$3, Investors!$K:$K, "&gt;" &amp; 'NSST Print'!$B$3, Investors!$A:$A, 'Investor Exit List'!A239, Investors!$E:$E, 'Investor Exit List'!C239)</f>
        <v/>
      </c>
      <c r="G239" s="126" t="n">
        <v>45321</v>
      </c>
      <c r="H239" s="124">
        <f>VLOOKUP($C239,Sales!$C:$E,2,FALSE)</f>
        <v/>
      </c>
      <c r="I239" s="124">
        <f>VLOOKUP($C239,Sales!$C:$E,3,FALSE)</f>
        <v/>
      </c>
      <c r="J239" s="126">
        <f>SUMIFS(Sales!$H:$H,Sales!$C:$C,'Investor Exit List'!$C239)</f>
        <v/>
      </c>
      <c r="K239" s="126">
        <f>IF(I239=TRUE,J239,"")</f>
        <v/>
      </c>
      <c r="L239" s="126">
        <f>G239+730</f>
        <v/>
      </c>
      <c r="M239" s="126" t="n">
        <v>45443</v>
      </c>
      <c r="N239" s="127">
        <f>IFERROR(IF(G239&lt;&gt;"",IF(I239=TRUE,0,IF(U239=TRUE,0,L239-M239)),0),0)</f>
        <v/>
      </c>
      <c r="O239" s="127">
        <f>IF(N239&gt;0,IF(N239&lt;=180,N239,0),0)</f>
        <v/>
      </c>
      <c r="P239" s="125">
        <f>IF(AND(N239&lt;90,N239&gt;0),Q239,0)</f>
        <v/>
      </c>
      <c r="Q239" s="125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25">
        <f>IF(AND(H239=TRUE,I239=FALSE),Q239,0)</f>
        <v/>
      </c>
      <c r="S239" s="125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26">
        <f>IF(U239=TRUE,$J239,"")</f>
        <v/>
      </c>
      <c r="U239" s="124" t="b">
        <v>0</v>
      </c>
      <c r="V239" s="125">
        <f>IF(AND(H239=TRUE,OR(K239="",K239&gt;M239)),S239,0)</f>
        <v/>
      </c>
      <c r="W239" s="124" t="n">
        <v>0</v>
      </c>
      <c r="X239" s="124" t="b">
        <v>0</v>
      </c>
      <c r="Y239" s="127">
        <f>IF(H239=FALSE,VLOOKUP($C239,Sales!$C:$F,4,FALSE),1)</f>
        <v/>
      </c>
      <c r="Z239" s="124">
        <f>IF(Y239=0,"Release",IF(AND(L239&lt;J239,Y239=1,H239=FALSE,U239=FALSE,MONTH(L239)&amp;"/"&amp;YEAR(L239)&lt;&gt;MONTH(J239)&amp;"/"&amp;YEAR(J239)),"Release",""))</f>
        <v/>
      </c>
      <c r="AA239" s="128">
        <f>_xlfn.minifs($L:$L,$C:$C,$C239,$F:$F,"&lt;&gt;0")</f>
        <v/>
      </c>
      <c r="AB239" s="128">
        <f>C239&amp;"-"&amp;A239</f>
        <v/>
      </c>
      <c r="AC239" s="128">
        <f>L239</f>
        <v/>
      </c>
    </row>
    <row r="240">
      <c r="A240" s="124" t="inlineStr">
        <is>
          <t>ZFER02</t>
        </is>
      </c>
      <c r="B240" s="124" t="n">
        <v>2</v>
      </c>
      <c r="C240" s="124" t="inlineStr">
        <is>
          <t>HVE102</t>
        </is>
      </c>
      <c r="D240" s="124" t="inlineStr">
        <is>
          <t>E</t>
        </is>
      </c>
      <c r="E240" s="124" t="inlineStr">
        <is>
          <t>Fernandes Olga Maria</t>
        </is>
      </c>
      <c r="F240" s="125">
        <f>SUMIFS(Investors!$M:$M, Investors!$I:$I, "&lt;=" &amp; 'NSST Print'!$B$3, Investors!$K:$K, "&gt;" &amp; 'NSST Print'!$B$3, Investors!$A:$A, 'Investor Exit List'!A240, Investors!$E:$E, 'Investor Exit List'!C240)</f>
        <v/>
      </c>
      <c r="G240" s="126" t="n">
        <v>45321</v>
      </c>
      <c r="H240" s="124">
        <f>VLOOKUP($C240,Sales!$C:$E,2,FALSE)</f>
        <v/>
      </c>
      <c r="I240" s="124">
        <f>VLOOKUP($C240,Sales!$C:$E,3,FALSE)</f>
        <v/>
      </c>
      <c r="J240" s="126">
        <f>SUMIFS(Sales!$H:$H,Sales!$C:$C,'Investor Exit List'!$C240)</f>
        <v/>
      </c>
      <c r="K240" s="126">
        <f>IF(I240=TRUE,J240,"")</f>
        <v/>
      </c>
      <c r="L240" s="126">
        <f>G240+730</f>
        <v/>
      </c>
      <c r="M240" s="126" t="n">
        <v>45443</v>
      </c>
      <c r="N240" s="127">
        <f>IFERROR(IF(G240&lt;&gt;"",IF(I240=TRUE,0,IF(U240=TRUE,0,L240-M240)),0),0)</f>
        <v/>
      </c>
      <c r="O240" s="127">
        <f>IF(N240&gt;0,IF(N240&lt;=180,N240,0),0)</f>
        <v/>
      </c>
      <c r="P240" s="125">
        <f>IF(AND(N240&lt;90,N240&gt;0),Q240,0)</f>
        <v/>
      </c>
      <c r="Q240" s="125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25">
        <f>IF(AND(H240=TRUE,I240=FALSE),Q240,0)</f>
        <v/>
      </c>
      <c r="S240" s="125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26">
        <f>IF(U240=TRUE,$J240,"")</f>
        <v/>
      </c>
      <c r="U240" s="124" t="b">
        <v>0</v>
      </c>
      <c r="V240" s="125">
        <f>IF(AND(H240=TRUE,OR(K240="",K240&gt;M240)),S240,0)</f>
        <v/>
      </c>
      <c r="W240" s="124" t="n">
        <v>0</v>
      </c>
      <c r="X240" s="124" t="b">
        <v>0</v>
      </c>
      <c r="Y240" s="127">
        <f>IF(H240=FALSE,VLOOKUP($C240,Sales!$C:$F,4,FALSE),1)</f>
        <v/>
      </c>
      <c r="Z240" s="124">
        <f>IF(Y240=0,"Release",IF(AND(L240&lt;J240,Y240=1,H240=FALSE,U240=FALSE,MONTH(L240)&amp;"/"&amp;YEAR(L240)&lt;&gt;MONTH(J240)&amp;"/"&amp;YEAR(J240)),"Release",""))</f>
        <v/>
      </c>
      <c r="AA240" s="128">
        <f>_xlfn.minifs($L:$L,$C:$C,$C240,$F:$F,"&lt;&gt;0")</f>
        <v/>
      </c>
      <c r="AB240" s="128">
        <f>C240&amp;"-"&amp;A240</f>
        <v/>
      </c>
      <c r="AC240" s="128">
        <f>L240</f>
        <v/>
      </c>
    </row>
    <row r="241">
      <c r="A241" s="124" t="inlineStr">
        <is>
          <t>ZRIT01</t>
        </is>
      </c>
      <c r="B241" s="124" t="n">
        <v>18</v>
      </c>
      <c r="C241" s="124" t="inlineStr">
        <is>
          <t>HVE102</t>
        </is>
      </c>
      <c r="D241" s="124" t="inlineStr">
        <is>
          <t>E</t>
        </is>
      </c>
      <c r="E241" s="124" t="inlineStr">
        <is>
          <t>Ritter Dennis</t>
        </is>
      </c>
      <c r="F241" s="125">
        <f>SUMIFS(Investors!$M:$M, Investors!$I:$I, "&lt;=" &amp; 'NSST Print'!$B$3, Investors!$K:$K, "&gt;" &amp; 'NSST Print'!$B$3, Investors!$A:$A, 'Investor Exit List'!A241, Investors!$E:$E, 'Investor Exit List'!C241)</f>
        <v/>
      </c>
      <c r="G241" s="126" t="n">
        <v>45468</v>
      </c>
      <c r="H241" s="124">
        <f>VLOOKUP($C241,Sales!$C:$E,2,FALSE)</f>
        <v/>
      </c>
      <c r="I241" s="124">
        <f>VLOOKUP($C241,Sales!$C:$E,3,FALSE)</f>
        <v/>
      </c>
      <c r="J241" s="126">
        <f>SUMIFS(Sales!$H:$H,Sales!$C:$C,'Investor Exit List'!$C241)</f>
        <v/>
      </c>
      <c r="K241" s="126">
        <f>IF(I241=TRUE,J241,"")</f>
        <v/>
      </c>
      <c r="L241" s="126">
        <f>G241+730</f>
        <v/>
      </c>
      <c r="M241" s="126" t="n">
        <v>45443</v>
      </c>
      <c r="N241" s="127">
        <f>IFERROR(IF(G241&lt;&gt;"",IF(I241=TRUE,0,IF(U241=TRUE,0,L241-M241)),0),0)</f>
        <v/>
      </c>
      <c r="O241" s="127">
        <f>IF(N241&gt;0,IF(N241&lt;=180,N241,0),0)</f>
        <v/>
      </c>
      <c r="P241" s="125">
        <f>IF(AND(N241&lt;90,N241&gt;0),Q241,0)</f>
        <v/>
      </c>
      <c r="Q241" s="125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25">
        <f>IF(AND(H241=TRUE,I241=FALSE),Q241,0)</f>
        <v/>
      </c>
      <c r="S241" s="125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26">
        <f>IF(U241=TRUE,$J241,"")</f>
        <v/>
      </c>
      <c r="U241" s="124" t="b">
        <v>0</v>
      </c>
      <c r="V241" s="125">
        <f>IF(AND(H241=TRUE,OR(K241="",K241&gt;M241)),S241,0)</f>
        <v/>
      </c>
      <c r="W241" s="124" t="n">
        <v>0</v>
      </c>
      <c r="X241" s="124" t="b">
        <v>0</v>
      </c>
      <c r="Y241" s="127">
        <f>IF(H241=FALSE,VLOOKUP($C241,Sales!$C:$F,4,FALSE),1)</f>
        <v/>
      </c>
      <c r="Z241" s="124">
        <f>IF(Y241=0,"Release",IF(AND(L241&lt;J241,Y241=1,H241=FALSE,U241=FALSE,MONTH(L241)&amp;"/"&amp;YEAR(L241)&lt;&gt;MONTH(J241)&amp;"/"&amp;YEAR(J241)),"Release",""))</f>
        <v/>
      </c>
      <c r="AA241" s="128">
        <f>_xlfn.minifs($L:$L,$C:$C,$C241,$F:$F,"&lt;&gt;0")</f>
        <v/>
      </c>
      <c r="AB241" s="128">
        <f>C241&amp;"-"&amp;A241</f>
        <v/>
      </c>
      <c r="AC241" s="128">
        <f>L241</f>
        <v/>
      </c>
    </row>
    <row r="242">
      <c r="A242" s="124" t="inlineStr">
        <is>
          <t>ZZYL01</t>
        </is>
      </c>
      <c r="B242" s="124" t="n">
        <v>6</v>
      </c>
      <c r="C242" s="124" t="inlineStr">
        <is>
          <t>HVE102</t>
        </is>
      </c>
      <c r="D242" s="124" t="inlineStr">
        <is>
          <t>E</t>
        </is>
      </c>
      <c r="E242" s="124" t="inlineStr">
        <is>
          <t>Zylstra John Robert</t>
        </is>
      </c>
      <c r="F242" s="125">
        <f>SUMIFS(Investors!$M:$M, Investors!$I:$I, "&lt;=" &amp; 'NSST Print'!$B$3, Investors!$K:$K, "&gt;" &amp; 'NSST Print'!$B$3, Investors!$A:$A, 'Investor Exit List'!A242, Investors!$E:$E, 'Investor Exit List'!C242)</f>
        <v/>
      </c>
      <c r="G242" s="126" t="n">
        <v>45443</v>
      </c>
      <c r="H242" s="124">
        <f>VLOOKUP($C242,Sales!$C:$E,2,FALSE)</f>
        <v/>
      </c>
      <c r="I242" s="124">
        <f>VLOOKUP($C242,Sales!$C:$E,3,FALSE)</f>
        <v/>
      </c>
      <c r="J242" s="126">
        <f>SUMIFS(Sales!$H:$H,Sales!$C:$C,'Investor Exit List'!$C242)</f>
        <v/>
      </c>
      <c r="K242" s="126">
        <f>IF(I242=TRUE,J242,"")</f>
        <v/>
      </c>
      <c r="L242" s="126">
        <f>G242+730</f>
        <v/>
      </c>
      <c r="M242" s="126" t="n">
        <v>45443</v>
      </c>
      <c r="N242" s="127">
        <f>IFERROR(IF(G242&lt;&gt;"",IF(I242=TRUE,0,IF(U242=TRUE,0,L242-M242)),0),0)</f>
        <v/>
      </c>
      <c r="O242" s="127">
        <f>IF(N242&gt;0,IF(N242&lt;=180,N242,0),0)</f>
        <v/>
      </c>
      <c r="P242" s="125">
        <f>IF(AND(N242&lt;90,N242&gt;0),Q242,0)</f>
        <v/>
      </c>
      <c r="Q242" s="125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25">
        <f>IF(AND(H242=TRUE,I242=FALSE),Q242,0)</f>
        <v/>
      </c>
      <c r="S242" s="125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26">
        <f>IF(U242=TRUE,$J242,"")</f>
        <v/>
      </c>
      <c r="U242" s="124" t="b">
        <v>0</v>
      </c>
      <c r="V242" s="125">
        <f>IF(AND(H242=TRUE,OR(K242="",K242&gt;M242)),S242,0)</f>
        <v/>
      </c>
      <c r="W242" s="124" t="n">
        <v>0</v>
      </c>
      <c r="X242" s="124" t="b">
        <v>0</v>
      </c>
      <c r="Y242" s="127">
        <f>IF(H242=FALSE,VLOOKUP($C242,Sales!$C:$F,4,FALSE),1)</f>
        <v/>
      </c>
      <c r="Z242" s="124">
        <f>IF(Y242=0,"Release",IF(AND(L242&lt;J242,Y242=1,H242=FALSE,U242=FALSE,MONTH(L242)&amp;"/"&amp;YEAR(L242)&lt;&gt;MONTH(J242)&amp;"/"&amp;YEAR(J242)),"Release",""))</f>
        <v/>
      </c>
      <c r="AA242" s="128">
        <f>_xlfn.minifs($L:$L,$C:$C,$C242,$F:$F,"&lt;&gt;0")</f>
        <v/>
      </c>
      <c r="AB242" s="128">
        <f>C242&amp;"-"&amp;A242</f>
        <v/>
      </c>
      <c r="AC242" s="128">
        <f>L242</f>
        <v/>
      </c>
    </row>
    <row r="243">
      <c r="A243" s="124" t="inlineStr">
        <is>
          <t>ZZYL01</t>
        </is>
      </c>
      <c r="B243" s="124" t="n">
        <v>7</v>
      </c>
      <c r="C243" s="124" t="inlineStr">
        <is>
          <t>HVE103</t>
        </is>
      </c>
      <c r="D243" s="124" t="inlineStr">
        <is>
          <t>E</t>
        </is>
      </c>
      <c r="E243" s="124" t="inlineStr">
        <is>
          <t>Zylstra John Robert</t>
        </is>
      </c>
      <c r="F243" s="125">
        <f>SUMIFS(Investors!$M:$M, Investors!$I:$I, "&lt;=" &amp; 'NSST Print'!$B$3, Investors!$K:$K, "&gt;" &amp; 'NSST Print'!$B$3, Investors!$A:$A, 'Investor Exit List'!A243, Investors!$E:$E, 'Investor Exit List'!C243)</f>
        <v/>
      </c>
      <c r="G243" s="126" t="n">
        <v>45443</v>
      </c>
      <c r="H243" s="124">
        <f>VLOOKUP($C243,Sales!$C:$E,2,FALSE)</f>
        <v/>
      </c>
      <c r="I243" s="124">
        <f>VLOOKUP($C243,Sales!$C:$E,3,FALSE)</f>
        <v/>
      </c>
      <c r="J243" s="126">
        <f>SUMIFS(Sales!$H:$H,Sales!$C:$C,'Investor Exit List'!$C243)</f>
        <v/>
      </c>
      <c r="K243" s="126">
        <f>IF(I243=TRUE,J243,"")</f>
        <v/>
      </c>
      <c r="L243" s="126">
        <f>G243+730</f>
        <v/>
      </c>
      <c r="M243" s="126" t="n">
        <v>45443</v>
      </c>
      <c r="N243" s="127">
        <f>IFERROR(IF(G243&lt;&gt;"",IF(I243=TRUE,0,IF(U243=TRUE,0,L243-M243)),0),0)</f>
        <v/>
      </c>
      <c r="O243" s="127">
        <f>IF(N243&gt;0,IF(N243&lt;=180,N243,0),0)</f>
        <v/>
      </c>
      <c r="P243" s="125">
        <f>IF(AND(N243&lt;90,N243&gt;0),Q243,0)</f>
        <v/>
      </c>
      <c r="Q243" s="125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25">
        <f>IF(AND(H243=TRUE,I243=FALSE),Q243,0)</f>
        <v/>
      </c>
      <c r="S243" s="125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26">
        <f>IF(U243=TRUE,$J243,"")</f>
        <v/>
      </c>
      <c r="U243" s="124" t="b">
        <v>0</v>
      </c>
      <c r="V243" s="125">
        <f>IF(AND(H243=TRUE,OR(K243="",K243&gt;M243)),S243,0)</f>
        <v/>
      </c>
      <c r="W243" s="124" t="n">
        <v>0</v>
      </c>
      <c r="X243" s="124" t="b">
        <v>0</v>
      </c>
      <c r="Y243" s="127">
        <f>IF(H243=FALSE,VLOOKUP($C243,Sales!$C:$F,4,FALSE),1)</f>
        <v/>
      </c>
      <c r="Z243" s="124">
        <f>IF(Y243=0,"Release",IF(AND(L243&lt;J243,Y243=1,H243=FALSE,U243=FALSE,MONTH(L243)&amp;"/"&amp;YEAR(L243)&lt;&gt;MONTH(J243)&amp;"/"&amp;YEAR(J243)),"Release",""))</f>
        <v/>
      </c>
      <c r="AA243" s="128">
        <f>_xlfn.minifs($L:$L,$C:$C,$C243,$F:$F,"&lt;&gt;0")</f>
        <v/>
      </c>
      <c r="AB243" s="128">
        <f>C243&amp;"-"&amp;A243</f>
        <v/>
      </c>
      <c r="AC243" s="128">
        <f>L243</f>
        <v/>
      </c>
    </row>
    <row r="244">
      <c r="A244" s="124" t="inlineStr">
        <is>
          <t>ZMYB01</t>
        </is>
      </c>
      <c r="B244" s="124" t="n">
        <v>6</v>
      </c>
      <c r="C244" s="124" t="inlineStr">
        <is>
          <t>HVE104</t>
        </is>
      </c>
      <c r="D244" s="124" t="inlineStr">
        <is>
          <t>E</t>
        </is>
      </c>
      <c r="E244" s="124" t="inlineStr">
        <is>
          <t>Myburgh Hermanus Carel</t>
        </is>
      </c>
      <c r="F244" s="125">
        <f>SUMIFS(Investors!$M:$M, Investors!$I:$I, "&lt;=" &amp; 'NSST Print'!$B$3, Investors!$K:$K, "&gt;" &amp; 'NSST Print'!$B$3, Investors!$A:$A, 'Investor Exit List'!A244, Investors!$E:$E, 'Investor Exit List'!C244)</f>
        <v/>
      </c>
      <c r="G244" s="126" t="n">
        <v>45371</v>
      </c>
      <c r="H244" s="124">
        <f>VLOOKUP($C244,Sales!$C:$E,2,FALSE)</f>
        <v/>
      </c>
      <c r="I244" s="124">
        <f>VLOOKUP($C244,Sales!$C:$E,3,FALSE)</f>
        <v/>
      </c>
      <c r="J244" s="126">
        <f>SUMIFS(Sales!$H:$H,Sales!$C:$C,'Investor Exit List'!$C244)</f>
        <v/>
      </c>
      <c r="K244" s="126">
        <f>IF(I244=TRUE,J244,"")</f>
        <v/>
      </c>
      <c r="L244" s="126">
        <f>G244+730</f>
        <v/>
      </c>
      <c r="M244" s="126" t="n">
        <v>45443</v>
      </c>
      <c r="N244" s="127">
        <f>IFERROR(IF(G244&lt;&gt;"",IF(I244=TRUE,0,IF(U244=TRUE,0,L244-M244)),0),0)</f>
        <v/>
      </c>
      <c r="O244" s="127">
        <f>IF(N244&gt;0,IF(N244&lt;=180,N244,0),0)</f>
        <v/>
      </c>
      <c r="P244" s="125">
        <f>IF(AND(N244&lt;90,N244&gt;0),Q244,0)</f>
        <v/>
      </c>
      <c r="Q244" s="125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25">
        <f>IF(AND(H244=TRUE,I244=FALSE),Q244,0)</f>
        <v/>
      </c>
      <c r="S244" s="125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26">
        <f>IF(U244=TRUE,$J244,"")</f>
        <v/>
      </c>
      <c r="U244" s="124" t="b">
        <v>0</v>
      </c>
      <c r="V244" s="125">
        <f>IF(AND(H244=TRUE,OR(K244="",K244&gt;M244)),S244,0)</f>
        <v/>
      </c>
      <c r="W244" s="124" t="n">
        <v>0</v>
      </c>
      <c r="X244" s="124" t="b">
        <v>0</v>
      </c>
      <c r="Y244" s="127">
        <f>IF(H244=FALSE,VLOOKUP($C244,Sales!$C:$F,4,FALSE),1)</f>
        <v/>
      </c>
      <c r="Z244" s="124">
        <f>IF(Y244=0,"Release",IF(AND(L244&lt;J244,Y244=1,H244=FALSE,U244=FALSE,MONTH(L244)&amp;"/"&amp;YEAR(L244)&lt;&gt;MONTH(J244)&amp;"/"&amp;YEAR(J244)),"Release",""))</f>
        <v/>
      </c>
      <c r="AA244" s="128">
        <f>_xlfn.minifs($L:$L,$C:$C,$C244,$F:$F,"&lt;&gt;0")</f>
        <v/>
      </c>
      <c r="AB244" s="128">
        <f>C244&amp;"-"&amp;A244</f>
        <v/>
      </c>
      <c r="AC244" s="128">
        <f>L244</f>
        <v/>
      </c>
    </row>
    <row r="245">
      <c r="A245" s="124" t="inlineStr">
        <is>
          <t>ZLEB01</t>
        </is>
      </c>
      <c r="B245" s="124" t="n">
        <v>13</v>
      </c>
      <c r="C245" s="124" t="inlineStr">
        <is>
          <t>HVE201</t>
        </is>
      </c>
      <c r="D245" s="124" t="inlineStr">
        <is>
          <t>E</t>
        </is>
      </c>
      <c r="E245" s="124" t="inlineStr">
        <is>
          <t>Lebusa Hopolang</t>
        </is>
      </c>
      <c r="F245" s="125">
        <f>SUMIFS(Investors!$M:$M, Investors!$I:$I, "&lt;=" &amp; 'NSST Print'!$B$3, Investors!$K:$K, "&gt;" &amp; 'NSST Print'!$B$3, Investors!$A:$A, 'Investor Exit List'!A245, Investors!$E:$E, 'Investor Exit List'!C245)</f>
        <v/>
      </c>
      <c r="G245" s="126" t="n">
        <v>45408</v>
      </c>
      <c r="H245" s="124">
        <f>VLOOKUP($C245,Sales!$C:$E,2,FALSE)</f>
        <v/>
      </c>
      <c r="I245" s="124">
        <f>VLOOKUP($C245,Sales!$C:$E,3,FALSE)</f>
        <v/>
      </c>
      <c r="J245" s="126">
        <f>SUMIFS(Sales!$H:$H,Sales!$C:$C,'Investor Exit List'!$C245)</f>
        <v/>
      </c>
      <c r="K245" s="126">
        <f>IF(I245=TRUE,J245,"")</f>
        <v/>
      </c>
      <c r="L245" s="126">
        <f>G245+730</f>
        <v/>
      </c>
      <c r="M245" s="126" t="n">
        <v>45443</v>
      </c>
      <c r="N245" s="127">
        <f>IFERROR(IF(G245&lt;&gt;"",IF(I245=TRUE,0,IF(U245=TRUE,0,L245-M245)),0),0)</f>
        <v/>
      </c>
      <c r="O245" s="127">
        <f>IF(N245&gt;0,IF(N245&lt;=180,N245,0),0)</f>
        <v/>
      </c>
      <c r="P245" s="125">
        <f>IF(AND(N245&lt;90,N245&gt;0),Q245,0)</f>
        <v/>
      </c>
      <c r="Q245" s="125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25">
        <f>IF(AND(H245=TRUE,I245=FALSE),Q245,0)</f>
        <v/>
      </c>
      <c r="S245" s="125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26">
        <f>IF(U245=TRUE,$J245,"")</f>
        <v/>
      </c>
      <c r="U245" s="124" t="b">
        <v>0</v>
      </c>
      <c r="V245" s="125">
        <f>IF(AND(H245=TRUE,OR(K245="",K245&gt;M245)),S245,0)</f>
        <v/>
      </c>
      <c r="W245" s="124" t="n">
        <v>0</v>
      </c>
      <c r="X245" s="124" t="b">
        <v>0</v>
      </c>
      <c r="Y245" s="127">
        <f>IF(H245=FALSE,VLOOKUP($C245,Sales!$C:$F,4,FALSE),1)</f>
        <v/>
      </c>
      <c r="Z245" s="124">
        <f>IF(Y245=0,"Release",IF(AND(L245&lt;J245,Y245=1,H245=FALSE,U245=FALSE,MONTH(L245)&amp;"/"&amp;YEAR(L245)&lt;&gt;MONTH(J245)&amp;"/"&amp;YEAR(J245)),"Release",""))</f>
        <v/>
      </c>
      <c r="AA245" s="128">
        <f>_xlfn.minifs($L:$L,$C:$C,$C245,$F:$F,"&lt;&gt;0")</f>
        <v/>
      </c>
      <c r="AB245" s="128">
        <f>C245&amp;"-"&amp;A245</f>
        <v/>
      </c>
      <c r="AC245" s="128">
        <f>L245</f>
        <v/>
      </c>
    </row>
    <row r="246">
      <c r="A246" s="124" t="inlineStr">
        <is>
          <t>ZSCO01</t>
        </is>
      </c>
      <c r="B246" s="124" t="n">
        <v>2</v>
      </c>
      <c r="C246" s="124" t="inlineStr">
        <is>
          <t>HVE201</t>
        </is>
      </c>
      <c r="D246" s="124" t="inlineStr">
        <is>
          <t>E</t>
        </is>
      </c>
      <c r="E246" s="124" t="inlineStr">
        <is>
          <t>Scott Caryn</t>
        </is>
      </c>
      <c r="F246" s="125">
        <f>SUMIFS(Investors!$M:$M, Investors!$I:$I, "&lt;=" &amp; 'NSST Print'!$B$3, Investors!$K:$K, "&gt;" &amp; 'NSST Print'!$B$3, Investors!$A:$A, 'Investor Exit List'!A246, Investors!$E:$E, 'Investor Exit List'!C246)</f>
        <v/>
      </c>
      <c r="G246" s="126" t="n">
        <v>45350</v>
      </c>
      <c r="H246" s="124">
        <f>VLOOKUP($C246,Sales!$C:$E,2,FALSE)</f>
        <v/>
      </c>
      <c r="I246" s="124">
        <f>VLOOKUP($C246,Sales!$C:$E,3,FALSE)</f>
        <v/>
      </c>
      <c r="J246" s="126">
        <f>SUMIFS(Sales!$H:$H,Sales!$C:$C,'Investor Exit List'!$C246)</f>
        <v/>
      </c>
      <c r="K246" s="126">
        <f>IF(I246=TRUE,J246,"")</f>
        <v/>
      </c>
      <c r="L246" s="126">
        <f>G246+730</f>
        <v/>
      </c>
      <c r="M246" s="126" t="n">
        <v>45443</v>
      </c>
      <c r="N246" s="127">
        <f>IFERROR(IF(G246&lt;&gt;"",IF(I246=TRUE,0,IF(U246=TRUE,0,L246-M246)),0),0)</f>
        <v/>
      </c>
      <c r="O246" s="127">
        <f>IF(N246&gt;0,IF(N246&lt;=180,N246,0),0)</f>
        <v/>
      </c>
      <c r="P246" s="125">
        <f>IF(AND(N246&lt;90,N246&gt;0),Q246,0)</f>
        <v/>
      </c>
      <c r="Q246" s="125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25">
        <f>IF(AND(H246=TRUE,I246=FALSE),Q246,0)</f>
        <v/>
      </c>
      <c r="S246" s="125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26">
        <f>IF(U246=TRUE,$J246,"")</f>
        <v/>
      </c>
      <c r="U246" s="124" t="b">
        <v>0</v>
      </c>
      <c r="V246" s="125">
        <f>IF(AND(H246=TRUE,OR(K246="",K246&gt;M246)),S246,0)</f>
        <v/>
      </c>
      <c r="W246" s="124" t="n">
        <v>0</v>
      </c>
      <c r="X246" s="124" t="b">
        <v>0</v>
      </c>
      <c r="Y246" s="127">
        <f>IF(H246=FALSE,VLOOKUP($C246,Sales!$C:$F,4,FALSE),1)</f>
        <v/>
      </c>
      <c r="Z246" s="124">
        <f>IF(Y246=0,"Release",IF(AND(L246&lt;J246,Y246=1,H246=FALSE,U246=FALSE,MONTH(L246)&amp;"/"&amp;YEAR(L246)&lt;&gt;MONTH(J246)&amp;"/"&amp;YEAR(J246)),"Release",""))</f>
        <v/>
      </c>
      <c r="AA246" s="128">
        <f>_xlfn.minifs($L:$L,$C:$C,$C246,$F:$F,"&lt;&gt;0")</f>
        <v/>
      </c>
      <c r="AB246" s="128">
        <f>C246&amp;"-"&amp;A246</f>
        <v/>
      </c>
      <c r="AC246" s="128">
        <f>L246</f>
        <v/>
      </c>
    </row>
    <row r="247">
      <c r="A247" s="124" t="inlineStr">
        <is>
          <t>ZMYB01</t>
        </is>
      </c>
      <c r="B247" s="124" t="n">
        <v>7</v>
      </c>
      <c r="C247" s="124" t="inlineStr">
        <is>
          <t>HVE202</t>
        </is>
      </c>
      <c r="D247" s="124" t="inlineStr">
        <is>
          <t>E</t>
        </is>
      </c>
      <c r="E247" s="124" t="inlineStr">
        <is>
          <t>Myburgh Hermanus Carel</t>
        </is>
      </c>
      <c r="F247" s="125">
        <f>SUMIFS(Investors!$M:$M, Investors!$I:$I, "&lt;=" &amp; 'NSST Print'!$B$3, Investors!$K:$K, "&gt;" &amp; 'NSST Print'!$B$3, Investors!$A:$A, 'Investor Exit List'!A247, Investors!$E:$E, 'Investor Exit List'!C247)</f>
        <v/>
      </c>
      <c r="G247" s="126" t="n">
        <v>45371</v>
      </c>
      <c r="H247" s="124">
        <f>VLOOKUP($C247,Sales!$C:$E,2,FALSE)</f>
        <v/>
      </c>
      <c r="I247" s="124">
        <f>VLOOKUP($C247,Sales!$C:$E,3,FALSE)</f>
        <v/>
      </c>
      <c r="J247" s="126">
        <f>SUMIFS(Sales!$H:$H,Sales!$C:$C,'Investor Exit List'!$C247)</f>
        <v/>
      </c>
      <c r="K247" s="126">
        <f>IF(I247=TRUE,J247,"")</f>
        <v/>
      </c>
      <c r="L247" s="126">
        <f>G247+730</f>
        <v/>
      </c>
      <c r="M247" s="126" t="n">
        <v>45443</v>
      </c>
      <c r="N247" s="127">
        <f>IFERROR(IF(G247&lt;&gt;"",IF(I247=TRUE,0,IF(U247=TRUE,0,L247-M247)),0),0)</f>
        <v/>
      </c>
      <c r="O247" s="127">
        <f>IF(N247&gt;0,IF(N247&lt;=180,N247,0),0)</f>
        <v/>
      </c>
      <c r="P247" s="125">
        <f>IF(AND(N247&lt;90,N247&gt;0),Q247,0)</f>
        <v/>
      </c>
      <c r="Q247" s="125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25">
        <f>IF(AND(H247=TRUE,I247=FALSE),Q247,0)</f>
        <v/>
      </c>
      <c r="S247" s="125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26">
        <f>IF(U247=TRUE,$J247,"")</f>
        <v/>
      </c>
      <c r="U247" s="124" t="b">
        <v>0</v>
      </c>
      <c r="V247" s="125">
        <f>IF(AND(H247=TRUE,OR(K247="",K247&gt;M247)),S247,0)</f>
        <v/>
      </c>
      <c r="W247" s="124" t="n">
        <v>0</v>
      </c>
      <c r="X247" s="124" t="b">
        <v>0</v>
      </c>
      <c r="Y247" s="127">
        <f>IF(H247=FALSE,VLOOKUP($C247,Sales!$C:$F,4,FALSE),1)</f>
        <v/>
      </c>
      <c r="Z247" s="124">
        <f>IF(Y247=0,"Release",IF(AND(L247&lt;J247,Y247=1,H247=FALSE,U247=FALSE,MONTH(L247)&amp;"/"&amp;YEAR(L247)&lt;&gt;MONTH(J247)&amp;"/"&amp;YEAR(J247)),"Release",""))</f>
        <v/>
      </c>
      <c r="AA247" s="128">
        <f>_xlfn.minifs($L:$L,$C:$C,$C247,$F:$F,"&lt;&gt;0")</f>
        <v/>
      </c>
      <c r="AB247" s="128">
        <f>C247&amp;"-"&amp;A247</f>
        <v/>
      </c>
      <c r="AC247" s="128">
        <f>L247</f>
        <v/>
      </c>
    </row>
    <row r="248">
      <c r="A248" s="124" t="inlineStr">
        <is>
          <t>ZHOW01</t>
        </is>
      </c>
      <c r="B248" s="124" t="n">
        <v>1</v>
      </c>
      <c r="C248" s="124" t="inlineStr">
        <is>
          <t>HVE203</t>
        </is>
      </c>
      <c r="D248" s="124" t="inlineStr">
        <is>
          <t>E</t>
        </is>
      </c>
      <c r="E248" s="124" t="inlineStr">
        <is>
          <t>Howe David Mark</t>
        </is>
      </c>
      <c r="F248" s="125">
        <f>SUMIFS(Investors!$M:$M, Investors!$I:$I, "&lt;=" &amp; 'NSST Print'!$B$3, Investors!$K:$K, "&gt;" &amp; 'NSST Print'!$B$3, Investors!$A:$A, 'Investor Exit List'!A248, Investors!$E:$E, 'Investor Exit List'!C248)</f>
        <v/>
      </c>
      <c r="G248" s="126" t="n">
        <v>45321</v>
      </c>
      <c r="H248" s="124">
        <f>VLOOKUP($C248,Sales!$C:$E,2,FALSE)</f>
        <v/>
      </c>
      <c r="I248" s="124">
        <f>VLOOKUP($C248,Sales!$C:$E,3,FALSE)</f>
        <v/>
      </c>
      <c r="J248" s="126">
        <f>SUMIFS(Sales!$H:$H,Sales!$C:$C,'Investor Exit List'!$C248)</f>
        <v/>
      </c>
      <c r="K248" s="126">
        <f>IF(I248=TRUE,J248,"")</f>
        <v/>
      </c>
      <c r="L248" s="126">
        <f>G248+730</f>
        <v/>
      </c>
      <c r="M248" s="126" t="n">
        <v>45443</v>
      </c>
      <c r="N248" s="127">
        <f>IFERROR(IF(G248&lt;&gt;"",IF(I248=TRUE,0,IF(U248=TRUE,0,L248-M248)),0),0)</f>
        <v/>
      </c>
      <c r="O248" s="127">
        <f>IF(N248&gt;0,IF(N248&lt;=180,N248,0),0)</f>
        <v/>
      </c>
      <c r="P248" s="125">
        <f>IF(AND(N248&lt;90,N248&gt;0),Q248,0)</f>
        <v/>
      </c>
      <c r="Q248" s="125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25">
        <f>IF(AND(H248=TRUE,I248=FALSE),Q248,0)</f>
        <v/>
      </c>
      <c r="S248" s="125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26">
        <f>IF(U248=TRUE,$J248,"")</f>
        <v/>
      </c>
      <c r="U248" s="124" t="b">
        <v>0</v>
      </c>
      <c r="V248" s="125">
        <f>IF(AND(H248=TRUE,OR(K248="",K248&gt;M248)),S248,0)</f>
        <v/>
      </c>
      <c r="W248" s="124" t="n">
        <v>0</v>
      </c>
      <c r="X248" s="124" t="b">
        <v>0</v>
      </c>
      <c r="Y248" s="127">
        <f>IF(H248=FALSE,VLOOKUP($C248,Sales!$C:$F,4,FALSE),1)</f>
        <v/>
      </c>
      <c r="Z248" s="124">
        <f>IF(Y248=0,"Release",IF(AND(L248&lt;J248,Y248=1,H248=FALSE,U248=FALSE,MONTH(L248)&amp;"/"&amp;YEAR(L248)&lt;&gt;MONTH(J248)&amp;"/"&amp;YEAR(J248)),"Release",""))</f>
        <v/>
      </c>
      <c r="AA248" s="128">
        <f>_xlfn.minifs($L:$L,$C:$C,$C248,$F:$F,"&lt;&gt;0")</f>
        <v/>
      </c>
      <c r="AB248" s="128">
        <f>C248&amp;"-"&amp;A248</f>
        <v/>
      </c>
      <c r="AC248" s="128">
        <f>L248</f>
        <v/>
      </c>
    </row>
    <row r="249">
      <c r="A249" s="124" t="inlineStr">
        <is>
          <t>ZMYB01</t>
        </is>
      </c>
      <c r="B249" s="124" t="n">
        <v>8</v>
      </c>
      <c r="C249" s="124" t="inlineStr">
        <is>
          <t>HVE204</t>
        </is>
      </c>
      <c r="D249" s="124" t="inlineStr">
        <is>
          <t>E</t>
        </is>
      </c>
      <c r="E249" s="124" t="inlineStr">
        <is>
          <t>Myburgh Hermanus Carel</t>
        </is>
      </c>
      <c r="F249" s="125">
        <f>SUMIFS(Investors!$M:$M, Investors!$I:$I, "&lt;=" &amp; 'NSST Print'!$B$3, Investors!$K:$K, "&gt;" &amp; 'NSST Print'!$B$3, Investors!$A:$A, 'Investor Exit List'!A249, Investors!$E:$E, 'Investor Exit List'!C249)</f>
        <v/>
      </c>
      <c r="G249" s="126" t="n">
        <v>45371</v>
      </c>
      <c r="H249" s="124">
        <f>VLOOKUP($C249,Sales!$C:$E,2,FALSE)</f>
        <v/>
      </c>
      <c r="I249" s="124">
        <f>VLOOKUP($C249,Sales!$C:$E,3,FALSE)</f>
        <v/>
      </c>
      <c r="J249" s="126">
        <f>SUMIFS(Sales!$H:$H,Sales!$C:$C,'Investor Exit List'!$C249)</f>
        <v/>
      </c>
      <c r="K249" s="126">
        <f>IF(I249=TRUE,J249,"")</f>
        <v/>
      </c>
      <c r="L249" s="126">
        <f>G249+730</f>
        <v/>
      </c>
      <c r="M249" s="126" t="n">
        <v>45443</v>
      </c>
      <c r="N249" s="127">
        <f>IFERROR(IF(G249&lt;&gt;"",IF(I249=TRUE,0,IF(U249=TRUE,0,L249-M249)),0),0)</f>
        <v/>
      </c>
      <c r="O249" s="127">
        <f>IF(N249&gt;0,IF(N249&lt;=180,N249,0),0)</f>
        <v/>
      </c>
      <c r="P249" s="125">
        <f>IF(AND(N249&lt;90,N249&gt;0),Q249,0)</f>
        <v/>
      </c>
      <c r="Q249" s="125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25">
        <f>IF(AND(H249=TRUE,I249=FALSE),Q249,0)</f>
        <v/>
      </c>
      <c r="S249" s="125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26">
        <f>IF(U249=TRUE,$J249,"")</f>
        <v/>
      </c>
      <c r="U249" s="124" t="b">
        <v>0</v>
      </c>
      <c r="V249" s="125">
        <f>IF(AND(H249=TRUE,OR(K249="",K249&gt;M249)),S249,0)</f>
        <v/>
      </c>
      <c r="W249" s="124" t="n">
        <v>0</v>
      </c>
      <c r="X249" s="124" t="b">
        <v>0</v>
      </c>
      <c r="Y249" s="127">
        <f>IF(H249=FALSE,VLOOKUP($C249,Sales!$C:$F,4,FALSE),1)</f>
        <v/>
      </c>
      <c r="Z249" s="124">
        <f>IF(Y249=0,"Release",IF(AND(L249&lt;J249,Y249=1,H249=FALSE,U249=FALSE,MONTH(L249)&amp;"/"&amp;YEAR(L249)&lt;&gt;MONTH(J249)&amp;"/"&amp;YEAR(J249)),"Release",""))</f>
        <v/>
      </c>
      <c r="AA249" s="128">
        <f>_xlfn.minifs($L:$L,$C:$C,$C249,$F:$F,"&lt;&gt;0")</f>
        <v/>
      </c>
      <c r="AB249" s="128">
        <f>C249&amp;"-"&amp;A249</f>
        <v/>
      </c>
      <c r="AC249" s="128">
        <f>L249</f>
        <v/>
      </c>
    </row>
    <row r="250">
      <c r="A250" s="124" t="inlineStr">
        <is>
          <t>ZMYB01</t>
        </is>
      </c>
      <c r="B250" s="124" t="n">
        <v>9</v>
      </c>
      <c r="C250" s="124" t="inlineStr">
        <is>
          <t>HVE301</t>
        </is>
      </c>
      <c r="D250" s="124" t="inlineStr">
        <is>
          <t>E</t>
        </is>
      </c>
      <c r="E250" s="124" t="inlineStr">
        <is>
          <t>Myburgh Hermanus Carel</t>
        </is>
      </c>
      <c r="F250" s="125">
        <f>SUMIFS(Investors!$M:$M, Investors!$I:$I, "&lt;=" &amp; 'NSST Print'!$B$3, Investors!$K:$K, "&gt;" &amp; 'NSST Print'!$B$3, Investors!$A:$A, 'Investor Exit List'!A250, Investors!$E:$E, 'Investor Exit List'!C250)</f>
        <v/>
      </c>
      <c r="G250" s="126" t="n">
        <v>45350</v>
      </c>
      <c r="H250" s="124">
        <f>VLOOKUP($C250,Sales!$C:$E,2,FALSE)</f>
        <v/>
      </c>
      <c r="I250" s="124">
        <f>VLOOKUP($C250,Sales!$C:$E,3,FALSE)</f>
        <v/>
      </c>
      <c r="J250" s="126">
        <f>SUMIFS(Sales!$H:$H,Sales!$C:$C,'Investor Exit List'!$C250)</f>
        <v/>
      </c>
      <c r="K250" s="126">
        <f>IF(I250=TRUE,J250,"")</f>
        <v/>
      </c>
      <c r="L250" s="126">
        <f>G250+730</f>
        <v/>
      </c>
      <c r="M250" s="126" t="n">
        <v>45443</v>
      </c>
      <c r="N250" s="127">
        <f>IFERROR(IF(G250&lt;&gt;"",IF(I250=TRUE,0,IF(U250=TRUE,0,L250-M250)),0),0)</f>
        <v/>
      </c>
      <c r="O250" s="127">
        <f>IF(N250&gt;0,IF(N250&lt;=180,N250,0),0)</f>
        <v/>
      </c>
      <c r="P250" s="125">
        <f>IF(AND(N250&lt;90,N250&gt;0),Q250,0)</f>
        <v/>
      </c>
      <c r="Q250" s="125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25">
        <f>IF(AND(H250=TRUE,I250=FALSE),Q250,0)</f>
        <v/>
      </c>
      <c r="S250" s="125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26">
        <f>IF(U250=TRUE,$J250,"")</f>
        <v/>
      </c>
      <c r="U250" s="124" t="b">
        <v>0</v>
      </c>
      <c r="V250" s="125">
        <f>IF(AND(H250=TRUE,OR(K250="",K250&gt;M250)),S250,0)</f>
        <v/>
      </c>
      <c r="W250" s="124" t="n">
        <v>0</v>
      </c>
      <c r="X250" s="124" t="b">
        <v>0</v>
      </c>
      <c r="Y250" s="127">
        <f>IF(H250=FALSE,VLOOKUP($C250,Sales!$C:$F,4,FALSE),1)</f>
        <v/>
      </c>
      <c r="Z250" s="124">
        <f>IF(Y250=0,"Release",IF(AND(L250&lt;J250,Y250=1,H250=FALSE,U250=FALSE,MONTH(L250)&amp;"/"&amp;YEAR(L250)&lt;&gt;MONTH(J250)&amp;"/"&amp;YEAR(J250)),"Release",""))</f>
        <v/>
      </c>
      <c r="AA250" s="128">
        <f>_xlfn.minifs($L:$L,$C:$C,$C250,$F:$F,"&lt;&gt;0")</f>
        <v/>
      </c>
      <c r="AB250" s="128">
        <f>C250&amp;"-"&amp;A250</f>
        <v/>
      </c>
      <c r="AC250" s="128">
        <f>L250</f>
        <v/>
      </c>
    </row>
    <row r="251">
      <c r="A251" s="124" t="inlineStr">
        <is>
          <t>ZHOW01</t>
        </is>
      </c>
      <c r="B251" s="124" t="n">
        <v>2</v>
      </c>
      <c r="C251" s="124" t="inlineStr">
        <is>
          <t>HVE302</t>
        </is>
      </c>
      <c r="D251" s="124" t="inlineStr">
        <is>
          <t>E</t>
        </is>
      </c>
      <c r="E251" s="124" t="inlineStr">
        <is>
          <t>Howe David Mark</t>
        </is>
      </c>
      <c r="F251" s="125">
        <f>SUMIFS(Investors!$M:$M, Investors!$I:$I, "&lt;=" &amp; 'NSST Print'!$B$3, Investors!$K:$K, "&gt;" &amp; 'NSST Print'!$B$3, Investors!$A:$A, 'Investor Exit List'!A251, Investors!$E:$E, 'Investor Exit List'!C251)</f>
        <v/>
      </c>
      <c r="G251" s="126" t="n">
        <v>45321</v>
      </c>
      <c r="H251" s="124">
        <f>VLOOKUP($C251,Sales!$C:$E,2,FALSE)</f>
        <v/>
      </c>
      <c r="I251" s="124">
        <f>VLOOKUP($C251,Sales!$C:$E,3,FALSE)</f>
        <v/>
      </c>
      <c r="J251" s="126">
        <f>SUMIFS(Sales!$H:$H,Sales!$C:$C,'Investor Exit List'!$C251)</f>
        <v/>
      </c>
      <c r="K251" s="126">
        <f>IF(I251=TRUE,J251,"")</f>
        <v/>
      </c>
      <c r="L251" s="126">
        <f>G251+730</f>
        <v/>
      </c>
      <c r="M251" s="126" t="n">
        <v>45443</v>
      </c>
      <c r="N251" s="127">
        <f>IFERROR(IF(G251&lt;&gt;"",IF(I251=TRUE,0,IF(U251=TRUE,0,L251-M251)),0),0)</f>
        <v/>
      </c>
      <c r="O251" s="127">
        <f>IF(N251&gt;0,IF(N251&lt;=180,N251,0),0)</f>
        <v/>
      </c>
      <c r="P251" s="125">
        <f>IF(AND(N251&lt;90,N251&gt;0),Q251,0)</f>
        <v/>
      </c>
      <c r="Q251" s="125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25">
        <f>IF(AND(H251=TRUE,I251=FALSE),Q251,0)</f>
        <v/>
      </c>
      <c r="S251" s="125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26">
        <f>IF(U251=TRUE,$J251,"")</f>
        <v/>
      </c>
      <c r="U251" s="124" t="b">
        <v>0</v>
      </c>
      <c r="V251" s="125">
        <f>IF(AND(H251=TRUE,OR(K251="",K251&gt;M251)),S251,0)</f>
        <v/>
      </c>
      <c r="W251" s="124" t="n">
        <v>0</v>
      </c>
      <c r="X251" s="124" t="b">
        <v>0</v>
      </c>
      <c r="Y251" s="127">
        <f>IF(H251=FALSE,VLOOKUP($C251,Sales!$C:$F,4,FALSE),1)</f>
        <v/>
      </c>
      <c r="Z251" s="124">
        <f>IF(Y251=0,"Release",IF(AND(L251&lt;J251,Y251=1,H251=FALSE,U251=FALSE,MONTH(L251)&amp;"/"&amp;YEAR(L251)&lt;&gt;MONTH(J251)&amp;"/"&amp;YEAR(J251)),"Release",""))</f>
        <v/>
      </c>
      <c r="AA251" s="128">
        <f>_xlfn.minifs($L:$L,$C:$C,$C251,$F:$F,"&lt;&gt;0")</f>
        <v/>
      </c>
      <c r="AB251" s="128">
        <f>C251&amp;"-"&amp;A251</f>
        <v/>
      </c>
      <c r="AC251" s="128">
        <f>L251</f>
        <v/>
      </c>
    </row>
    <row r="252">
      <c r="A252" s="124" t="inlineStr">
        <is>
          <t>ZCRO01</t>
        </is>
      </c>
      <c r="B252" s="124" t="n">
        <v>17</v>
      </c>
      <c r="C252" s="124" t="inlineStr">
        <is>
          <t>HVE303</t>
        </is>
      </c>
      <c r="D252" s="124" t="inlineStr">
        <is>
          <t>E</t>
        </is>
      </c>
      <c r="E252" s="124" t="inlineStr">
        <is>
          <t>Lunau Marc</t>
        </is>
      </c>
      <c r="F252" s="125">
        <f>SUMIFS(Investors!$M:$M, Investors!$I:$I, "&lt;=" &amp; 'NSST Print'!$B$3, Investors!$K:$K, "&gt;" &amp; 'NSST Print'!$B$3, Investors!$A:$A, 'Investor Exit List'!A252, Investors!$E:$E, 'Investor Exit List'!C252)</f>
        <v/>
      </c>
      <c r="G252" s="126" t="n">
        <v>45224</v>
      </c>
      <c r="H252" s="124">
        <f>VLOOKUP($C252,Sales!$C:$E,2,FALSE)</f>
        <v/>
      </c>
      <c r="I252" s="124">
        <f>VLOOKUP($C252,Sales!$C:$E,3,FALSE)</f>
        <v/>
      </c>
      <c r="J252" s="126">
        <f>SUMIFS(Sales!$H:$H,Sales!$C:$C,'Investor Exit List'!$C252)</f>
        <v/>
      </c>
      <c r="K252" s="126">
        <f>IF(I252=TRUE,J252,"")</f>
        <v/>
      </c>
      <c r="L252" s="126">
        <f>G252+730</f>
        <v/>
      </c>
      <c r="M252" s="126" t="n">
        <v>45443</v>
      </c>
      <c r="N252" s="127">
        <f>IFERROR(IF(G252&lt;&gt;"",IF(I252=TRUE,0,IF(U252=TRUE,0,L252-M252)),0),0)</f>
        <v/>
      </c>
      <c r="O252" s="127">
        <f>IF(N252&gt;0,IF(N252&lt;=180,N252,0),0)</f>
        <v/>
      </c>
      <c r="P252" s="125">
        <f>IF(AND(N252&lt;90,N252&gt;0),Q252,0)</f>
        <v/>
      </c>
      <c r="Q252" s="125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25">
        <f>IF(AND(H252=TRUE,I252=FALSE),Q252,0)</f>
        <v/>
      </c>
      <c r="S252" s="125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26">
        <f>IF(U252=TRUE,$J252,"")</f>
        <v/>
      </c>
      <c r="U252" s="124" t="b">
        <v>0</v>
      </c>
      <c r="V252" s="125">
        <f>IF(AND(H252=TRUE,OR(K252="",K252&gt;M252)),S252,0)</f>
        <v/>
      </c>
      <c r="W252" s="124" t="n">
        <v>0</v>
      </c>
      <c r="X252" s="124" t="b">
        <v>0</v>
      </c>
      <c r="Y252" s="127">
        <f>IF(H252=FALSE,VLOOKUP($C252,Sales!$C:$F,4,FALSE),1)</f>
        <v/>
      </c>
      <c r="Z252" s="124">
        <f>IF(Y252=0,"Release",IF(AND(L252&lt;J252,Y252=1,H252=FALSE,U252=FALSE,MONTH(L252)&amp;"/"&amp;YEAR(L252)&lt;&gt;MONTH(J252)&amp;"/"&amp;YEAR(J252)),"Release",""))</f>
        <v/>
      </c>
      <c r="AA252" s="128">
        <f>_xlfn.minifs($L:$L,$C:$C,$C252,$F:$F,"&lt;&gt;0")</f>
        <v/>
      </c>
      <c r="AB252" s="128">
        <f>C252&amp;"-"&amp;A252</f>
        <v/>
      </c>
      <c r="AC252" s="128">
        <f>L252</f>
        <v/>
      </c>
    </row>
    <row r="253">
      <c r="A253" s="124" t="inlineStr">
        <is>
          <t>ZHAA02</t>
        </is>
      </c>
      <c r="B253" s="124" t="n">
        <v>2</v>
      </c>
      <c r="C253" s="124" t="inlineStr">
        <is>
          <t>HVE303</t>
        </is>
      </c>
      <c r="D253" s="124" t="inlineStr">
        <is>
          <t>E</t>
        </is>
      </c>
      <c r="E253" s="124" t="inlineStr">
        <is>
          <t>Haasbroek Wilhelmina Petronella (Willa)</t>
        </is>
      </c>
      <c r="F253" s="125">
        <f>SUMIFS(Investors!$M:$M, Investors!$I:$I, "&lt;=" &amp; 'NSST Print'!$B$3, Investors!$K:$K, "&gt;" &amp; 'NSST Print'!$B$3, Investors!$A:$A, 'Investor Exit List'!A253, Investors!$E:$E, 'Investor Exit List'!C253)</f>
        <v/>
      </c>
      <c r="G253" s="126" t="n">
        <v>45468</v>
      </c>
      <c r="H253" s="124">
        <f>VLOOKUP($C253,Sales!$C:$E,2,FALSE)</f>
        <v/>
      </c>
      <c r="I253" s="124">
        <f>VLOOKUP($C253,Sales!$C:$E,3,FALSE)</f>
        <v/>
      </c>
      <c r="J253" s="126">
        <f>SUMIFS(Sales!$H:$H,Sales!$C:$C,'Investor Exit List'!$C253)</f>
        <v/>
      </c>
      <c r="K253" s="126">
        <f>IF(I253=TRUE,J253,"")</f>
        <v/>
      </c>
      <c r="L253" s="126">
        <f>G253+730</f>
        <v/>
      </c>
      <c r="M253" s="126" t="n">
        <v>45443</v>
      </c>
      <c r="N253" s="127">
        <f>IFERROR(IF(G253&lt;&gt;"",IF(I253=TRUE,0,IF(U253=TRUE,0,L253-M253)),0),0)</f>
        <v/>
      </c>
      <c r="O253" s="127">
        <f>IF(N253&gt;0,IF(N253&lt;=180,N253,0),0)</f>
        <v/>
      </c>
      <c r="P253" s="125">
        <f>IF(AND(N253&lt;90,N253&gt;0),Q253,0)</f>
        <v/>
      </c>
      <c r="Q253" s="125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25">
        <f>IF(AND(H253=TRUE,I253=FALSE),Q253,0)</f>
        <v/>
      </c>
      <c r="S253" s="125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26">
        <f>IF(U253=TRUE,$J253,"")</f>
        <v/>
      </c>
      <c r="U253" s="124" t="b">
        <v>0</v>
      </c>
      <c r="V253" s="125">
        <f>IF(AND(H253=TRUE,OR(K253="",K253&gt;M253)),S253,0)</f>
        <v/>
      </c>
      <c r="W253" s="124" t="n">
        <v>0</v>
      </c>
      <c r="X253" s="124" t="b">
        <v>0</v>
      </c>
      <c r="Y253" s="127">
        <f>IF(H253=FALSE,VLOOKUP($C253,Sales!$C:$F,4,FALSE),1)</f>
        <v/>
      </c>
      <c r="Z253" s="124">
        <f>IF(Y253=0,"Release",IF(AND(L253&lt;J253,Y253=1,H253=FALSE,U253=FALSE,MONTH(L253)&amp;"/"&amp;YEAR(L253)&lt;&gt;MONTH(J253)&amp;"/"&amp;YEAR(J253)),"Release",""))</f>
        <v/>
      </c>
      <c r="AA253" s="128">
        <f>_xlfn.minifs($L:$L,$C:$C,$C253,$F:$F,"&lt;&gt;0")</f>
        <v/>
      </c>
      <c r="AB253" s="128">
        <f>C253&amp;"-"&amp;A253</f>
        <v/>
      </c>
      <c r="AC253" s="128">
        <f>L253</f>
        <v/>
      </c>
    </row>
    <row r="254">
      <c r="A254" s="124" t="inlineStr">
        <is>
          <t>ZHOW01</t>
        </is>
      </c>
      <c r="B254" s="124" t="n">
        <v>3</v>
      </c>
      <c r="C254" s="124" t="inlineStr">
        <is>
          <t>HVE303</t>
        </is>
      </c>
      <c r="D254" s="124" t="inlineStr">
        <is>
          <t>E</t>
        </is>
      </c>
      <c r="E254" s="124" t="inlineStr">
        <is>
          <t>Howe David Mark</t>
        </is>
      </c>
      <c r="F254" s="125">
        <f>SUMIFS(Investors!$M:$M, Investors!$I:$I, "&lt;=" &amp; 'NSST Print'!$B$3, Investors!$K:$K, "&gt;" &amp; 'NSST Print'!$B$3, Investors!$A:$A, 'Investor Exit List'!A254, Investors!$E:$E, 'Investor Exit List'!C254)</f>
        <v/>
      </c>
      <c r="G254" s="126" t="n">
        <v>45321</v>
      </c>
      <c r="H254" s="124">
        <f>VLOOKUP($C254,Sales!$C:$E,2,FALSE)</f>
        <v/>
      </c>
      <c r="I254" s="124">
        <f>VLOOKUP($C254,Sales!$C:$E,3,FALSE)</f>
        <v/>
      </c>
      <c r="J254" s="126">
        <f>SUMIFS(Sales!$H:$H,Sales!$C:$C,'Investor Exit List'!$C254)</f>
        <v/>
      </c>
      <c r="K254" s="126">
        <f>IF(I254=TRUE,J254,"")</f>
        <v/>
      </c>
      <c r="L254" s="126">
        <f>G254+730</f>
        <v/>
      </c>
      <c r="M254" s="126" t="n">
        <v>45443</v>
      </c>
      <c r="N254" s="127">
        <f>IFERROR(IF(G254&lt;&gt;"",IF(I254=TRUE,0,IF(U254=TRUE,0,L254-M254)),0),0)</f>
        <v/>
      </c>
      <c r="O254" s="127">
        <f>IF(N254&gt;0,IF(N254&lt;=180,N254,0),0)</f>
        <v/>
      </c>
      <c r="P254" s="125">
        <f>IF(AND(N254&lt;90,N254&gt;0),Q254,0)</f>
        <v/>
      </c>
      <c r="Q254" s="125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25">
        <f>IF(AND(H254=TRUE,I254=FALSE),Q254,0)</f>
        <v/>
      </c>
      <c r="S254" s="125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26">
        <f>IF(U254=TRUE,$J254,"")</f>
        <v/>
      </c>
      <c r="U254" s="124" t="b">
        <v>0</v>
      </c>
      <c r="V254" s="125">
        <f>IF(AND(H254=TRUE,OR(K254="",K254&gt;M254)),S254,0)</f>
        <v/>
      </c>
      <c r="W254" s="124" t="n">
        <v>0</v>
      </c>
      <c r="X254" s="124" t="b">
        <v>0</v>
      </c>
      <c r="Y254" s="127">
        <f>IF(H254=FALSE,VLOOKUP($C254,Sales!$C:$F,4,FALSE),1)</f>
        <v/>
      </c>
      <c r="Z254" s="124">
        <f>IF(Y254=0,"Release",IF(AND(L254&lt;J254,Y254=1,H254=FALSE,U254=FALSE,MONTH(L254)&amp;"/"&amp;YEAR(L254)&lt;&gt;MONTH(J254)&amp;"/"&amp;YEAR(J254)),"Release",""))</f>
        <v/>
      </c>
      <c r="AA254" s="128">
        <f>_xlfn.minifs($L:$L,$C:$C,$C254,$F:$F,"&lt;&gt;0")</f>
        <v/>
      </c>
      <c r="AB254" s="128">
        <f>C254&amp;"-"&amp;A254</f>
        <v/>
      </c>
      <c r="AC254" s="128">
        <f>L254</f>
        <v/>
      </c>
    </row>
    <row r="255">
      <c r="A255" s="124" t="inlineStr">
        <is>
          <t>ZLAL01</t>
        </is>
      </c>
      <c r="B255" s="124" t="n">
        <v>1</v>
      </c>
      <c r="C255" s="124" t="inlineStr">
        <is>
          <t>HVE303</t>
        </is>
      </c>
      <c r="D255" s="124" t="inlineStr">
        <is>
          <t>E</t>
        </is>
      </c>
      <c r="E255" s="124" t="inlineStr">
        <is>
          <t>Lala Seema Nagin</t>
        </is>
      </c>
      <c r="F255" s="125">
        <f>SUMIFS(Investors!$M:$M, Investors!$I:$I, "&lt;=" &amp; 'NSST Print'!$B$3, Investors!$K:$K, "&gt;" &amp; 'NSST Print'!$B$3, Investors!$A:$A, 'Investor Exit List'!A255, Investors!$E:$E, 'Investor Exit List'!C255)</f>
        <v/>
      </c>
      <c r="G255" s="126" t="n">
        <v>45443</v>
      </c>
      <c r="H255" s="124">
        <f>VLOOKUP($C255,Sales!$C:$E,2,FALSE)</f>
        <v/>
      </c>
      <c r="I255" s="124">
        <f>VLOOKUP($C255,Sales!$C:$E,3,FALSE)</f>
        <v/>
      </c>
      <c r="J255" s="126">
        <f>SUMIFS(Sales!$H:$H,Sales!$C:$C,'Investor Exit List'!$C255)</f>
        <v/>
      </c>
      <c r="K255" s="126">
        <f>IF(I255=TRUE,J255,"")</f>
        <v/>
      </c>
      <c r="L255" s="126">
        <f>G255+730</f>
        <v/>
      </c>
      <c r="M255" s="126" t="n">
        <v>45443</v>
      </c>
      <c r="N255" s="127">
        <f>IFERROR(IF(G255&lt;&gt;"",IF(I255=TRUE,0,IF(U255=TRUE,0,L255-M255)),0),0)</f>
        <v/>
      </c>
      <c r="O255" s="127">
        <f>IF(N255&gt;0,IF(N255&lt;=180,N255,0),0)</f>
        <v/>
      </c>
      <c r="P255" s="125">
        <f>IF(AND(N255&lt;90,N255&gt;0),Q255,0)</f>
        <v/>
      </c>
      <c r="Q255" s="125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25">
        <f>IF(AND(H255=TRUE,I255=FALSE),Q255,0)</f>
        <v/>
      </c>
      <c r="S255" s="125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26">
        <f>IF(U255=TRUE,$J255,"")</f>
        <v/>
      </c>
      <c r="U255" s="124" t="b">
        <v>0</v>
      </c>
      <c r="V255" s="125">
        <f>IF(AND(H255=TRUE,OR(K255="",K255&gt;M255)),S255,0)</f>
        <v/>
      </c>
      <c r="W255" s="124" t="n">
        <v>0</v>
      </c>
      <c r="X255" s="124" t="b">
        <v>0</v>
      </c>
      <c r="Y255" s="127">
        <f>IF(H255=FALSE,VLOOKUP($C255,Sales!$C:$F,4,FALSE),1)</f>
        <v/>
      </c>
      <c r="Z255" s="124">
        <f>IF(Y255=0,"Release",IF(AND(L255&lt;J255,Y255=1,H255=FALSE,U255=FALSE,MONTH(L255)&amp;"/"&amp;YEAR(L255)&lt;&gt;MONTH(J255)&amp;"/"&amp;YEAR(J255)),"Release",""))</f>
        <v/>
      </c>
      <c r="AA255" s="128">
        <f>_xlfn.minifs($L:$L,$C:$C,$C255,$F:$F,"&lt;&gt;0")</f>
        <v/>
      </c>
      <c r="AB255" s="128">
        <f>C255&amp;"-"&amp;A255</f>
        <v/>
      </c>
      <c r="AC255" s="128">
        <f>L255</f>
        <v/>
      </c>
    </row>
    <row r="256">
      <c r="A256" s="124" t="inlineStr">
        <is>
          <t>ZMYB01</t>
        </is>
      </c>
      <c r="B256" s="124" t="n">
        <v>10</v>
      </c>
      <c r="C256" s="124" t="inlineStr">
        <is>
          <t>HVE304</t>
        </is>
      </c>
      <c r="D256" s="124" t="inlineStr">
        <is>
          <t>E</t>
        </is>
      </c>
      <c r="E256" s="124" t="inlineStr">
        <is>
          <t>Myburgh Hermanus Carel</t>
        </is>
      </c>
      <c r="F256" s="125">
        <f>SUMIFS(Investors!$M:$M, Investors!$I:$I, "&lt;=" &amp; 'NSST Print'!$B$3, Investors!$K:$K, "&gt;" &amp; 'NSST Print'!$B$3, Investors!$A:$A, 'Investor Exit List'!A256, Investors!$E:$E, 'Investor Exit List'!C256)</f>
        <v/>
      </c>
      <c r="G256" s="126" t="n">
        <v>45350</v>
      </c>
      <c r="H256" s="124">
        <f>VLOOKUP($C256,Sales!$C:$E,2,FALSE)</f>
        <v/>
      </c>
      <c r="I256" s="124">
        <f>VLOOKUP($C256,Sales!$C:$E,3,FALSE)</f>
        <v/>
      </c>
      <c r="J256" s="126">
        <f>SUMIFS(Sales!$H:$H,Sales!$C:$C,'Investor Exit List'!$C256)</f>
        <v/>
      </c>
      <c r="K256" s="126">
        <f>IF(I256=TRUE,J256,"")</f>
        <v/>
      </c>
      <c r="L256" s="126">
        <f>G256+730</f>
        <v/>
      </c>
      <c r="M256" s="126" t="n">
        <v>45443</v>
      </c>
      <c r="N256" s="127">
        <f>IFERROR(IF(G256&lt;&gt;"",IF(I256=TRUE,0,IF(U256=TRUE,0,L256-M256)),0),0)</f>
        <v/>
      </c>
      <c r="O256" s="127">
        <f>IF(N256&gt;0,IF(N256&lt;=180,N256,0),0)</f>
        <v/>
      </c>
      <c r="P256" s="125">
        <f>IF(AND(N256&lt;90,N256&gt;0),Q256,0)</f>
        <v/>
      </c>
      <c r="Q256" s="125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25">
        <f>IF(AND(H256=TRUE,I256=FALSE),Q256,0)</f>
        <v/>
      </c>
      <c r="S256" s="125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26">
        <f>IF(U256=TRUE,$J256,"")</f>
        <v/>
      </c>
      <c r="U256" s="124" t="b">
        <v>0</v>
      </c>
      <c r="V256" s="125">
        <f>IF(AND(H256=TRUE,OR(K256="",K256&gt;M256)),S256,0)</f>
        <v/>
      </c>
      <c r="W256" s="124" t="n">
        <v>0</v>
      </c>
      <c r="X256" s="124" t="b">
        <v>0</v>
      </c>
      <c r="Y256" s="127">
        <f>IF(H256=FALSE,VLOOKUP($C256,Sales!$C:$F,4,FALSE),1)</f>
        <v/>
      </c>
      <c r="Z256" s="124">
        <f>IF(Y256=0,"Release",IF(AND(L256&lt;J256,Y256=1,H256=FALSE,U256=FALSE,MONTH(L256)&amp;"/"&amp;YEAR(L256)&lt;&gt;MONTH(J256)&amp;"/"&amp;YEAR(J256)),"Release",""))</f>
        <v/>
      </c>
      <c r="AA256" s="128">
        <f>_xlfn.minifs($L:$L,$C:$C,$C256,$F:$F,"&lt;&gt;0")</f>
        <v/>
      </c>
      <c r="AB256" s="128">
        <f>C256&amp;"-"&amp;A256</f>
        <v/>
      </c>
      <c r="AC256" s="128">
        <f>L256</f>
        <v/>
      </c>
    </row>
    <row r="257">
      <c r="A257" s="124" t="inlineStr">
        <is>
          <t>ZLES01</t>
        </is>
      </c>
      <c r="B257" s="124" t="n">
        <v>2</v>
      </c>
      <c r="C257" s="124" t="inlineStr">
        <is>
          <t>HVF101</t>
        </is>
      </c>
      <c r="D257" s="124" t="inlineStr">
        <is>
          <t>F</t>
        </is>
      </c>
      <c r="E257" s="124" t="inlineStr">
        <is>
          <t>Leslie Megan Frances</t>
        </is>
      </c>
      <c r="F257" s="125">
        <f>SUMIFS(Investors!$M:$M, Investors!$I:$I, "&lt;=" &amp; 'NSST Print'!$B$3, Investors!$K:$K, "&gt;" &amp; 'NSST Print'!$B$3, Investors!$A:$A, 'Investor Exit List'!A257, Investors!$E:$E, 'Investor Exit List'!C257)</f>
        <v/>
      </c>
      <c r="G257" s="126" t="n">
        <v>45371</v>
      </c>
      <c r="H257" s="124">
        <f>VLOOKUP($C257,Sales!$C:$E,2,FALSE)</f>
        <v/>
      </c>
      <c r="I257" s="124">
        <f>VLOOKUP($C257,Sales!$C:$E,3,FALSE)</f>
        <v/>
      </c>
      <c r="J257" s="126">
        <f>SUMIFS(Sales!$H:$H,Sales!$C:$C,'Investor Exit List'!$C257)</f>
        <v/>
      </c>
      <c r="K257" s="126">
        <f>IF(I257=TRUE,J257,"")</f>
        <v/>
      </c>
      <c r="L257" s="126">
        <f>G257+730</f>
        <v/>
      </c>
      <c r="M257" s="126" t="n">
        <v>45443</v>
      </c>
      <c r="N257" s="127">
        <f>IFERROR(IF(G257&lt;&gt;"",IF(I257=TRUE,0,IF(U257=TRUE,0,L257-M257)),0),0)</f>
        <v/>
      </c>
      <c r="O257" s="127">
        <f>IF(N257&gt;0,IF(N257&lt;=180,N257,0),0)</f>
        <v/>
      </c>
      <c r="P257" s="125">
        <f>IF(AND(N257&lt;90,N257&gt;0),Q257,0)</f>
        <v/>
      </c>
      <c r="Q257" s="125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25">
        <f>IF(AND(H257=TRUE,I257=FALSE),Q257,0)</f>
        <v/>
      </c>
      <c r="S257" s="125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26">
        <f>IF(U257=TRUE,$J257,"")</f>
        <v/>
      </c>
      <c r="U257" s="124" t="b">
        <v>0</v>
      </c>
      <c r="V257" s="125">
        <f>IF(AND(H257=TRUE,OR(K257="",K257&gt;M257)),S257,0)</f>
        <v/>
      </c>
      <c r="W257" s="124" t="n">
        <v>0</v>
      </c>
      <c r="X257" s="124" t="b">
        <v>0</v>
      </c>
      <c r="Y257" s="127">
        <f>IF(H257=FALSE,VLOOKUP($C257,Sales!$C:$F,4,FALSE),1)</f>
        <v/>
      </c>
      <c r="Z257" s="124">
        <f>IF(Y257=0,"Release",IF(AND(L257&lt;J257,Y257=1,H257=FALSE,U257=FALSE,MONTH(L257)&amp;"/"&amp;YEAR(L257)&lt;&gt;MONTH(J257)&amp;"/"&amp;YEAR(J257)),"Release",""))</f>
        <v/>
      </c>
      <c r="AA257" s="128">
        <f>_xlfn.minifs($L:$L,$C:$C,$C257,$F:$F,"&lt;&gt;0")</f>
        <v/>
      </c>
      <c r="AB257" s="128">
        <f>C257&amp;"-"&amp;A257</f>
        <v/>
      </c>
      <c r="AC257" s="128">
        <f>L257</f>
        <v/>
      </c>
    </row>
    <row r="258">
      <c r="A258" s="124" t="inlineStr">
        <is>
          <t>ZTHA01</t>
        </is>
      </c>
      <c r="B258" s="124" t="n">
        <v>12</v>
      </c>
      <c r="C258" s="124" t="inlineStr">
        <is>
          <t>HVF101</t>
        </is>
      </c>
      <c r="D258" s="124" t="inlineStr">
        <is>
          <t>F</t>
        </is>
      </c>
      <c r="E258" s="124" t="inlineStr">
        <is>
          <t>Matthee Gerald Adriaan Odendal</t>
        </is>
      </c>
      <c r="F258" s="125">
        <f>SUMIFS(Investors!$M:$M, Investors!$I:$I, "&lt;=" &amp; 'NSST Print'!$B$3, Investors!$K:$K, "&gt;" &amp; 'NSST Print'!$B$3, Investors!$A:$A, 'Investor Exit List'!A258, Investors!$E:$E, 'Investor Exit List'!C258)</f>
        <v/>
      </c>
      <c r="G258" s="126" t="n">
        <v>45443</v>
      </c>
      <c r="H258" s="124">
        <f>VLOOKUP($C258,Sales!$C:$E,2,FALSE)</f>
        <v/>
      </c>
      <c r="I258" s="124">
        <f>VLOOKUP($C258,Sales!$C:$E,3,FALSE)</f>
        <v/>
      </c>
      <c r="J258" s="126">
        <f>SUMIFS(Sales!$H:$H,Sales!$C:$C,'Investor Exit List'!$C258)</f>
        <v/>
      </c>
      <c r="K258" s="126">
        <f>IF(I258=TRUE,J258,"")</f>
        <v/>
      </c>
      <c r="L258" s="126">
        <f>G258+730</f>
        <v/>
      </c>
      <c r="M258" s="126" t="n">
        <v>45443</v>
      </c>
      <c r="N258" s="127">
        <f>IFERROR(IF(G258&lt;&gt;"",IF(I258=TRUE,0,IF(U258=TRUE,0,L258-M258)),0),0)</f>
        <v/>
      </c>
      <c r="O258" s="127">
        <f>IF(N258&gt;0,IF(N258&lt;=180,N258,0),0)</f>
        <v/>
      </c>
      <c r="P258" s="125">
        <f>IF(AND(N258&lt;90,N258&gt;0),Q258,0)</f>
        <v/>
      </c>
      <c r="Q258" s="125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25">
        <f>IF(AND(H258=TRUE,I258=FALSE),Q258,0)</f>
        <v/>
      </c>
      <c r="S258" s="125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26">
        <f>IF(U258=TRUE,$J258,"")</f>
        <v/>
      </c>
      <c r="U258" s="124" t="b">
        <v>0</v>
      </c>
      <c r="V258" s="125">
        <f>IF(AND(H258=TRUE,OR(K258="",K258&gt;M258)),S258,0)</f>
        <v/>
      </c>
      <c r="W258" s="124" t="n">
        <v>0</v>
      </c>
      <c r="X258" s="124" t="b">
        <v>0</v>
      </c>
      <c r="Y258" s="127">
        <f>IF(H258=FALSE,VLOOKUP($C258,Sales!$C:$F,4,FALSE),1)</f>
        <v/>
      </c>
      <c r="Z258" s="124">
        <f>IF(Y258=0,"Release",IF(AND(L258&lt;J258,Y258=1,H258=FALSE,U258=FALSE,MONTH(L258)&amp;"/"&amp;YEAR(L258)&lt;&gt;MONTH(J258)&amp;"/"&amp;YEAR(J258)),"Release",""))</f>
        <v/>
      </c>
      <c r="AA258" s="128">
        <f>_xlfn.minifs($L:$L,$C:$C,$C258,$F:$F,"&lt;&gt;0")</f>
        <v/>
      </c>
      <c r="AB258" s="128">
        <f>C258&amp;"-"&amp;A258</f>
        <v/>
      </c>
      <c r="AC258" s="128">
        <f>L258</f>
        <v/>
      </c>
    </row>
    <row r="259">
      <c r="A259" s="124" t="inlineStr">
        <is>
          <t>ZWAT01</t>
        </is>
      </c>
      <c r="B259" s="124" t="n">
        <v>14</v>
      </c>
      <c r="C259" s="124" t="inlineStr">
        <is>
          <t>HVF101</t>
        </is>
      </c>
      <c r="D259" s="124" t="inlineStr">
        <is>
          <t>F</t>
        </is>
      </c>
      <c r="E259" s="124" t="inlineStr">
        <is>
          <t>Watts Peter Gregory</t>
        </is>
      </c>
      <c r="F259" s="125">
        <f>SUMIFS(Investors!$M:$M, Investors!$I:$I, "&lt;=" &amp; 'NSST Print'!$B$3, Investors!$K:$K, "&gt;" &amp; 'NSST Print'!$B$3, Investors!$A:$A, 'Investor Exit List'!A259, Investors!$E:$E, 'Investor Exit List'!C259)</f>
        <v/>
      </c>
      <c r="G259" s="126" t="n">
        <v>45371</v>
      </c>
      <c r="H259" s="124">
        <f>VLOOKUP($C259,Sales!$C:$E,2,FALSE)</f>
        <v/>
      </c>
      <c r="I259" s="124">
        <f>VLOOKUP($C259,Sales!$C:$E,3,FALSE)</f>
        <v/>
      </c>
      <c r="J259" s="126">
        <f>SUMIFS(Sales!$H:$H,Sales!$C:$C,'Investor Exit List'!$C259)</f>
        <v/>
      </c>
      <c r="K259" s="126">
        <f>IF(I259=TRUE,J259,"")</f>
        <v/>
      </c>
      <c r="L259" s="126">
        <f>G259+730</f>
        <v/>
      </c>
      <c r="M259" s="126" t="n">
        <v>45443</v>
      </c>
      <c r="N259" s="127">
        <f>IFERROR(IF(G259&lt;&gt;"",IF(I259=TRUE,0,IF(U259=TRUE,0,L259-M259)),0),0)</f>
        <v/>
      </c>
      <c r="O259" s="127">
        <f>IF(N259&gt;0,IF(N259&lt;=180,N259,0),0)</f>
        <v/>
      </c>
      <c r="P259" s="125">
        <f>IF(AND(N259&lt;90,N259&gt;0),Q259,0)</f>
        <v/>
      </c>
      <c r="Q259" s="125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25">
        <f>IF(AND(H259=TRUE,I259=FALSE),Q259,0)</f>
        <v/>
      </c>
      <c r="S259" s="125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26">
        <f>IF(U259=TRUE,$J259,"")</f>
        <v/>
      </c>
      <c r="U259" s="124" t="b">
        <v>0</v>
      </c>
      <c r="V259" s="125">
        <f>IF(AND(H259=TRUE,OR(K259="",K259&gt;M259)),S259,0)</f>
        <v/>
      </c>
      <c r="W259" s="124" t="n">
        <v>0</v>
      </c>
      <c r="X259" s="124" t="b">
        <v>0</v>
      </c>
      <c r="Y259" s="127">
        <f>IF(H259=FALSE,VLOOKUP($C259,Sales!$C:$F,4,FALSE),1)</f>
        <v/>
      </c>
      <c r="Z259" s="124">
        <f>IF(Y259=0,"Release",IF(AND(L259&lt;J259,Y259=1,H259=FALSE,U259=FALSE,MONTH(L259)&amp;"/"&amp;YEAR(L259)&lt;&gt;MONTH(J259)&amp;"/"&amp;YEAR(J259)),"Release",""))</f>
        <v/>
      </c>
      <c r="AA259" s="128">
        <f>_xlfn.minifs($L:$L,$C:$C,$C259,$F:$F,"&lt;&gt;0")</f>
        <v/>
      </c>
      <c r="AB259" s="128">
        <f>C259&amp;"-"&amp;A259</f>
        <v/>
      </c>
      <c r="AC259" s="128">
        <f>L259</f>
        <v/>
      </c>
    </row>
    <row r="260">
      <c r="A260" s="124" t="inlineStr">
        <is>
          <t>ZFON01</t>
        </is>
      </c>
      <c r="B260" s="124" t="n">
        <v>5</v>
      </c>
      <c r="C260" s="124" t="inlineStr">
        <is>
          <t>HVF102</t>
        </is>
      </c>
      <c r="D260" s="124" t="inlineStr">
        <is>
          <t>F</t>
        </is>
      </c>
      <c r="E260" s="124" t="inlineStr">
        <is>
          <t>Aveling-Fountain Lorraine</t>
        </is>
      </c>
      <c r="F260" s="125">
        <f>SUMIFS(Investors!$M:$M, Investors!$I:$I, "&lt;=" &amp; 'NSST Print'!$B$3, Investors!$K:$K, "&gt;" &amp; 'NSST Print'!$B$3, Investors!$A:$A, 'Investor Exit List'!A260, Investors!$E:$E, 'Investor Exit List'!C260)</f>
        <v/>
      </c>
      <c r="G260" s="126" t="n">
        <v>45371</v>
      </c>
      <c r="H260" s="124">
        <f>VLOOKUP($C260,Sales!$C:$E,2,FALSE)</f>
        <v/>
      </c>
      <c r="I260" s="124">
        <f>VLOOKUP($C260,Sales!$C:$E,3,FALSE)</f>
        <v/>
      </c>
      <c r="J260" s="126">
        <f>SUMIFS(Sales!$H:$H,Sales!$C:$C,'Investor Exit List'!$C260)</f>
        <v/>
      </c>
      <c r="K260" s="126">
        <f>IF(I260=TRUE,J260,"")</f>
        <v/>
      </c>
      <c r="L260" s="126">
        <f>G260+730</f>
        <v/>
      </c>
      <c r="M260" s="126" t="n">
        <v>45443</v>
      </c>
      <c r="N260" s="127">
        <f>IFERROR(IF(G260&lt;&gt;"",IF(I260=TRUE,0,IF(U260=TRUE,0,L260-M260)),0),0)</f>
        <v/>
      </c>
      <c r="O260" s="127">
        <f>IF(N260&gt;0,IF(N260&lt;=180,N260,0),0)</f>
        <v/>
      </c>
      <c r="P260" s="125">
        <f>IF(AND(N260&lt;90,N260&gt;0),Q260,0)</f>
        <v/>
      </c>
      <c r="Q260" s="125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25">
        <f>IF(AND(H260=TRUE,I260=FALSE),Q260,0)</f>
        <v/>
      </c>
      <c r="S260" s="125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26">
        <f>IF(U260=TRUE,$J260,"")</f>
        <v/>
      </c>
      <c r="U260" s="124" t="b">
        <v>0</v>
      </c>
      <c r="V260" s="125">
        <f>IF(AND(H260=TRUE,OR(K260="",K260&gt;M260)),S260,0)</f>
        <v/>
      </c>
      <c r="W260" s="124" t="n">
        <v>0</v>
      </c>
      <c r="X260" s="124" t="b">
        <v>0</v>
      </c>
      <c r="Y260" s="127">
        <f>IF(H260=FALSE,VLOOKUP($C260,Sales!$C:$F,4,FALSE),1)</f>
        <v/>
      </c>
      <c r="Z260" s="124">
        <f>IF(Y260=0,"Release",IF(AND(L260&lt;J260,Y260=1,H260=FALSE,U260=FALSE,MONTH(L260)&amp;"/"&amp;YEAR(L260)&lt;&gt;MONTH(J260)&amp;"/"&amp;YEAR(J260)),"Release",""))</f>
        <v/>
      </c>
      <c r="AA260" s="128">
        <f>_xlfn.minifs($L:$L,$C:$C,$C260,$F:$F,"&lt;&gt;0")</f>
        <v/>
      </c>
      <c r="AB260" s="128">
        <f>C260&amp;"-"&amp;A260</f>
        <v/>
      </c>
      <c r="AC260" s="128">
        <f>L260</f>
        <v/>
      </c>
    </row>
    <row r="261">
      <c r="A261" s="124" t="inlineStr">
        <is>
          <t>ZKAL01</t>
        </is>
      </c>
      <c r="B261" s="124" t="n">
        <v>1</v>
      </c>
      <c r="C261" s="124" t="inlineStr">
        <is>
          <t>HVF102</t>
        </is>
      </c>
      <c r="D261" s="124" t="inlineStr">
        <is>
          <t>F</t>
        </is>
      </c>
      <c r="E261" s="124" t="inlineStr">
        <is>
          <t>Kalianjee Sushil</t>
        </is>
      </c>
      <c r="F261" s="125">
        <f>SUMIFS(Investors!$M:$M, Investors!$I:$I, "&lt;=" &amp; 'NSST Print'!$B$3, Investors!$K:$K, "&gt;" &amp; 'NSST Print'!$B$3, Investors!$A:$A, 'Investor Exit List'!A261, Investors!$E:$E, 'Investor Exit List'!C261)</f>
        <v/>
      </c>
      <c r="G261" s="126" t="n">
        <v>45443</v>
      </c>
      <c r="H261" s="124">
        <f>VLOOKUP($C261,Sales!$C:$E,2,FALSE)</f>
        <v/>
      </c>
      <c r="I261" s="124">
        <f>VLOOKUP($C261,Sales!$C:$E,3,FALSE)</f>
        <v/>
      </c>
      <c r="J261" s="126">
        <f>SUMIFS(Sales!$H:$H,Sales!$C:$C,'Investor Exit List'!$C261)</f>
        <v/>
      </c>
      <c r="K261" s="126">
        <f>IF(I261=TRUE,J261,"")</f>
        <v/>
      </c>
      <c r="L261" s="126">
        <f>G261+730</f>
        <v/>
      </c>
      <c r="M261" s="126" t="n">
        <v>45443</v>
      </c>
      <c r="N261" s="127">
        <f>IFERROR(IF(G261&lt;&gt;"",IF(I261=TRUE,0,IF(U261=TRUE,0,L261-M261)),0),0)</f>
        <v/>
      </c>
      <c r="O261" s="127">
        <f>IF(N261&gt;0,IF(N261&lt;=180,N261,0),0)</f>
        <v/>
      </c>
      <c r="P261" s="125">
        <f>IF(AND(N261&lt;90,N261&gt;0),Q261,0)</f>
        <v/>
      </c>
      <c r="Q261" s="125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25">
        <f>IF(AND(H261=TRUE,I261=FALSE),Q261,0)</f>
        <v/>
      </c>
      <c r="S261" s="125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26">
        <f>IF(U261=TRUE,$J261,"")</f>
        <v/>
      </c>
      <c r="U261" s="124" t="b">
        <v>0</v>
      </c>
      <c r="V261" s="125">
        <f>IF(AND(H261=TRUE,OR(K261="",K261&gt;M261)),S261,0)</f>
        <v/>
      </c>
      <c r="W261" s="124" t="n">
        <v>0</v>
      </c>
      <c r="X261" s="124" t="b">
        <v>0</v>
      </c>
      <c r="Y261" s="127">
        <f>IF(H261=FALSE,VLOOKUP($C261,Sales!$C:$F,4,FALSE),1)</f>
        <v/>
      </c>
      <c r="Z261" s="124">
        <f>IF(Y261=0,"Release",IF(AND(L261&lt;J261,Y261=1,H261=FALSE,U261=FALSE,MONTH(L261)&amp;"/"&amp;YEAR(L261)&lt;&gt;MONTH(J261)&amp;"/"&amp;YEAR(J261)),"Release",""))</f>
        <v/>
      </c>
      <c r="AA261" s="128">
        <f>_xlfn.minifs($L:$L,$C:$C,$C261,$F:$F,"&lt;&gt;0")</f>
        <v/>
      </c>
      <c r="AB261" s="128">
        <f>C261&amp;"-"&amp;A261</f>
        <v/>
      </c>
      <c r="AC261" s="128">
        <f>L261</f>
        <v/>
      </c>
    </row>
    <row r="262">
      <c r="A262" s="124" t="inlineStr">
        <is>
          <t>ZTHA01</t>
        </is>
      </c>
      <c r="B262" s="124" t="n">
        <v>10</v>
      </c>
      <c r="C262" s="124" t="inlineStr">
        <is>
          <t>HVF102</t>
        </is>
      </c>
      <c r="D262" s="124" t="inlineStr">
        <is>
          <t>F</t>
        </is>
      </c>
      <c r="E262" s="124" t="inlineStr">
        <is>
          <t>Matthee Gerald Adriaan Odendal</t>
        </is>
      </c>
      <c r="F262" s="125">
        <f>SUMIFS(Investors!$M:$M, Investors!$I:$I, "&lt;=" &amp; 'NSST Print'!$B$3, Investors!$K:$K, "&gt;" &amp; 'NSST Print'!$B$3, Investors!$A:$A, 'Investor Exit List'!A262, Investors!$E:$E, 'Investor Exit List'!C262)</f>
        <v/>
      </c>
      <c r="G262" s="126" t="n">
        <v>45371</v>
      </c>
      <c r="H262" s="124">
        <f>VLOOKUP($C262,Sales!$C:$E,2,FALSE)</f>
        <v/>
      </c>
      <c r="I262" s="124">
        <f>VLOOKUP($C262,Sales!$C:$E,3,FALSE)</f>
        <v/>
      </c>
      <c r="J262" s="126">
        <f>SUMIFS(Sales!$H:$H,Sales!$C:$C,'Investor Exit List'!$C262)</f>
        <v/>
      </c>
      <c r="K262" s="126">
        <f>IF(I262=TRUE,J262,"")</f>
        <v/>
      </c>
      <c r="L262" s="126">
        <f>G262+730</f>
        <v/>
      </c>
      <c r="M262" s="126" t="n">
        <v>45443</v>
      </c>
      <c r="N262" s="127">
        <f>IFERROR(IF(G262&lt;&gt;"",IF(I262=TRUE,0,IF(U262=TRUE,0,L262-M262)),0),0)</f>
        <v/>
      </c>
      <c r="O262" s="127">
        <f>IF(N262&gt;0,IF(N262&lt;=180,N262,0),0)</f>
        <v/>
      </c>
      <c r="P262" s="125">
        <f>IF(AND(N262&lt;90,N262&gt;0),Q262,0)</f>
        <v/>
      </c>
      <c r="Q262" s="125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25">
        <f>IF(AND(H262=TRUE,I262=FALSE),Q262,0)</f>
        <v/>
      </c>
      <c r="S262" s="125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26">
        <f>IF(U262=TRUE,$J262,"")</f>
        <v/>
      </c>
      <c r="U262" s="124" t="b">
        <v>0</v>
      </c>
      <c r="V262" s="125">
        <f>IF(AND(H262=TRUE,OR(K262="",K262&gt;M262)),S262,0)</f>
        <v/>
      </c>
      <c r="W262" s="124" t="n">
        <v>0</v>
      </c>
      <c r="X262" s="124" t="b">
        <v>0</v>
      </c>
      <c r="Y262" s="127">
        <f>IF(H262=FALSE,VLOOKUP($C262,Sales!$C:$F,4,FALSE),1)</f>
        <v/>
      </c>
      <c r="Z262" s="124">
        <f>IF(Y262=0,"Release",IF(AND(L262&lt;J262,Y262=1,H262=FALSE,U262=FALSE,MONTH(L262)&amp;"/"&amp;YEAR(L262)&lt;&gt;MONTH(J262)&amp;"/"&amp;YEAR(J262)),"Release",""))</f>
        <v/>
      </c>
      <c r="AA262" s="128">
        <f>_xlfn.minifs($L:$L,$C:$C,$C262,$F:$F,"&lt;&gt;0")</f>
        <v/>
      </c>
      <c r="AB262" s="128">
        <f>C262&amp;"-"&amp;A262</f>
        <v/>
      </c>
      <c r="AC262" s="128">
        <f>L262</f>
        <v/>
      </c>
    </row>
    <row r="263">
      <c r="A263" s="124" t="inlineStr">
        <is>
          <t>ZPLA01</t>
        </is>
      </c>
      <c r="B263" s="124" t="n">
        <v>3</v>
      </c>
      <c r="C263" s="124" t="inlineStr">
        <is>
          <t>HVF103</t>
        </is>
      </c>
      <c r="D263" s="124" t="inlineStr">
        <is>
          <t>F</t>
        </is>
      </c>
      <c r="E263" s="124" t="inlineStr">
        <is>
          <t>Placzkowska Aneta</t>
        </is>
      </c>
      <c r="F263" s="125">
        <f>SUMIFS(Investors!$M:$M, Investors!$I:$I, "&lt;=" &amp; 'NSST Print'!$B$3, Investors!$K:$K, "&gt;" &amp; 'NSST Print'!$B$3, Investors!$A:$A, 'Investor Exit List'!A263, Investors!$E:$E, 'Investor Exit List'!C263)</f>
        <v/>
      </c>
      <c r="G263" s="126" t="n">
        <v>45443</v>
      </c>
      <c r="H263" s="124">
        <f>VLOOKUP($C263,Sales!$C:$E,2,FALSE)</f>
        <v/>
      </c>
      <c r="I263" s="124">
        <f>VLOOKUP($C263,Sales!$C:$E,3,FALSE)</f>
        <v/>
      </c>
      <c r="J263" s="126">
        <f>SUMIFS(Sales!$H:$H,Sales!$C:$C,'Investor Exit List'!$C263)</f>
        <v/>
      </c>
      <c r="K263" s="126">
        <f>IF(I263=TRUE,J263,"")</f>
        <v/>
      </c>
      <c r="L263" s="126">
        <f>G263+730</f>
        <v/>
      </c>
      <c r="M263" s="126" t="n">
        <v>45443</v>
      </c>
      <c r="N263" s="127">
        <f>IFERROR(IF(G263&lt;&gt;"",IF(I263=TRUE,0,IF(U263=TRUE,0,L263-M263)),0),0)</f>
        <v/>
      </c>
      <c r="O263" s="127">
        <f>IF(N263&gt;0,IF(N263&lt;=180,N263,0),0)</f>
        <v/>
      </c>
      <c r="P263" s="125">
        <f>IF(AND(N263&lt;90,N263&gt;0),Q263,0)</f>
        <v/>
      </c>
      <c r="Q263" s="125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25">
        <f>IF(AND(H263=TRUE,I263=FALSE),Q263,0)</f>
        <v/>
      </c>
      <c r="S263" s="125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26">
        <f>IF(U263=TRUE,$J263,"")</f>
        <v/>
      </c>
      <c r="U263" s="124" t="b">
        <v>0</v>
      </c>
      <c r="V263" s="125">
        <f>IF(AND(H263=TRUE,OR(K263="",K263&gt;M263)),S263,0)</f>
        <v/>
      </c>
      <c r="W263" s="124" t="n">
        <v>0</v>
      </c>
      <c r="X263" s="124" t="b">
        <v>0</v>
      </c>
      <c r="Y263" s="127">
        <f>IF(H263=FALSE,VLOOKUP($C263,Sales!$C:$F,4,FALSE),1)</f>
        <v/>
      </c>
      <c r="Z263" s="124">
        <f>IF(Y263=0,"Release",IF(AND(L263&lt;J263,Y263=1,H263=FALSE,U263=FALSE,MONTH(L263)&amp;"/"&amp;YEAR(L263)&lt;&gt;MONTH(J263)&amp;"/"&amp;YEAR(J263)),"Release",""))</f>
        <v/>
      </c>
      <c r="AA263" s="128">
        <f>_xlfn.minifs($L:$L,$C:$C,$C263,$F:$F,"&lt;&gt;0")</f>
        <v/>
      </c>
      <c r="AB263" s="128">
        <f>C263&amp;"-"&amp;A263</f>
        <v/>
      </c>
      <c r="AC263" s="128">
        <f>L263</f>
        <v/>
      </c>
    </row>
    <row r="264">
      <c r="A264" s="124" t="inlineStr">
        <is>
          <t>ZWAT01</t>
        </is>
      </c>
      <c r="B264" s="124" t="n">
        <v>15</v>
      </c>
      <c r="C264" s="124" t="inlineStr">
        <is>
          <t>HVF103</t>
        </is>
      </c>
      <c r="D264" s="124" t="inlineStr">
        <is>
          <t>F</t>
        </is>
      </c>
      <c r="E264" s="124" t="inlineStr">
        <is>
          <t>Watts Peter Gregory</t>
        </is>
      </c>
      <c r="F264" s="125">
        <f>SUMIFS(Investors!$M:$M, Investors!$I:$I, "&lt;=" &amp; 'NSST Print'!$B$3, Investors!$K:$K, "&gt;" &amp; 'NSST Print'!$B$3, Investors!$A:$A, 'Investor Exit List'!A264, Investors!$E:$E, 'Investor Exit List'!C264)</f>
        <v/>
      </c>
      <c r="G264" s="126" t="n">
        <v>45408</v>
      </c>
      <c r="H264" s="124">
        <f>VLOOKUP($C264,Sales!$C:$E,2,FALSE)</f>
        <v/>
      </c>
      <c r="I264" s="124">
        <f>VLOOKUP($C264,Sales!$C:$E,3,FALSE)</f>
        <v/>
      </c>
      <c r="J264" s="126">
        <f>SUMIFS(Sales!$H:$H,Sales!$C:$C,'Investor Exit List'!$C264)</f>
        <v/>
      </c>
      <c r="K264" s="126">
        <f>IF(I264=TRUE,J264,"")</f>
        <v/>
      </c>
      <c r="L264" s="126">
        <f>G264+730</f>
        <v/>
      </c>
      <c r="M264" s="126" t="n">
        <v>45443</v>
      </c>
      <c r="N264" s="127">
        <f>IFERROR(IF(G264&lt;&gt;"",IF(I264=TRUE,0,IF(U264=TRUE,0,L264-M264)),0),0)</f>
        <v/>
      </c>
      <c r="O264" s="127">
        <f>IF(N264&gt;0,IF(N264&lt;=180,N264,0),0)</f>
        <v/>
      </c>
      <c r="P264" s="125">
        <f>IF(AND(N264&lt;90,N264&gt;0),Q264,0)</f>
        <v/>
      </c>
      <c r="Q264" s="125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25">
        <f>IF(AND(H264=TRUE,I264=FALSE),Q264,0)</f>
        <v/>
      </c>
      <c r="S264" s="125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26">
        <f>IF(U264=TRUE,$J264,"")</f>
        <v/>
      </c>
      <c r="U264" s="124" t="b">
        <v>0</v>
      </c>
      <c r="V264" s="125">
        <f>IF(AND(H264=TRUE,OR(K264="",K264&gt;M264)),S264,0)</f>
        <v/>
      </c>
      <c r="W264" s="124" t="n">
        <v>0</v>
      </c>
      <c r="X264" s="124" t="b">
        <v>0</v>
      </c>
      <c r="Y264" s="127">
        <f>IF(H264=FALSE,VLOOKUP($C264,Sales!$C:$F,4,FALSE),1)</f>
        <v/>
      </c>
      <c r="Z264" s="124">
        <f>IF(Y264=0,"Release",IF(AND(L264&lt;J264,Y264=1,H264=FALSE,U264=FALSE,MONTH(L264)&amp;"/"&amp;YEAR(L264)&lt;&gt;MONTH(J264)&amp;"/"&amp;YEAR(J264)),"Release",""))</f>
        <v/>
      </c>
      <c r="AA264" s="128">
        <f>_xlfn.minifs($L:$L,$C:$C,$C264,$F:$F,"&lt;&gt;0")</f>
        <v/>
      </c>
      <c r="AB264" s="128">
        <f>C264&amp;"-"&amp;A264</f>
        <v/>
      </c>
      <c r="AC264" s="128">
        <f>L264</f>
        <v/>
      </c>
    </row>
    <row r="265">
      <c r="A265" s="124" t="inlineStr">
        <is>
          <t>ZOLI01</t>
        </is>
      </c>
      <c r="B265" s="124" t="n">
        <v>4</v>
      </c>
      <c r="C265" s="124" t="inlineStr">
        <is>
          <t>HVF104</t>
        </is>
      </c>
      <c r="D265" s="124" t="inlineStr">
        <is>
          <t>F</t>
        </is>
      </c>
      <c r="E265" s="124" t="inlineStr">
        <is>
          <t>Olivier Jan Lukas Cornelus</t>
        </is>
      </c>
      <c r="F265" s="125">
        <f>SUMIFS(Investors!$M:$M, Investors!$I:$I, "&lt;=" &amp; 'NSST Print'!$B$3, Investors!$K:$K, "&gt;" &amp; 'NSST Print'!$B$3, Investors!$A:$A, 'Investor Exit List'!A265, Investors!$E:$E, 'Investor Exit List'!C265)</f>
        <v/>
      </c>
      <c r="G265" s="126" t="n">
        <v>45280</v>
      </c>
      <c r="H265" s="124">
        <f>VLOOKUP($C265,Sales!$C:$E,2,FALSE)</f>
        <v/>
      </c>
      <c r="I265" s="124">
        <f>VLOOKUP($C265,Sales!$C:$E,3,FALSE)</f>
        <v/>
      </c>
      <c r="J265" s="126">
        <f>SUMIFS(Sales!$H:$H,Sales!$C:$C,'Investor Exit List'!$C265)</f>
        <v/>
      </c>
      <c r="K265" s="126">
        <f>IF(I265=TRUE,J265,"")</f>
        <v/>
      </c>
      <c r="L265" s="126">
        <f>G265+730</f>
        <v/>
      </c>
      <c r="M265" s="126" t="n">
        <v>45443</v>
      </c>
      <c r="N265" s="127">
        <f>IFERROR(IF(G265&lt;&gt;"",IF(I265=TRUE,0,IF(U265=TRUE,0,L265-M265)),0),0)</f>
        <v/>
      </c>
      <c r="O265" s="127">
        <f>IF(N265&gt;0,IF(N265&lt;=180,N265,0),0)</f>
        <v/>
      </c>
      <c r="P265" s="125">
        <f>IF(AND(N265&lt;90,N265&gt;0),Q265,0)</f>
        <v/>
      </c>
      <c r="Q265" s="125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25">
        <f>IF(AND(H265=TRUE,I265=FALSE),Q265,0)</f>
        <v/>
      </c>
      <c r="S265" s="125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26">
        <f>IF(U265=TRUE,$J265,"")</f>
        <v/>
      </c>
      <c r="U265" s="124" t="b">
        <v>0</v>
      </c>
      <c r="V265" s="125">
        <f>IF(AND(H265=TRUE,OR(K265="",K265&gt;M265)),S265,0)</f>
        <v/>
      </c>
      <c r="W265" s="124" t="n">
        <v>0</v>
      </c>
      <c r="X265" s="124" t="b">
        <v>0</v>
      </c>
      <c r="Y265" s="127">
        <f>IF(H265=FALSE,VLOOKUP($C265,Sales!$C:$F,4,FALSE),1)</f>
        <v/>
      </c>
      <c r="Z265" s="124">
        <f>IF(Y265=0,"Release",IF(AND(L265&lt;J265,Y265=1,H265=FALSE,U265=FALSE,MONTH(L265)&amp;"/"&amp;YEAR(L265)&lt;&gt;MONTH(J265)&amp;"/"&amp;YEAR(J265)),"Release",""))</f>
        <v/>
      </c>
      <c r="AA265" s="128">
        <f>_xlfn.minifs($L:$L,$C:$C,$C265,$F:$F,"&lt;&gt;0")</f>
        <v/>
      </c>
      <c r="AB265" s="128">
        <f>C265&amp;"-"&amp;A265</f>
        <v/>
      </c>
      <c r="AC265" s="128">
        <f>L265</f>
        <v/>
      </c>
    </row>
    <row r="266">
      <c r="A266" s="124" t="inlineStr">
        <is>
          <t>ZRIT01</t>
        </is>
      </c>
      <c r="B266" s="124" t="n">
        <v>16</v>
      </c>
      <c r="C266" s="124" t="inlineStr">
        <is>
          <t>HVF104</t>
        </is>
      </c>
      <c r="D266" s="124" t="inlineStr">
        <is>
          <t>F</t>
        </is>
      </c>
      <c r="E266" s="124" t="inlineStr">
        <is>
          <t>Ritter Dennis</t>
        </is>
      </c>
      <c r="F266" s="125">
        <f>SUMIFS(Investors!$M:$M, Investors!$I:$I, "&lt;=" &amp; 'NSST Print'!$B$3, Investors!$K:$K, "&gt;" &amp; 'NSST Print'!$B$3, Investors!$A:$A, 'Investor Exit List'!A266, Investors!$E:$E, 'Investor Exit List'!C266)</f>
        <v/>
      </c>
      <c r="G266" s="126" t="n">
        <v>45224</v>
      </c>
      <c r="H266" s="124">
        <f>VLOOKUP($C266,Sales!$C:$E,2,FALSE)</f>
        <v/>
      </c>
      <c r="I266" s="124">
        <f>VLOOKUP($C266,Sales!$C:$E,3,FALSE)</f>
        <v/>
      </c>
      <c r="J266" s="126">
        <f>SUMIFS(Sales!$H:$H,Sales!$C:$C,'Investor Exit List'!$C266)</f>
        <v/>
      </c>
      <c r="K266" s="126">
        <f>IF(I266=TRUE,J266,"")</f>
        <v/>
      </c>
      <c r="L266" s="126">
        <f>G266+730</f>
        <v/>
      </c>
      <c r="M266" s="126" t="n">
        <v>45443</v>
      </c>
      <c r="N266" s="127">
        <f>IFERROR(IF(G266&lt;&gt;"",IF(I266=TRUE,0,IF(U266=TRUE,0,L266-M266)),0),0)</f>
        <v/>
      </c>
      <c r="O266" s="127">
        <f>IF(N266&gt;0,IF(N266&lt;=180,N266,0),0)</f>
        <v/>
      </c>
      <c r="P266" s="125">
        <f>IF(AND(N266&lt;90,N266&gt;0),Q266,0)</f>
        <v/>
      </c>
      <c r="Q266" s="125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25">
        <f>IF(AND(H266=TRUE,I266=FALSE),Q266,0)</f>
        <v/>
      </c>
      <c r="S266" s="125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26">
        <f>IF(U266=TRUE,$J266,"")</f>
        <v/>
      </c>
      <c r="U266" s="124" t="b">
        <v>0</v>
      </c>
      <c r="V266" s="125">
        <f>IF(AND(H266=TRUE,OR(K266="",K266&gt;M266)),S266,0)</f>
        <v/>
      </c>
      <c r="W266" s="124" t="n">
        <v>0</v>
      </c>
      <c r="X266" s="124" t="b">
        <v>0</v>
      </c>
      <c r="Y266" s="127">
        <f>IF(H266=FALSE,VLOOKUP($C266,Sales!$C:$F,4,FALSE),1)</f>
        <v/>
      </c>
      <c r="Z266" s="124">
        <f>IF(Y266=0,"Release",IF(AND(L266&lt;J266,Y266=1,H266=FALSE,U266=FALSE,MONTH(L266)&amp;"/"&amp;YEAR(L266)&lt;&gt;MONTH(J266)&amp;"/"&amp;YEAR(J266)),"Release",""))</f>
        <v/>
      </c>
      <c r="AA266" s="128">
        <f>_xlfn.minifs($L:$L,$C:$C,$C266,$F:$F,"&lt;&gt;0")</f>
        <v/>
      </c>
      <c r="AB266" s="128">
        <f>C266&amp;"-"&amp;A266</f>
        <v/>
      </c>
      <c r="AC266" s="128">
        <f>L266</f>
        <v/>
      </c>
    </row>
    <row r="267">
      <c r="A267" s="124" t="inlineStr">
        <is>
          <t>ZSCH05</t>
        </is>
      </c>
      <c r="B267" s="124" t="n">
        <v>1</v>
      </c>
      <c r="C267" s="124" t="inlineStr">
        <is>
          <t>HVF104</t>
        </is>
      </c>
      <c r="D267" s="124" t="inlineStr">
        <is>
          <t>F</t>
        </is>
      </c>
      <c r="E267" s="124" t="inlineStr">
        <is>
          <t>Schipper Willem</t>
        </is>
      </c>
      <c r="F267" s="125">
        <f>SUMIFS(Investors!$M:$M, Investors!$I:$I, "&lt;=" &amp; 'NSST Print'!$B$3, Investors!$K:$K, "&gt;" &amp; 'NSST Print'!$B$3, Investors!$A:$A, 'Investor Exit List'!A267, Investors!$E:$E, 'Investor Exit List'!C267)</f>
        <v/>
      </c>
      <c r="G267" s="126" t="n">
        <v>45443</v>
      </c>
      <c r="H267" s="124">
        <f>VLOOKUP($C267,Sales!$C:$E,2,FALSE)</f>
        <v/>
      </c>
      <c r="I267" s="124">
        <f>VLOOKUP($C267,Sales!$C:$E,3,FALSE)</f>
        <v/>
      </c>
      <c r="J267" s="126">
        <f>SUMIFS(Sales!$H:$H,Sales!$C:$C,'Investor Exit List'!$C267)</f>
        <v/>
      </c>
      <c r="K267" s="126">
        <f>IF(I267=TRUE,J267,"")</f>
        <v/>
      </c>
      <c r="L267" s="126">
        <f>G267+730</f>
        <v/>
      </c>
      <c r="M267" s="126" t="n">
        <v>45443</v>
      </c>
      <c r="N267" s="127">
        <f>IFERROR(IF(G267&lt;&gt;"",IF(I267=TRUE,0,IF(U267=TRUE,0,L267-M267)),0),0)</f>
        <v/>
      </c>
      <c r="O267" s="127">
        <f>IF(N267&gt;0,IF(N267&lt;=180,N267,0),0)</f>
        <v/>
      </c>
      <c r="P267" s="125">
        <f>IF(AND(N267&lt;90,N267&gt;0),Q267,0)</f>
        <v/>
      </c>
      <c r="Q267" s="125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25">
        <f>IF(AND(H267=TRUE,I267=FALSE),Q267,0)</f>
        <v/>
      </c>
      <c r="S267" s="125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26">
        <f>IF(U267=TRUE,$J267,"")</f>
        <v/>
      </c>
      <c r="U267" s="124" t="b">
        <v>0</v>
      </c>
      <c r="V267" s="125">
        <f>IF(AND(H267=TRUE,OR(K267="",K267&gt;M267)),S267,0)</f>
        <v/>
      </c>
      <c r="W267" s="124" t="n">
        <v>0</v>
      </c>
      <c r="X267" s="124" t="b">
        <v>0</v>
      </c>
      <c r="Y267" s="127">
        <f>IF(H267=FALSE,VLOOKUP($C267,Sales!$C:$F,4,FALSE),1)</f>
        <v/>
      </c>
      <c r="Z267" s="124">
        <f>IF(Y267=0,"Release",IF(AND(L267&lt;J267,Y267=1,H267=FALSE,U267=FALSE,MONTH(L267)&amp;"/"&amp;YEAR(L267)&lt;&gt;MONTH(J267)&amp;"/"&amp;YEAR(J267)),"Release",""))</f>
        <v/>
      </c>
      <c r="AA267" s="128">
        <f>_xlfn.minifs($L:$L,$C:$C,$C267,$F:$F,"&lt;&gt;0")</f>
        <v/>
      </c>
      <c r="AB267" s="128">
        <f>C267&amp;"-"&amp;A267</f>
        <v/>
      </c>
      <c r="AC267" s="128">
        <f>L267</f>
        <v/>
      </c>
    </row>
    <row r="268">
      <c r="A268" s="124" t="inlineStr">
        <is>
          <t>ZVIS04</t>
        </is>
      </c>
      <c r="B268" s="124" t="n">
        <v>1</v>
      </c>
      <c r="C268" s="124" t="inlineStr">
        <is>
          <t>HVF104</t>
        </is>
      </c>
      <c r="D268" s="124" t="inlineStr">
        <is>
          <t>F</t>
        </is>
      </c>
      <c r="E268" s="124" t="inlineStr">
        <is>
          <t>Visagie Lukas Petrus Jacobus</t>
        </is>
      </c>
      <c r="F268" s="125">
        <f>SUMIFS(Investors!$M:$M, Investors!$I:$I, "&lt;=" &amp; 'NSST Print'!$B$3, Investors!$K:$K, "&gt;" &amp; 'NSST Print'!$B$3, Investors!$A:$A, 'Investor Exit List'!A268, Investors!$E:$E, 'Investor Exit List'!C268)</f>
        <v/>
      </c>
      <c r="G268" s="126" t="n">
        <v>45443</v>
      </c>
      <c r="H268" s="124">
        <f>VLOOKUP($C268,Sales!$C:$E,2,FALSE)</f>
        <v/>
      </c>
      <c r="I268" s="124">
        <f>VLOOKUP($C268,Sales!$C:$E,3,FALSE)</f>
        <v/>
      </c>
      <c r="J268" s="126">
        <f>SUMIFS(Sales!$H:$H,Sales!$C:$C,'Investor Exit List'!$C268)</f>
        <v/>
      </c>
      <c r="K268" s="126">
        <f>IF(I268=TRUE,J268,"")</f>
        <v/>
      </c>
      <c r="L268" s="126">
        <f>G268+730</f>
        <v/>
      </c>
      <c r="M268" s="126" t="n">
        <v>45443</v>
      </c>
      <c r="N268" s="127">
        <f>IFERROR(IF(G268&lt;&gt;"",IF(I268=TRUE,0,IF(U268=TRUE,0,L268-M268)),0),0)</f>
        <v/>
      </c>
      <c r="O268" s="127">
        <f>IF(N268&gt;0,IF(N268&lt;=180,N268,0),0)</f>
        <v/>
      </c>
      <c r="P268" s="125">
        <f>IF(AND(N268&lt;90,N268&gt;0),Q268,0)</f>
        <v/>
      </c>
      <c r="Q268" s="125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25">
        <f>IF(AND(H268=TRUE,I268=FALSE),Q268,0)</f>
        <v/>
      </c>
      <c r="S268" s="125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26">
        <f>IF(U268=TRUE,$J268,"")</f>
        <v/>
      </c>
      <c r="U268" s="124" t="b">
        <v>0</v>
      </c>
      <c r="V268" s="125">
        <f>IF(AND(H268=TRUE,OR(K268="",K268&gt;M268)),S268,0)</f>
        <v/>
      </c>
      <c r="W268" s="124" t="n">
        <v>0</v>
      </c>
      <c r="X268" s="124" t="b">
        <v>0</v>
      </c>
      <c r="Y268" s="127">
        <f>IF(H268=FALSE,VLOOKUP($C268,Sales!$C:$F,4,FALSE),1)</f>
        <v/>
      </c>
      <c r="Z268" s="124">
        <f>IF(Y268=0,"Release",IF(AND(L268&lt;J268,Y268=1,H268=FALSE,U268=FALSE,MONTH(L268)&amp;"/"&amp;YEAR(L268)&lt;&gt;MONTH(J268)&amp;"/"&amp;YEAR(J268)),"Release",""))</f>
        <v/>
      </c>
      <c r="AA268" s="128">
        <f>_xlfn.minifs($L:$L,$C:$C,$C268,$F:$F,"&lt;&gt;0")</f>
        <v/>
      </c>
      <c r="AB268" s="128">
        <f>C268&amp;"-"&amp;A268</f>
        <v/>
      </c>
      <c r="AC268" s="128">
        <f>L268</f>
        <v/>
      </c>
    </row>
    <row r="269">
      <c r="A269" s="124" t="inlineStr">
        <is>
          <t>ZMAN01</t>
        </is>
      </c>
      <c r="B269" s="124" t="n">
        <v>2</v>
      </c>
      <c r="C269" s="124" t="inlineStr">
        <is>
          <t>HVF201</t>
        </is>
      </c>
      <c r="D269" s="124" t="inlineStr">
        <is>
          <t>F</t>
        </is>
      </c>
      <c r="E269" s="124" t="inlineStr">
        <is>
          <t>Manuel Emma Irene</t>
        </is>
      </c>
      <c r="F269" s="125">
        <f>SUMIFS(Investors!$M:$M, Investors!$I:$I, "&lt;=" &amp; 'NSST Print'!$B$3, Investors!$K:$K, "&gt;" &amp; 'NSST Print'!$B$3, Investors!$A:$A, 'Investor Exit List'!A269, Investors!$E:$E, 'Investor Exit List'!C269)</f>
        <v/>
      </c>
      <c r="G269" s="126" t="n">
        <v>45408</v>
      </c>
      <c r="H269" s="124">
        <f>VLOOKUP($C269,Sales!$C:$E,2,FALSE)</f>
        <v/>
      </c>
      <c r="I269" s="124">
        <f>VLOOKUP($C269,Sales!$C:$E,3,FALSE)</f>
        <v/>
      </c>
      <c r="J269" s="126">
        <f>SUMIFS(Sales!$H:$H,Sales!$C:$C,'Investor Exit List'!$C269)</f>
        <v/>
      </c>
      <c r="K269" s="126">
        <f>IF(I269=TRUE,J269,"")</f>
        <v/>
      </c>
      <c r="L269" s="126">
        <f>G269+730</f>
        <v/>
      </c>
      <c r="M269" s="126" t="n">
        <v>45443</v>
      </c>
      <c r="N269" s="127">
        <f>IFERROR(IF(G269&lt;&gt;"",IF(I269=TRUE,0,IF(U269=TRUE,0,L269-M269)),0),0)</f>
        <v/>
      </c>
      <c r="O269" s="127">
        <f>IF(N269&gt;0,IF(N269&lt;=180,N269,0),0)</f>
        <v/>
      </c>
      <c r="P269" s="125">
        <f>IF(AND(N269&lt;90,N269&gt;0),Q269,0)</f>
        <v/>
      </c>
      <c r="Q269" s="125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25">
        <f>IF(AND(H269=TRUE,I269=FALSE),Q269,0)</f>
        <v/>
      </c>
      <c r="S269" s="125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26">
        <f>IF(U269=TRUE,$J269,"")</f>
        <v/>
      </c>
      <c r="U269" s="124" t="b">
        <v>0</v>
      </c>
      <c r="V269" s="125">
        <f>IF(AND(H269=TRUE,OR(K269="",K269&gt;M269)),S269,0)</f>
        <v/>
      </c>
      <c r="W269" s="124" t="n">
        <v>0</v>
      </c>
      <c r="X269" s="124" t="b">
        <v>0</v>
      </c>
      <c r="Y269" s="127">
        <f>IF(H269=FALSE,VLOOKUP($C269,Sales!$C:$F,4,FALSE),1)</f>
        <v/>
      </c>
      <c r="Z269" s="124">
        <f>IF(Y269=0,"Release",IF(AND(L269&lt;J269,Y269=1,H269=FALSE,U269=FALSE,MONTH(L269)&amp;"/"&amp;YEAR(L269)&lt;&gt;MONTH(J269)&amp;"/"&amp;YEAR(J269)),"Release",""))</f>
        <v/>
      </c>
      <c r="AA269" s="128">
        <f>_xlfn.minifs($L:$L,$C:$C,$C269,$F:$F,"&lt;&gt;0")</f>
        <v/>
      </c>
      <c r="AB269" s="128">
        <f>C269&amp;"-"&amp;A269</f>
        <v/>
      </c>
      <c r="AC269" s="128">
        <f>L269</f>
        <v/>
      </c>
    </row>
    <row r="270">
      <c r="A270" s="124" t="inlineStr">
        <is>
          <t>ZVAN05</t>
        </is>
      </c>
      <c r="B270" s="124" t="n">
        <v>11</v>
      </c>
      <c r="C270" s="124" t="inlineStr">
        <is>
          <t>HVF201</t>
        </is>
      </c>
      <c r="D270" s="124" t="inlineStr">
        <is>
          <t>F</t>
        </is>
      </c>
      <c r="E270" s="124" t="inlineStr">
        <is>
          <t>van der Sandt Hermanus</t>
        </is>
      </c>
      <c r="F270" s="125">
        <f>SUMIFS(Investors!$M:$M, Investors!$I:$I, "&lt;=" &amp; 'NSST Print'!$B$3, Investors!$K:$K, "&gt;" &amp; 'NSST Print'!$B$3, Investors!$A:$A, 'Investor Exit List'!A270, Investors!$E:$E, 'Investor Exit List'!C270)</f>
        <v/>
      </c>
      <c r="G270" s="126" t="n">
        <v>45443</v>
      </c>
      <c r="H270" s="124">
        <f>VLOOKUP($C270,Sales!$C:$E,2,FALSE)</f>
        <v/>
      </c>
      <c r="I270" s="124">
        <f>VLOOKUP($C270,Sales!$C:$E,3,FALSE)</f>
        <v/>
      </c>
      <c r="J270" s="126">
        <f>SUMIFS(Sales!$H:$H,Sales!$C:$C,'Investor Exit List'!$C270)</f>
        <v/>
      </c>
      <c r="K270" s="126">
        <f>IF(I270=TRUE,J270,"")</f>
        <v/>
      </c>
      <c r="L270" s="126">
        <f>G270+730</f>
        <v/>
      </c>
      <c r="M270" s="126" t="n">
        <v>45443</v>
      </c>
      <c r="N270" s="127">
        <f>IFERROR(IF(G270&lt;&gt;"",IF(I270=TRUE,0,IF(U270=TRUE,0,L270-M270)),0),0)</f>
        <v/>
      </c>
      <c r="O270" s="127">
        <f>IF(N270&gt;0,IF(N270&lt;=180,N270,0),0)</f>
        <v/>
      </c>
      <c r="P270" s="125">
        <f>IF(AND(N270&lt;90,N270&gt;0),Q270,0)</f>
        <v/>
      </c>
      <c r="Q270" s="125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25">
        <f>IF(AND(H270=TRUE,I270=FALSE),Q270,0)</f>
        <v/>
      </c>
      <c r="S270" s="125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26">
        <f>IF(U270=TRUE,$J270,"")</f>
        <v/>
      </c>
      <c r="U270" s="124" t="b">
        <v>0</v>
      </c>
      <c r="V270" s="125">
        <f>IF(AND(H270=TRUE,OR(K270="",K270&gt;M270)),S270,0)</f>
        <v/>
      </c>
      <c r="W270" s="124" t="n">
        <v>0</v>
      </c>
      <c r="X270" s="124" t="b">
        <v>0</v>
      </c>
      <c r="Y270" s="127">
        <f>IF(H270=FALSE,VLOOKUP($C270,Sales!$C:$F,4,FALSE),1)</f>
        <v/>
      </c>
      <c r="Z270" s="124">
        <f>IF(Y270=0,"Release",IF(AND(L270&lt;J270,Y270=1,H270=FALSE,U270=FALSE,MONTH(L270)&amp;"/"&amp;YEAR(L270)&lt;&gt;MONTH(J270)&amp;"/"&amp;YEAR(J270)),"Release",""))</f>
        <v/>
      </c>
      <c r="AA270" s="128">
        <f>_xlfn.minifs($L:$L,$C:$C,$C270,$F:$F,"&lt;&gt;0")</f>
        <v/>
      </c>
      <c r="AB270" s="128">
        <f>C270&amp;"-"&amp;A270</f>
        <v/>
      </c>
      <c r="AC270" s="128">
        <f>L270</f>
        <v/>
      </c>
    </row>
    <row r="271">
      <c r="A271" s="124" t="inlineStr">
        <is>
          <t>ZDIK01</t>
        </is>
      </c>
      <c r="B271" s="124" t="n">
        <v>1</v>
      </c>
      <c r="C271" s="124" t="inlineStr">
        <is>
          <t>HVF202</t>
        </is>
      </c>
      <c r="D271" s="124" t="inlineStr">
        <is>
          <t>F</t>
        </is>
      </c>
      <c r="E271" s="124" t="inlineStr">
        <is>
          <t>Dikana Deliwe Mavis</t>
        </is>
      </c>
      <c r="F271" s="125">
        <f>SUMIFS(Investors!$M:$M, Investors!$I:$I, "&lt;=" &amp; 'NSST Print'!$B$3, Investors!$K:$K, "&gt;" &amp; 'NSST Print'!$B$3, Investors!$A:$A, 'Investor Exit List'!A271, Investors!$E:$E, 'Investor Exit List'!C271)</f>
        <v/>
      </c>
      <c r="G271" s="126" t="n">
        <v>45443</v>
      </c>
      <c r="H271" s="124">
        <f>VLOOKUP($C271,Sales!$C:$E,2,FALSE)</f>
        <v/>
      </c>
      <c r="I271" s="124">
        <f>VLOOKUP($C271,Sales!$C:$E,3,FALSE)</f>
        <v/>
      </c>
      <c r="J271" s="126">
        <f>SUMIFS(Sales!$H:$H,Sales!$C:$C,'Investor Exit List'!$C271)</f>
        <v/>
      </c>
      <c r="K271" s="126">
        <f>IF(I271=TRUE,J271,"")</f>
        <v/>
      </c>
      <c r="L271" s="126">
        <f>G271+730</f>
        <v/>
      </c>
      <c r="M271" s="126" t="n">
        <v>45443</v>
      </c>
      <c r="N271" s="127">
        <f>IFERROR(IF(G271&lt;&gt;"",IF(I271=TRUE,0,IF(U271=TRUE,0,L271-M271)),0),0)</f>
        <v/>
      </c>
      <c r="O271" s="127">
        <f>IF(N271&gt;0,IF(N271&lt;=180,N271,0),0)</f>
        <v/>
      </c>
      <c r="P271" s="125">
        <f>IF(AND(N271&lt;90,N271&gt;0),Q271,0)</f>
        <v/>
      </c>
      <c r="Q271" s="125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25">
        <f>IF(AND(H271=TRUE,I271=FALSE),Q271,0)</f>
        <v/>
      </c>
      <c r="S271" s="125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26">
        <f>IF(U271=TRUE,$J271,"")</f>
        <v/>
      </c>
      <c r="U271" s="124" t="b">
        <v>0</v>
      </c>
      <c r="V271" s="125">
        <f>IF(AND(H271=TRUE,OR(K271="",K271&gt;M271)),S271,0)</f>
        <v/>
      </c>
      <c r="W271" s="124" t="n">
        <v>0</v>
      </c>
      <c r="X271" s="124" t="b">
        <v>0</v>
      </c>
      <c r="Y271" s="127">
        <f>IF(H271=FALSE,VLOOKUP($C271,Sales!$C:$F,4,FALSE),1)</f>
        <v/>
      </c>
      <c r="Z271" s="124">
        <f>IF(Y271=0,"Release",IF(AND(L271&lt;J271,Y271=1,H271=FALSE,U271=FALSE,MONTH(L271)&amp;"/"&amp;YEAR(L271)&lt;&gt;MONTH(J271)&amp;"/"&amp;YEAR(J271)),"Release",""))</f>
        <v/>
      </c>
      <c r="AA271" s="128">
        <f>_xlfn.minifs($L:$L,$C:$C,$C271,$F:$F,"&lt;&gt;0")</f>
        <v/>
      </c>
      <c r="AB271" s="128">
        <f>C271&amp;"-"&amp;A271</f>
        <v/>
      </c>
      <c r="AC271" s="128">
        <f>L271</f>
        <v/>
      </c>
    </row>
    <row r="272">
      <c r="A272" s="124" t="inlineStr">
        <is>
          <t>ZELO02</t>
        </is>
      </c>
      <c r="B272" s="124" t="n">
        <v>1</v>
      </c>
      <c r="C272" s="124" t="inlineStr">
        <is>
          <t>HVF202</t>
        </is>
      </c>
      <c r="D272" s="124" t="inlineStr">
        <is>
          <t>F</t>
        </is>
      </c>
      <c r="E272" s="124" t="inlineStr">
        <is>
          <t>Eloff Gertruida Maria Margaretha (Gerda)</t>
        </is>
      </c>
      <c r="F272" s="125">
        <f>SUMIFS(Investors!$M:$M, Investors!$I:$I, "&lt;=" &amp; 'NSST Print'!$B$3, Investors!$K:$K, "&gt;" &amp; 'NSST Print'!$B$3, Investors!$A:$A, 'Investor Exit List'!A272, Investors!$E:$E, 'Investor Exit List'!C272)</f>
        <v/>
      </c>
      <c r="G272" s="126" t="n">
        <v>45321</v>
      </c>
      <c r="H272" s="124">
        <f>VLOOKUP($C272,Sales!$C:$E,2,FALSE)</f>
        <v/>
      </c>
      <c r="I272" s="124">
        <f>VLOOKUP($C272,Sales!$C:$E,3,FALSE)</f>
        <v/>
      </c>
      <c r="J272" s="126">
        <f>SUMIFS(Sales!$H:$H,Sales!$C:$C,'Investor Exit List'!$C272)</f>
        <v/>
      </c>
      <c r="K272" s="126">
        <f>IF(I272=TRUE,J272,"")</f>
        <v/>
      </c>
      <c r="L272" s="126">
        <f>G272+730</f>
        <v/>
      </c>
      <c r="M272" s="126" t="n">
        <v>45443</v>
      </c>
      <c r="N272" s="127">
        <f>IFERROR(IF(G272&lt;&gt;"",IF(I272=TRUE,0,IF(U272=TRUE,0,L272-M272)),0),0)</f>
        <v/>
      </c>
      <c r="O272" s="127">
        <f>IF(N272&gt;0,IF(N272&lt;=180,N272,0),0)</f>
        <v/>
      </c>
      <c r="P272" s="125">
        <f>IF(AND(N272&lt;90,N272&gt;0),Q272,0)</f>
        <v/>
      </c>
      <c r="Q272" s="125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25">
        <f>IF(AND(H272=TRUE,I272=FALSE),Q272,0)</f>
        <v/>
      </c>
      <c r="S272" s="125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26">
        <f>IF(U272=TRUE,$J272,"")</f>
        <v/>
      </c>
      <c r="U272" s="124" t="b">
        <v>0</v>
      </c>
      <c r="V272" s="125">
        <f>IF(AND(H272=TRUE,OR(K272="",K272&gt;M272)),S272,0)</f>
        <v/>
      </c>
      <c r="W272" s="124" t="n">
        <v>0</v>
      </c>
      <c r="X272" s="124" t="b">
        <v>0</v>
      </c>
      <c r="Y272" s="127">
        <f>IF(H272=FALSE,VLOOKUP($C272,Sales!$C:$F,4,FALSE),1)</f>
        <v/>
      </c>
      <c r="Z272" s="124">
        <f>IF(Y272=0,"Release",IF(AND(L272&lt;J272,Y272=1,H272=FALSE,U272=FALSE,MONTH(L272)&amp;"/"&amp;YEAR(L272)&lt;&gt;MONTH(J272)&amp;"/"&amp;YEAR(J272)),"Release",""))</f>
        <v/>
      </c>
      <c r="AA272" s="128">
        <f>_xlfn.minifs($L:$L,$C:$C,$C272,$F:$F,"&lt;&gt;0")</f>
        <v/>
      </c>
      <c r="AB272" s="128">
        <f>C272&amp;"-"&amp;A272</f>
        <v/>
      </c>
      <c r="AC272" s="128">
        <f>L272</f>
        <v/>
      </c>
    </row>
    <row r="273">
      <c r="A273" s="124" t="inlineStr">
        <is>
          <t>ZJEN01</t>
        </is>
      </c>
      <c r="B273" s="124" t="n">
        <v>3</v>
      </c>
      <c r="C273" s="124" t="inlineStr">
        <is>
          <t>HVF202</t>
        </is>
      </c>
      <c r="D273" s="124" t="inlineStr">
        <is>
          <t>F</t>
        </is>
      </c>
      <c r="E273" s="124" t="inlineStr">
        <is>
          <t>Jennings Daryl Anne</t>
        </is>
      </c>
      <c r="F273" s="125">
        <f>SUMIFS(Investors!$M:$M, Investors!$I:$I, "&lt;=" &amp; 'NSST Print'!$B$3, Investors!$K:$K, "&gt;" &amp; 'NSST Print'!$B$3, Investors!$A:$A, 'Investor Exit List'!A273, Investors!$E:$E, 'Investor Exit List'!C273)</f>
        <v/>
      </c>
      <c r="G273" s="126" t="n">
        <v>45321</v>
      </c>
      <c r="H273" s="124">
        <f>VLOOKUP($C273,Sales!$C:$E,2,FALSE)</f>
        <v/>
      </c>
      <c r="I273" s="124">
        <f>VLOOKUP($C273,Sales!$C:$E,3,FALSE)</f>
        <v/>
      </c>
      <c r="J273" s="126">
        <f>SUMIFS(Sales!$H:$H,Sales!$C:$C,'Investor Exit List'!$C273)</f>
        <v/>
      </c>
      <c r="K273" s="126">
        <f>IF(I273=TRUE,J273,"")</f>
        <v/>
      </c>
      <c r="L273" s="126">
        <f>G273+730</f>
        <v/>
      </c>
      <c r="M273" s="126" t="n">
        <v>45443</v>
      </c>
      <c r="N273" s="127">
        <f>IFERROR(IF(G273&lt;&gt;"",IF(I273=TRUE,0,IF(U273=TRUE,0,L273-M273)),0),0)</f>
        <v/>
      </c>
      <c r="O273" s="127">
        <f>IF(N273&gt;0,IF(N273&lt;=180,N273,0),0)</f>
        <v/>
      </c>
      <c r="P273" s="125">
        <f>IF(AND(N273&lt;90,N273&gt;0),Q273,0)</f>
        <v/>
      </c>
      <c r="Q273" s="125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25">
        <f>IF(AND(H273=TRUE,I273=FALSE),Q273,0)</f>
        <v/>
      </c>
      <c r="S273" s="125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26">
        <f>IF(U273=TRUE,$J273,"")</f>
        <v/>
      </c>
      <c r="U273" s="124" t="b">
        <v>0</v>
      </c>
      <c r="V273" s="125">
        <f>IF(AND(H273=TRUE,OR(K273="",K273&gt;M273)),S273,0)</f>
        <v/>
      </c>
      <c r="W273" s="124" t="n">
        <v>0</v>
      </c>
      <c r="X273" s="124" t="b">
        <v>0</v>
      </c>
      <c r="Y273" s="127">
        <f>IF(H273=FALSE,VLOOKUP($C273,Sales!$C:$F,4,FALSE),1)</f>
        <v/>
      </c>
      <c r="Z273" s="124">
        <f>IF(Y273=0,"Release",IF(AND(L273&lt;J273,Y273=1,H273=FALSE,U273=FALSE,MONTH(L273)&amp;"/"&amp;YEAR(L273)&lt;&gt;MONTH(J273)&amp;"/"&amp;YEAR(J273)),"Release",""))</f>
        <v/>
      </c>
      <c r="AA273" s="128">
        <f>_xlfn.minifs($L:$L,$C:$C,$C273,$F:$F,"&lt;&gt;0")</f>
        <v/>
      </c>
      <c r="AB273" s="128">
        <f>C273&amp;"-"&amp;A273</f>
        <v/>
      </c>
      <c r="AC273" s="128">
        <f>L273</f>
        <v/>
      </c>
    </row>
    <row r="274">
      <c r="A274" s="124" t="inlineStr">
        <is>
          <t>ZRIT01</t>
        </is>
      </c>
      <c r="B274" s="124" t="n">
        <v>17</v>
      </c>
      <c r="C274" s="124" t="inlineStr">
        <is>
          <t>HVF202</t>
        </is>
      </c>
      <c r="D274" s="124" t="inlineStr">
        <is>
          <t>F</t>
        </is>
      </c>
      <c r="E274" s="124" t="inlineStr">
        <is>
          <t>Ritter Dennis</t>
        </is>
      </c>
      <c r="F274" s="125">
        <f>SUMIFS(Investors!$M:$M, Investors!$I:$I, "&lt;=" &amp; 'NSST Print'!$B$3, Investors!$K:$K, "&gt;" &amp; 'NSST Print'!$B$3, Investors!$A:$A, 'Investor Exit List'!A274, Investors!$E:$E, 'Investor Exit List'!C274)</f>
        <v/>
      </c>
      <c r="G274" s="126" t="n">
        <v>45224</v>
      </c>
      <c r="H274" s="124">
        <f>VLOOKUP($C274,Sales!$C:$E,2,FALSE)</f>
        <v/>
      </c>
      <c r="I274" s="124">
        <f>VLOOKUP($C274,Sales!$C:$E,3,FALSE)</f>
        <v/>
      </c>
      <c r="J274" s="126">
        <f>SUMIFS(Sales!$H:$H,Sales!$C:$C,'Investor Exit List'!$C274)</f>
        <v/>
      </c>
      <c r="K274" s="126">
        <f>IF(I274=TRUE,J274,"")</f>
        <v/>
      </c>
      <c r="L274" s="126">
        <f>G274+730</f>
        <v/>
      </c>
      <c r="M274" s="126" t="n">
        <v>45443</v>
      </c>
      <c r="N274" s="127">
        <f>IFERROR(IF(G274&lt;&gt;"",IF(I274=TRUE,0,IF(U274=TRUE,0,L274-M274)),0),0)</f>
        <v/>
      </c>
      <c r="O274" s="127">
        <f>IF(N274&gt;0,IF(N274&lt;=180,N274,0),0)</f>
        <v/>
      </c>
      <c r="P274" s="125">
        <f>IF(AND(N274&lt;90,N274&gt;0),Q274,0)</f>
        <v/>
      </c>
      <c r="Q274" s="125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25">
        <f>IF(AND(H274=TRUE,I274=FALSE),Q274,0)</f>
        <v/>
      </c>
      <c r="S274" s="125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26">
        <f>IF(U274=TRUE,$J274,"")</f>
        <v/>
      </c>
      <c r="U274" s="124" t="b">
        <v>0</v>
      </c>
      <c r="V274" s="125">
        <f>IF(AND(H274=TRUE,OR(K274="",K274&gt;M274)),S274,0)</f>
        <v/>
      </c>
      <c r="W274" s="124" t="n">
        <v>0</v>
      </c>
      <c r="X274" s="124" t="b">
        <v>0</v>
      </c>
      <c r="Y274" s="127">
        <f>IF(H274=FALSE,VLOOKUP($C274,Sales!$C:$F,4,FALSE),1)</f>
        <v/>
      </c>
      <c r="Z274" s="124">
        <f>IF(Y274=0,"Release",IF(AND(L274&lt;J274,Y274=1,H274=FALSE,U274=FALSE,MONTH(L274)&amp;"/"&amp;YEAR(L274)&lt;&gt;MONTH(J274)&amp;"/"&amp;YEAR(J274)),"Release",""))</f>
        <v/>
      </c>
      <c r="AA274" s="128">
        <f>_xlfn.minifs($L:$L,$C:$C,$C274,$F:$F,"&lt;&gt;0")</f>
        <v/>
      </c>
      <c r="AB274" s="128">
        <f>C274&amp;"-"&amp;A274</f>
        <v/>
      </c>
      <c r="AC274" s="128">
        <f>L274</f>
        <v/>
      </c>
    </row>
    <row r="275">
      <c r="A275" s="124" t="inlineStr">
        <is>
          <t>ZHEI01</t>
        </is>
      </c>
      <c r="B275" s="124" t="n">
        <v>15</v>
      </c>
      <c r="C275" s="124" t="inlineStr">
        <is>
          <t>HVF203</t>
        </is>
      </c>
      <c r="D275" s="124" t="inlineStr">
        <is>
          <t>F</t>
        </is>
      </c>
      <c r="E275" s="124" t="inlineStr">
        <is>
          <t>Heinze Dieter Raimund</t>
        </is>
      </c>
      <c r="F275" s="125">
        <f>SUMIFS(Investors!$M:$M, Investors!$I:$I, "&lt;=" &amp; 'NSST Print'!$B$3, Investors!$K:$K, "&gt;" &amp; 'NSST Print'!$B$3, Investors!$A:$A, 'Investor Exit List'!A275, Investors!$E:$E, 'Investor Exit List'!C275)</f>
        <v/>
      </c>
      <c r="G275" s="126" t="n">
        <v>45408</v>
      </c>
      <c r="H275" s="124">
        <f>VLOOKUP($C275,Sales!$C:$E,2,FALSE)</f>
        <v/>
      </c>
      <c r="I275" s="124">
        <f>VLOOKUP($C275,Sales!$C:$E,3,FALSE)</f>
        <v/>
      </c>
      <c r="J275" s="126">
        <f>SUMIFS(Sales!$H:$H,Sales!$C:$C,'Investor Exit List'!$C275)</f>
        <v/>
      </c>
      <c r="K275" s="126">
        <f>IF(I275=TRUE,J275,"")</f>
        <v/>
      </c>
      <c r="L275" s="126">
        <f>G275+730</f>
        <v/>
      </c>
      <c r="M275" s="126" t="n">
        <v>45443</v>
      </c>
      <c r="N275" s="127">
        <f>IFERROR(IF(G275&lt;&gt;"",IF(I275=TRUE,0,IF(U275=TRUE,0,L275-M275)),0),0)</f>
        <v/>
      </c>
      <c r="O275" s="127">
        <f>IF(N275&gt;0,IF(N275&lt;=180,N275,0),0)</f>
        <v/>
      </c>
      <c r="P275" s="125">
        <f>IF(AND(N275&lt;90,N275&gt;0),Q275,0)</f>
        <v/>
      </c>
      <c r="Q275" s="125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25">
        <f>IF(AND(H275=TRUE,I275=FALSE),Q275,0)</f>
        <v/>
      </c>
      <c r="S275" s="125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26">
        <f>IF(U275=TRUE,$J275,"")</f>
        <v/>
      </c>
      <c r="U275" s="124" t="b">
        <v>0</v>
      </c>
      <c r="V275" s="125">
        <f>IF(AND(H275=TRUE,OR(K275="",K275&gt;M275)),S275,0)</f>
        <v/>
      </c>
      <c r="W275" s="124" t="n">
        <v>0</v>
      </c>
      <c r="X275" s="124" t="b">
        <v>0</v>
      </c>
      <c r="Y275" s="127">
        <f>IF(H275=FALSE,VLOOKUP($C275,Sales!$C:$F,4,FALSE),1)</f>
        <v/>
      </c>
      <c r="Z275" s="124">
        <f>IF(Y275=0,"Release",IF(AND(L275&lt;J275,Y275=1,H275=FALSE,U275=FALSE,MONTH(L275)&amp;"/"&amp;YEAR(L275)&lt;&gt;MONTH(J275)&amp;"/"&amp;YEAR(J275)),"Release",""))</f>
        <v/>
      </c>
      <c r="AA275" s="128">
        <f>_xlfn.minifs($L:$L,$C:$C,$C275,$F:$F,"&lt;&gt;0")</f>
        <v/>
      </c>
      <c r="AB275" s="128">
        <f>C275&amp;"-"&amp;A275</f>
        <v/>
      </c>
      <c r="AC275" s="128">
        <f>L275</f>
        <v/>
      </c>
    </row>
    <row r="276">
      <c r="A276" s="124" t="inlineStr">
        <is>
          <t>ZHUM01</t>
        </is>
      </c>
      <c r="B276" s="124" t="n">
        <v>2</v>
      </c>
      <c r="C276" s="124" t="inlineStr">
        <is>
          <t>HVF203</t>
        </is>
      </c>
      <c r="D276" s="124" t="inlineStr">
        <is>
          <t>F</t>
        </is>
      </c>
      <c r="E276" s="124" t="inlineStr">
        <is>
          <t>Human Tralee Joan</t>
        </is>
      </c>
      <c r="F276" s="125">
        <f>SUMIFS(Investors!$M:$M, Investors!$I:$I, "&lt;=" &amp; 'NSST Print'!$B$3, Investors!$K:$K, "&gt;" &amp; 'NSST Print'!$B$3, Investors!$A:$A, 'Investor Exit List'!A276, Investors!$E:$E, 'Investor Exit List'!C276)</f>
        <v/>
      </c>
      <c r="G276" s="126" t="n">
        <v>45273</v>
      </c>
      <c r="H276" s="124">
        <f>VLOOKUP($C276,Sales!$C:$E,2,FALSE)</f>
        <v/>
      </c>
      <c r="I276" s="124">
        <f>VLOOKUP($C276,Sales!$C:$E,3,FALSE)</f>
        <v/>
      </c>
      <c r="J276" s="126">
        <f>SUMIFS(Sales!$H:$H,Sales!$C:$C,'Investor Exit List'!$C276)</f>
        <v/>
      </c>
      <c r="K276" s="126">
        <f>IF(I276=TRUE,J276,"")</f>
        <v/>
      </c>
      <c r="L276" s="126">
        <f>G276+730</f>
        <v/>
      </c>
      <c r="M276" s="126" t="n">
        <v>45443</v>
      </c>
      <c r="N276" s="127">
        <f>IFERROR(IF(G276&lt;&gt;"",IF(I276=TRUE,0,IF(U276=TRUE,0,L276-M276)),0),0)</f>
        <v/>
      </c>
      <c r="O276" s="127">
        <f>IF(N276&gt;0,IF(N276&lt;=180,N276,0),0)</f>
        <v/>
      </c>
      <c r="P276" s="125">
        <f>IF(AND(N276&lt;90,N276&gt;0),Q276,0)</f>
        <v/>
      </c>
      <c r="Q276" s="125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25">
        <f>IF(AND(H276=TRUE,I276=FALSE),Q276,0)</f>
        <v/>
      </c>
      <c r="S276" s="125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26">
        <f>IF(U276=TRUE,$J276,"")</f>
        <v/>
      </c>
      <c r="U276" s="124" t="b">
        <v>0</v>
      </c>
      <c r="V276" s="125">
        <f>IF(AND(H276=TRUE,OR(K276="",K276&gt;M276)),S276,0)</f>
        <v/>
      </c>
      <c r="W276" s="124" t="n">
        <v>0</v>
      </c>
      <c r="X276" s="124" t="b">
        <v>0</v>
      </c>
      <c r="Y276" s="127">
        <f>IF(H276=FALSE,VLOOKUP($C276,Sales!$C:$F,4,FALSE),1)</f>
        <v/>
      </c>
      <c r="Z276" s="124">
        <f>IF(Y276=0,"Release",IF(AND(L276&lt;J276,Y276=1,H276=FALSE,U276=FALSE,MONTH(L276)&amp;"/"&amp;YEAR(L276)&lt;&gt;MONTH(J276)&amp;"/"&amp;YEAR(J276)),"Release",""))</f>
        <v/>
      </c>
      <c r="AA276" s="128">
        <f>_xlfn.minifs($L:$L,$C:$C,$C276,$F:$F,"&lt;&gt;0")</f>
        <v/>
      </c>
      <c r="AB276" s="128">
        <f>C276&amp;"-"&amp;A276</f>
        <v/>
      </c>
      <c r="AC276" s="128">
        <f>L276</f>
        <v/>
      </c>
    </row>
    <row r="277">
      <c r="A277" s="124" t="inlineStr">
        <is>
          <t>ZSCH01</t>
        </is>
      </c>
      <c r="B277" s="124" t="n">
        <v>17</v>
      </c>
      <c r="C277" s="124" t="inlineStr">
        <is>
          <t>HVF203</t>
        </is>
      </c>
      <c r="D277" s="124" t="inlineStr">
        <is>
          <t>F</t>
        </is>
      </c>
      <c r="E277" s="124" t="inlineStr">
        <is>
          <t>Schubert Inge</t>
        </is>
      </c>
      <c r="F277" s="125">
        <f>SUMIFS(Investors!$M:$M, Investors!$I:$I, "&lt;=" &amp; 'NSST Print'!$B$3, Investors!$K:$K, "&gt;" &amp; 'NSST Print'!$B$3, Investors!$A:$A, 'Investor Exit List'!A277, Investors!$E:$E, 'Investor Exit List'!C277)</f>
        <v/>
      </c>
      <c r="G277" s="126" t="n">
        <v>45408</v>
      </c>
      <c r="H277" s="124">
        <f>VLOOKUP($C277,Sales!$C:$E,2,FALSE)</f>
        <v/>
      </c>
      <c r="I277" s="124">
        <f>VLOOKUP($C277,Sales!$C:$E,3,FALSE)</f>
        <v/>
      </c>
      <c r="J277" s="126">
        <f>SUMIFS(Sales!$H:$H,Sales!$C:$C,'Investor Exit List'!$C277)</f>
        <v/>
      </c>
      <c r="K277" s="126">
        <f>IF(I277=TRUE,J277,"")</f>
        <v/>
      </c>
      <c r="L277" s="126">
        <f>G277+730</f>
        <v/>
      </c>
      <c r="M277" s="126" t="n">
        <v>45443</v>
      </c>
      <c r="N277" s="127">
        <f>IFERROR(IF(G277&lt;&gt;"",IF(I277=TRUE,0,IF(U277=TRUE,0,L277-M277)),0),0)</f>
        <v/>
      </c>
      <c r="O277" s="127">
        <f>IF(N277&gt;0,IF(N277&lt;=180,N277,0),0)</f>
        <v/>
      </c>
      <c r="P277" s="125">
        <f>IF(AND(N277&lt;90,N277&gt;0),Q277,0)</f>
        <v/>
      </c>
      <c r="Q277" s="125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25">
        <f>IF(AND(H277=TRUE,I277=FALSE),Q277,0)</f>
        <v/>
      </c>
      <c r="S277" s="125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26">
        <f>IF(U277=TRUE,$J277,"")</f>
        <v/>
      </c>
      <c r="U277" s="124" t="b">
        <v>0</v>
      </c>
      <c r="V277" s="125">
        <f>IF(AND(H277=TRUE,OR(K277="",K277&gt;M277)),S277,0)</f>
        <v/>
      </c>
      <c r="W277" s="124" t="n">
        <v>0</v>
      </c>
      <c r="X277" s="124" t="b">
        <v>0</v>
      </c>
      <c r="Y277" s="127">
        <f>IF(H277=FALSE,VLOOKUP($C277,Sales!$C:$F,4,FALSE),1)</f>
        <v/>
      </c>
      <c r="Z277" s="124">
        <f>IF(Y277=0,"Release",IF(AND(L277&lt;J277,Y277=1,H277=FALSE,U277=FALSE,MONTH(L277)&amp;"/"&amp;YEAR(L277)&lt;&gt;MONTH(J277)&amp;"/"&amp;YEAR(J277)),"Release",""))</f>
        <v/>
      </c>
      <c r="AA277" s="128">
        <f>_xlfn.minifs($L:$L,$C:$C,$C277,$F:$F,"&lt;&gt;0")</f>
        <v/>
      </c>
      <c r="AB277" s="128">
        <f>C277&amp;"-"&amp;A277</f>
        <v/>
      </c>
      <c r="AC277" s="128">
        <f>L277</f>
        <v/>
      </c>
    </row>
    <row r="278">
      <c r="A278" s="124" t="inlineStr">
        <is>
          <t>ZVAN05</t>
        </is>
      </c>
      <c r="B278" s="124" t="n">
        <v>12</v>
      </c>
      <c r="C278" s="124" t="inlineStr">
        <is>
          <t>HVF204</t>
        </is>
      </c>
      <c r="D278" s="124" t="inlineStr">
        <is>
          <t>F</t>
        </is>
      </c>
      <c r="E278" s="124" t="inlineStr">
        <is>
          <t>van der Sandt Hermanus</t>
        </is>
      </c>
      <c r="F278" s="125">
        <f>SUMIFS(Investors!$M:$M, Investors!$I:$I, "&lt;=" &amp; 'NSST Print'!$B$3, Investors!$K:$K, "&gt;" &amp; 'NSST Print'!$B$3, Investors!$A:$A, 'Investor Exit List'!A278, Investors!$E:$E, 'Investor Exit List'!C278)</f>
        <v/>
      </c>
      <c r="G278" s="126" t="n">
        <v>45408</v>
      </c>
      <c r="H278" s="124">
        <f>VLOOKUP($C278,Sales!$C:$E,2,FALSE)</f>
        <v/>
      </c>
      <c r="I278" s="124">
        <f>VLOOKUP($C278,Sales!$C:$E,3,FALSE)</f>
        <v/>
      </c>
      <c r="J278" s="126">
        <f>SUMIFS(Sales!$H:$H,Sales!$C:$C,'Investor Exit List'!$C278)</f>
        <v/>
      </c>
      <c r="K278" s="126">
        <f>IF(I278=TRUE,J278,"")</f>
        <v/>
      </c>
      <c r="L278" s="126">
        <f>G278+730</f>
        <v/>
      </c>
      <c r="M278" s="126" t="n">
        <v>45443</v>
      </c>
      <c r="N278" s="127">
        <f>IFERROR(IF(G278&lt;&gt;"",IF(I278=TRUE,0,IF(U278=TRUE,0,L278-M278)),0),0)</f>
        <v/>
      </c>
      <c r="O278" s="127">
        <f>IF(N278&gt;0,IF(N278&lt;=180,N278,0),0)</f>
        <v/>
      </c>
      <c r="P278" s="125">
        <f>IF(AND(N278&lt;90,N278&gt;0),Q278,0)</f>
        <v/>
      </c>
      <c r="Q278" s="125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25">
        <f>IF(AND(H278=TRUE,I278=FALSE),Q278,0)</f>
        <v/>
      </c>
      <c r="S278" s="125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26">
        <f>IF(U278=TRUE,$J278,"")</f>
        <v/>
      </c>
      <c r="U278" s="124" t="b">
        <v>0</v>
      </c>
      <c r="V278" s="125">
        <f>IF(AND(H278=TRUE,OR(K278="",K278&gt;M278)),S278,0)</f>
        <v/>
      </c>
      <c r="W278" s="124" t="n">
        <v>0</v>
      </c>
      <c r="X278" s="124" t="b">
        <v>0</v>
      </c>
      <c r="Y278" s="127">
        <f>IF(H278=FALSE,VLOOKUP($C278,Sales!$C:$F,4,FALSE),1)</f>
        <v/>
      </c>
      <c r="Z278" s="124">
        <f>IF(Y278=0,"Release",IF(AND(L278&lt;J278,Y278=1,H278=FALSE,U278=FALSE,MONTH(L278)&amp;"/"&amp;YEAR(L278)&lt;&gt;MONTH(J278)&amp;"/"&amp;YEAR(J278)),"Release",""))</f>
        <v/>
      </c>
      <c r="AA278" s="128">
        <f>_xlfn.minifs($L:$L,$C:$C,$C278,$F:$F,"&lt;&gt;0")</f>
        <v/>
      </c>
      <c r="AB278" s="128">
        <f>C278&amp;"-"&amp;A278</f>
        <v/>
      </c>
      <c r="AC278" s="128">
        <f>L278</f>
        <v/>
      </c>
    </row>
    <row r="279">
      <c r="A279" s="124" t="inlineStr">
        <is>
          <t>ZCRO01</t>
        </is>
      </c>
      <c r="B279" s="124" t="n">
        <v>16</v>
      </c>
      <c r="C279" s="124" t="inlineStr">
        <is>
          <t>HVG101</t>
        </is>
      </c>
      <c r="D279" s="124" t="inlineStr">
        <is>
          <t>G</t>
        </is>
      </c>
      <c r="E279" s="124" t="inlineStr">
        <is>
          <t>Lunau Marc</t>
        </is>
      </c>
      <c r="F279" s="125">
        <f>SUMIFS(Investors!$M:$M, Investors!$I:$I, "&lt;=" &amp; 'NSST Print'!$B$3, Investors!$K:$K, "&gt;" &amp; 'NSST Print'!$B$3, Investors!$A:$A, 'Investor Exit List'!A279, Investors!$E:$E, 'Investor Exit List'!C279)</f>
        <v/>
      </c>
      <c r="G279" s="126" t="n">
        <v>45129</v>
      </c>
      <c r="H279" s="124">
        <f>VLOOKUP($C279,Sales!$C:$E,2,FALSE)</f>
        <v/>
      </c>
      <c r="I279" s="124">
        <f>VLOOKUP($C279,Sales!$C:$E,3,FALSE)</f>
        <v/>
      </c>
      <c r="J279" s="126">
        <f>SUMIFS(Sales!$H:$H,Sales!$C:$C,'Investor Exit List'!$C279)</f>
        <v/>
      </c>
      <c r="K279" s="126">
        <f>IF(I279=TRUE,J279,"")</f>
        <v/>
      </c>
      <c r="L279" s="126">
        <f>G279+730</f>
        <v/>
      </c>
      <c r="M279" s="126" t="n">
        <v>45443</v>
      </c>
      <c r="N279" s="127">
        <f>IFERROR(IF(G279&lt;&gt;"",IF(I279=TRUE,0,IF(U279=TRUE,0,L279-M279)),0),0)</f>
        <v/>
      </c>
      <c r="O279" s="127">
        <f>IF(N279&gt;0,IF(N279&lt;=180,N279,0),0)</f>
        <v/>
      </c>
      <c r="P279" s="125">
        <f>IF(AND(N279&lt;90,N279&gt;0),Q279,0)</f>
        <v/>
      </c>
      <c r="Q279" s="125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25">
        <f>IF(AND(H279=TRUE,I279=FALSE),Q279,0)</f>
        <v/>
      </c>
      <c r="S279" s="125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26">
        <f>IF(U279=TRUE,$J279,"")</f>
        <v/>
      </c>
      <c r="U279" s="124" t="b">
        <v>0</v>
      </c>
      <c r="V279" s="125">
        <f>IF(AND(H279=TRUE,OR(K279="",K279&gt;M279)),S279,0)</f>
        <v/>
      </c>
      <c r="W279" s="124" t="n">
        <v>0</v>
      </c>
      <c r="X279" s="124" t="b">
        <v>0</v>
      </c>
      <c r="Y279" s="127">
        <f>IF(H279=FALSE,VLOOKUP($C279,Sales!$C:$F,4,FALSE),1)</f>
        <v/>
      </c>
      <c r="Z279" s="124">
        <f>IF(Y279=0,"Release",IF(AND(L279&lt;J279,Y279=1,H279=FALSE,U279=FALSE,MONTH(L279)&amp;"/"&amp;YEAR(L279)&lt;&gt;MONTH(J279)&amp;"/"&amp;YEAR(J279)),"Release",""))</f>
        <v/>
      </c>
      <c r="AA279" s="128">
        <f>_xlfn.minifs($L:$L,$C:$C,$C279,$F:$F,"&lt;&gt;0")</f>
        <v/>
      </c>
      <c r="AB279" s="128">
        <f>C279&amp;"-"&amp;A279</f>
        <v/>
      </c>
      <c r="AC279" s="128">
        <f>L279</f>
        <v/>
      </c>
    </row>
    <row r="280">
      <c r="A280" s="124" t="inlineStr">
        <is>
          <t>ZWIL02</t>
        </is>
      </c>
      <c r="B280" s="124" t="n">
        <v>3</v>
      </c>
      <c r="C280" s="124" t="inlineStr">
        <is>
          <t>HVG101</t>
        </is>
      </c>
      <c r="D280" s="124" t="inlineStr">
        <is>
          <t>G</t>
        </is>
      </c>
      <c r="E280" s="124" t="inlineStr">
        <is>
          <t>Williams Pia Inga</t>
        </is>
      </c>
      <c r="F280" s="125">
        <f>SUMIFS(Investors!$M:$M, Investors!$I:$I, "&lt;=" &amp; 'NSST Print'!$B$3, Investors!$K:$K, "&gt;" &amp; 'NSST Print'!$B$3, Investors!$A:$A, 'Investor Exit List'!A280, Investors!$E:$E, 'Investor Exit List'!C280)</f>
        <v/>
      </c>
      <c r="G280" s="126" t="n">
        <v>45168</v>
      </c>
      <c r="H280" s="124">
        <f>VLOOKUP($C280,Sales!$C:$E,2,FALSE)</f>
        <v/>
      </c>
      <c r="I280" s="124">
        <f>VLOOKUP($C280,Sales!$C:$E,3,FALSE)</f>
        <v/>
      </c>
      <c r="J280" s="126">
        <f>SUMIFS(Sales!$H:$H,Sales!$C:$C,'Investor Exit List'!$C280)</f>
        <v/>
      </c>
      <c r="K280" s="126">
        <f>IF(I280=TRUE,J280,"")</f>
        <v/>
      </c>
      <c r="L280" s="126">
        <f>G280+730</f>
        <v/>
      </c>
      <c r="M280" s="126" t="n">
        <v>45443</v>
      </c>
      <c r="N280" s="127">
        <f>IFERROR(IF(G280&lt;&gt;"",IF(I280=TRUE,0,IF(U280=TRUE,0,L280-M280)),0),0)</f>
        <v/>
      </c>
      <c r="O280" s="127">
        <f>IF(N280&gt;0,IF(N280&lt;=180,N280,0),0)</f>
        <v/>
      </c>
      <c r="P280" s="125">
        <f>IF(AND(N280&lt;90,N280&gt;0),Q280,0)</f>
        <v/>
      </c>
      <c r="Q280" s="125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25">
        <f>IF(AND(H280=TRUE,I280=FALSE),Q280,0)</f>
        <v/>
      </c>
      <c r="S280" s="125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26">
        <f>IF(U280=TRUE,$J280,"")</f>
        <v/>
      </c>
      <c r="U280" s="124" t="b">
        <v>0</v>
      </c>
      <c r="V280" s="125">
        <f>IF(AND(H280=TRUE,OR(K280="",K280&gt;M280)),S280,0)</f>
        <v/>
      </c>
      <c r="W280" s="124" t="n">
        <v>0</v>
      </c>
      <c r="X280" s="124" t="b">
        <v>0</v>
      </c>
      <c r="Y280" s="127">
        <f>IF(H280=FALSE,VLOOKUP($C280,Sales!$C:$F,4,FALSE),1)</f>
        <v/>
      </c>
      <c r="Z280" s="124">
        <f>IF(Y280=0,"Release",IF(AND(L280&lt;J280,Y280=1,H280=FALSE,U280=FALSE,MONTH(L280)&amp;"/"&amp;YEAR(L280)&lt;&gt;MONTH(J280)&amp;"/"&amp;YEAR(J280)),"Release",""))</f>
        <v/>
      </c>
      <c r="AA280" s="128">
        <f>_xlfn.minifs($L:$L,$C:$C,$C280,$F:$F,"&lt;&gt;0")</f>
        <v/>
      </c>
      <c r="AB280" s="128">
        <f>C280&amp;"-"&amp;A280</f>
        <v/>
      </c>
      <c r="AC280" s="128">
        <f>L280</f>
        <v/>
      </c>
    </row>
    <row r="281">
      <c r="A281" s="124" t="inlineStr">
        <is>
          <t>ZKRIE0</t>
        </is>
      </c>
      <c r="B281" s="124" t="n">
        <v>2</v>
      </c>
      <c r="C281" s="124" t="inlineStr">
        <is>
          <t>HVG102</t>
        </is>
      </c>
      <c r="D281" s="124" t="inlineStr">
        <is>
          <t>G</t>
        </is>
      </c>
      <c r="E281" s="124" t="inlineStr">
        <is>
          <t>Kriek Johan Christiaan Rudolph</t>
        </is>
      </c>
      <c r="F281" s="125">
        <f>SUMIFS(Investors!$M:$M, Investors!$I:$I, "&lt;=" &amp; 'NSST Print'!$B$3, Investors!$K:$K, "&gt;" &amp; 'NSST Print'!$B$3, Investors!$A:$A, 'Investor Exit List'!A281, Investors!$E:$E, 'Investor Exit List'!C281)</f>
        <v/>
      </c>
      <c r="G281" s="126" t="n">
        <v>45189</v>
      </c>
      <c r="H281" s="124">
        <f>VLOOKUP($C281,Sales!$C:$E,2,FALSE)</f>
        <v/>
      </c>
      <c r="I281" s="124">
        <f>VLOOKUP($C281,Sales!$C:$E,3,FALSE)</f>
        <v/>
      </c>
      <c r="J281" s="126">
        <f>SUMIFS(Sales!$H:$H,Sales!$C:$C,'Investor Exit List'!$C281)</f>
        <v/>
      </c>
      <c r="K281" s="126">
        <f>IF(I281=TRUE,J281,"")</f>
        <v/>
      </c>
      <c r="L281" s="126">
        <f>G281+730</f>
        <v/>
      </c>
      <c r="M281" s="126" t="n">
        <v>45443</v>
      </c>
      <c r="N281" s="127">
        <f>IFERROR(IF(G281&lt;&gt;"",IF(I281=TRUE,0,IF(U281=TRUE,0,L281-M281)),0),0)</f>
        <v/>
      </c>
      <c r="O281" s="127">
        <f>IF(N281&gt;0,IF(N281&lt;=180,N281,0),0)</f>
        <v/>
      </c>
      <c r="P281" s="125">
        <f>IF(AND(N281&lt;90,N281&gt;0),Q281,0)</f>
        <v/>
      </c>
      <c r="Q281" s="125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25">
        <f>IF(AND(H281=TRUE,I281=FALSE),Q281,0)</f>
        <v/>
      </c>
      <c r="S281" s="125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26">
        <f>IF(U281=TRUE,$J281,"")</f>
        <v/>
      </c>
      <c r="U281" s="124" t="b">
        <v>0</v>
      </c>
      <c r="V281" s="125">
        <f>IF(AND(H281=TRUE,OR(K281="",K281&gt;M281)),S281,0)</f>
        <v/>
      </c>
      <c r="W281" s="124" t="n">
        <v>0</v>
      </c>
      <c r="X281" s="124" t="b">
        <v>0</v>
      </c>
      <c r="Y281" s="127">
        <f>IF(H281=FALSE,VLOOKUP($C281,Sales!$C:$F,4,FALSE),1)</f>
        <v/>
      </c>
      <c r="Z281" s="124">
        <f>IF(Y281=0,"Release",IF(AND(L281&lt;J281,Y281=1,H281=FALSE,U281=FALSE,MONTH(L281)&amp;"/"&amp;YEAR(L281)&lt;&gt;MONTH(J281)&amp;"/"&amp;YEAR(J281)),"Release",""))</f>
        <v/>
      </c>
      <c r="AA281" s="128">
        <f>_xlfn.minifs($L:$L,$C:$C,$C281,$F:$F,"&lt;&gt;0")</f>
        <v/>
      </c>
      <c r="AB281" s="128">
        <f>C281&amp;"-"&amp;A281</f>
        <v/>
      </c>
      <c r="AC281" s="128">
        <f>L281</f>
        <v/>
      </c>
    </row>
    <row r="282">
      <c r="A282" s="124" t="inlineStr">
        <is>
          <t>ZSIV01</t>
        </is>
      </c>
      <c r="B282" s="124" t="n">
        <v>2</v>
      </c>
      <c r="C282" s="124" t="inlineStr">
        <is>
          <t>HVG102</t>
        </is>
      </c>
      <c r="D282" s="124" t="inlineStr">
        <is>
          <t>G</t>
        </is>
      </c>
      <c r="E282" s="124" t="inlineStr">
        <is>
          <t>Bedell-Sivright Gareth William</t>
        </is>
      </c>
      <c r="F282" s="125">
        <f>SUMIFS(Investors!$M:$M, Investors!$I:$I, "&lt;=" &amp; 'NSST Print'!$B$3, Investors!$K:$K, "&gt;" &amp; 'NSST Print'!$B$3, Investors!$A:$A, 'Investor Exit List'!A282, Investors!$E:$E, 'Investor Exit List'!C282)</f>
        <v/>
      </c>
      <c r="G282" s="126" t="n">
        <v>45161</v>
      </c>
      <c r="H282" s="124">
        <f>VLOOKUP($C282,Sales!$C:$E,2,FALSE)</f>
        <v/>
      </c>
      <c r="I282" s="124">
        <f>VLOOKUP($C282,Sales!$C:$E,3,FALSE)</f>
        <v/>
      </c>
      <c r="J282" s="126">
        <f>SUMIFS(Sales!$H:$H,Sales!$C:$C,'Investor Exit List'!$C282)</f>
        <v/>
      </c>
      <c r="K282" s="126">
        <f>IF(I282=TRUE,J282,"")</f>
        <v/>
      </c>
      <c r="L282" s="126">
        <f>G282+730</f>
        <v/>
      </c>
      <c r="M282" s="126" t="n">
        <v>45443</v>
      </c>
      <c r="N282" s="127">
        <f>IFERROR(IF(G282&lt;&gt;"",IF(I282=TRUE,0,IF(U282=TRUE,0,L282-M282)),0),0)</f>
        <v/>
      </c>
      <c r="O282" s="127">
        <f>IF(N282&gt;0,IF(N282&lt;=180,N282,0),0)</f>
        <v/>
      </c>
      <c r="P282" s="125">
        <f>IF(AND(N282&lt;90,N282&gt;0),Q282,0)</f>
        <v/>
      </c>
      <c r="Q282" s="125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25">
        <f>IF(AND(H282=TRUE,I282=FALSE),Q282,0)</f>
        <v/>
      </c>
      <c r="S282" s="125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26">
        <f>IF(U282=TRUE,$J282,"")</f>
        <v/>
      </c>
      <c r="U282" s="124" t="b">
        <v>0</v>
      </c>
      <c r="V282" s="125">
        <f>IF(AND(H282=TRUE,OR(K282="",K282&gt;M282)),S282,0)</f>
        <v/>
      </c>
      <c r="W282" s="124" t="n">
        <v>0</v>
      </c>
      <c r="X282" s="124" t="b">
        <v>0</v>
      </c>
      <c r="Y282" s="127">
        <f>IF(H282=FALSE,VLOOKUP($C282,Sales!$C:$F,4,FALSE),1)</f>
        <v/>
      </c>
      <c r="Z282" s="124">
        <f>IF(Y282=0,"Release",IF(AND(L282&lt;J282,Y282=1,H282=FALSE,U282=FALSE,MONTH(L282)&amp;"/"&amp;YEAR(L282)&lt;&gt;MONTH(J282)&amp;"/"&amp;YEAR(J282)),"Release",""))</f>
        <v/>
      </c>
      <c r="AA282" s="128">
        <f>_xlfn.minifs($L:$L,$C:$C,$C282,$F:$F,"&lt;&gt;0")</f>
        <v/>
      </c>
      <c r="AB282" s="128">
        <f>C282&amp;"-"&amp;A282</f>
        <v/>
      </c>
      <c r="AC282" s="128">
        <f>L282</f>
        <v/>
      </c>
    </row>
    <row r="283">
      <c r="A283" s="124" t="inlineStr">
        <is>
          <t>ZDEJ01</t>
        </is>
      </c>
      <c r="B283" s="124" t="n">
        <v>1</v>
      </c>
      <c r="C283" s="124" t="inlineStr">
        <is>
          <t>HVG103</t>
        </is>
      </c>
      <c r="D283" s="124" t="inlineStr">
        <is>
          <t>G</t>
        </is>
      </c>
      <c r="E283" s="124" t="inlineStr">
        <is>
          <t>de Jager Anarene Beatrice</t>
        </is>
      </c>
      <c r="F283" s="125">
        <f>SUMIFS(Investors!$M:$M, Investors!$I:$I, "&lt;=" &amp; 'NSST Print'!$B$3, Investors!$K:$K, "&gt;" &amp; 'NSST Print'!$B$3, Investors!$A:$A, 'Investor Exit List'!A283, Investors!$E:$E, 'Investor Exit List'!C283)</f>
        <v/>
      </c>
      <c r="G283" s="126" t="n">
        <v>45198</v>
      </c>
      <c r="H283" s="124">
        <f>VLOOKUP($C283,Sales!$C:$E,2,FALSE)</f>
        <v/>
      </c>
      <c r="I283" s="124">
        <f>VLOOKUP($C283,Sales!$C:$E,3,FALSE)</f>
        <v/>
      </c>
      <c r="J283" s="126">
        <f>SUMIFS(Sales!$H:$H,Sales!$C:$C,'Investor Exit List'!$C283)</f>
        <v/>
      </c>
      <c r="K283" s="126">
        <f>IF(I283=TRUE,J283,"")</f>
        <v/>
      </c>
      <c r="L283" s="126">
        <f>G283+730</f>
        <v/>
      </c>
      <c r="M283" s="126" t="n">
        <v>45443</v>
      </c>
      <c r="N283" s="127">
        <f>IFERROR(IF(G283&lt;&gt;"",IF(I283=TRUE,0,IF(U283=TRUE,0,L283-M283)),0),0)</f>
        <v/>
      </c>
      <c r="O283" s="127">
        <f>IF(N283&gt;0,IF(N283&lt;=180,N283,0),0)</f>
        <v/>
      </c>
      <c r="P283" s="125">
        <f>IF(AND(N283&lt;90,N283&gt;0),Q283,0)</f>
        <v/>
      </c>
      <c r="Q283" s="125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25">
        <f>IF(AND(H283=TRUE,I283=FALSE),Q283,0)</f>
        <v/>
      </c>
      <c r="S283" s="125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26">
        <f>IF(U283=TRUE,$J283,"")</f>
        <v/>
      </c>
      <c r="U283" s="124" t="b">
        <v>0</v>
      </c>
      <c r="V283" s="125">
        <f>IF(AND(H283=TRUE,OR(K283="",K283&gt;M283)),S283,0)</f>
        <v/>
      </c>
      <c r="W283" s="124" t="n">
        <v>0</v>
      </c>
      <c r="X283" s="124" t="b">
        <v>0</v>
      </c>
      <c r="Y283" s="127">
        <f>IF(H283=FALSE,VLOOKUP($C283,Sales!$C:$F,4,FALSE),1)</f>
        <v/>
      </c>
      <c r="Z283" s="124">
        <f>IF(Y283=0,"Release",IF(AND(L283&lt;J283,Y283=1,H283=FALSE,U283=FALSE,MONTH(L283)&amp;"/"&amp;YEAR(L283)&lt;&gt;MONTH(J283)&amp;"/"&amp;YEAR(J283)),"Release",""))</f>
        <v/>
      </c>
      <c r="AA283" s="128">
        <f>_xlfn.minifs($L:$L,$C:$C,$C283,$F:$F,"&lt;&gt;0")</f>
        <v/>
      </c>
      <c r="AB283" s="128">
        <f>C283&amp;"-"&amp;A283</f>
        <v/>
      </c>
      <c r="AC283" s="128">
        <f>L283</f>
        <v/>
      </c>
    </row>
    <row r="284">
      <c r="A284" s="124" t="inlineStr">
        <is>
          <t>ZSCA02</t>
        </is>
      </c>
      <c r="B284" s="124" t="n">
        <v>3</v>
      </c>
      <c r="C284" s="124" t="inlineStr">
        <is>
          <t>HVG103</t>
        </is>
      </c>
      <c r="D284" s="124" t="inlineStr">
        <is>
          <t>G</t>
        </is>
      </c>
      <c r="E284" s="124" t="inlineStr">
        <is>
          <t>Scalzini Chad</t>
        </is>
      </c>
      <c r="F284" s="125">
        <f>SUMIFS(Investors!$M:$M, Investors!$I:$I, "&lt;=" &amp; 'NSST Print'!$B$3, Investors!$K:$K, "&gt;" &amp; 'NSST Print'!$B$3, Investors!$A:$A, 'Investor Exit List'!A284, Investors!$E:$E, 'Investor Exit List'!C284)</f>
        <v/>
      </c>
      <c r="G284" s="126" t="n">
        <v>45198</v>
      </c>
      <c r="H284" s="124">
        <f>VLOOKUP($C284,Sales!$C:$E,2,FALSE)</f>
        <v/>
      </c>
      <c r="I284" s="124">
        <f>VLOOKUP($C284,Sales!$C:$E,3,FALSE)</f>
        <v/>
      </c>
      <c r="J284" s="126">
        <f>SUMIFS(Sales!$H:$H,Sales!$C:$C,'Investor Exit List'!$C284)</f>
        <v/>
      </c>
      <c r="K284" s="126">
        <f>IF(I284=TRUE,J284,"")</f>
        <v/>
      </c>
      <c r="L284" s="126">
        <f>G284+730</f>
        <v/>
      </c>
      <c r="M284" s="126" t="n">
        <v>45443</v>
      </c>
      <c r="N284" s="127">
        <f>IFERROR(IF(G284&lt;&gt;"",IF(I284=TRUE,0,IF(U284=TRUE,0,L284-M284)),0),0)</f>
        <v/>
      </c>
      <c r="O284" s="127">
        <f>IF(N284&gt;0,IF(N284&lt;=180,N284,0),0)</f>
        <v/>
      </c>
      <c r="P284" s="125">
        <f>IF(AND(N284&lt;90,N284&gt;0),Q284,0)</f>
        <v/>
      </c>
      <c r="Q284" s="125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25">
        <f>IF(AND(H284=TRUE,I284=FALSE),Q284,0)</f>
        <v/>
      </c>
      <c r="S284" s="125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26">
        <f>IF(U284=TRUE,$J284,"")</f>
        <v/>
      </c>
      <c r="U284" s="124" t="b">
        <v>0</v>
      </c>
      <c r="V284" s="125">
        <f>IF(AND(H284=TRUE,OR(K284="",K284&gt;M284)),S284,0)</f>
        <v/>
      </c>
      <c r="W284" s="124" t="n">
        <v>0</v>
      </c>
      <c r="X284" s="124" t="b">
        <v>0</v>
      </c>
      <c r="Y284" s="127">
        <f>IF(H284=FALSE,VLOOKUP($C284,Sales!$C:$F,4,FALSE),1)</f>
        <v/>
      </c>
      <c r="Z284" s="124">
        <f>IF(Y284=0,"Release",IF(AND(L284&lt;J284,Y284=1,H284=FALSE,U284=FALSE,MONTH(L284)&amp;"/"&amp;YEAR(L284)&lt;&gt;MONTH(J284)&amp;"/"&amp;YEAR(J284)),"Release",""))</f>
        <v/>
      </c>
      <c r="AA284" s="128">
        <f>_xlfn.minifs($L:$L,$C:$C,$C284,$F:$F,"&lt;&gt;0")</f>
        <v/>
      </c>
      <c r="AB284" s="128">
        <f>C284&amp;"-"&amp;A284</f>
        <v/>
      </c>
      <c r="AC284" s="128">
        <f>L284</f>
        <v/>
      </c>
    </row>
    <row r="285">
      <c r="A285" s="124" t="inlineStr">
        <is>
          <t>ZDOT01</t>
        </is>
      </c>
      <c r="B285" s="124" t="n">
        <v>2</v>
      </c>
      <c r="C285" s="124" t="inlineStr">
        <is>
          <t>HVG104</t>
        </is>
      </c>
      <c r="D285" s="124" t="inlineStr">
        <is>
          <t>G</t>
        </is>
      </c>
      <c r="E285" s="124" t="inlineStr">
        <is>
          <t>Pope Mark Charles</t>
        </is>
      </c>
      <c r="F285" s="125">
        <f>SUMIFS(Investors!$M:$M, Investors!$I:$I, "&lt;=" &amp; 'NSST Print'!$B$3, Investors!$K:$K, "&gt;" &amp; 'NSST Print'!$B$3, Investors!$A:$A, 'Investor Exit List'!A285, Investors!$E:$E, 'Investor Exit List'!C285)</f>
        <v/>
      </c>
      <c r="G285" s="126" t="n">
        <v>45198</v>
      </c>
      <c r="H285" s="124">
        <f>VLOOKUP($C285,Sales!$C:$E,2,FALSE)</f>
        <v/>
      </c>
      <c r="I285" s="124">
        <f>VLOOKUP($C285,Sales!$C:$E,3,FALSE)</f>
        <v/>
      </c>
      <c r="J285" s="126">
        <f>SUMIFS(Sales!$H:$H,Sales!$C:$C,'Investor Exit List'!$C285)</f>
        <v/>
      </c>
      <c r="K285" s="126">
        <f>IF(I285=TRUE,J285,"")</f>
        <v/>
      </c>
      <c r="L285" s="126">
        <f>G285+730</f>
        <v/>
      </c>
      <c r="M285" s="126" t="n">
        <v>45443</v>
      </c>
      <c r="N285" s="127">
        <f>IFERROR(IF(G285&lt;&gt;"",IF(I285=TRUE,0,IF(U285=TRUE,0,L285-M285)),0),0)</f>
        <v/>
      </c>
      <c r="O285" s="127">
        <f>IF(N285&gt;0,IF(N285&lt;=180,N285,0),0)</f>
        <v/>
      </c>
      <c r="P285" s="125">
        <f>IF(AND(N285&lt;90,N285&gt;0),Q285,0)</f>
        <v/>
      </c>
      <c r="Q285" s="125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25">
        <f>IF(AND(H285=TRUE,I285=FALSE),Q285,0)</f>
        <v/>
      </c>
      <c r="S285" s="125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26">
        <f>IF(U285=TRUE,$J285,"")</f>
        <v/>
      </c>
      <c r="U285" s="124" t="b">
        <v>0</v>
      </c>
      <c r="V285" s="125">
        <f>IF(AND(H285=TRUE,OR(K285="",K285&gt;M285)),S285,0)</f>
        <v/>
      </c>
      <c r="W285" s="124" t="n">
        <v>0</v>
      </c>
      <c r="X285" s="124" t="b">
        <v>0</v>
      </c>
      <c r="Y285" s="127">
        <f>IF(H285=FALSE,VLOOKUP($C285,Sales!$C:$F,4,FALSE),1)</f>
        <v/>
      </c>
      <c r="Z285" s="124">
        <f>IF(Y285=0,"Release",IF(AND(L285&lt;J285,Y285=1,H285=FALSE,U285=FALSE,MONTH(L285)&amp;"/"&amp;YEAR(L285)&lt;&gt;MONTH(J285)&amp;"/"&amp;YEAR(J285)),"Release",""))</f>
        <v/>
      </c>
      <c r="AA285" s="128">
        <f>_xlfn.minifs($L:$L,$C:$C,$C285,$F:$F,"&lt;&gt;0")</f>
        <v/>
      </c>
      <c r="AB285" s="128">
        <f>C285&amp;"-"&amp;A285</f>
        <v/>
      </c>
      <c r="AC285" s="128">
        <f>L285</f>
        <v/>
      </c>
    </row>
    <row r="286">
      <c r="A286" s="124" t="inlineStr">
        <is>
          <t>ZVOR01</t>
        </is>
      </c>
      <c r="B286" s="124" t="n">
        <v>6</v>
      </c>
      <c r="C286" s="124" t="inlineStr">
        <is>
          <t>HVG104</t>
        </is>
      </c>
      <c r="D286" s="124" t="inlineStr">
        <is>
          <t>G</t>
        </is>
      </c>
      <c r="E286" s="124" t="inlineStr">
        <is>
          <t xml:space="preserve">Vorster Sophia Maria Catharina </t>
        </is>
      </c>
      <c r="F286" s="125">
        <f>SUMIFS(Investors!$M:$M, Investors!$I:$I, "&lt;=" &amp; 'NSST Print'!$B$3, Investors!$K:$K, "&gt;" &amp; 'NSST Print'!$B$3, Investors!$A:$A, 'Investor Exit List'!A286, Investors!$E:$E, 'Investor Exit List'!C286)</f>
        <v/>
      </c>
      <c r="G286" s="126" t="n">
        <v>45224</v>
      </c>
      <c r="H286" s="124">
        <f>VLOOKUP($C286,Sales!$C:$E,2,FALSE)</f>
        <v/>
      </c>
      <c r="I286" s="124">
        <f>VLOOKUP($C286,Sales!$C:$E,3,FALSE)</f>
        <v/>
      </c>
      <c r="J286" s="126">
        <f>SUMIFS(Sales!$H:$H,Sales!$C:$C,'Investor Exit List'!$C286)</f>
        <v/>
      </c>
      <c r="K286" s="126">
        <f>IF(I286=TRUE,J286,"")</f>
        <v/>
      </c>
      <c r="L286" s="126">
        <f>G286+730</f>
        <v/>
      </c>
      <c r="M286" s="126" t="n">
        <v>45443</v>
      </c>
      <c r="N286" s="127">
        <f>IFERROR(IF(G286&lt;&gt;"",IF(I286=TRUE,0,IF(U286=TRUE,0,L286-M286)),0),0)</f>
        <v/>
      </c>
      <c r="O286" s="127">
        <f>IF(N286&gt;0,IF(N286&lt;=180,N286,0),0)</f>
        <v/>
      </c>
      <c r="P286" s="125">
        <f>IF(AND(N286&lt;90,N286&gt;0),Q286,0)</f>
        <v/>
      </c>
      <c r="Q286" s="125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25">
        <f>IF(AND(H286=TRUE,I286=FALSE),Q286,0)</f>
        <v/>
      </c>
      <c r="S286" s="125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26">
        <f>IF(U286=TRUE,$J286,"")</f>
        <v/>
      </c>
      <c r="U286" s="124" t="b">
        <v>0</v>
      </c>
      <c r="V286" s="125">
        <f>IF(AND(H286=TRUE,OR(K286="",K286&gt;M286)),S286,0)</f>
        <v/>
      </c>
      <c r="W286" s="124" t="n">
        <v>0</v>
      </c>
      <c r="X286" s="124" t="b">
        <v>0</v>
      </c>
      <c r="Y286" s="127">
        <f>IF(H286=FALSE,VLOOKUP($C286,Sales!$C:$F,4,FALSE),1)</f>
        <v/>
      </c>
      <c r="Z286" s="124">
        <f>IF(Y286=0,"Release",IF(AND(L286&lt;J286,Y286=1,H286=FALSE,U286=FALSE,MONTH(L286)&amp;"/"&amp;YEAR(L286)&lt;&gt;MONTH(J286)&amp;"/"&amp;YEAR(J286)),"Release",""))</f>
        <v/>
      </c>
      <c r="AA286" s="128">
        <f>_xlfn.minifs($L:$L,$C:$C,$C286,$F:$F,"&lt;&gt;0")</f>
        <v/>
      </c>
      <c r="AB286" s="128">
        <f>C286&amp;"-"&amp;A286</f>
        <v/>
      </c>
      <c r="AC286" s="128">
        <f>L286</f>
        <v/>
      </c>
    </row>
    <row r="287">
      <c r="A287" s="124" t="inlineStr">
        <is>
          <t>ZREN01</t>
        </is>
      </c>
      <c r="B287" s="124" t="n">
        <v>4</v>
      </c>
      <c r="C287" s="124" t="inlineStr">
        <is>
          <t>HVG201</t>
        </is>
      </c>
      <c r="D287" s="124" t="inlineStr">
        <is>
          <t>G</t>
        </is>
      </c>
      <c r="E287" s="124" t="inlineStr">
        <is>
          <t>van Rensburg Marlene Ann</t>
        </is>
      </c>
      <c r="F287" s="125">
        <f>SUMIFS(Investors!$M:$M, Investors!$I:$I, "&lt;=" &amp; 'NSST Print'!$B$3, Investors!$K:$K, "&gt;" &amp; 'NSST Print'!$B$3, Investors!$A:$A, 'Investor Exit List'!A287, Investors!$E:$E, 'Investor Exit List'!C287)</f>
        <v/>
      </c>
      <c r="G287" s="126" t="n">
        <v>45168</v>
      </c>
      <c r="H287" s="124">
        <f>VLOOKUP($C287,Sales!$C:$E,2,FALSE)</f>
        <v/>
      </c>
      <c r="I287" s="124">
        <f>VLOOKUP($C287,Sales!$C:$E,3,FALSE)</f>
        <v/>
      </c>
      <c r="J287" s="126">
        <f>SUMIFS(Sales!$H:$H,Sales!$C:$C,'Investor Exit List'!$C287)</f>
        <v/>
      </c>
      <c r="K287" s="126">
        <f>IF(I287=TRUE,J287,"")</f>
        <v/>
      </c>
      <c r="L287" s="126">
        <f>G287+730</f>
        <v/>
      </c>
      <c r="M287" s="126" t="n">
        <v>45443</v>
      </c>
      <c r="N287" s="127">
        <f>IFERROR(IF(G287&lt;&gt;"",IF(I287=TRUE,0,IF(U287=TRUE,0,L287-M287)),0),0)</f>
        <v/>
      </c>
      <c r="O287" s="127">
        <f>IF(N287&gt;0,IF(N287&lt;=180,N287,0),0)</f>
        <v/>
      </c>
      <c r="P287" s="125">
        <f>IF(AND(N287&lt;90,N287&gt;0),Q287,0)</f>
        <v/>
      </c>
      <c r="Q287" s="125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25">
        <f>IF(AND(H287=TRUE,I287=FALSE),Q287,0)</f>
        <v/>
      </c>
      <c r="S287" s="125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26">
        <f>IF(U287=TRUE,$J287,"")</f>
        <v/>
      </c>
      <c r="U287" s="124" t="b">
        <v>0</v>
      </c>
      <c r="V287" s="125">
        <f>IF(AND(H287=TRUE,OR(K287="",K287&gt;M287)),S287,0)</f>
        <v/>
      </c>
      <c r="W287" s="124" t="n">
        <v>0</v>
      </c>
      <c r="X287" s="124" t="b">
        <v>0</v>
      </c>
      <c r="Y287" s="127">
        <f>IF(H287=FALSE,VLOOKUP($C287,Sales!$C:$F,4,FALSE),1)</f>
        <v/>
      </c>
      <c r="Z287" s="124">
        <f>IF(Y287=0,"Release",IF(AND(L287&lt;J287,Y287=1,H287=FALSE,U287=FALSE,MONTH(L287)&amp;"/"&amp;YEAR(L287)&lt;&gt;MONTH(J287)&amp;"/"&amp;YEAR(J287)),"Release",""))</f>
        <v/>
      </c>
      <c r="AA287" s="128">
        <f>_xlfn.minifs($L:$L,$C:$C,$C287,$F:$F,"&lt;&gt;0")</f>
        <v/>
      </c>
      <c r="AB287" s="128">
        <f>C287&amp;"-"&amp;A287</f>
        <v/>
      </c>
      <c r="AC287" s="128">
        <f>L287</f>
        <v/>
      </c>
    </row>
    <row r="288">
      <c r="A288" s="124" t="inlineStr">
        <is>
          <t>ZVAN05</t>
        </is>
      </c>
      <c r="B288" s="124" t="n">
        <v>9</v>
      </c>
      <c r="C288" s="124" t="inlineStr">
        <is>
          <t>HVG201</t>
        </is>
      </c>
      <c r="D288" s="124" t="inlineStr">
        <is>
          <t>G</t>
        </is>
      </c>
      <c r="E288" s="124" t="inlineStr">
        <is>
          <t>van der Sandt Hermanus</t>
        </is>
      </c>
      <c r="F288" s="125">
        <f>SUMIFS(Investors!$M:$M, Investors!$I:$I, "&lt;=" &amp; 'NSST Print'!$B$3, Investors!$K:$K, "&gt;" &amp; 'NSST Print'!$B$3, Investors!$A:$A, 'Investor Exit List'!A288, Investors!$E:$E, 'Investor Exit List'!C288)</f>
        <v/>
      </c>
      <c r="G288" s="126" t="n">
        <v>45198</v>
      </c>
      <c r="H288" s="124">
        <f>VLOOKUP($C288,Sales!$C:$E,2,FALSE)</f>
        <v/>
      </c>
      <c r="I288" s="124">
        <f>VLOOKUP($C288,Sales!$C:$E,3,FALSE)</f>
        <v/>
      </c>
      <c r="J288" s="126">
        <f>SUMIFS(Sales!$H:$H,Sales!$C:$C,'Investor Exit List'!$C288)</f>
        <v/>
      </c>
      <c r="K288" s="126">
        <f>IF(I288=TRUE,J288,"")</f>
        <v/>
      </c>
      <c r="L288" s="126">
        <f>G288+730</f>
        <v/>
      </c>
      <c r="M288" s="126" t="n">
        <v>45443</v>
      </c>
      <c r="N288" s="127">
        <f>IFERROR(IF(G288&lt;&gt;"",IF(I288=TRUE,0,IF(U288=TRUE,0,L288-M288)),0),0)</f>
        <v/>
      </c>
      <c r="O288" s="127">
        <f>IF(N288&gt;0,IF(N288&lt;=180,N288,0),0)</f>
        <v/>
      </c>
      <c r="P288" s="125">
        <f>IF(AND(N288&lt;90,N288&gt;0),Q288,0)</f>
        <v/>
      </c>
      <c r="Q288" s="125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25">
        <f>IF(AND(H288=TRUE,I288=FALSE),Q288,0)</f>
        <v/>
      </c>
      <c r="S288" s="125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26">
        <f>IF(U288=TRUE,$J288,"")</f>
        <v/>
      </c>
      <c r="U288" s="124" t="b">
        <v>0</v>
      </c>
      <c r="V288" s="125">
        <f>IF(AND(H288=TRUE,OR(K288="",K288&gt;M288)),S288,0)</f>
        <v/>
      </c>
      <c r="W288" s="124" t="n">
        <v>0</v>
      </c>
      <c r="X288" s="124" t="b">
        <v>0</v>
      </c>
      <c r="Y288" s="127">
        <f>IF(H288=FALSE,VLOOKUP($C288,Sales!$C:$F,4,FALSE),1)</f>
        <v/>
      </c>
      <c r="Z288" s="124">
        <f>IF(Y288=0,"Release",IF(AND(L288&lt;J288,Y288=1,H288=FALSE,U288=FALSE,MONTH(L288)&amp;"/"&amp;YEAR(L288)&lt;&gt;MONTH(J288)&amp;"/"&amp;YEAR(J288)),"Release",""))</f>
        <v/>
      </c>
      <c r="AA288" s="128">
        <f>_xlfn.minifs($L:$L,$C:$C,$C288,$F:$F,"&lt;&gt;0")</f>
        <v/>
      </c>
      <c r="AB288" s="128">
        <f>C288&amp;"-"&amp;A288</f>
        <v/>
      </c>
      <c r="AC288" s="128">
        <f>L288</f>
        <v/>
      </c>
    </row>
    <row r="289">
      <c r="A289" s="124" t="inlineStr">
        <is>
          <t>ZLAB01</t>
        </is>
      </c>
      <c r="B289" s="124" t="n">
        <v>5</v>
      </c>
      <c r="C289" s="124" t="inlineStr">
        <is>
          <t>HVG202</t>
        </is>
      </c>
      <c r="D289" s="124" t="inlineStr">
        <is>
          <t>G</t>
        </is>
      </c>
      <c r="E289" s="124" t="inlineStr">
        <is>
          <t>Labuschagne Andre Jan</t>
        </is>
      </c>
      <c r="F289" s="125">
        <f>SUMIFS(Investors!$M:$M, Investors!$I:$I, "&lt;=" &amp; 'NSST Print'!$B$3, Investors!$K:$K, "&gt;" &amp; 'NSST Print'!$B$3, Investors!$A:$A, 'Investor Exit List'!A289, Investors!$E:$E, 'Investor Exit List'!C289)</f>
        <v/>
      </c>
      <c r="G289" s="126" t="n">
        <v>45129</v>
      </c>
      <c r="H289" s="124">
        <f>VLOOKUP($C289,Sales!$C:$E,2,FALSE)</f>
        <v/>
      </c>
      <c r="I289" s="124">
        <f>VLOOKUP($C289,Sales!$C:$E,3,FALSE)</f>
        <v/>
      </c>
      <c r="J289" s="126">
        <f>SUMIFS(Sales!$H:$H,Sales!$C:$C,'Investor Exit List'!$C289)</f>
        <v/>
      </c>
      <c r="K289" s="126">
        <f>IF(I289=TRUE,J289,"")</f>
        <v/>
      </c>
      <c r="L289" s="126">
        <f>G289+730</f>
        <v/>
      </c>
      <c r="M289" s="126" t="n">
        <v>45443</v>
      </c>
      <c r="N289" s="127">
        <f>IFERROR(IF(G289&lt;&gt;"",IF(I289=TRUE,0,IF(U289=TRUE,0,L289-M289)),0),0)</f>
        <v/>
      </c>
      <c r="O289" s="127">
        <f>IF(N289&gt;0,IF(N289&lt;=180,N289,0),0)</f>
        <v/>
      </c>
      <c r="P289" s="125">
        <f>IF(AND(N289&lt;90,N289&gt;0),Q289,0)</f>
        <v/>
      </c>
      <c r="Q289" s="125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25">
        <f>IF(AND(H289=TRUE,I289=FALSE),Q289,0)</f>
        <v/>
      </c>
      <c r="S289" s="125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26">
        <f>IF(U289=TRUE,$J289,"")</f>
        <v/>
      </c>
      <c r="U289" s="124" t="b">
        <v>0</v>
      </c>
      <c r="V289" s="125">
        <f>IF(AND(H289=TRUE,OR(K289="",K289&gt;M289)),S289,0)</f>
        <v/>
      </c>
      <c r="W289" s="124" t="n">
        <v>0</v>
      </c>
      <c r="X289" s="124" t="b">
        <v>0</v>
      </c>
      <c r="Y289" s="127">
        <f>IF(H289=FALSE,VLOOKUP($C289,Sales!$C:$F,4,FALSE),1)</f>
        <v/>
      </c>
      <c r="Z289" s="124">
        <f>IF(Y289=0,"Release",IF(AND(L289&lt;J289,Y289=1,H289=FALSE,U289=FALSE,MONTH(L289)&amp;"/"&amp;YEAR(L289)&lt;&gt;MONTH(J289)&amp;"/"&amp;YEAR(J289)),"Release",""))</f>
        <v/>
      </c>
      <c r="AA289" s="128">
        <f>_xlfn.minifs($L:$L,$C:$C,$C289,$F:$F,"&lt;&gt;0")</f>
        <v/>
      </c>
      <c r="AB289" s="128">
        <f>C289&amp;"-"&amp;A289</f>
        <v/>
      </c>
      <c r="AC289" s="128">
        <f>L289</f>
        <v/>
      </c>
    </row>
    <row r="290">
      <c r="A290" s="124" t="inlineStr">
        <is>
          <t>ZRAN01</t>
        </is>
      </c>
      <c r="B290" s="124" t="n">
        <v>27</v>
      </c>
      <c r="C290" s="124" t="inlineStr">
        <is>
          <t>HVG202</t>
        </is>
      </c>
      <c r="D290" s="124" t="inlineStr">
        <is>
          <t>G</t>
        </is>
      </c>
      <c r="E290" s="124" t="inlineStr">
        <is>
          <t>Rankin Ross Partick Gemill</t>
        </is>
      </c>
      <c r="F290" s="125">
        <f>SUMIFS(Investors!$M:$M, Investors!$I:$I, "&lt;=" &amp; 'NSST Print'!$B$3, Investors!$K:$K, "&gt;" &amp; 'NSST Print'!$B$3, Investors!$A:$A, 'Investor Exit List'!A290, Investors!$E:$E, 'Investor Exit List'!C290)</f>
        <v/>
      </c>
      <c r="G290" s="126" t="n">
        <v>45252</v>
      </c>
      <c r="H290" s="124">
        <f>VLOOKUP($C290,Sales!$C:$E,2,FALSE)</f>
        <v/>
      </c>
      <c r="I290" s="124">
        <f>VLOOKUP($C290,Sales!$C:$E,3,FALSE)</f>
        <v/>
      </c>
      <c r="J290" s="126">
        <f>SUMIFS(Sales!$H:$H,Sales!$C:$C,'Investor Exit List'!$C290)</f>
        <v/>
      </c>
      <c r="K290" s="126">
        <f>IF(I290=TRUE,J290,"")</f>
        <v/>
      </c>
      <c r="L290" s="126">
        <f>G290+730</f>
        <v/>
      </c>
      <c r="M290" s="126" t="n">
        <v>45443</v>
      </c>
      <c r="N290" s="127">
        <f>IFERROR(IF(G290&lt;&gt;"",IF(I290=TRUE,0,IF(U290=TRUE,0,L290-M290)),0),0)</f>
        <v/>
      </c>
      <c r="O290" s="127">
        <f>IF(N290&gt;0,IF(N290&lt;=180,N290,0),0)</f>
        <v/>
      </c>
      <c r="P290" s="125">
        <f>IF(AND(N290&lt;90,N290&gt;0),Q290,0)</f>
        <v/>
      </c>
      <c r="Q290" s="125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25">
        <f>IF(AND(H290=TRUE,I290=FALSE),Q290,0)</f>
        <v/>
      </c>
      <c r="S290" s="125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26">
        <f>IF(U290=TRUE,$J290,"")</f>
        <v/>
      </c>
      <c r="U290" s="124" t="b">
        <v>0</v>
      </c>
      <c r="V290" s="125">
        <f>IF(AND(H290=TRUE,OR(K290="",K290&gt;M290)),S290,0)</f>
        <v/>
      </c>
      <c r="W290" s="124" t="n">
        <v>0</v>
      </c>
      <c r="X290" s="124" t="b">
        <v>0</v>
      </c>
      <c r="Y290" s="127">
        <f>IF(H290=FALSE,VLOOKUP($C290,Sales!$C:$F,4,FALSE),1)</f>
        <v/>
      </c>
      <c r="Z290" s="124">
        <f>IF(Y290=0,"Release",IF(AND(L290&lt;J290,Y290=1,H290=FALSE,U290=FALSE,MONTH(L290)&amp;"/"&amp;YEAR(L290)&lt;&gt;MONTH(J290)&amp;"/"&amp;YEAR(J290)),"Release",""))</f>
        <v/>
      </c>
      <c r="AA290" s="128">
        <f>_xlfn.minifs($L:$L,$C:$C,$C290,$F:$F,"&lt;&gt;0")</f>
        <v/>
      </c>
      <c r="AB290" s="128">
        <f>C290&amp;"-"&amp;A290</f>
        <v/>
      </c>
      <c r="AC290" s="128">
        <f>L290</f>
        <v/>
      </c>
    </row>
    <row r="291">
      <c r="A291" s="124" t="inlineStr">
        <is>
          <t>ZSCA02</t>
        </is>
      </c>
      <c r="B291" s="124" t="n">
        <v>2</v>
      </c>
      <c r="C291" s="124" t="inlineStr">
        <is>
          <t>HVG202</t>
        </is>
      </c>
      <c r="D291" s="124" t="inlineStr">
        <is>
          <t>G</t>
        </is>
      </c>
      <c r="E291" s="124" t="inlineStr">
        <is>
          <t>Scalzini Chad</t>
        </is>
      </c>
      <c r="F291" s="125">
        <f>SUMIFS(Investors!$M:$M, Investors!$I:$I, "&lt;=" &amp; 'NSST Print'!$B$3, Investors!$K:$K, "&gt;" &amp; 'NSST Print'!$B$3, Investors!$A:$A, 'Investor Exit List'!A291, Investors!$E:$E, 'Investor Exit List'!C291)</f>
        <v/>
      </c>
      <c r="G291" s="126" t="n">
        <v>45168</v>
      </c>
      <c r="H291" s="124">
        <f>VLOOKUP($C291,Sales!$C:$E,2,FALSE)</f>
        <v/>
      </c>
      <c r="I291" s="124">
        <f>VLOOKUP($C291,Sales!$C:$E,3,FALSE)</f>
        <v/>
      </c>
      <c r="J291" s="126">
        <f>SUMIFS(Sales!$H:$H,Sales!$C:$C,'Investor Exit List'!$C291)</f>
        <v/>
      </c>
      <c r="K291" s="126">
        <f>IF(I291=TRUE,J291,"")</f>
        <v/>
      </c>
      <c r="L291" s="126">
        <f>G291+730</f>
        <v/>
      </c>
      <c r="M291" s="126" t="n">
        <v>45443</v>
      </c>
      <c r="N291" s="127">
        <f>IFERROR(IF(G291&lt;&gt;"",IF(I291=TRUE,0,IF(U291=TRUE,0,L291-M291)),0),0)</f>
        <v/>
      </c>
      <c r="O291" s="127">
        <f>IF(N291&gt;0,IF(N291&lt;=180,N291,0),0)</f>
        <v/>
      </c>
      <c r="P291" s="125">
        <f>IF(AND(N291&lt;90,N291&gt;0),Q291,0)</f>
        <v/>
      </c>
      <c r="Q291" s="125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25">
        <f>IF(AND(H291=TRUE,I291=FALSE),Q291,0)</f>
        <v/>
      </c>
      <c r="S291" s="125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26">
        <f>IF(U291=TRUE,$J291,"")</f>
        <v/>
      </c>
      <c r="U291" s="124" t="b">
        <v>0</v>
      </c>
      <c r="V291" s="125">
        <f>IF(AND(H291=TRUE,OR(K291="",K291&gt;M291)),S291,0)</f>
        <v/>
      </c>
      <c r="W291" s="124" t="n">
        <v>0</v>
      </c>
      <c r="X291" s="124" t="b">
        <v>0</v>
      </c>
      <c r="Y291" s="127">
        <f>IF(H291=FALSE,VLOOKUP($C291,Sales!$C:$F,4,FALSE),1)</f>
        <v/>
      </c>
      <c r="Z291" s="124">
        <f>IF(Y291=0,"Release",IF(AND(L291&lt;J291,Y291=1,H291=FALSE,U291=FALSE,MONTH(L291)&amp;"/"&amp;YEAR(L291)&lt;&gt;MONTH(J291)&amp;"/"&amp;YEAR(J291)),"Release",""))</f>
        <v/>
      </c>
      <c r="AA291" s="128">
        <f>_xlfn.minifs($L:$L,$C:$C,$C291,$F:$F,"&lt;&gt;0")</f>
        <v/>
      </c>
      <c r="AB291" s="128">
        <f>C291&amp;"-"&amp;A291</f>
        <v/>
      </c>
      <c r="AC291" s="128">
        <f>L291</f>
        <v/>
      </c>
    </row>
    <row r="292">
      <c r="A292" s="124" t="inlineStr">
        <is>
          <t>ZGEL01</t>
        </is>
      </c>
      <c r="B292" s="124" t="n">
        <v>1</v>
      </c>
      <c r="C292" s="124" t="inlineStr">
        <is>
          <t>HVG203</t>
        </is>
      </c>
      <c r="D292" s="124" t="inlineStr">
        <is>
          <t>G</t>
        </is>
      </c>
      <c r="E292" s="124" t="inlineStr">
        <is>
          <t>Geldenhuys Teresse</t>
        </is>
      </c>
      <c r="F292" s="125">
        <f>SUMIFS(Investors!$M:$M, Investors!$I:$I, "&lt;=" &amp; 'NSST Print'!$B$3, Investors!$K:$K, "&gt;" &amp; 'NSST Print'!$B$3, Investors!$A:$A, 'Investor Exit List'!A292, Investors!$E:$E, 'Investor Exit List'!C292)</f>
        <v/>
      </c>
      <c r="G292" s="126" t="n">
        <v>45252</v>
      </c>
      <c r="H292" s="124">
        <f>VLOOKUP($C292,Sales!$C:$E,2,FALSE)</f>
        <v/>
      </c>
      <c r="I292" s="124">
        <f>VLOOKUP($C292,Sales!$C:$E,3,FALSE)</f>
        <v/>
      </c>
      <c r="J292" s="126">
        <f>SUMIFS(Sales!$H:$H,Sales!$C:$C,'Investor Exit List'!$C292)</f>
        <v/>
      </c>
      <c r="K292" s="126">
        <f>IF(I292=TRUE,J292,"")</f>
        <v/>
      </c>
      <c r="L292" s="126">
        <f>G292+730</f>
        <v/>
      </c>
      <c r="M292" s="126" t="n">
        <v>45443</v>
      </c>
      <c r="N292" s="127">
        <f>IFERROR(IF(G292&lt;&gt;"",IF(I292=TRUE,0,IF(U292=TRUE,0,L292-M292)),0),0)</f>
        <v/>
      </c>
      <c r="O292" s="127">
        <f>IF(N292&gt;0,IF(N292&lt;=180,N292,0),0)</f>
        <v/>
      </c>
      <c r="P292" s="125">
        <f>IF(AND(N292&lt;90,N292&gt;0),Q292,0)</f>
        <v/>
      </c>
      <c r="Q292" s="125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25">
        <f>IF(AND(H292=TRUE,I292=FALSE),Q292,0)</f>
        <v/>
      </c>
      <c r="S292" s="125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26">
        <f>IF(U292=TRUE,$J292,"")</f>
        <v/>
      </c>
      <c r="U292" s="124" t="b">
        <v>0</v>
      </c>
      <c r="V292" s="125">
        <f>IF(AND(H292=TRUE,OR(K292="",K292&gt;M292)),S292,0)</f>
        <v/>
      </c>
      <c r="W292" s="124" t="n">
        <v>0</v>
      </c>
      <c r="X292" s="124" t="b">
        <v>0</v>
      </c>
      <c r="Y292" s="127">
        <f>IF(H292=FALSE,VLOOKUP($C292,Sales!$C:$F,4,FALSE),1)</f>
        <v/>
      </c>
      <c r="Z292" s="124">
        <f>IF(Y292=0,"Release",IF(AND(L292&lt;J292,Y292=1,H292=FALSE,U292=FALSE,MONTH(L292)&amp;"/"&amp;YEAR(L292)&lt;&gt;MONTH(J292)&amp;"/"&amp;YEAR(J292)),"Release",""))</f>
        <v/>
      </c>
      <c r="AA292" s="128">
        <f>_xlfn.minifs($L:$L,$C:$C,$C292,$F:$F,"&lt;&gt;0")</f>
        <v/>
      </c>
      <c r="AB292" s="128">
        <f>C292&amp;"-"&amp;A292</f>
        <v/>
      </c>
      <c r="AC292" s="128">
        <f>L292</f>
        <v/>
      </c>
    </row>
    <row r="293">
      <c r="A293" s="124" t="inlineStr">
        <is>
          <t>ZRAN01</t>
        </is>
      </c>
      <c r="B293" s="124" t="n">
        <v>26</v>
      </c>
      <c r="C293" s="124" t="inlineStr">
        <is>
          <t>HVG203</t>
        </is>
      </c>
      <c r="D293" s="124" t="inlineStr">
        <is>
          <t>G</t>
        </is>
      </c>
      <c r="E293" s="124" t="inlineStr">
        <is>
          <t>Rankin Ross Partick Gemill</t>
        </is>
      </c>
      <c r="F293" s="125">
        <f>SUMIFS(Investors!$M:$M, Investors!$I:$I, "&lt;=" &amp; 'NSST Print'!$B$3, Investors!$K:$K, "&gt;" &amp; 'NSST Print'!$B$3, Investors!$A:$A, 'Investor Exit List'!A293, Investors!$E:$E, 'Investor Exit List'!C293)</f>
        <v/>
      </c>
      <c r="G293" s="126" t="n">
        <v>45129</v>
      </c>
      <c r="H293" s="124">
        <f>VLOOKUP($C293,Sales!$C:$E,2,FALSE)</f>
        <v/>
      </c>
      <c r="I293" s="124">
        <f>VLOOKUP($C293,Sales!$C:$E,3,FALSE)</f>
        <v/>
      </c>
      <c r="J293" s="126">
        <f>SUMIFS(Sales!$H:$H,Sales!$C:$C,'Investor Exit List'!$C293)</f>
        <v/>
      </c>
      <c r="K293" s="126">
        <f>IF(I293=TRUE,J293,"")</f>
        <v/>
      </c>
      <c r="L293" s="126">
        <f>G293+730</f>
        <v/>
      </c>
      <c r="M293" s="126" t="n">
        <v>45443</v>
      </c>
      <c r="N293" s="127">
        <f>IFERROR(IF(G293&lt;&gt;"",IF(I293=TRUE,0,IF(U293=TRUE,0,L293-M293)),0),0)</f>
        <v/>
      </c>
      <c r="O293" s="127">
        <f>IF(N293&gt;0,IF(N293&lt;=180,N293,0),0)</f>
        <v/>
      </c>
      <c r="P293" s="125">
        <f>IF(AND(N293&lt;90,N293&gt;0),Q293,0)</f>
        <v/>
      </c>
      <c r="Q293" s="125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25">
        <f>IF(AND(H293=TRUE,I293=FALSE),Q293,0)</f>
        <v/>
      </c>
      <c r="S293" s="125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26">
        <f>IF(U293=TRUE,$J293,"")</f>
        <v/>
      </c>
      <c r="U293" s="124" t="b">
        <v>0</v>
      </c>
      <c r="V293" s="125">
        <f>IF(AND(H293=TRUE,OR(K293="",K293&gt;M293)),S293,0)</f>
        <v/>
      </c>
      <c r="W293" s="124" t="n">
        <v>0</v>
      </c>
      <c r="X293" s="124" t="b">
        <v>0</v>
      </c>
      <c r="Y293" s="127">
        <f>IF(H293=FALSE,VLOOKUP($C293,Sales!$C:$F,4,FALSE),1)</f>
        <v/>
      </c>
      <c r="Z293" s="124">
        <f>IF(Y293=0,"Release",IF(AND(L293&lt;J293,Y293=1,H293=FALSE,U293=FALSE,MONTH(L293)&amp;"/"&amp;YEAR(L293)&lt;&gt;MONTH(J293)&amp;"/"&amp;YEAR(J293)),"Release",""))</f>
        <v/>
      </c>
      <c r="AA293" s="128">
        <f>_xlfn.minifs($L:$L,$C:$C,$C293,$F:$F,"&lt;&gt;0")</f>
        <v/>
      </c>
      <c r="AB293" s="128">
        <f>C293&amp;"-"&amp;A293</f>
        <v/>
      </c>
      <c r="AC293" s="128">
        <f>L293</f>
        <v/>
      </c>
    </row>
    <row r="294">
      <c r="A294" s="124" t="inlineStr">
        <is>
          <t>ZSMI02</t>
        </is>
      </c>
      <c r="B294" s="124" t="n">
        <v>2</v>
      </c>
      <c r="C294" s="124" t="inlineStr">
        <is>
          <t>HVG203</t>
        </is>
      </c>
      <c r="D294" s="124" t="inlineStr">
        <is>
          <t>G</t>
        </is>
      </c>
      <c r="E294" s="124" t="inlineStr">
        <is>
          <t>Smit Sophia Catharina</t>
        </is>
      </c>
      <c r="F294" s="125">
        <f>SUMIFS(Investors!$M:$M, Investors!$I:$I, "&lt;=" &amp; 'NSST Print'!$B$3, Investors!$K:$K, "&gt;" &amp; 'NSST Print'!$B$3, Investors!$A:$A, 'Investor Exit List'!A294, Investors!$E:$E, 'Investor Exit List'!C294)</f>
        <v/>
      </c>
      <c r="G294" s="126" t="n">
        <v>45168</v>
      </c>
      <c r="H294" s="124">
        <f>VLOOKUP($C294,Sales!$C:$E,2,FALSE)</f>
        <v/>
      </c>
      <c r="I294" s="124">
        <f>VLOOKUP($C294,Sales!$C:$E,3,FALSE)</f>
        <v/>
      </c>
      <c r="J294" s="126">
        <f>SUMIFS(Sales!$H:$H,Sales!$C:$C,'Investor Exit List'!$C294)</f>
        <v/>
      </c>
      <c r="K294" s="126">
        <f>IF(I294=TRUE,J294,"")</f>
        <v/>
      </c>
      <c r="L294" s="126">
        <f>G294+730</f>
        <v/>
      </c>
      <c r="M294" s="126" t="n">
        <v>45443</v>
      </c>
      <c r="N294" s="127">
        <f>IFERROR(IF(G294&lt;&gt;"",IF(I294=TRUE,0,IF(U294=TRUE,0,L294-M294)),0),0)</f>
        <v/>
      </c>
      <c r="O294" s="127">
        <f>IF(N294&gt;0,IF(N294&lt;=180,N294,0),0)</f>
        <v/>
      </c>
      <c r="P294" s="125">
        <f>IF(AND(N294&lt;90,N294&gt;0),Q294,0)</f>
        <v/>
      </c>
      <c r="Q294" s="125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25">
        <f>IF(AND(H294=TRUE,I294=FALSE),Q294,0)</f>
        <v/>
      </c>
      <c r="S294" s="125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26">
        <f>IF(U294=TRUE,$J294,"")</f>
        <v/>
      </c>
      <c r="U294" s="124" t="b">
        <v>0</v>
      </c>
      <c r="V294" s="125">
        <f>IF(AND(H294=TRUE,OR(K294="",K294&gt;M294)),S294,0)</f>
        <v/>
      </c>
      <c r="W294" s="124" t="n">
        <v>0</v>
      </c>
      <c r="X294" s="124" t="b">
        <v>0</v>
      </c>
      <c r="Y294" s="127">
        <f>IF(H294=FALSE,VLOOKUP($C294,Sales!$C:$F,4,FALSE),1)</f>
        <v/>
      </c>
      <c r="Z294" s="124">
        <f>IF(Y294=0,"Release",IF(AND(L294&lt;J294,Y294=1,H294=FALSE,U294=FALSE,MONTH(L294)&amp;"/"&amp;YEAR(L294)&lt;&gt;MONTH(J294)&amp;"/"&amp;YEAR(J294)),"Release",""))</f>
        <v/>
      </c>
      <c r="AA294" s="128">
        <f>_xlfn.minifs($L:$L,$C:$C,$C294,$F:$F,"&lt;&gt;0")</f>
        <v/>
      </c>
      <c r="AB294" s="128">
        <f>C294&amp;"-"&amp;A294</f>
        <v/>
      </c>
      <c r="AC294" s="128">
        <f>L294</f>
        <v/>
      </c>
    </row>
    <row r="295">
      <c r="A295" s="124" t="inlineStr">
        <is>
          <t>ZTHA01</t>
        </is>
      </c>
      <c r="B295" s="124" t="n">
        <v>5</v>
      </c>
      <c r="C295" s="124" t="inlineStr">
        <is>
          <t>HVG203</t>
        </is>
      </c>
      <c r="D295" s="124" t="inlineStr">
        <is>
          <t>G</t>
        </is>
      </c>
      <c r="E295" s="124" t="inlineStr">
        <is>
          <t>Matthee Gerald Adriaan Odendal</t>
        </is>
      </c>
      <c r="F295" s="125">
        <f>SUMIFS(Investors!$M:$M, Investors!$I:$I, "&lt;=" &amp; 'NSST Print'!$B$3, Investors!$K:$K, "&gt;" &amp; 'NSST Print'!$B$3, Investors!$A:$A, 'Investor Exit List'!A295, Investors!$E:$E, 'Investor Exit List'!C295)</f>
        <v/>
      </c>
      <c r="G295" s="126" t="n">
        <v>45252</v>
      </c>
      <c r="H295" s="124">
        <f>VLOOKUP($C295,Sales!$C:$E,2,FALSE)</f>
        <v/>
      </c>
      <c r="I295" s="124">
        <f>VLOOKUP($C295,Sales!$C:$E,3,FALSE)</f>
        <v/>
      </c>
      <c r="J295" s="126">
        <f>SUMIFS(Sales!$H:$H,Sales!$C:$C,'Investor Exit List'!$C295)</f>
        <v/>
      </c>
      <c r="K295" s="126">
        <f>IF(I295=TRUE,J295,"")</f>
        <v/>
      </c>
      <c r="L295" s="126">
        <f>G295+730</f>
        <v/>
      </c>
      <c r="M295" s="126" t="n">
        <v>45443</v>
      </c>
      <c r="N295" s="127">
        <f>IFERROR(IF(G295&lt;&gt;"",IF(I295=TRUE,0,IF(U295=TRUE,0,L295-M295)),0),0)</f>
        <v/>
      </c>
      <c r="O295" s="127">
        <f>IF(N295&gt;0,IF(N295&lt;=180,N295,0),0)</f>
        <v/>
      </c>
      <c r="P295" s="125">
        <f>IF(AND(N295&lt;90,N295&gt;0),Q295,0)</f>
        <v/>
      </c>
      <c r="Q295" s="125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25">
        <f>IF(AND(H295=TRUE,I295=FALSE),Q295,0)</f>
        <v/>
      </c>
      <c r="S295" s="125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26">
        <f>IF(U295=TRUE,$J295,"")</f>
        <v/>
      </c>
      <c r="U295" s="124" t="b">
        <v>0</v>
      </c>
      <c r="V295" s="125">
        <f>IF(AND(H295=TRUE,OR(K295="",K295&gt;M295)),S295,0)</f>
        <v/>
      </c>
      <c r="W295" s="124" t="n">
        <v>0</v>
      </c>
      <c r="X295" s="124" t="b">
        <v>0</v>
      </c>
      <c r="Y295" s="127">
        <f>IF(H295=FALSE,VLOOKUP($C295,Sales!$C:$F,4,FALSE),1)</f>
        <v/>
      </c>
      <c r="Z295" s="124">
        <f>IF(Y295=0,"Release",IF(AND(L295&lt;J295,Y295=1,H295=FALSE,U295=FALSE,MONTH(L295)&amp;"/"&amp;YEAR(L295)&lt;&gt;MONTH(J295)&amp;"/"&amp;YEAR(J295)),"Release",""))</f>
        <v/>
      </c>
      <c r="AA295" s="128">
        <f>_xlfn.minifs($L:$L,$C:$C,$C295,$F:$F,"&lt;&gt;0")</f>
        <v/>
      </c>
      <c r="AB295" s="128">
        <f>C295&amp;"-"&amp;A295</f>
        <v/>
      </c>
      <c r="AC295" s="128">
        <f>L295</f>
        <v/>
      </c>
    </row>
    <row r="296">
      <c r="A296" s="124" t="inlineStr">
        <is>
          <t>ZBAS01</t>
        </is>
      </c>
      <c r="B296" s="124" t="n">
        <v>1</v>
      </c>
      <c r="C296" s="124" t="inlineStr">
        <is>
          <t>HVG204</t>
        </is>
      </c>
      <c r="D296" s="124" t="inlineStr">
        <is>
          <t>G</t>
        </is>
      </c>
      <c r="E296" s="124" t="inlineStr">
        <is>
          <t>Basson Nicolaas Johannes (Nico)</t>
        </is>
      </c>
      <c r="F296" s="125">
        <f>SUMIFS(Investors!$M:$M, Investors!$I:$I, "&lt;=" &amp; 'NSST Print'!$B$3, Investors!$K:$K, "&gt;" &amp; 'NSST Print'!$B$3, Investors!$A:$A, 'Investor Exit List'!A296, Investors!$E:$E, 'Investor Exit List'!C296)</f>
        <v/>
      </c>
      <c r="G296" s="126" t="n">
        <v>45198</v>
      </c>
      <c r="H296" s="124">
        <f>VLOOKUP($C296,Sales!$C:$E,2,FALSE)</f>
        <v/>
      </c>
      <c r="I296" s="124">
        <f>VLOOKUP($C296,Sales!$C:$E,3,FALSE)</f>
        <v/>
      </c>
      <c r="J296" s="126">
        <f>SUMIFS(Sales!$H:$H,Sales!$C:$C,'Investor Exit List'!$C296)</f>
        <v/>
      </c>
      <c r="K296" s="126">
        <f>IF(I296=TRUE,J296,"")</f>
        <v/>
      </c>
      <c r="L296" s="126">
        <f>G296+730</f>
        <v/>
      </c>
      <c r="M296" s="126" t="n">
        <v>45443</v>
      </c>
      <c r="N296" s="127">
        <f>IFERROR(IF(G296&lt;&gt;"",IF(I296=TRUE,0,IF(U296=TRUE,0,L296-M296)),0),0)</f>
        <v/>
      </c>
      <c r="O296" s="127">
        <f>IF(N296&gt;0,IF(N296&lt;=180,N296,0),0)</f>
        <v/>
      </c>
      <c r="P296" s="125">
        <f>IF(AND(N296&lt;90,N296&gt;0),Q296,0)</f>
        <v/>
      </c>
      <c r="Q296" s="125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25">
        <f>IF(AND(H296=TRUE,I296=FALSE),Q296,0)</f>
        <v/>
      </c>
      <c r="S296" s="125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26">
        <f>IF(U296=TRUE,$J296,"")</f>
        <v/>
      </c>
      <c r="U296" s="124" t="b">
        <v>0</v>
      </c>
      <c r="V296" s="125">
        <f>IF(AND(H296=TRUE,OR(K296="",K296&gt;M296)),S296,0)</f>
        <v/>
      </c>
      <c r="W296" s="124" t="n">
        <v>0</v>
      </c>
      <c r="X296" s="124" t="b">
        <v>0</v>
      </c>
      <c r="Y296" s="127">
        <f>IF(H296=FALSE,VLOOKUP($C296,Sales!$C:$F,4,FALSE),1)</f>
        <v/>
      </c>
      <c r="Z296" s="124">
        <f>IF(Y296=0,"Release",IF(AND(L296&lt;J296,Y296=1,H296=FALSE,U296=FALSE,MONTH(L296)&amp;"/"&amp;YEAR(L296)&lt;&gt;MONTH(J296)&amp;"/"&amp;YEAR(J296)),"Release",""))</f>
        <v/>
      </c>
      <c r="AA296" s="128">
        <f>_xlfn.minifs($L:$L,$C:$C,$C296,$F:$F,"&lt;&gt;0")</f>
        <v/>
      </c>
      <c r="AB296" s="128">
        <f>C296&amp;"-"&amp;A296</f>
        <v/>
      </c>
      <c r="AC296" s="128">
        <f>L296</f>
        <v/>
      </c>
    </row>
    <row r="297">
      <c r="A297" s="124" t="inlineStr">
        <is>
          <t>ZBEL01</t>
        </is>
      </c>
      <c r="B297" s="124" t="n">
        <v>7</v>
      </c>
      <c r="C297" s="124" t="inlineStr">
        <is>
          <t>HVG204</t>
        </is>
      </c>
      <c r="D297" s="124" t="inlineStr">
        <is>
          <t>G</t>
        </is>
      </c>
      <c r="E297" s="124" t="inlineStr">
        <is>
          <t>Belford Helen Constance</t>
        </is>
      </c>
      <c r="F297" s="125">
        <f>SUMIFS(Investors!$M:$M, Investors!$I:$I, "&lt;=" &amp; 'NSST Print'!$B$3, Investors!$K:$K, "&gt;" &amp; 'NSST Print'!$B$3, Investors!$A:$A, 'Investor Exit List'!A297, Investors!$E:$E, 'Investor Exit List'!C297)</f>
        <v/>
      </c>
      <c r="G297" s="126" t="n">
        <v>45252</v>
      </c>
      <c r="H297" s="124">
        <f>VLOOKUP($C297,Sales!$C:$E,2,FALSE)</f>
        <v/>
      </c>
      <c r="I297" s="124">
        <f>VLOOKUP($C297,Sales!$C:$E,3,FALSE)</f>
        <v/>
      </c>
      <c r="J297" s="126">
        <f>SUMIFS(Sales!$H:$H,Sales!$C:$C,'Investor Exit List'!$C297)</f>
        <v/>
      </c>
      <c r="K297" s="126">
        <f>IF(I297=TRUE,J297,"")</f>
        <v/>
      </c>
      <c r="L297" s="126">
        <f>G297+730</f>
        <v/>
      </c>
      <c r="M297" s="126" t="n">
        <v>45443</v>
      </c>
      <c r="N297" s="127">
        <f>IFERROR(IF(G297&lt;&gt;"",IF(I297=TRUE,0,IF(U297=TRUE,0,L297-M297)),0),0)</f>
        <v/>
      </c>
      <c r="O297" s="127">
        <f>IF(N297&gt;0,IF(N297&lt;=180,N297,0),0)</f>
        <v/>
      </c>
      <c r="P297" s="125">
        <f>IF(AND(N297&lt;90,N297&gt;0),Q297,0)</f>
        <v/>
      </c>
      <c r="Q297" s="125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25">
        <f>IF(AND(H297=TRUE,I297=FALSE),Q297,0)</f>
        <v/>
      </c>
      <c r="S297" s="125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26">
        <f>IF(U297=TRUE,$J297,"")</f>
        <v/>
      </c>
      <c r="U297" s="124" t="b">
        <v>0</v>
      </c>
      <c r="V297" s="125">
        <f>IF(AND(H297=TRUE,OR(K297="",K297&gt;M297)),S297,0)</f>
        <v/>
      </c>
      <c r="W297" s="124" t="n">
        <v>0</v>
      </c>
      <c r="X297" s="124" t="b">
        <v>0</v>
      </c>
      <c r="Y297" s="127">
        <f>IF(H297=FALSE,VLOOKUP($C297,Sales!$C:$F,4,FALSE),1)</f>
        <v/>
      </c>
      <c r="Z297" s="124">
        <f>IF(Y297=0,"Release",IF(AND(L297&lt;J297,Y297=1,H297=FALSE,U297=FALSE,MONTH(L297)&amp;"/"&amp;YEAR(L297)&lt;&gt;MONTH(J297)&amp;"/"&amp;YEAR(J297)),"Release",""))</f>
        <v/>
      </c>
      <c r="AA297" s="128">
        <f>_xlfn.minifs($L:$L,$C:$C,$C297,$F:$F,"&lt;&gt;0")</f>
        <v/>
      </c>
      <c r="AB297" s="128">
        <f>C297&amp;"-"&amp;A297</f>
        <v/>
      </c>
      <c r="AC297" s="128">
        <f>L297</f>
        <v/>
      </c>
    </row>
    <row r="298">
      <c r="A298" s="124" t="inlineStr">
        <is>
          <t>ZMOS01</t>
        </is>
      </c>
      <c r="B298" s="124" t="n">
        <v>1</v>
      </c>
      <c r="C298" s="124" t="inlineStr">
        <is>
          <t>HVG204</t>
        </is>
      </c>
      <c r="D298" s="124" t="inlineStr">
        <is>
          <t>G</t>
        </is>
      </c>
      <c r="E298" s="124" t="inlineStr">
        <is>
          <t>Mosca Colin Giovanni</t>
        </is>
      </c>
      <c r="F298" s="125">
        <f>SUMIFS(Investors!$M:$M, Investors!$I:$I, "&lt;=" &amp; 'NSST Print'!$B$3, Investors!$K:$K, "&gt;" &amp; 'NSST Print'!$B$3, Investors!$A:$A, 'Investor Exit List'!A298, Investors!$E:$E, 'Investor Exit List'!C298)</f>
        <v/>
      </c>
      <c r="G298" s="126" t="n">
        <v>45198</v>
      </c>
      <c r="H298" s="124">
        <f>VLOOKUP($C298,Sales!$C:$E,2,FALSE)</f>
        <v/>
      </c>
      <c r="I298" s="124">
        <f>VLOOKUP($C298,Sales!$C:$E,3,FALSE)</f>
        <v/>
      </c>
      <c r="J298" s="126">
        <f>SUMIFS(Sales!$H:$H,Sales!$C:$C,'Investor Exit List'!$C298)</f>
        <v/>
      </c>
      <c r="K298" s="126">
        <f>IF(I298=TRUE,J298,"")</f>
        <v/>
      </c>
      <c r="L298" s="126">
        <f>G298+730</f>
        <v/>
      </c>
      <c r="M298" s="126" t="n">
        <v>45443</v>
      </c>
      <c r="N298" s="127">
        <f>IFERROR(IF(G298&lt;&gt;"",IF(I298=TRUE,0,IF(U298=TRUE,0,L298-M298)),0),0)</f>
        <v/>
      </c>
      <c r="O298" s="127">
        <f>IF(N298&gt;0,IF(N298&lt;=180,N298,0),0)</f>
        <v/>
      </c>
      <c r="P298" s="125">
        <f>IF(AND(N298&lt;90,N298&gt;0),Q298,0)</f>
        <v/>
      </c>
      <c r="Q298" s="125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25">
        <f>IF(AND(H298=TRUE,I298=FALSE),Q298,0)</f>
        <v/>
      </c>
      <c r="S298" s="125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26">
        <f>IF(U298=TRUE,$J298,"")</f>
        <v/>
      </c>
      <c r="U298" s="124" t="b">
        <v>0</v>
      </c>
      <c r="V298" s="125">
        <f>IF(AND(H298=TRUE,OR(K298="",K298&gt;M298)),S298,0)</f>
        <v/>
      </c>
      <c r="W298" s="124" t="n">
        <v>0</v>
      </c>
      <c r="X298" s="124" t="b">
        <v>0</v>
      </c>
      <c r="Y298" s="127">
        <f>IF(H298=FALSE,VLOOKUP($C298,Sales!$C:$F,4,FALSE),1)</f>
        <v/>
      </c>
      <c r="Z298" s="124">
        <f>IF(Y298=0,"Release",IF(AND(L298&lt;J298,Y298=1,H298=FALSE,U298=FALSE,MONTH(L298)&amp;"/"&amp;YEAR(L298)&lt;&gt;MONTH(J298)&amp;"/"&amp;YEAR(J298)),"Release",""))</f>
        <v/>
      </c>
      <c r="AA298" s="128">
        <f>_xlfn.minifs($L:$L,$C:$C,$C298,$F:$F,"&lt;&gt;0")</f>
        <v/>
      </c>
      <c r="AB298" s="128">
        <f>C298&amp;"-"&amp;A298</f>
        <v/>
      </c>
      <c r="AC298" s="128">
        <f>L298</f>
        <v/>
      </c>
    </row>
    <row r="299">
      <c r="A299" s="124" t="inlineStr">
        <is>
          <t>ZHAR02</t>
        </is>
      </c>
      <c r="B299" s="124" t="n">
        <v>1</v>
      </c>
      <c r="C299" s="124" t="inlineStr">
        <is>
          <t>HVG301</t>
        </is>
      </c>
      <c r="D299" s="124" t="inlineStr">
        <is>
          <t>G</t>
        </is>
      </c>
      <c r="E299" s="124" t="inlineStr">
        <is>
          <t>Harrington Lionel Carl</t>
        </is>
      </c>
      <c r="F299" s="125">
        <f>SUMIFS(Investors!$M:$M, Investors!$I:$I, "&lt;=" &amp; 'NSST Print'!$B$3, Investors!$K:$K, "&gt;" &amp; 'NSST Print'!$B$3, Investors!$A:$A, 'Investor Exit List'!A299, Investors!$E:$E, 'Investor Exit List'!C299)</f>
        <v/>
      </c>
      <c r="G299" s="126" t="n">
        <v>45198</v>
      </c>
      <c r="H299" s="124">
        <f>VLOOKUP($C299,Sales!$C:$E,2,FALSE)</f>
        <v/>
      </c>
      <c r="I299" s="124">
        <f>VLOOKUP($C299,Sales!$C:$E,3,FALSE)</f>
        <v/>
      </c>
      <c r="J299" s="126">
        <f>SUMIFS(Sales!$H:$H,Sales!$C:$C,'Investor Exit List'!$C299)</f>
        <v/>
      </c>
      <c r="K299" s="126">
        <f>IF(I299=TRUE,J299,"")</f>
        <v/>
      </c>
      <c r="L299" s="126">
        <f>G299+730</f>
        <v/>
      </c>
      <c r="M299" s="126" t="n">
        <v>45443</v>
      </c>
      <c r="N299" s="127">
        <f>IFERROR(IF(G299&lt;&gt;"",IF(I299=TRUE,0,IF(U299=TRUE,0,L299-M299)),0),0)</f>
        <v/>
      </c>
      <c r="O299" s="127">
        <f>IF(N299&gt;0,IF(N299&lt;=180,N299,0),0)</f>
        <v/>
      </c>
      <c r="P299" s="125">
        <f>IF(AND(N299&lt;90,N299&gt;0),Q299,0)</f>
        <v/>
      </c>
      <c r="Q299" s="125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25">
        <f>IF(AND(H299=TRUE,I299=FALSE),Q299,0)</f>
        <v/>
      </c>
      <c r="S299" s="125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26">
        <f>IF(U299=TRUE,$J299,"")</f>
        <v/>
      </c>
      <c r="U299" s="124" t="b">
        <v>0</v>
      </c>
      <c r="V299" s="125">
        <f>IF(AND(H299=TRUE,OR(K299="",K299&gt;M299)),S299,0)</f>
        <v/>
      </c>
      <c r="W299" s="124" t="n">
        <v>0</v>
      </c>
      <c r="X299" s="124" t="b">
        <v>0</v>
      </c>
      <c r="Y299" s="127">
        <f>IF(H299=FALSE,VLOOKUP($C299,Sales!$C:$F,4,FALSE),1)</f>
        <v/>
      </c>
      <c r="Z299" s="124">
        <f>IF(Y299=0,"Release",IF(AND(L299&lt;J299,Y299=1,H299=FALSE,U299=FALSE,MONTH(L299)&amp;"/"&amp;YEAR(L299)&lt;&gt;MONTH(J299)&amp;"/"&amp;YEAR(J299)),"Release",""))</f>
        <v/>
      </c>
      <c r="AA299" s="128">
        <f>_xlfn.minifs($L:$L,$C:$C,$C299,$F:$F,"&lt;&gt;0")</f>
        <v/>
      </c>
      <c r="AB299" s="128">
        <f>C299&amp;"-"&amp;A299</f>
        <v/>
      </c>
      <c r="AC299" s="128">
        <f>L299</f>
        <v/>
      </c>
    </row>
    <row r="300">
      <c r="A300" s="124" t="inlineStr">
        <is>
          <t>ZNIE01</t>
        </is>
      </c>
      <c r="B300" s="124" t="n">
        <v>5</v>
      </c>
      <c r="C300" s="124" t="inlineStr">
        <is>
          <t>HVG301</t>
        </is>
      </c>
      <c r="D300" s="124" t="inlineStr">
        <is>
          <t>G</t>
        </is>
      </c>
      <c r="E300" s="124" t="inlineStr">
        <is>
          <t>van Niekerk Grant Richard</t>
        </is>
      </c>
      <c r="F300" s="125">
        <f>SUMIFS(Investors!$M:$M, Investors!$I:$I, "&lt;=" &amp; 'NSST Print'!$B$3, Investors!$K:$K, "&gt;" &amp; 'NSST Print'!$B$3, Investors!$A:$A, 'Investor Exit List'!A300, Investors!$E:$E, 'Investor Exit List'!C300)</f>
        <v/>
      </c>
      <c r="G300" s="126" t="n">
        <v>45198</v>
      </c>
      <c r="H300" s="124">
        <f>VLOOKUP($C300,Sales!$C:$E,2,FALSE)</f>
        <v/>
      </c>
      <c r="I300" s="124">
        <f>VLOOKUP($C300,Sales!$C:$E,3,FALSE)</f>
        <v/>
      </c>
      <c r="J300" s="126">
        <f>SUMIFS(Sales!$H:$H,Sales!$C:$C,'Investor Exit List'!$C300)</f>
        <v/>
      </c>
      <c r="K300" s="126">
        <f>IF(I300=TRUE,J300,"")</f>
        <v/>
      </c>
      <c r="L300" s="126">
        <f>G300+730</f>
        <v/>
      </c>
      <c r="M300" s="126" t="n">
        <v>45443</v>
      </c>
      <c r="N300" s="127">
        <f>IFERROR(IF(G300&lt;&gt;"",IF(I300=TRUE,0,IF(U300=TRUE,0,L300-M300)),0),0)</f>
        <v/>
      </c>
      <c r="O300" s="127">
        <f>IF(N300&gt;0,IF(N300&lt;=180,N300,0),0)</f>
        <v/>
      </c>
      <c r="P300" s="125">
        <f>IF(AND(N300&lt;90,N300&gt;0),Q300,0)</f>
        <v/>
      </c>
      <c r="Q300" s="125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25">
        <f>IF(AND(H300=TRUE,I300=FALSE),Q300,0)</f>
        <v/>
      </c>
      <c r="S300" s="125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26">
        <f>IF(U300=TRUE,$J300,"")</f>
        <v/>
      </c>
      <c r="U300" s="124" t="b">
        <v>0</v>
      </c>
      <c r="V300" s="125">
        <f>IF(AND(H300=TRUE,OR(K300="",K300&gt;M300)),S300,0)</f>
        <v/>
      </c>
      <c r="W300" s="124" t="n">
        <v>0</v>
      </c>
      <c r="X300" s="124" t="b">
        <v>0</v>
      </c>
      <c r="Y300" s="127">
        <f>IF(H300=FALSE,VLOOKUP($C300,Sales!$C:$F,4,FALSE),1)</f>
        <v/>
      </c>
      <c r="Z300" s="124">
        <f>IF(Y300=0,"Release",IF(AND(L300&lt;J300,Y300=1,H300=FALSE,U300=FALSE,MONTH(L300)&amp;"/"&amp;YEAR(L300)&lt;&gt;MONTH(J300)&amp;"/"&amp;YEAR(J300)),"Release",""))</f>
        <v/>
      </c>
      <c r="AA300" s="128">
        <f>_xlfn.minifs($L:$L,$C:$C,$C300,$F:$F,"&lt;&gt;0")</f>
        <v/>
      </c>
      <c r="AB300" s="128">
        <f>C300&amp;"-"&amp;A300</f>
        <v/>
      </c>
      <c r="AC300" s="128">
        <f>L300</f>
        <v/>
      </c>
    </row>
    <row r="301">
      <c r="A301" s="124" t="inlineStr">
        <is>
          <t>ZVAN05</t>
        </is>
      </c>
      <c r="B301" s="124" t="n">
        <v>10</v>
      </c>
      <c r="C301" s="124" t="inlineStr">
        <is>
          <t>HVG301</t>
        </is>
      </c>
      <c r="D301" s="124" t="inlineStr">
        <is>
          <t>G</t>
        </is>
      </c>
      <c r="E301" s="124" t="inlineStr">
        <is>
          <t>van der Sandt Hermanus</t>
        </is>
      </c>
      <c r="F301" s="125">
        <f>SUMIFS(Investors!$M:$M, Investors!$I:$I, "&lt;=" &amp; 'NSST Print'!$B$3, Investors!$K:$K, "&gt;" &amp; 'NSST Print'!$B$3, Investors!$A:$A, 'Investor Exit List'!A301, Investors!$E:$E, 'Investor Exit List'!C301)</f>
        <v/>
      </c>
      <c r="G301" s="126" t="n">
        <v>45198</v>
      </c>
      <c r="H301" s="124">
        <f>VLOOKUP($C301,Sales!$C:$E,2,FALSE)</f>
        <v/>
      </c>
      <c r="I301" s="124">
        <f>VLOOKUP($C301,Sales!$C:$E,3,FALSE)</f>
        <v/>
      </c>
      <c r="J301" s="126">
        <f>SUMIFS(Sales!$H:$H,Sales!$C:$C,'Investor Exit List'!$C301)</f>
        <v/>
      </c>
      <c r="K301" s="126">
        <f>IF(I301=TRUE,J301,"")</f>
        <v/>
      </c>
      <c r="L301" s="126">
        <f>G301+730</f>
        <v/>
      </c>
      <c r="M301" s="126" t="n">
        <v>45443</v>
      </c>
      <c r="N301" s="127">
        <f>IFERROR(IF(G301&lt;&gt;"",IF(I301=TRUE,0,IF(U301=TRUE,0,L301-M301)),0),0)</f>
        <v/>
      </c>
      <c r="O301" s="127">
        <f>IF(N301&gt;0,IF(N301&lt;=180,N301,0),0)</f>
        <v/>
      </c>
      <c r="P301" s="125">
        <f>IF(AND(N301&lt;90,N301&gt;0),Q301,0)</f>
        <v/>
      </c>
      <c r="Q301" s="125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25">
        <f>IF(AND(H301=TRUE,I301=FALSE),Q301,0)</f>
        <v/>
      </c>
      <c r="S301" s="125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26">
        <f>IF(U301=TRUE,$J301,"")</f>
        <v/>
      </c>
      <c r="U301" s="124" t="b">
        <v>0</v>
      </c>
      <c r="V301" s="125">
        <f>IF(AND(H301=TRUE,OR(K301="",K301&gt;M301)),S301,0)</f>
        <v/>
      </c>
      <c r="W301" s="124" t="n">
        <v>0</v>
      </c>
      <c r="X301" s="124" t="b">
        <v>0</v>
      </c>
      <c r="Y301" s="127">
        <f>IF(H301=FALSE,VLOOKUP($C301,Sales!$C:$F,4,FALSE),1)</f>
        <v/>
      </c>
      <c r="Z301" s="124">
        <f>IF(Y301=0,"Release",IF(AND(L301&lt;J301,Y301=1,H301=FALSE,U301=FALSE,MONTH(L301)&amp;"/"&amp;YEAR(L301)&lt;&gt;MONTH(J301)&amp;"/"&amp;YEAR(J301)),"Release",""))</f>
        <v/>
      </c>
      <c r="AA301" s="128">
        <f>_xlfn.minifs($L:$L,$C:$C,$C301,$F:$F,"&lt;&gt;0")</f>
        <v/>
      </c>
      <c r="AB301" s="128">
        <f>C301&amp;"-"&amp;A301</f>
        <v/>
      </c>
      <c r="AC301" s="128">
        <f>L301</f>
        <v/>
      </c>
    </row>
    <row r="302">
      <c r="A302" s="124" t="inlineStr">
        <is>
          <t>ZDAD01</t>
        </is>
      </c>
      <c r="B302" s="124" t="n">
        <v>4</v>
      </c>
      <c r="C302" s="124" t="inlineStr">
        <is>
          <t>HVG302</t>
        </is>
      </c>
      <c r="D302" s="124" t="inlineStr">
        <is>
          <t>G</t>
        </is>
      </c>
      <c r="E302" s="124" t="inlineStr">
        <is>
          <t>Dadoo Feroz</t>
        </is>
      </c>
      <c r="F302" s="125">
        <f>SUMIFS(Investors!$M:$M, Investors!$I:$I, "&lt;=" &amp; 'NSST Print'!$B$3, Investors!$K:$K, "&gt;" &amp; 'NSST Print'!$B$3, Investors!$A:$A, 'Investor Exit List'!A302, Investors!$E:$E, 'Investor Exit List'!C302)</f>
        <v/>
      </c>
      <c r="G302" s="126" t="n">
        <v>45198</v>
      </c>
      <c r="H302" s="124">
        <f>VLOOKUP($C302,Sales!$C:$E,2,FALSE)</f>
        <v/>
      </c>
      <c r="I302" s="124">
        <f>VLOOKUP($C302,Sales!$C:$E,3,FALSE)</f>
        <v/>
      </c>
      <c r="J302" s="126">
        <f>SUMIFS(Sales!$H:$H,Sales!$C:$C,'Investor Exit List'!$C302)</f>
        <v/>
      </c>
      <c r="K302" s="126">
        <f>IF(I302=TRUE,J302,"")</f>
        <v/>
      </c>
      <c r="L302" s="126">
        <f>G302+730</f>
        <v/>
      </c>
      <c r="M302" s="126" t="n">
        <v>45443</v>
      </c>
      <c r="N302" s="127">
        <f>IFERROR(IF(G302&lt;&gt;"",IF(I302=TRUE,0,IF(U302=TRUE,0,L302-M302)),0),0)</f>
        <v/>
      </c>
      <c r="O302" s="127">
        <f>IF(N302&gt;0,IF(N302&lt;=180,N302,0),0)</f>
        <v/>
      </c>
      <c r="P302" s="125">
        <f>IF(AND(N302&lt;90,N302&gt;0),Q302,0)</f>
        <v/>
      </c>
      <c r="Q302" s="125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25">
        <f>IF(AND(H302=TRUE,I302=FALSE),Q302,0)</f>
        <v/>
      </c>
      <c r="S302" s="125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26">
        <f>IF(U302=TRUE,$J302,"")</f>
        <v/>
      </c>
      <c r="U302" s="124" t="b">
        <v>0</v>
      </c>
      <c r="V302" s="125">
        <f>IF(AND(H302=TRUE,OR(K302="",K302&gt;M302)),S302,0)</f>
        <v/>
      </c>
      <c r="W302" s="124" t="n">
        <v>0</v>
      </c>
      <c r="X302" s="124" t="b">
        <v>0</v>
      </c>
      <c r="Y302" s="127">
        <f>IF(H302=FALSE,VLOOKUP($C302,Sales!$C:$F,4,FALSE),1)</f>
        <v/>
      </c>
      <c r="Z302" s="124">
        <f>IF(Y302=0,"Release",IF(AND(L302&lt;J302,Y302=1,H302=FALSE,U302=FALSE,MONTH(L302)&amp;"/"&amp;YEAR(L302)&lt;&gt;MONTH(J302)&amp;"/"&amp;YEAR(J302)),"Release",""))</f>
        <v/>
      </c>
      <c r="AA302" s="128">
        <f>_xlfn.minifs($L:$L,$C:$C,$C302,$F:$F,"&lt;&gt;0")</f>
        <v/>
      </c>
      <c r="AB302" s="128">
        <f>C302&amp;"-"&amp;A302</f>
        <v/>
      </c>
      <c r="AC302" s="128">
        <f>L302</f>
        <v/>
      </c>
    </row>
    <row r="303">
      <c r="A303" s="124" t="inlineStr">
        <is>
          <t>ZEDE01</t>
        </is>
      </c>
      <c r="B303" s="124" t="n">
        <v>2</v>
      </c>
      <c r="C303" s="124" t="inlineStr">
        <is>
          <t>HVG302</t>
        </is>
      </c>
      <c r="D303" s="124" t="inlineStr">
        <is>
          <t>G</t>
        </is>
      </c>
      <c r="E303" s="124" t="inlineStr">
        <is>
          <t>van Eden JP</t>
        </is>
      </c>
      <c r="F303" s="125">
        <f>SUMIFS(Investors!$M:$M, Investors!$I:$I, "&lt;=" &amp; 'NSST Print'!$B$3, Investors!$K:$K, "&gt;" &amp; 'NSST Print'!$B$3, Investors!$A:$A, 'Investor Exit List'!A303, Investors!$E:$E, 'Investor Exit List'!C303)</f>
        <v/>
      </c>
      <c r="G303" s="126" t="n">
        <v>45224</v>
      </c>
      <c r="H303" s="124">
        <f>VLOOKUP($C303,Sales!$C:$E,2,FALSE)</f>
        <v/>
      </c>
      <c r="I303" s="124">
        <f>VLOOKUP($C303,Sales!$C:$E,3,FALSE)</f>
        <v/>
      </c>
      <c r="J303" s="126">
        <f>SUMIFS(Sales!$H:$H,Sales!$C:$C,'Investor Exit List'!$C303)</f>
        <v/>
      </c>
      <c r="K303" s="126">
        <f>IF(I303=TRUE,J303,"")</f>
        <v/>
      </c>
      <c r="L303" s="126">
        <f>G303+730</f>
        <v/>
      </c>
      <c r="M303" s="126" t="n">
        <v>45443</v>
      </c>
      <c r="N303" s="127">
        <f>IFERROR(IF(G303&lt;&gt;"",IF(I303=TRUE,0,IF(U303=TRUE,0,L303-M303)),0),0)</f>
        <v/>
      </c>
      <c r="O303" s="127">
        <f>IF(N303&gt;0,IF(N303&lt;=180,N303,0),0)</f>
        <v/>
      </c>
      <c r="P303" s="125">
        <f>IF(AND(N303&lt;90,N303&gt;0),Q303,0)</f>
        <v/>
      </c>
      <c r="Q303" s="125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25">
        <f>IF(AND(H303=TRUE,I303=FALSE),Q303,0)</f>
        <v/>
      </c>
      <c r="S303" s="125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26">
        <f>IF(U303=TRUE,$J303,"")</f>
        <v/>
      </c>
      <c r="U303" s="124" t="b">
        <v>0</v>
      </c>
      <c r="V303" s="125">
        <f>IF(AND(H303=TRUE,OR(K303="",K303&gt;M303)),S303,0)</f>
        <v/>
      </c>
      <c r="W303" s="124" t="n">
        <v>0</v>
      </c>
      <c r="X303" s="124" t="b">
        <v>0</v>
      </c>
      <c r="Y303" s="127">
        <f>IF(H303=FALSE,VLOOKUP($C303,Sales!$C:$F,4,FALSE),1)</f>
        <v/>
      </c>
      <c r="Z303" s="124">
        <f>IF(Y303=0,"Release",IF(AND(L303&lt;J303,Y303=1,H303=FALSE,U303=FALSE,MONTH(L303)&amp;"/"&amp;YEAR(L303)&lt;&gt;MONTH(J303)&amp;"/"&amp;YEAR(J303)),"Release",""))</f>
        <v/>
      </c>
      <c r="AA303" s="128">
        <f>_xlfn.minifs($L:$L,$C:$C,$C303,$F:$F,"&lt;&gt;0")</f>
        <v/>
      </c>
      <c r="AB303" s="128">
        <f>C303&amp;"-"&amp;A303</f>
        <v/>
      </c>
      <c r="AC303" s="128">
        <f>L303</f>
        <v/>
      </c>
    </row>
    <row r="304">
      <c r="A304" s="124" t="inlineStr">
        <is>
          <t>ZAFR01</t>
        </is>
      </c>
      <c r="B304" s="124" t="n">
        <v>6</v>
      </c>
      <c r="C304" s="124" t="inlineStr">
        <is>
          <t>HVG303</t>
        </is>
      </c>
      <c r="D304" s="124" t="inlineStr">
        <is>
          <t>G</t>
        </is>
      </c>
      <c r="E304" s="124" t="inlineStr">
        <is>
          <t>Zylstra John Robert</t>
        </is>
      </c>
      <c r="F304" s="125">
        <f>SUMIFS(Investors!$M:$M, Investors!$I:$I, "&lt;=" &amp; 'NSST Print'!$B$3, Investors!$K:$K, "&gt;" &amp; 'NSST Print'!$B$3, Investors!$A:$A, 'Investor Exit List'!A304, Investors!$E:$E, 'Investor Exit List'!C304)</f>
        <v/>
      </c>
      <c r="G304" s="126" t="n">
        <v>45224</v>
      </c>
      <c r="H304" s="124">
        <f>VLOOKUP($C304,Sales!$C:$E,2,FALSE)</f>
        <v/>
      </c>
      <c r="I304" s="124">
        <f>VLOOKUP($C304,Sales!$C:$E,3,FALSE)</f>
        <v/>
      </c>
      <c r="J304" s="126">
        <f>SUMIFS(Sales!$H:$H,Sales!$C:$C,'Investor Exit List'!$C304)</f>
        <v/>
      </c>
      <c r="K304" s="126">
        <f>IF(I304=TRUE,J304,"")</f>
        <v/>
      </c>
      <c r="L304" s="126">
        <f>G304+730</f>
        <v/>
      </c>
      <c r="M304" s="126" t="n">
        <v>45443</v>
      </c>
      <c r="N304" s="127">
        <f>IFERROR(IF(G304&lt;&gt;"",IF(I304=TRUE,0,IF(U304=TRUE,0,L304-M304)),0),0)</f>
        <v/>
      </c>
      <c r="O304" s="127">
        <f>IF(N304&gt;0,IF(N304&lt;=180,N304,0),0)</f>
        <v/>
      </c>
      <c r="P304" s="125">
        <f>IF(AND(N304&lt;90,N304&gt;0),Q304,0)</f>
        <v/>
      </c>
      <c r="Q304" s="125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25">
        <f>IF(AND(H304=TRUE,I304=FALSE),Q304,0)</f>
        <v/>
      </c>
      <c r="S304" s="125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26">
        <f>IF(U304=TRUE,$J304,"")</f>
        <v/>
      </c>
      <c r="U304" s="124" t="b">
        <v>0</v>
      </c>
      <c r="V304" s="125">
        <f>IF(AND(H304=TRUE,OR(K304="",K304&gt;M304)),S304,0)</f>
        <v/>
      </c>
      <c r="W304" s="124" t="n">
        <v>0</v>
      </c>
      <c r="X304" s="124" t="b">
        <v>0</v>
      </c>
      <c r="Y304" s="127">
        <f>IF(H304=FALSE,VLOOKUP($C304,Sales!$C:$F,4,FALSE),1)</f>
        <v/>
      </c>
      <c r="Z304" s="124">
        <f>IF(Y304=0,"Release",IF(AND(L304&lt;J304,Y304=1,H304=FALSE,U304=FALSE,MONTH(L304)&amp;"/"&amp;YEAR(L304)&lt;&gt;MONTH(J304)&amp;"/"&amp;YEAR(J304)),"Release",""))</f>
        <v/>
      </c>
      <c r="AA304" s="128">
        <f>_xlfn.minifs($L:$L,$C:$C,$C304,$F:$F,"&lt;&gt;0")</f>
        <v/>
      </c>
      <c r="AB304" s="128">
        <f>C304&amp;"-"&amp;A304</f>
        <v/>
      </c>
      <c r="AC304" s="128">
        <f>L304</f>
        <v/>
      </c>
    </row>
    <row r="305">
      <c r="A305" s="124" t="inlineStr">
        <is>
          <t>ZVER02</t>
        </is>
      </c>
      <c r="B305" s="124" t="n">
        <v>6</v>
      </c>
      <c r="C305" s="124" t="inlineStr">
        <is>
          <t>HVG303</t>
        </is>
      </c>
      <c r="D305" s="124" t="inlineStr">
        <is>
          <t>G</t>
        </is>
      </c>
      <c r="E305" s="124" t="inlineStr">
        <is>
          <t>Verhaeghe Jean-Jacques EP</t>
        </is>
      </c>
      <c r="F305" s="125">
        <f>SUMIFS(Investors!$M:$M, Investors!$I:$I, "&lt;=" &amp; 'NSST Print'!$B$3, Investors!$K:$K, "&gt;" &amp; 'NSST Print'!$B$3, Investors!$A:$A, 'Investor Exit List'!A305, Investors!$E:$E, 'Investor Exit List'!C305)</f>
        <v/>
      </c>
      <c r="G305" s="126" t="n">
        <v>45259</v>
      </c>
      <c r="H305" s="124">
        <f>VLOOKUP($C305,Sales!$C:$E,2,FALSE)</f>
        <v/>
      </c>
      <c r="I305" s="124">
        <f>VLOOKUP($C305,Sales!$C:$E,3,FALSE)</f>
        <v/>
      </c>
      <c r="J305" s="126">
        <f>SUMIFS(Sales!$H:$H,Sales!$C:$C,'Investor Exit List'!$C305)</f>
        <v/>
      </c>
      <c r="K305" s="126">
        <f>IF(I305=TRUE,J305,"")</f>
        <v/>
      </c>
      <c r="L305" s="126">
        <f>G305+730</f>
        <v/>
      </c>
      <c r="M305" s="126" t="n">
        <v>45443</v>
      </c>
      <c r="N305" s="127">
        <f>IFERROR(IF(G305&lt;&gt;"",IF(I305=TRUE,0,IF(U305=TRUE,0,L305-M305)),0),0)</f>
        <v/>
      </c>
      <c r="O305" s="127">
        <f>IF(N305&gt;0,IF(N305&lt;=180,N305,0),0)</f>
        <v/>
      </c>
      <c r="P305" s="125">
        <f>IF(AND(N305&lt;90,N305&gt;0),Q305,0)</f>
        <v/>
      </c>
      <c r="Q305" s="125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25">
        <f>IF(AND(H305=TRUE,I305=FALSE),Q305,0)</f>
        <v/>
      </c>
      <c r="S305" s="125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26">
        <f>IF(U305=TRUE,$J305,"")</f>
        <v/>
      </c>
      <c r="U305" s="124" t="b">
        <v>0</v>
      </c>
      <c r="V305" s="125">
        <f>IF(AND(H305=TRUE,OR(K305="",K305&gt;M305)),S305,0)</f>
        <v/>
      </c>
      <c r="W305" s="124" t="n">
        <v>0</v>
      </c>
      <c r="X305" s="124" t="b">
        <v>0</v>
      </c>
      <c r="Y305" s="127">
        <f>IF(H305=FALSE,VLOOKUP($C305,Sales!$C:$F,4,FALSE),1)</f>
        <v/>
      </c>
      <c r="Z305" s="124">
        <f>IF(Y305=0,"Release",IF(AND(L305&lt;J305,Y305=1,H305=FALSE,U305=FALSE,MONTH(L305)&amp;"/"&amp;YEAR(L305)&lt;&gt;MONTH(J305)&amp;"/"&amp;YEAR(J305)),"Release",""))</f>
        <v/>
      </c>
      <c r="AA305" s="128">
        <f>_xlfn.minifs($L:$L,$C:$C,$C305,$F:$F,"&lt;&gt;0")</f>
        <v/>
      </c>
      <c r="AB305" s="128">
        <f>C305&amp;"-"&amp;A305</f>
        <v/>
      </c>
      <c r="AC305" s="128">
        <f>L305</f>
        <v/>
      </c>
    </row>
    <row r="306">
      <c r="A306" s="124" t="inlineStr">
        <is>
          <t>ZJOS01</t>
        </is>
      </c>
      <c r="B306" s="124" t="n">
        <v>1</v>
      </c>
      <c r="C306" s="124" t="inlineStr">
        <is>
          <t>HVG304</t>
        </is>
      </c>
      <c r="D306" s="124" t="inlineStr">
        <is>
          <t>G</t>
        </is>
      </c>
      <c r="E306" s="124" t="inlineStr">
        <is>
          <t>Joseph Justin</t>
        </is>
      </c>
      <c r="F306" s="125">
        <f>SUMIFS(Investors!$M:$M, Investors!$I:$I, "&lt;=" &amp; 'NSST Print'!$B$3, Investors!$K:$K, "&gt;" &amp; 'NSST Print'!$B$3, Investors!$A:$A, 'Investor Exit List'!A306, Investors!$E:$E, 'Investor Exit List'!C306)</f>
        <v/>
      </c>
      <c r="G306" s="126" t="n">
        <v>45252</v>
      </c>
      <c r="H306" s="124">
        <f>VLOOKUP($C306,Sales!$C:$E,2,FALSE)</f>
        <v/>
      </c>
      <c r="I306" s="124">
        <f>VLOOKUP($C306,Sales!$C:$E,3,FALSE)</f>
        <v/>
      </c>
      <c r="J306" s="126">
        <f>SUMIFS(Sales!$H:$H,Sales!$C:$C,'Investor Exit List'!$C306)</f>
        <v/>
      </c>
      <c r="K306" s="126">
        <f>IF(I306=TRUE,J306,"")</f>
        <v/>
      </c>
      <c r="L306" s="126">
        <f>G306+730</f>
        <v/>
      </c>
      <c r="M306" s="126" t="n">
        <v>45443</v>
      </c>
      <c r="N306" s="127">
        <f>IFERROR(IF(G306&lt;&gt;"",IF(I306=TRUE,0,IF(U306=TRUE,0,L306-M306)),0),0)</f>
        <v/>
      </c>
      <c r="O306" s="127">
        <f>IF(N306&gt;0,IF(N306&lt;=180,N306,0),0)</f>
        <v/>
      </c>
      <c r="P306" s="125">
        <f>IF(AND(N306&lt;90,N306&gt;0),Q306,0)</f>
        <v/>
      </c>
      <c r="Q306" s="125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25">
        <f>IF(AND(H306=TRUE,I306=FALSE),Q306,0)</f>
        <v/>
      </c>
      <c r="S306" s="125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26">
        <f>IF(U306=TRUE,$J306,"")</f>
        <v/>
      </c>
      <c r="U306" s="124" t="b">
        <v>0</v>
      </c>
      <c r="V306" s="125">
        <f>IF(AND(H306=TRUE,OR(K306="",K306&gt;M306)),S306,0)</f>
        <v/>
      </c>
      <c r="W306" s="124" t="n">
        <v>0</v>
      </c>
      <c r="X306" s="124" t="b">
        <v>0</v>
      </c>
      <c r="Y306" s="127">
        <f>IF(H306=FALSE,VLOOKUP($C306,Sales!$C:$F,4,FALSE),1)</f>
        <v/>
      </c>
      <c r="Z306" s="124">
        <f>IF(Y306=0,"Release",IF(AND(L306&lt;J306,Y306=1,H306=FALSE,U306=FALSE,MONTH(L306)&amp;"/"&amp;YEAR(L306)&lt;&gt;MONTH(J306)&amp;"/"&amp;YEAR(J306)),"Release",""))</f>
        <v/>
      </c>
      <c r="AA306" s="128">
        <f>_xlfn.minifs($L:$L,$C:$C,$C306,$F:$F,"&lt;&gt;0")</f>
        <v/>
      </c>
      <c r="AB306" s="128">
        <f>C306&amp;"-"&amp;A306</f>
        <v/>
      </c>
      <c r="AC306" s="128">
        <f>L306</f>
        <v/>
      </c>
    </row>
    <row r="307">
      <c r="A307" s="124" t="inlineStr">
        <is>
          <t>ZREN01</t>
        </is>
      </c>
      <c r="B307" s="124" t="n">
        <v>5</v>
      </c>
      <c r="C307" s="124" t="inlineStr">
        <is>
          <t>HVG304</t>
        </is>
      </c>
      <c r="D307" s="124" t="inlineStr">
        <is>
          <t>G</t>
        </is>
      </c>
      <c r="E307" s="124" t="inlineStr">
        <is>
          <t>van Rensburg Marlene Ann</t>
        </is>
      </c>
      <c r="F307" s="125">
        <f>SUMIFS(Investors!$M:$M, Investors!$I:$I, "&lt;=" &amp; 'NSST Print'!$B$3, Investors!$K:$K, "&gt;" &amp; 'NSST Print'!$B$3, Investors!$A:$A, 'Investor Exit List'!A307, Investors!$E:$E, 'Investor Exit List'!C307)</f>
        <v/>
      </c>
      <c r="G307" s="126" t="n">
        <v>45198</v>
      </c>
      <c r="H307" s="124">
        <f>VLOOKUP($C307,Sales!$C:$E,2,FALSE)</f>
        <v/>
      </c>
      <c r="I307" s="124">
        <f>VLOOKUP($C307,Sales!$C:$E,3,FALSE)</f>
        <v/>
      </c>
      <c r="J307" s="126">
        <f>SUMIFS(Sales!$H:$H,Sales!$C:$C,'Investor Exit List'!$C307)</f>
        <v/>
      </c>
      <c r="K307" s="126">
        <f>IF(I307=TRUE,J307,"")</f>
        <v/>
      </c>
      <c r="L307" s="126">
        <f>G307+730</f>
        <v/>
      </c>
      <c r="M307" s="126" t="n">
        <v>45443</v>
      </c>
      <c r="N307" s="127">
        <f>IFERROR(IF(G307&lt;&gt;"",IF(I307=TRUE,0,IF(U307=TRUE,0,L307-M307)),0),0)</f>
        <v/>
      </c>
      <c r="O307" s="127">
        <f>IF(N307&gt;0,IF(N307&lt;=180,N307,0),0)</f>
        <v/>
      </c>
      <c r="P307" s="125">
        <f>IF(AND(N307&lt;90,N307&gt;0),Q307,0)</f>
        <v/>
      </c>
      <c r="Q307" s="125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25">
        <f>IF(AND(H307=TRUE,I307=FALSE),Q307,0)</f>
        <v/>
      </c>
      <c r="S307" s="125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26">
        <f>IF(U307=TRUE,$J307,"")</f>
        <v/>
      </c>
      <c r="U307" s="124" t="b">
        <v>0</v>
      </c>
      <c r="V307" s="125">
        <f>IF(AND(H307=TRUE,OR(K307="",K307&gt;M307)),S307,0)</f>
        <v/>
      </c>
      <c r="W307" s="124" t="n">
        <v>0</v>
      </c>
      <c r="X307" s="124" t="b">
        <v>0</v>
      </c>
      <c r="Y307" s="127">
        <f>IF(H307=FALSE,VLOOKUP($C307,Sales!$C:$F,4,FALSE),1)</f>
        <v/>
      </c>
      <c r="Z307" s="124">
        <f>IF(Y307=0,"Release",IF(AND(L307&lt;J307,Y307=1,H307=FALSE,U307=FALSE,MONTH(L307)&amp;"/"&amp;YEAR(L307)&lt;&gt;MONTH(J307)&amp;"/"&amp;YEAR(J307)),"Release",""))</f>
        <v/>
      </c>
      <c r="AA307" s="128">
        <f>_xlfn.minifs($L:$L,$C:$C,$C307,$F:$F,"&lt;&gt;0")</f>
        <v/>
      </c>
      <c r="AB307" s="128">
        <f>C307&amp;"-"&amp;A307</f>
        <v/>
      </c>
      <c r="AC307" s="128">
        <f>L307</f>
        <v/>
      </c>
    </row>
    <row r="308">
      <c r="A308" s="124" t="inlineStr">
        <is>
          <t>ZSCA02</t>
        </is>
      </c>
      <c r="B308" s="124" t="n">
        <v>4</v>
      </c>
      <c r="C308" s="124" t="inlineStr">
        <is>
          <t>HVG304</t>
        </is>
      </c>
      <c r="D308" s="124" t="inlineStr">
        <is>
          <t>G</t>
        </is>
      </c>
      <c r="E308" s="124" t="inlineStr">
        <is>
          <t>Scalzini Chad</t>
        </is>
      </c>
      <c r="F308" s="125">
        <f>SUMIFS(Investors!$M:$M, Investors!$I:$I, "&lt;=" &amp; 'NSST Print'!$B$3, Investors!$K:$K, "&gt;" &amp; 'NSST Print'!$B$3, Investors!$A:$A, 'Investor Exit List'!A308, Investors!$E:$E, 'Investor Exit List'!C308)</f>
        <v/>
      </c>
      <c r="G308" s="126" t="n">
        <v>45224</v>
      </c>
      <c r="H308" s="124">
        <f>VLOOKUP($C308,Sales!$C:$E,2,FALSE)</f>
        <v/>
      </c>
      <c r="I308" s="124">
        <f>VLOOKUP($C308,Sales!$C:$E,3,FALSE)</f>
        <v/>
      </c>
      <c r="J308" s="126">
        <f>SUMIFS(Sales!$H:$H,Sales!$C:$C,'Investor Exit List'!$C308)</f>
        <v/>
      </c>
      <c r="K308" s="126">
        <f>IF(I308=TRUE,J308,"")</f>
        <v/>
      </c>
      <c r="L308" s="126">
        <f>G308+730</f>
        <v/>
      </c>
      <c r="M308" s="126" t="n">
        <v>45443</v>
      </c>
      <c r="N308" s="127">
        <f>IFERROR(IF(G308&lt;&gt;"",IF(I308=TRUE,0,IF(U308=TRUE,0,L308-M308)),0),0)</f>
        <v/>
      </c>
      <c r="O308" s="127">
        <f>IF(N308&gt;0,IF(N308&lt;=180,N308,0),0)</f>
        <v/>
      </c>
      <c r="P308" s="125">
        <f>IF(AND(N308&lt;90,N308&gt;0),Q308,0)</f>
        <v/>
      </c>
      <c r="Q308" s="125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25">
        <f>IF(AND(H308=TRUE,I308=FALSE),Q308,0)</f>
        <v/>
      </c>
      <c r="S308" s="125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26">
        <f>IF(U308=TRUE,$J308,"")</f>
        <v/>
      </c>
      <c r="U308" s="124" t="b">
        <v>0</v>
      </c>
      <c r="V308" s="125">
        <f>IF(AND(H308=TRUE,OR(K308="",K308&gt;M308)),S308,0)</f>
        <v/>
      </c>
      <c r="W308" s="124" t="n">
        <v>0</v>
      </c>
      <c r="X308" s="124" t="b">
        <v>0</v>
      </c>
      <c r="Y308" s="127">
        <f>IF(H308=FALSE,VLOOKUP($C308,Sales!$C:$F,4,FALSE),1)</f>
        <v/>
      </c>
      <c r="Z308" s="124">
        <f>IF(Y308=0,"Release",IF(AND(L308&lt;J308,Y308=1,H308=FALSE,U308=FALSE,MONTH(L308)&amp;"/"&amp;YEAR(L308)&lt;&gt;MONTH(J308)&amp;"/"&amp;YEAR(J308)),"Release",""))</f>
        <v/>
      </c>
      <c r="AA308" s="128">
        <f>_xlfn.minifs($L:$L,$C:$C,$C308,$F:$F,"&lt;&gt;0")</f>
        <v/>
      </c>
      <c r="AB308" s="128">
        <f>C308&amp;"-"&amp;A308</f>
        <v/>
      </c>
      <c r="AC308" s="128">
        <f>L308</f>
        <v/>
      </c>
    </row>
    <row r="309">
      <c r="A309" s="124" t="inlineStr">
        <is>
          <t>ZHAN07</t>
        </is>
      </c>
      <c r="B309" s="124" t="n">
        <v>1</v>
      </c>
      <c r="C309" s="124" t="inlineStr">
        <is>
          <t>HVH101</t>
        </is>
      </c>
      <c r="D309" s="124" t="inlineStr">
        <is>
          <t>H</t>
        </is>
      </c>
      <c r="E309" s="124" t="inlineStr">
        <is>
          <t>Hanekom Johannes Hendrik (Hans)</t>
        </is>
      </c>
      <c r="F309" s="125">
        <f>SUMIFS(Investors!$M:$M, Investors!$I:$I, "&lt;=" &amp; 'NSST Print'!$B$3, Investors!$K:$K, "&gt;" &amp; 'NSST Print'!$B$3, Investors!$A:$A, 'Investor Exit List'!A309, Investors!$E:$E, 'Investor Exit List'!C309)</f>
        <v/>
      </c>
      <c r="G309" s="126" t="n">
        <v>45224</v>
      </c>
      <c r="H309" s="124">
        <f>VLOOKUP($C309,Sales!$C:$E,2,FALSE)</f>
        <v/>
      </c>
      <c r="I309" s="124">
        <f>VLOOKUP($C309,Sales!$C:$E,3,FALSE)</f>
        <v/>
      </c>
      <c r="J309" s="126">
        <f>SUMIFS(Sales!$H:$H,Sales!$C:$C,'Investor Exit List'!$C309)</f>
        <v/>
      </c>
      <c r="K309" s="126">
        <f>IF(I309=TRUE,J309,"")</f>
        <v/>
      </c>
      <c r="L309" s="126">
        <f>G309+730</f>
        <v/>
      </c>
      <c r="M309" s="126" t="n">
        <v>45443</v>
      </c>
      <c r="N309" s="127">
        <f>IFERROR(IF(G309&lt;&gt;"",IF(I309=TRUE,0,IF(U309=TRUE,0,L309-M309)),0),0)</f>
        <v/>
      </c>
      <c r="O309" s="127">
        <f>IF(N309&gt;0,IF(N309&lt;=180,N309,0),0)</f>
        <v/>
      </c>
      <c r="P309" s="125">
        <f>IF(AND(N309&lt;90,N309&gt;0),Q309,0)</f>
        <v/>
      </c>
      <c r="Q309" s="125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25">
        <f>IF(AND(H309=TRUE,I309=FALSE),Q309,0)</f>
        <v/>
      </c>
      <c r="S309" s="125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26">
        <f>IF(U309=TRUE,$J309,"")</f>
        <v/>
      </c>
      <c r="U309" s="124" t="b">
        <v>0</v>
      </c>
      <c r="V309" s="125">
        <f>IF(AND(H309=TRUE,OR(K309="",K309&gt;M309)),S309,0)</f>
        <v/>
      </c>
      <c r="W309" s="124" t="n">
        <v>0</v>
      </c>
      <c r="X309" s="124" t="b">
        <v>0</v>
      </c>
      <c r="Y309" s="127">
        <f>IF(H309=FALSE,VLOOKUP($C309,Sales!$C:$F,4,FALSE),1)</f>
        <v/>
      </c>
      <c r="Z309" s="124">
        <f>IF(Y309=0,"Release",IF(AND(L309&lt;J309,Y309=1,H309=FALSE,U309=FALSE,MONTH(L309)&amp;"/"&amp;YEAR(L309)&lt;&gt;MONTH(J309)&amp;"/"&amp;YEAR(J309)),"Release",""))</f>
        <v/>
      </c>
      <c r="AA309" s="128">
        <f>_xlfn.minifs($L:$L,$C:$C,$C309,$F:$F,"&lt;&gt;0")</f>
        <v/>
      </c>
      <c r="AB309" s="128">
        <f>C309&amp;"-"&amp;A309</f>
        <v/>
      </c>
      <c r="AC309" s="128">
        <f>L309</f>
        <v/>
      </c>
    </row>
    <row r="310">
      <c r="A310" s="124" t="inlineStr">
        <is>
          <t>ZHAN07</t>
        </is>
      </c>
      <c r="B310" s="124" t="n">
        <v>2</v>
      </c>
      <c r="C310" s="124" t="inlineStr">
        <is>
          <t>HVH102</t>
        </is>
      </c>
      <c r="D310" s="124" t="inlineStr">
        <is>
          <t>H</t>
        </is>
      </c>
      <c r="E310" s="124" t="inlineStr">
        <is>
          <t>Hanekom Johannes Hendrik (Hans)</t>
        </is>
      </c>
      <c r="F310" s="125">
        <f>SUMIFS(Investors!$M:$M, Investors!$I:$I, "&lt;=" &amp; 'NSST Print'!$B$3, Investors!$K:$K, "&gt;" &amp; 'NSST Print'!$B$3, Investors!$A:$A, 'Investor Exit List'!A310, Investors!$E:$E, 'Investor Exit List'!C310)</f>
        <v/>
      </c>
      <c r="G310" s="126" t="n">
        <v>45224</v>
      </c>
      <c r="H310" s="124">
        <f>VLOOKUP($C310,Sales!$C:$E,2,FALSE)</f>
        <v/>
      </c>
      <c r="I310" s="124">
        <f>VLOOKUP($C310,Sales!$C:$E,3,FALSE)</f>
        <v/>
      </c>
      <c r="J310" s="126">
        <f>SUMIFS(Sales!$H:$H,Sales!$C:$C,'Investor Exit List'!$C310)</f>
        <v/>
      </c>
      <c r="K310" s="126">
        <f>IF(I310=TRUE,J310,"")</f>
        <v/>
      </c>
      <c r="L310" s="126">
        <f>G310+730</f>
        <v/>
      </c>
      <c r="M310" s="126" t="n">
        <v>45443</v>
      </c>
      <c r="N310" s="127">
        <f>IFERROR(IF(G310&lt;&gt;"",IF(I310=TRUE,0,IF(U310=TRUE,0,L310-M310)),0),0)</f>
        <v/>
      </c>
      <c r="O310" s="127">
        <f>IF(N310&gt;0,IF(N310&lt;=180,N310,0),0)</f>
        <v/>
      </c>
      <c r="P310" s="125">
        <f>IF(AND(N310&lt;90,N310&gt;0),Q310,0)</f>
        <v/>
      </c>
      <c r="Q310" s="125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25">
        <f>IF(AND(H310=TRUE,I310=FALSE),Q310,0)</f>
        <v/>
      </c>
      <c r="S310" s="125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26">
        <f>IF(U310=TRUE,$J310,"")</f>
        <v/>
      </c>
      <c r="U310" s="124" t="b">
        <v>0</v>
      </c>
      <c r="V310" s="125">
        <f>IF(AND(H310=TRUE,OR(K310="",K310&gt;M310)),S310,0)</f>
        <v/>
      </c>
      <c r="W310" s="124" t="n">
        <v>0</v>
      </c>
      <c r="X310" s="124" t="b">
        <v>0</v>
      </c>
      <c r="Y310" s="127">
        <f>IF(H310=FALSE,VLOOKUP($C310,Sales!$C:$F,4,FALSE),1)</f>
        <v/>
      </c>
      <c r="Z310" s="124">
        <f>IF(Y310=0,"Release",IF(AND(L310&lt;J310,Y310=1,H310=FALSE,U310=FALSE,MONTH(L310)&amp;"/"&amp;YEAR(L310)&lt;&gt;MONTH(J310)&amp;"/"&amp;YEAR(J310)),"Release",""))</f>
        <v/>
      </c>
      <c r="AA310" s="128">
        <f>_xlfn.minifs($L:$L,$C:$C,$C310,$F:$F,"&lt;&gt;0")</f>
        <v/>
      </c>
      <c r="AB310" s="128">
        <f>C310&amp;"-"&amp;A310</f>
        <v/>
      </c>
      <c r="AC310" s="128">
        <f>L310</f>
        <v/>
      </c>
    </row>
    <row r="311">
      <c r="A311" s="124" t="inlineStr">
        <is>
          <t>ZHAN07</t>
        </is>
      </c>
      <c r="B311" s="124" t="n">
        <v>3</v>
      </c>
      <c r="C311" s="124" t="inlineStr">
        <is>
          <t>HVH103</t>
        </is>
      </c>
      <c r="D311" s="124" t="inlineStr">
        <is>
          <t>H</t>
        </is>
      </c>
      <c r="E311" s="124" t="inlineStr">
        <is>
          <t>Hanekom Johannes Hendrik (Hans)</t>
        </is>
      </c>
      <c r="F311" s="125">
        <f>SUMIFS(Investors!$M:$M, Investors!$I:$I, "&lt;=" &amp; 'NSST Print'!$B$3, Investors!$K:$K, "&gt;" &amp; 'NSST Print'!$B$3, Investors!$A:$A, 'Investor Exit List'!A311, Investors!$E:$E, 'Investor Exit List'!C311)</f>
        <v/>
      </c>
      <c r="G311" s="126" t="n">
        <v>45224</v>
      </c>
      <c r="H311" s="124">
        <f>VLOOKUP($C311,Sales!$C:$E,2,FALSE)</f>
        <v/>
      </c>
      <c r="I311" s="124">
        <f>VLOOKUP($C311,Sales!$C:$E,3,FALSE)</f>
        <v/>
      </c>
      <c r="J311" s="126">
        <f>SUMIFS(Sales!$H:$H,Sales!$C:$C,'Investor Exit List'!$C311)</f>
        <v/>
      </c>
      <c r="K311" s="126">
        <f>IF(I311=TRUE,J311,"")</f>
        <v/>
      </c>
      <c r="L311" s="126">
        <f>G311+730</f>
        <v/>
      </c>
      <c r="M311" s="126" t="n">
        <v>45443</v>
      </c>
      <c r="N311" s="127">
        <f>IFERROR(IF(G311&lt;&gt;"",IF(I311=TRUE,0,IF(U311=TRUE,0,L311-M311)),0),0)</f>
        <v/>
      </c>
      <c r="O311" s="127">
        <f>IF(N311&gt;0,IF(N311&lt;=180,N311,0),0)</f>
        <v/>
      </c>
      <c r="P311" s="125">
        <f>IF(AND(N311&lt;90,N311&gt;0),Q311,0)</f>
        <v/>
      </c>
      <c r="Q311" s="125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25">
        <f>IF(AND(H311=TRUE,I311=FALSE),Q311,0)</f>
        <v/>
      </c>
      <c r="S311" s="125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26">
        <f>IF(U311=TRUE,$J311,"")</f>
        <v/>
      </c>
      <c r="U311" s="124" t="b">
        <v>0</v>
      </c>
      <c r="V311" s="125">
        <f>IF(AND(H311=TRUE,OR(K311="",K311&gt;M311)),S311,0)</f>
        <v/>
      </c>
      <c r="W311" s="124" t="n">
        <v>0</v>
      </c>
      <c r="X311" s="124" t="b">
        <v>0</v>
      </c>
      <c r="Y311" s="127">
        <f>IF(H311=FALSE,VLOOKUP($C311,Sales!$C:$F,4,FALSE),1)</f>
        <v/>
      </c>
      <c r="Z311" s="124">
        <f>IF(Y311=0,"Release",IF(AND(L311&lt;J311,Y311=1,H311=FALSE,U311=FALSE,MONTH(L311)&amp;"/"&amp;YEAR(L311)&lt;&gt;MONTH(J311)&amp;"/"&amp;YEAR(J311)),"Release",""))</f>
        <v/>
      </c>
      <c r="AA311" s="128">
        <f>_xlfn.minifs($L:$L,$C:$C,$C311,$F:$F,"&lt;&gt;0")</f>
        <v/>
      </c>
      <c r="AB311" s="128">
        <f>C311&amp;"-"&amp;A311</f>
        <v/>
      </c>
      <c r="AC311" s="128">
        <f>L311</f>
        <v/>
      </c>
    </row>
    <row r="312">
      <c r="A312" s="124" t="inlineStr">
        <is>
          <t>ZHAN07</t>
        </is>
      </c>
      <c r="B312" s="124" t="n">
        <v>4</v>
      </c>
      <c r="C312" s="124" t="inlineStr">
        <is>
          <t>HVH104</t>
        </is>
      </c>
      <c r="D312" s="124" t="inlineStr">
        <is>
          <t>H</t>
        </is>
      </c>
      <c r="E312" s="124" t="inlineStr">
        <is>
          <t>Hanekom Johannes Hendrik (Hans)</t>
        </is>
      </c>
      <c r="F312" s="125">
        <f>SUMIFS(Investors!$M:$M, Investors!$I:$I, "&lt;=" &amp; 'NSST Print'!$B$3, Investors!$K:$K, "&gt;" &amp; 'NSST Print'!$B$3, Investors!$A:$A, 'Investor Exit List'!A312, Investors!$E:$E, 'Investor Exit List'!C312)</f>
        <v/>
      </c>
      <c r="G312" s="126" t="n">
        <v>45224</v>
      </c>
      <c r="H312" s="124">
        <f>VLOOKUP($C312,Sales!$C:$E,2,FALSE)</f>
        <v/>
      </c>
      <c r="I312" s="124">
        <f>VLOOKUP($C312,Sales!$C:$E,3,FALSE)</f>
        <v/>
      </c>
      <c r="J312" s="126">
        <f>SUMIFS(Sales!$H:$H,Sales!$C:$C,'Investor Exit List'!$C312)</f>
        <v/>
      </c>
      <c r="K312" s="126">
        <f>IF(I312=TRUE,J312,"")</f>
        <v/>
      </c>
      <c r="L312" s="126">
        <f>G312+730</f>
        <v/>
      </c>
      <c r="M312" s="126" t="n">
        <v>45443</v>
      </c>
      <c r="N312" s="127">
        <f>IFERROR(IF(G312&lt;&gt;"",IF(I312=TRUE,0,IF(U312=TRUE,0,L312-M312)),0),0)</f>
        <v/>
      </c>
      <c r="O312" s="127">
        <f>IF(N312&gt;0,IF(N312&lt;=180,N312,0),0)</f>
        <v/>
      </c>
      <c r="P312" s="125">
        <f>IF(AND(N312&lt;90,N312&gt;0),Q312,0)</f>
        <v/>
      </c>
      <c r="Q312" s="125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25">
        <f>IF(AND(H312=TRUE,I312=FALSE),Q312,0)</f>
        <v/>
      </c>
      <c r="S312" s="125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26">
        <f>IF(U312=TRUE,$J312,"")</f>
        <v/>
      </c>
      <c r="U312" s="124" t="b">
        <v>0</v>
      </c>
      <c r="V312" s="125">
        <f>IF(AND(H312=TRUE,OR(K312="",K312&gt;M312)),S312,0)</f>
        <v/>
      </c>
      <c r="W312" s="124" t="n">
        <v>0</v>
      </c>
      <c r="X312" s="124" t="b">
        <v>0</v>
      </c>
      <c r="Y312" s="127">
        <f>IF(H312=FALSE,VLOOKUP($C312,Sales!$C:$F,4,FALSE),1)</f>
        <v/>
      </c>
      <c r="Z312" s="124">
        <f>IF(Y312=0,"Release",IF(AND(L312&lt;J312,Y312=1,H312=FALSE,U312=FALSE,MONTH(L312)&amp;"/"&amp;YEAR(L312)&lt;&gt;MONTH(J312)&amp;"/"&amp;YEAR(J312)),"Release",""))</f>
        <v/>
      </c>
      <c r="AA312" s="128">
        <f>_xlfn.minifs($L:$L,$C:$C,$C312,$F:$F,"&lt;&gt;0")</f>
        <v/>
      </c>
      <c r="AB312" s="128">
        <f>C312&amp;"-"&amp;A312</f>
        <v/>
      </c>
      <c r="AC312" s="128">
        <f>L312</f>
        <v/>
      </c>
    </row>
    <row r="313">
      <c r="A313" s="124" t="inlineStr">
        <is>
          <t>ZHAN07</t>
        </is>
      </c>
      <c r="B313" s="124" t="n">
        <v>5</v>
      </c>
      <c r="C313" s="124" t="inlineStr">
        <is>
          <t>HVH201</t>
        </is>
      </c>
      <c r="D313" s="124" t="inlineStr">
        <is>
          <t>H</t>
        </is>
      </c>
      <c r="E313" s="124" t="inlineStr">
        <is>
          <t>Hanekom Johannes Hendrik (Hans)</t>
        </is>
      </c>
      <c r="F313" s="125">
        <f>SUMIFS(Investors!$M:$M, Investors!$I:$I, "&lt;=" &amp; 'NSST Print'!$B$3, Investors!$K:$K, "&gt;" &amp; 'NSST Print'!$B$3, Investors!$A:$A, 'Investor Exit List'!A313, Investors!$E:$E, 'Investor Exit List'!C313)</f>
        <v/>
      </c>
      <c r="G313" s="126" t="n">
        <v>45259</v>
      </c>
      <c r="H313" s="124">
        <f>VLOOKUP($C313,Sales!$C:$E,2,FALSE)</f>
        <v/>
      </c>
      <c r="I313" s="124">
        <f>VLOOKUP($C313,Sales!$C:$E,3,FALSE)</f>
        <v/>
      </c>
      <c r="J313" s="126">
        <f>SUMIFS(Sales!$H:$H,Sales!$C:$C,'Investor Exit List'!$C313)</f>
        <v/>
      </c>
      <c r="K313" s="126">
        <f>IF(I313=TRUE,J313,"")</f>
        <v/>
      </c>
      <c r="L313" s="126">
        <f>G313+730</f>
        <v/>
      </c>
      <c r="M313" s="126" t="n">
        <v>45443</v>
      </c>
      <c r="N313" s="127">
        <f>IFERROR(IF(G313&lt;&gt;"",IF(I313=TRUE,0,IF(U313=TRUE,0,L313-M313)),0),0)</f>
        <v/>
      </c>
      <c r="O313" s="127">
        <f>IF(N313&gt;0,IF(N313&lt;=180,N313,0),0)</f>
        <v/>
      </c>
      <c r="P313" s="125">
        <f>IF(AND(N313&lt;90,N313&gt;0),Q313,0)</f>
        <v/>
      </c>
      <c r="Q313" s="125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25">
        <f>IF(AND(H313=TRUE,I313=FALSE),Q313,0)</f>
        <v/>
      </c>
      <c r="S313" s="125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26">
        <f>IF(U313=TRUE,$J313,"")</f>
        <v/>
      </c>
      <c r="U313" s="124" t="b">
        <v>0</v>
      </c>
      <c r="V313" s="125">
        <f>IF(AND(H313=TRUE,OR(K313="",K313&gt;M313)),S313,0)</f>
        <v/>
      </c>
      <c r="W313" s="124" t="n">
        <v>0</v>
      </c>
      <c r="X313" s="124" t="b">
        <v>0</v>
      </c>
      <c r="Y313" s="127">
        <f>IF(H313=FALSE,VLOOKUP($C313,Sales!$C:$F,4,FALSE),1)</f>
        <v/>
      </c>
      <c r="Z313" s="124">
        <f>IF(Y313=0,"Release",IF(AND(L313&lt;J313,Y313=1,H313=FALSE,U313=FALSE,MONTH(L313)&amp;"/"&amp;YEAR(L313)&lt;&gt;MONTH(J313)&amp;"/"&amp;YEAR(J313)),"Release",""))</f>
        <v/>
      </c>
      <c r="AA313" s="128">
        <f>_xlfn.minifs($L:$L,$C:$C,$C313,$F:$F,"&lt;&gt;0")</f>
        <v/>
      </c>
      <c r="AB313" s="128">
        <f>C313&amp;"-"&amp;A313</f>
        <v/>
      </c>
      <c r="AC313" s="128">
        <f>L313</f>
        <v/>
      </c>
    </row>
    <row r="314">
      <c r="A314" s="124" t="inlineStr">
        <is>
          <t>ZHAN07</t>
        </is>
      </c>
      <c r="B314" s="124" t="n">
        <v>6</v>
      </c>
      <c r="C314" s="124" t="inlineStr">
        <is>
          <t>HVH202</t>
        </is>
      </c>
      <c r="D314" s="124" t="inlineStr">
        <is>
          <t>H</t>
        </is>
      </c>
      <c r="E314" s="124" t="inlineStr">
        <is>
          <t>Hanekom Johannes Hendrik (Hans)</t>
        </is>
      </c>
      <c r="F314" s="125">
        <f>SUMIFS(Investors!$M:$M, Investors!$I:$I, "&lt;=" &amp; 'NSST Print'!$B$3, Investors!$K:$K, "&gt;" &amp; 'NSST Print'!$B$3, Investors!$A:$A, 'Investor Exit List'!A314, Investors!$E:$E, 'Investor Exit List'!C314)</f>
        <v/>
      </c>
      <c r="G314" s="126" t="n">
        <v>45273</v>
      </c>
      <c r="H314" s="124">
        <f>VLOOKUP($C314,Sales!$C:$E,2,FALSE)</f>
        <v/>
      </c>
      <c r="I314" s="124">
        <f>VLOOKUP($C314,Sales!$C:$E,3,FALSE)</f>
        <v/>
      </c>
      <c r="J314" s="126">
        <f>SUMIFS(Sales!$H:$H,Sales!$C:$C,'Investor Exit List'!$C314)</f>
        <v/>
      </c>
      <c r="K314" s="126">
        <f>IF(I314=TRUE,J314,"")</f>
        <v/>
      </c>
      <c r="L314" s="126">
        <f>G314+730</f>
        <v/>
      </c>
      <c r="M314" s="126" t="n">
        <v>45443</v>
      </c>
      <c r="N314" s="127">
        <f>IFERROR(IF(G314&lt;&gt;"",IF(I314=TRUE,0,IF(U314=TRUE,0,L314-M314)),0),0)</f>
        <v/>
      </c>
      <c r="O314" s="127">
        <f>IF(N314&gt;0,IF(N314&lt;=180,N314,0),0)</f>
        <v/>
      </c>
      <c r="P314" s="125">
        <f>IF(AND(N314&lt;90,N314&gt;0),Q314,0)</f>
        <v/>
      </c>
      <c r="Q314" s="125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25">
        <f>IF(AND(H314=TRUE,I314=FALSE),Q314,0)</f>
        <v/>
      </c>
      <c r="S314" s="125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26">
        <f>IF(U314=TRUE,$J314,"")</f>
        <v/>
      </c>
      <c r="U314" s="124" t="b">
        <v>0</v>
      </c>
      <c r="V314" s="125">
        <f>IF(AND(H314=TRUE,OR(K314="",K314&gt;M314)),S314,0)</f>
        <v/>
      </c>
      <c r="W314" s="124" t="n">
        <v>0</v>
      </c>
      <c r="X314" s="124" t="b">
        <v>0</v>
      </c>
      <c r="Y314" s="127">
        <f>IF(H314=FALSE,VLOOKUP($C314,Sales!$C:$F,4,FALSE),1)</f>
        <v/>
      </c>
      <c r="Z314" s="124">
        <f>IF(Y314=0,"Release",IF(AND(L314&lt;J314,Y314=1,H314=FALSE,U314=FALSE,MONTH(L314)&amp;"/"&amp;YEAR(L314)&lt;&gt;MONTH(J314)&amp;"/"&amp;YEAR(J314)),"Release",""))</f>
        <v/>
      </c>
      <c r="AA314" s="128">
        <f>_xlfn.minifs($L:$L,$C:$C,$C314,$F:$F,"&lt;&gt;0")</f>
        <v/>
      </c>
      <c r="AB314" s="128">
        <f>C314&amp;"-"&amp;A314</f>
        <v/>
      </c>
      <c r="AC314" s="128">
        <f>L314</f>
        <v/>
      </c>
    </row>
    <row r="315">
      <c r="A315" s="124" t="inlineStr">
        <is>
          <t>ZHAN07</t>
        </is>
      </c>
      <c r="B315" s="124" t="n">
        <v>7</v>
      </c>
      <c r="C315" s="124" t="inlineStr">
        <is>
          <t>HVH203</t>
        </is>
      </c>
      <c r="D315" s="124" t="inlineStr">
        <is>
          <t>H</t>
        </is>
      </c>
      <c r="E315" s="124" t="inlineStr">
        <is>
          <t>Hanekom Johannes Hendrik (Hans)</t>
        </is>
      </c>
      <c r="F315" s="125">
        <f>SUMIFS(Investors!$M:$M, Investors!$I:$I, "&lt;=" &amp; 'NSST Print'!$B$3, Investors!$K:$K, "&gt;" &amp; 'NSST Print'!$B$3, Investors!$A:$A, 'Investor Exit List'!A315, Investors!$E:$E, 'Investor Exit List'!C315)</f>
        <v/>
      </c>
      <c r="G315" s="126" t="n">
        <v>45273</v>
      </c>
      <c r="H315" s="124">
        <f>VLOOKUP($C315,Sales!$C:$E,2,FALSE)</f>
        <v/>
      </c>
      <c r="I315" s="124">
        <f>VLOOKUP($C315,Sales!$C:$E,3,FALSE)</f>
        <v/>
      </c>
      <c r="J315" s="126">
        <f>SUMIFS(Sales!$H:$H,Sales!$C:$C,'Investor Exit List'!$C315)</f>
        <v/>
      </c>
      <c r="K315" s="126">
        <f>IF(I315=TRUE,J315,"")</f>
        <v/>
      </c>
      <c r="L315" s="126">
        <f>G315+730</f>
        <v/>
      </c>
      <c r="M315" s="126" t="n">
        <v>45443</v>
      </c>
      <c r="N315" s="127">
        <f>IFERROR(IF(G315&lt;&gt;"",IF(I315=TRUE,0,IF(U315=TRUE,0,L315-M315)),0),0)</f>
        <v/>
      </c>
      <c r="O315" s="127">
        <f>IF(N315&gt;0,IF(N315&lt;=180,N315,0),0)</f>
        <v/>
      </c>
      <c r="P315" s="125">
        <f>IF(AND(N315&lt;90,N315&gt;0),Q315,0)</f>
        <v/>
      </c>
      <c r="Q315" s="125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25">
        <f>IF(AND(H315=TRUE,I315=FALSE),Q315,0)</f>
        <v/>
      </c>
      <c r="S315" s="125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26">
        <f>IF(U315=TRUE,$J315,"")</f>
        <v/>
      </c>
      <c r="U315" s="124" t="b">
        <v>0</v>
      </c>
      <c r="V315" s="125">
        <f>IF(AND(H315=TRUE,OR(K315="",K315&gt;M315)),S315,0)</f>
        <v/>
      </c>
      <c r="W315" s="124" t="n">
        <v>0</v>
      </c>
      <c r="X315" s="124" t="b">
        <v>0</v>
      </c>
      <c r="Y315" s="127">
        <f>IF(H315=FALSE,VLOOKUP($C315,Sales!$C:$F,4,FALSE),1)</f>
        <v/>
      </c>
      <c r="Z315" s="124">
        <f>IF(Y315=0,"Release",IF(AND(L315&lt;J315,Y315=1,H315=FALSE,U315=FALSE,MONTH(L315)&amp;"/"&amp;YEAR(L315)&lt;&gt;MONTH(J315)&amp;"/"&amp;YEAR(J315)),"Release",""))</f>
        <v/>
      </c>
      <c r="AA315" s="128">
        <f>_xlfn.minifs($L:$L,$C:$C,$C315,$F:$F,"&lt;&gt;0")</f>
        <v/>
      </c>
      <c r="AB315" s="128">
        <f>C315&amp;"-"&amp;A315</f>
        <v/>
      </c>
      <c r="AC315" s="128">
        <f>L315</f>
        <v/>
      </c>
    </row>
    <row r="316">
      <c r="A316" s="124" t="inlineStr">
        <is>
          <t>ZHAN07</t>
        </is>
      </c>
      <c r="B316" s="124" t="n">
        <v>8</v>
      </c>
      <c r="C316" s="124" t="inlineStr">
        <is>
          <t>HVH204</t>
        </is>
      </c>
      <c r="D316" s="124" t="inlineStr">
        <is>
          <t>H</t>
        </is>
      </c>
      <c r="E316" s="124" t="inlineStr">
        <is>
          <t>Hanekom Johannes Hendrik (Hans)</t>
        </is>
      </c>
      <c r="F316" s="125">
        <f>SUMIFS(Investors!$M:$M, Investors!$I:$I, "&lt;=" &amp; 'NSST Print'!$B$3, Investors!$K:$K, "&gt;" &amp; 'NSST Print'!$B$3, Investors!$A:$A, 'Investor Exit List'!A316, Investors!$E:$E, 'Investor Exit List'!C316)</f>
        <v/>
      </c>
      <c r="G316" s="126" t="n">
        <v>45273</v>
      </c>
      <c r="H316" s="124">
        <f>VLOOKUP($C316,Sales!$C:$E,2,FALSE)</f>
        <v/>
      </c>
      <c r="I316" s="124">
        <f>VLOOKUP($C316,Sales!$C:$E,3,FALSE)</f>
        <v/>
      </c>
      <c r="J316" s="126">
        <f>SUMIFS(Sales!$H:$H,Sales!$C:$C,'Investor Exit List'!$C316)</f>
        <v/>
      </c>
      <c r="K316" s="126">
        <f>IF(I316=TRUE,J316,"")</f>
        <v/>
      </c>
      <c r="L316" s="126">
        <f>G316+730</f>
        <v/>
      </c>
      <c r="M316" s="126" t="n">
        <v>45443</v>
      </c>
      <c r="N316" s="127">
        <f>IFERROR(IF(G316&lt;&gt;"",IF(I316=TRUE,0,IF(U316=TRUE,0,L316-M316)),0),0)</f>
        <v/>
      </c>
      <c r="O316" s="127">
        <f>IF(N316&gt;0,IF(N316&lt;=180,N316,0),0)</f>
        <v/>
      </c>
      <c r="P316" s="125">
        <f>IF(AND(N316&lt;90,N316&gt;0),Q316,0)</f>
        <v/>
      </c>
      <c r="Q316" s="125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25">
        <f>IF(AND(H316=TRUE,I316=FALSE),Q316,0)</f>
        <v/>
      </c>
      <c r="S316" s="125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26">
        <f>IF(U316=TRUE,$J316,"")</f>
        <v/>
      </c>
      <c r="U316" s="124" t="b">
        <v>0</v>
      </c>
      <c r="V316" s="125">
        <f>IF(AND(H316=TRUE,OR(K316="",K316&gt;M316)),S316,0)</f>
        <v/>
      </c>
      <c r="W316" s="124" t="n">
        <v>0</v>
      </c>
      <c r="X316" s="124" t="b">
        <v>0</v>
      </c>
      <c r="Y316" s="127">
        <f>IF(H316=FALSE,VLOOKUP($C316,Sales!$C:$F,4,FALSE),1)</f>
        <v/>
      </c>
      <c r="Z316" s="124">
        <f>IF(Y316=0,"Release",IF(AND(L316&lt;J316,Y316=1,H316=FALSE,U316=FALSE,MONTH(L316)&amp;"/"&amp;YEAR(L316)&lt;&gt;MONTH(J316)&amp;"/"&amp;YEAR(J316)),"Release",""))</f>
        <v/>
      </c>
      <c r="AA316" s="128">
        <f>_xlfn.minifs($L:$L,$C:$C,$C316,$F:$F,"&lt;&gt;0")</f>
        <v/>
      </c>
      <c r="AB316" s="128">
        <f>C316&amp;"-"&amp;A316</f>
        <v/>
      </c>
      <c r="AC316" s="128">
        <f>L316</f>
        <v/>
      </c>
    </row>
    <row r="317">
      <c r="A317" s="124" t="inlineStr">
        <is>
          <t>ZDEB01</t>
        </is>
      </c>
      <c r="B317" s="124" t="n">
        <v>9</v>
      </c>
      <c r="C317" s="124" t="inlineStr">
        <is>
          <t>HVI101</t>
        </is>
      </c>
      <c r="D317" s="124" t="inlineStr">
        <is>
          <t>I</t>
        </is>
      </c>
      <c r="E317" s="124" t="inlineStr">
        <is>
          <t>De Beer William Henry</t>
        </is>
      </c>
      <c r="F317" s="125">
        <f>SUMIFS(Investors!$M:$M, Investors!$I:$I, "&lt;=" &amp; 'NSST Print'!$B$3, Investors!$K:$K, "&gt;" &amp; 'NSST Print'!$B$3, Investors!$A:$A, 'Investor Exit List'!A317, Investors!$E:$E, 'Investor Exit List'!C317)</f>
        <v/>
      </c>
      <c r="G317" s="126" t="n">
        <v>45224</v>
      </c>
      <c r="H317" s="124">
        <f>VLOOKUP($C317,Sales!$C:$E,2,FALSE)</f>
        <v/>
      </c>
      <c r="I317" s="124">
        <f>VLOOKUP($C317,Sales!$C:$E,3,FALSE)</f>
        <v/>
      </c>
      <c r="J317" s="126">
        <f>SUMIFS(Sales!$H:$H,Sales!$C:$C,'Investor Exit List'!$C317)</f>
        <v/>
      </c>
      <c r="K317" s="126">
        <f>IF(I317=TRUE,J317,"")</f>
        <v/>
      </c>
      <c r="L317" s="126">
        <f>G317+730</f>
        <v/>
      </c>
      <c r="M317" s="126" t="n">
        <v>45443</v>
      </c>
      <c r="N317" s="127">
        <f>IFERROR(IF(G317&lt;&gt;"",IF(I317=TRUE,0,IF(U317=TRUE,0,L317-M317)),0),0)</f>
        <v/>
      </c>
      <c r="O317" s="127">
        <f>IF(N317&gt;0,IF(N317&lt;=180,N317,0),0)</f>
        <v/>
      </c>
      <c r="P317" s="125">
        <f>IF(AND(N317&lt;90,N317&gt;0),Q317,0)</f>
        <v/>
      </c>
      <c r="Q317" s="125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25">
        <f>IF(AND(H317=TRUE,I317=FALSE),Q317,0)</f>
        <v/>
      </c>
      <c r="S317" s="125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26">
        <f>IF(U317=TRUE,$J317,"")</f>
        <v/>
      </c>
      <c r="U317" s="124" t="b">
        <v>0</v>
      </c>
      <c r="V317" s="125">
        <f>IF(AND(H317=TRUE,OR(K317="",K317&gt;M317)),S317,0)</f>
        <v/>
      </c>
      <c r="W317" s="124" t="n">
        <v>0</v>
      </c>
      <c r="X317" s="124" t="b">
        <v>0</v>
      </c>
      <c r="Y317" s="127">
        <f>IF(H317=FALSE,VLOOKUP($C317,Sales!$C:$F,4,FALSE),1)</f>
        <v/>
      </c>
      <c r="Z317" s="124">
        <f>IF(Y317=0,"Release",IF(AND(L317&lt;J317,Y317=1,H317=FALSE,U317=FALSE,MONTH(L317)&amp;"/"&amp;YEAR(L317)&lt;&gt;MONTH(J317)&amp;"/"&amp;YEAR(J317)),"Release",""))</f>
        <v/>
      </c>
      <c r="AA317" s="128">
        <f>_xlfn.minifs($L:$L,$C:$C,$C317,$F:$F,"&lt;&gt;0")</f>
        <v/>
      </c>
      <c r="AB317" s="128">
        <f>C317&amp;"-"&amp;A317</f>
        <v/>
      </c>
      <c r="AC317" s="128">
        <f>L317</f>
        <v/>
      </c>
    </row>
    <row r="318">
      <c r="A318" s="124" t="inlineStr">
        <is>
          <t>ZBEL01</t>
        </is>
      </c>
      <c r="B318" s="124" t="n">
        <v>6</v>
      </c>
      <c r="C318" s="124" t="inlineStr">
        <is>
          <t>HVI102</t>
        </is>
      </c>
      <c r="D318" s="124" t="inlineStr">
        <is>
          <t>I</t>
        </is>
      </c>
      <c r="E318" s="124" t="inlineStr">
        <is>
          <t>Belford Helen Constance</t>
        </is>
      </c>
      <c r="F318" s="125">
        <f>SUMIFS(Investors!$M:$M, Investors!$I:$I, "&lt;=" &amp; 'NSST Print'!$B$3, Investors!$K:$K, "&gt;" &amp; 'NSST Print'!$B$3, Investors!$A:$A, 'Investor Exit List'!A318, Investors!$E:$E, 'Investor Exit List'!C318)</f>
        <v/>
      </c>
      <c r="G318" s="126" t="n">
        <v>45252</v>
      </c>
      <c r="H318" s="124">
        <f>VLOOKUP($C318,Sales!$C:$E,2,FALSE)</f>
        <v/>
      </c>
      <c r="I318" s="124">
        <f>VLOOKUP($C318,Sales!$C:$E,3,FALSE)</f>
        <v/>
      </c>
      <c r="J318" s="126">
        <f>SUMIFS(Sales!$H:$H,Sales!$C:$C,'Investor Exit List'!$C318)</f>
        <v/>
      </c>
      <c r="K318" s="126">
        <f>IF(I318=TRUE,J318,"")</f>
        <v/>
      </c>
      <c r="L318" s="126">
        <f>G318+730</f>
        <v/>
      </c>
      <c r="M318" s="126" t="n">
        <v>45443</v>
      </c>
      <c r="N318" s="127">
        <f>IFERROR(IF(G318&lt;&gt;"",IF(I318=TRUE,0,IF(U318=TRUE,0,L318-M318)),0),0)</f>
        <v/>
      </c>
      <c r="O318" s="127">
        <f>IF(N318&gt;0,IF(N318&lt;=180,N318,0),0)</f>
        <v/>
      </c>
      <c r="P318" s="125">
        <f>IF(AND(N318&lt;90,N318&gt;0),Q318,0)</f>
        <v/>
      </c>
      <c r="Q318" s="125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25">
        <f>IF(AND(H318=TRUE,I318=FALSE),Q318,0)</f>
        <v/>
      </c>
      <c r="S318" s="125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26">
        <f>IF(U318=TRUE,$J318,"")</f>
        <v/>
      </c>
      <c r="U318" s="124" t="b">
        <v>0</v>
      </c>
      <c r="V318" s="125">
        <f>IF(AND(H318=TRUE,OR(K318="",K318&gt;M318)),S318,0)</f>
        <v/>
      </c>
      <c r="W318" s="124" t="n">
        <v>0</v>
      </c>
      <c r="X318" s="124" t="b">
        <v>0</v>
      </c>
      <c r="Y318" s="127">
        <f>IF(H318=FALSE,VLOOKUP($C318,Sales!$C:$F,4,FALSE),1)</f>
        <v/>
      </c>
      <c r="Z318" s="124">
        <f>IF(Y318=0,"Release",IF(AND(L318&lt;J318,Y318=1,H318=FALSE,U318=FALSE,MONTH(L318)&amp;"/"&amp;YEAR(L318)&lt;&gt;MONTH(J318)&amp;"/"&amp;YEAR(J318)),"Release",""))</f>
        <v/>
      </c>
      <c r="AA318" s="128">
        <f>_xlfn.minifs($L:$L,$C:$C,$C318,$F:$F,"&lt;&gt;0")</f>
        <v/>
      </c>
      <c r="AB318" s="128">
        <f>C318&amp;"-"&amp;A318</f>
        <v/>
      </c>
      <c r="AC318" s="128">
        <f>L318</f>
        <v/>
      </c>
    </row>
    <row r="319">
      <c r="A319" s="124" t="inlineStr">
        <is>
          <t>ZCAR01</t>
        </is>
      </c>
      <c r="B319" s="124" t="n">
        <v>1</v>
      </c>
      <c r="C319" s="124" t="inlineStr">
        <is>
          <t>HVI102</t>
        </is>
      </c>
      <c r="D319" s="124" t="inlineStr">
        <is>
          <t>I</t>
        </is>
      </c>
      <c r="E319" s="124" t="inlineStr">
        <is>
          <t>Carolus Martin Michael</t>
        </is>
      </c>
      <c r="F319" s="125">
        <f>SUMIFS(Investors!$M:$M, Investors!$I:$I, "&lt;=" &amp; 'NSST Print'!$B$3, Investors!$K:$K, "&gt;" &amp; 'NSST Print'!$B$3, Investors!$A:$A, 'Investor Exit List'!A319, Investors!$E:$E, 'Investor Exit List'!C319)</f>
        <v/>
      </c>
      <c r="G319" s="126" t="n">
        <v>45259</v>
      </c>
      <c r="H319" s="124">
        <f>VLOOKUP($C319,Sales!$C:$E,2,FALSE)</f>
        <v/>
      </c>
      <c r="I319" s="124">
        <f>VLOOKUP($C319,Sales!$C:$E,3,FALSE)</f>
        <v/>
      </c>
      <c r="J319" s="126">
        <f>SUMIFS(Sales!$H:$H,Sales!$C:$C,'Investor Exit List'!$C319)</f>
        <v/>
      </c>
      <c r="K319" s="126">
        <f>IF(I319=TRUE,J319,"")</f>
        <v/>
      </c>
      <c r="L319" s="126">
        <f>G319+730</f>
        <v/>
      </c>
      <c r="M319" s="126" t="n">
        <v>45443</v>
      </c>
      <c r="N319" s="127">
        <f>IFERROR(IF(G319&lt;&gt;"",IF(I319=TRUE,0,IF(U319=TRUE,0,L319-M319)),0),0)</f>
        <v/>
      </c>
      <c r="O319" s="127">
        <f>IF(N319&gt;0,IF(N319&lt;=180,N319,0),0)</f>
        <v/>
      </c>
      <c r="P319" s="125">
        <f>IF(AND(N319&lt;90,N319&gt;0),Q319,0)</f>
        <v/>
      </c>
      <c r="Q319" s="125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25">
        <f>IF(AND(H319=TRUE,I319=FALSE),Q319,0)</f>
        <v/>
      </c>
      <c r="S319" s="125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26">
        <f>IF(U319=TRUE,$J319,"")</f>
        <v/>
      </c>
      <c r="U319" s="124" t="b">
        <v>0</v>
      </c>
      <c r="V319" s="125">
        <f>IF(AND(H319=TRUE,OR(K319="",K319&gt;M319)),S319,0)</f>
        <v/>
      </c>
      <c r="W319" s="124" t="n">
        <v>0</v>
      </c>
      <c r="X319" s="124" t="b">
        <v>0</v>
      </c>
      <c r="Y319" s="127">
        <f>IF(H319=FALSE,VLOOKUP($C319,Sales!$C:$F,4,FALSE),1)</f>
        <v/>
      </c>
      <c r="Z319" s="124">
        <f>IF(Y319=0,"Release",IF(AND(L319&lt;J319,Y319=1,H319=FALSE,U319=FALSE,MONTH(L319)&amp;"/"&amp;YEAR(L319)&lt;&gt;MONTH(J319)&amp;"/"&amp;YEAR(J319)),"Release",""))</f>
        <v/>
      </c>
      <c r="AA319" s="128">
        <f>_xlfn.minifs($L:$L,$C:$C,$C319,$F:$F,"&lt;&gt;0")</f>
        <v/>
      </c>
      <c r="AB319" s="128">
        <f>C319&amp;"-"&amp;A319</f>
        <v/>
      </c>
      <c r="AC319" s="128">
        <f>L319</f>
        <v/>
      </c>
    </row>
    <row r="320">
      <c r="A320" s="124" t="inlineStr">
        <is>
          <t>ZCOE02</t>
        </is>
      </c>
      <c r="B320" s="124" t="n">
        <v>1</v>
      </c>
      <c r="C320" s="124" t="inlineStr">
        <is>
          <t>HVI102</t>
        </is>
      </c>
      <c r="D320" s="124" t="inlineStr">
        <is>
          <t>I</t>
        </is>
      </c>
      <c r="E320" s="124" t="inlineStr">
        <is>
          <t>Coetzee Hugo Amos</t>
        </is>
      </c>
      <c r="F320" s="125">
        <f>SUMIFS(Investors!$M:$M, Investors!$I:$I, "&lt;=" &amp; 'NSST Print'!$B$3, Investors!$K:$K, "&gt;" &amp; 'NSST Print'!$B$3, Investors!$A:$A, 'Investor Exit List'!A320, Investors!$E:$E, 'Investor Exit List'!C320)</f>
        <v/>
      </c>
      <c r="G320" s="126" t="n">
        <v>45224</v>
      </c>
      <c r="H320" s="124">
        <f>VLOOKUP($C320,Sales!$C:$E,2,FALSE)</f>
        <v/>
      </c>
      <c r="I320" s="124">
        <f>VLOOKUP($C320,Sales!$C:$E,3,FALSE)</f>
        <v/>
      </c>
      <c r="J320" s="126">
        <f>SUMIFS(Sales!$H:$H,Sales!$C:$C,'Investor Exit List'!$C320)</f>
        <v/>
      </c>
      <c r="K320" s="126">
        <f>IF(I320=TRUE,J320,"")</f>
        <v/>
      </c>
      <c r="L320" s="126">
        <f>G320+730</f>
        <v/>
      </c>
      <c r="M320" s="126" t="n">
        <v>45443</v>
      </c>
      <c r="N320" s="127">
        <f>IFERROR(IF(G320&lt;&gt;"",IF(I320=TRUE,0,IF(U320=TRUE,0,L320-M320)),0),0)</f>
        <v/>
      </c>
      <c r="O320" s="127">
        <f>IF(N320&gt;0,IF(N320&lt;=180,N320,0),0)</f>
        <v/>
      </c>
      <c r="P320" s="125">
        <f>IF(AND(N320&lt;90,N320&gt;0),Q320,0)</f>
        <v/>
      </c>
      <c r="Q320" s="125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25">
        <f>IF(AND(H320=TRUE,I320=FALSE),Q320,0)</f>
        <v/>
      </c>
      <c r="S320" s="125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26">
        <f>IF(U320=TRUE,$J320,"")</f>
        <v/>
      </c>
      <c r="U320" s="124" t="b">
        <v>0</v>
      </c>
      <c r="V320" s="125">
        <f>IF(AND(H320=TRUE,OR(K320="",K320&gt;M320)),S320,0)</f>
        <v/>
      </c>
      <c r="W320" s="124" t="n">
        <v>0</v>
      </c>
      <c r="X320" s="124" t="b">
        <v>0</v>
      </c>
      <c r="Y320" s="127">
        <f>IF(H320=FALSE,VLOOKUP($C320,Sales!$C:$F,4,FALSE),1)</f>
        <v/>
      </c>
      <c r="Z320" s="124">
        <f>IF(Y320=0,"Release",IF(AND(L320&lt;J320,Y320=1,H320=FALSE,U320=FALSE,MONTH(L320)&amp;"/"&amp;YEAR(L320)&lt;&gt;MONTH(J320)&amp;"/"&amp;YEAR(J320)),"Release",""))</f>
        <v/>
      </c>
      <c r="AA320" s="128">
        <f>_xlfn.minifs($L:$L,$C:$C,$C320,$F:$F,"&lt;&gt;0")</f>
        <v/>
      </c>
      <c r="AB320" s="128">
        <f>C320&amp;"-"&amp;A320</f>
        <v/>
      </c>
      <c r="AC320" s="128">
        <f>L320</f>
        <v/>
      </c>
    </row>
    <row r="321">
      <c r="A321" s="124" t="inlineStr">
        <is>
          <t>ZNEL01</t>
        </is>
      </c>
      <c r="B321" s="124" t="n">
        <v>1</v>
      </c>
      <c r="C321" s="124" t="inlineStr">
        <is>
          <t>HVI102</t>
        </is>
      </c>
      <c r="D321" s="124" t="inlineStr">
        <is>
          <t>I</t>
        </is>
      </c>
      <c r="E321" s="124" t="inlineStr">
        <is>
          <t>Nel Lambertus Renier (Bertie)</t>
        </is>
      </c>
      <c r="F321" s="125">
        <f>SUMIFS(Investors!$M:$M, Investors!$I:$I, "&lt;=" &amp; 'NSST Print'!$B$3, Investors!$K:$K, "&gt;" &amp; 'NSST Print'!$B$3, Investors!$A:$A, 'Investor Exit List'!A321, Investors!$E:$E, 'Investor Exit List'!C321)</f>
        <v/>
      </c>
      <c r="G321" s="126" t="n">
        <v>45259</v>
      </c>
      <c r="H321" s="124">
        <f>VLOOKUP($C321,Sales!$C:$E,2,FALSE)</f>
        <v/>
      </c>
      <c r="I321" s="124">
        <f>VLOOKUP($C321,Sales!$C:$E,3,FALSE)</f>
        <v/>
      </c>
      <c r="J321" s="126">
        <f>SUMIFS(Sales!$H:$H,Sales!$C:$C,'Investor Exit List'!$C321)</f>
        <v/>
      </c>
      <c r="K321" s="126">
        <f>IF(I321=TRUE,J321,"")</f>
        <v/>
      </c>
      <c r="L321" s="126">
        <f>G321+730</f>
        <v/>
      </c>
      <c r="M321" s="126" t="n">
        <v>45443</v>
      </c>
      <c r="N321" s="127">
        <f>IFERROR(IF(G321&lt;&gt;"",IF(I321=TRUE,0,IF(U321=TRUE,0,L321-M321)),0),0)</f>
        <v/>
      </c>
      <c r="O321" s="127">
        <f>IF(N321&gt;0,IF(N321&lt;=180,N321,0),0)</f>
        <v/>
      </c>
      <c r="P321" s="125">
        <f>IF(AND(N321&lt;90,N321&gt;0),Q321,0)</f>
        <v/>
      </c>
      <c r="Q321" s="125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25">
        <f>IF(AND(H321=TRUE,I321=FALSE),Q321,0)</f>
        <v/>
      </c>
      <c r="S321" s="125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26">
        <f>IF(U321=TRUE,$J321,"")</f>
        <v/>
      </c>
      <c r="U321" s="124" t="b">
        <v>0</v>
      </c>
      <c r="V321" s="125">
        <f>IF(AND(H321=TRUE,OR(K321="",K321&gt;M321)),S321,0)</f>
        <v/>
      </c>
      <c r="W321" s="124" t="n">
        <v>0</v>
      </c>
      <c r="X321" s="124" t="b">
        <v>0</v>
      </c>
      <c r="Y321" s="127">
        <f>IF(H321=FALSE,VLOOKUP($C321,Sales!$C:$F,4,FALSE),1)</f>
        <v/>
      </c>
      <c r="Z321" s="124">
        <f>IF(Y321=0,"Release",IF(AND(L321&lt;J321,Y321=1,H321=FALSE,U321=FALSE,MONTH(L321)&amp;"/"&amp;YEAR(L321)&lt;&gt;MONTH(J321)&amp;"/"&amp;YEAR(J321)),"Release",""))</f>
        <v/>
      </c>
      <c r="AA321" s="128">
        <f>_xlfn.minifs($L:$L,$C:$C,$C321,$F:$F,"&lt;&gt;0")</f>
        <v/>
      </c>
      <c r="AB321" s="128">
        <f>C321&amp;"-"&amp;A321</f>
        <v/>
      </c>
      <c r="AC321" s="128">
        <f>L321</f>
        <v/>
      </c>
    </row>
    <row r="322">
      <c r="A322" s="124" t="inlineStr">
        <is>
          <t>ZSWA02</t>
        </is>
      </c>
      <c r="B322" s="124" t="n">
        <v>1</v>
      </c>
      <c r="C322" s="124" t="inlineStr">
        <is>
          <t>HVI103</t>
        </is>
      </c>
      <c r="D322" s="124" t="inlineStr">
        <is>
          <t>I</t>
        </is>
      </c>
      <c r="E322" s="124" t="inlineStr">
        <is>
          <t>Swanepoel Daniel Christiaan De Wet</t>
        </is>
      </c>
      <c r="F322" s="125">
        <f>SUMIFS(Investors!$M:$M, Investors!$I:$I, "&lt;=" &amp; 'NSST Print'!$B$3, Investors!$K:$K, "&gt;" &amp; 'NSST Print'!$B$3, Investors!$A:$A, 'Investor Exit List'!A322, Investors!$E:$E, 'Investor Exit List'!C322)</f>
        <v/>
      </c>
      <c r="G322" s="126" t="n">
        <v>45259</v>
      </c>
      <c r="H322" s="124">
        <f>VLOOKUP($C322,Sales!$C:$E,2,FALSE)</f>
        <v/>
      </c>
      <c r="I322" s="124">
        <f>VLOOKUP($C322,Sales!$C:$E,3,FALSE)</f>
        <v/>
      </c>
      <c r="J322" s="126">
        <f>SUMIFS(Sales!$H:$H,Sales!$C:$C,'Investor Exit List'!$C322)</f>
        <v/>
      </c>
      <c r="K322" s="126">
        <f>IF(I322=TRUE,J322,"")</f>
        <v/>
      </c>
      <c r="L322" s="126">
        <f>G322+730</f>
        <v/>
      </c>
      <c r="M322" s="126" t="n">
        <v>45443</v>
      </c>
      <c r="N322" s="127">
        <f>IFERROR(IF(G322&lt;&gt;"",IF(I322=TRUE,0,IF(U322=TRUE,0,L322-M322)),0),0)</f>
        <v/>
      </c>
      <c r="O322" s="127">
        <f>IF(N322&gt;0,IF(N322&lt;=180,N322,0),0)</f>
        <v/>
      </c>
      <c r="P322" s="125">
        <f>IF(AND(N322&lt;90,N322&gt;0),Q322,0)</f>
        <v/>
      </c>
      <c r="Q322" s="125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25">
        <f>IF(AND(H322=TRUE,I322=FALSE),Q322,0)</f>
        <v/>
      </c>
      <c r="S322" s="125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26">
        <f>IF(U322=TRUE,$J322,"")</f>
        <v/>
      </c>
      <c r="U322" s="124" t="b">
        <v>0</v>
      </c>
      <c r="V322" s="125">
        <f>IF(AND(H322=TRUE,OR(K322="",K322&gt;M322)),S322,0)</f>
        <v/>
      </c>
      <c r="W322" s="124" t="n">
        <v>0</v>
      </c>
      <c r="X322" s="124" t="b">
        <v>0</v>
      </c>
      <c r="Y322" s="127">
        <f>IF(H322=FALSE,VLOOKUP($C322,Sales!$C:$F,4,FALSE),1)</f>
        <v/>
      </c>
      <c r="Z322" s="124">
        <f>IF(Y322=0,"Release",IF(AND(L322&lt;J322,Y322=1,H322=FALSE,U322=FALSE,MONTH(L322)&amp;"/"&amp;YEAR(L322)&lt;&gt;MONTH(J322)&amp;"/"&amp;YEAR(J322)),"Release",""))</f>
        <v/>
      </c>
      <c r="AA322" s="128">
        <f>_xlfn.minifs($L:$L,$C:$C,$C322,$F:$F,"&lt;&gt;0")</f>
        <v/>
      </c>
      <c r="AB322" s="128">
        <f>C322&amp;"-"&amp;A322</f>
        <v/>
      </c>
      <c r="AC322" s="128">
        <f>L322</f>
        <v/>
      </c>
    </row>
    <row r="323">
      <c r="A323" s="124" t="inlineStr">
        <is>
          <t>ZVDM01</t>
        </is>
      </c>
      <c r="B323" s="124" t="n">
        <v>6</v>
      </c>
      <c r="C323" s="124" t="inlineStr">
        <is>
          <t>HVI103</t>
        </is>
      </c>
      <c r="D323" s="124" t="inlineStr">
        <is>
          <t>I</t>
        </is>
      </c>
      <c r="E323" s="124" t="inlineStr">
        <is>
          <t>van der Mescht Paula</t>
        </is>
      </c>
      <c r="F323" s="125">
        <f>SUMIFS(Investors!$M:$M, Investors!$I:$I, "&lt;=" &amp; 'NSST Print'!$B$3, Investors!$K:$K, "&gt;" &amp; 'NSST Print'!$B$3, Investors!$A:$A, 'Investor Exit List'!A323, Investors!$E:$E, 'Investor Exit List'!C323)</f>
        <v/>
      </c>
      <c r="G323" s="126" t="n">
        <v>45371</v>
      </c>
      <c r="H323" s="124">
        <f>VLOOKUP($C323,Sales!$C:$E,2,FALSE)</f>
        <v/>
      </c>
      <c r="I323" s="124">
        <f>VLOOKUP($C323,Sales!$C:$E,3,FALSE)</f>
        <v/>
      </c>
      <c r="J323" s="126">
        <f>SUMIFS(Sales!$H:$H,Sales!$C:$C,'Investor Exit List'!$C323)</f>
        <v/>
      </c>
      <c r="K323" s="126">
        <f>IF(I323=TRUE,J323,"")</f>
        <v/>
      </c>
      <c r="L323" s="126">
        <f>G323+730</f>
        <v/>
      </c>
      <c r="M323" s="126" t="n">
        <v>45443</v>
      </c>
      <c r="N323" s="127">
        <f>IFERROR(IF(G323&lt;&gt;"",IF(I323=TRUE,0,IF(U323=TRUE,0,L323-M323)),0),0)</f>
        <v/>
      </c>
      <c r="O323" s="127">
        <f>IF(N323&gt;0,IF(N323&lt;=180,N323,0),0)</f>
        <v/>
      </c>
      <c r="P323" s="125">
        <f>IF(AND(N323&lt;90,N323&gt;0),Q323,0)</f>
        <v/>
      </c>
      <c r="Q323" s="125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25">
        <f>IF(AND(H323=TRUE,I323=FALSE),Q323,0)</f>
        <v/>
      </c>
      <c r="S323" s="125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26">
        <f>IF(U323=TRUE,$J323,"")</f>
        <v/>
      </c>
      <c r="U323" s="124" t="b">
        <v>0</v>
      </c>
      <c r="V323" s="125">
        <f>IF(AND(H323=TRUE,OR(K323="",K323&gt;M323)),S323,0)</f>
        <v/>
      </c>
      <c r="W323" s="124" t="n">
        <v>0</v>
      </c>
      <c r="X323" s="124" t="b">
        <v>0</v>
      </c>
      <c r="Y323" s="127">
        <f>IF(H323=FALSE,VLOOKUP($C323,Sales!$C:$F,4,FALSE),1)</f>
        <v/>
      </c>
      <c r="Z323" s="124">
        <f>IF(Y323=0,"Release",IF(AND(L323&lt;J323,Y323=1,H323=FALSE,U323=FALSE,MONTH(L323)&amp;"/"&amp;YEAR(L323)&lt;&gt;MONTH(J323)&amp;"/"&amp;YEAR(J323)),"Release",""))</f>
        <v/>
      </c>
      <c r="AA323" s="128">
        <f>_xlfn.minifs($L:$L,$C:$C,$C323,$F:$F,"&lt;&gt;0")</f>
        <v/>
      </c>
      <c r="AB323" s="128">
        <f>C323&amp;"-"&amp;A323</f>
        <v/>
      </c>
      <c r="AC323" s="128">
        <f>L323</f>
        <v/>
      </c>
    </row>
    <row r="324">
      <c r="A324" s="124" t="inlineStr">
        <is>
          <t>ZDUP01</t>
        </is>
      </c>
      <c r="B324" s="124" t="n">
        <v>2</v>
      </c>
      <c r="C324" s="124" t="inlineStr">
        <is>
          <t>HVI104</t>
        </is>
      </c>
      <c r="D324" s="124" t="inlineStr">
        <is>
          <t>I</t>
        </is>
      </c>
      <c r="E324" s="124" t="inlineStr">
        <is>
          <t>Du Plooy Georgina</t>
        </is>
      </c>
      <c r="F324" s="125">
        <f>SUMIFS(Investors!$M:$M, Investors!$I:$I, "&lt;=" &amp; 'NSST Print'!$B$3, Investors!$K:$K, "&gt;" &amp; 'NSST Print'!$B$3, Investors!$A:$A, 'Investor Exit List'!A324, Investors!$E:$E, 'Investor Exit List'!C324)</f>
        <v/>
      </c>
      <c r="G324" s="126" t="n">
        <v>45259</v>
      </c>
      <c r="H324" s="124">
        <f>VLOOKUP($C324,Sales!$C:$E,2,FALSE)</f>
        <v/>
      </c>
      <c r="I324" s="124">
        <f>VLOOKUP($C324,Sales!$C:$E,3,FALSE)</f>
        <v/>
      </c>
      <c r="J324" s="126">
        <f>SUMIFS(Sales!$H:$H,Sales!$C:$C,'Investor Exit List'!$C324)</f>
        <v/>
      </c>
      <c r="K324" s="126">
        <f>IF(I324=TRUE,J324,"")</f>
        <v/>
      </c>
      <c r="L324" s="126">
        <f>G324+730</f>
        <v/>
      </c>
      <c r="M324" s="126" t="n">
        <v>45443</v>
      </c>
      <c r="N324" s="127">
        <f>IFERROR(IF(G324&lt;&gt;"",IF(I324=TRUE,0,IF(U324=TRUE,0,L324-M324)),0),0)</f>
        <v/>
      </c>
      <c r="O324" s="127">
        <f>IF(N324&gt;0,IF(N324&lt;=180,N324,0),0)</f>
        <v/>
      </c>
      <c r="P324" s="125">
        <f>IF(AND(N324&lt;90,N324&gt;0),Q324,0)</f>
        <v/>
      </c>
      <c r="Q324" s="125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25">
        <f>IF(AND(H324=TRUE,I324=FALSE),Q324,0)</f>
        <v/>
      </c>
      <c r="S324" s="125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26">
        <f>IF(U324=TRUE,$J324,"")</f>
        <v/>
      </c>
      <c r="U324" s="124" t="b">
        <v>0</v>
      </c>
      <c r="V324" s="125">
        <f>IF(AND(H324=TRUE,OR(K324="",K324&gt;M324)),S324,0)</f>
        <v/>
      </c>
      <c r="W324" s="124" t="n">
        <v>0</v>
      </c>
      <c r="X324" s="124" t="b">
        <v>0</v>
      </c>
      <c r="Y324" s="127">
        <f>IF(H324=FALSE,VLOOKUP($C324,Sales!$C:$F,4,FALSE),1)</f>
        <v/>
      </c>
      <c r="Z324" s="124">
        <f>IF(Y324=0,"Release",IF(AND(L324&lt;J324,Y324=1,H324=FALSE,U324=FALSE,MONTH(L324)&amp;"/"&amp;YEAR(L324)&lt;&gt;MONTH(J324)&amp;"/"&amp;YEAR(J324)),"Release",""))</f>
        <v/>
      </c>
      <c r="AA324" s="128">
        <f>_xlfn.minifs($L:$L,$C:$C,$C324,$F:$F,"&lt;&gt;0")</f>
        <v/>
      </c>
      <c r="AB324" s="128">
        <f>C324&amp;"-"&amp;A324</f>
        <v/>
      </c>
      <c r="AC324" s="128">
        <f>L324</f>
        <v/>
      </c>
    </row>
    <row r="325">
      <c r="A325" s="124" t="inlineStr">
        <is>
          <t>ZRUS01</t>
        </is>
      </c>
      <c r="B325" s="124" t="n">
        <v>2</v>
      </c>
      <c r="C325" s="124" t="inlineStr">
        <is>
          <t>HVI104</t>
        </is>
      </c>
      <c r="D325" s="124" t="inlineStr">
        <is>
          <t>I</t>
        </is>
      </c>
      <c r="E325" s="124" t="inlineStr">
        <is>
          <t>Rust Izak Cornelius</t>
        </is>
      </c>
      <c r="F325" s="125">
        <f>SUMIFS(Investors!$M:$M, Investors!$I:$I, "&lt;=" &amp; 'NSST Print'!$B$3, Investors!$K:$K, "&gt;" &amp; 'NSST Print'!$B$3, Investors!$A:$A, 'Investor Exit List'!A325, Investors!$E:$E, 'Investor Exit List'!C325)</f>
        <v/>
      </c>
      <c r="G325" s="126" t="n">
        <v>45259</v>
      </c>
      <c r="H325" s="124">
        <f>VLOOKUP($C325,Sales!$C:$E,2,FALSE)</f>
        <v/>
      </c>
      <c r="I325" s="124">
        <f>VLOOKUP($C325,Sales!$C:$E,3,FALSE)</f>
        <v/>
      </c>
      <c r="J325" s="126">
        <f>SUMIFS(Sales!$H:$H,Sales!$C:$C,'Investor Exit List'!$C325)</f>
        <v/>
      </c>
      <c r="K325" s="126">
        <f>IF(I325=TRUE,J325,"")</f>
        <v/>
      </c>
      <c r="L325" s="126">
        <f>G325+730</f>
        <v/>
      </c>
      <c r="M325" s="126" t="n">
        <v>45443</v>
      </c>
      <c r="N325" s="127">
        <f>IFERROR(IF(G325&lt;&gt;"",IF(I325=TRUE,0,IF(U325=TRUE,0,L325-M325)),0),0)</f>
        <v/>
      </c>
      <c r="O325" s="127">
        <f>IF(N325&gt;0,IF(N325&lt;=180,N325,0),0)</f>
        <v/>
      </c>
      <c r="P325" s="125">
        <f>IF(AND(N325&lt;90,N325&gt;0),Q325,0)</f>
        <v/>
      </c>
      <c r="Q325" s="125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25">
        <f>IF(AND(H325=TRUE,I325=FALSE),Q325,0)</f>
        <v/>
      </c>
      <c r="S325" s="125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26">
        <f>IF(U325=TRUE,$J325,"")</f>
        <v/>
      </c>
      <c r="U325" s="124" t="b">
        <v>0</v>
      </c>
      <c r="V325" s="125">
        <f>IF(AND(H325=TRUE,OR(K325="",K325&gt;M325)),S325,0)</f>
        <v/>
      </c>
      <c r="W325" s="124" t="n">
        <v>0</v>
      </c>
      <c r="X325" s="124" t="b">
        <v>0</v>
      </c>
      <c r="Y325" s="127">
        <f>IF(H325=FALSE,VLOOKUP($C325,Sales!$C:$F,4,FALSE),1)</f>
        <v/>
      </c>
      <c r="Z325" s="124">
        <f>IF(Y325=0,"Release",IF(AND(L325&lt;J325,Y325=1,H325=FALSE,U325=FALSE,MONTH(L325)&amp;"/"&amp;YEAR(L325)&lt;&gt;MONTH(J325)&amp;"/"&amp;YEAR(J325)),"Release",""))</f>
        <v/>
      </c>
      <c r="AA325" s="128">
        <f>_xlfn.minifs($L:$L,$C:$C,$C325,$F:$F,"&lt;&gt;0")</f>
        <v/>
      </c>
      <c r="AB325" s="128">
        <f>C325&amp;"-"&amp;A325</f>
        <v/>
      </c>
      <c r="AC325" s="128">
        <f>L325</f>
        <v/>
      </c>
    </row>
    <row r="326">
      <c r="A326" s="124" t="inlineStr">
        <is>
          <t>ZDEL01</t>
        </is>
      </c>
      <c r="B326" s="124" t="n">
        <v>11</v>
      </c>
      <c r="C326" s="124" t="inlineStr">
        <is>
          <t>HVI201</t>
        </is>
      </c>
      <c r="D326" s="124" t="inlineStr">
        <is>
          <t>I</t>
        </is>
      </c>
      <c r="E326" s="124" t="inlineStr">
        <is>
          <t>Jansen van Vuuren Pieter</t>
        </is>
      </c>
      <c r="F326" s="125">
        <f>SUMIFS(Investors!$M:$M, Investors!$I:$I, "&lt;=" &amp; 'NSST Print'!$B$3, Investors!$K:$K, "&gt;" &amp; 'NSST Print'!$B$3, Investors!$A:$A, 'Investor Exit List'!A326, Investors!$E:$E, 'Investor Exit List'!C326)</f>
        <v/>
      </c>
      <c r="G326" s="126" t="n">
        <v>45259</v>
      </c>
      <c r="H326" s="124">
        <f>VLOOKUP($C326,Sales!$C:$E,2,FALSE)</f>
        <v/>
      </c>
      <c r="I326" s="124">
        <f>VLOOKUP($C326,Sales!$C:$E,3,FALSE)</f>
        <v/>
      </c>
      <c r="J326" s="126">
        <f>SUMIFS(Sales!$H:$H,Sales!$C:$C,'Investor Exit List'!$C326)</f>
        <v/>
      </c>
      <c r="K326" s="126">
        <f>IF(I326=TRUE,J326,"")</f>
        <v/>
      </c>
      <c r="L326" s="126">
        <f>G326+730</f>
        <v/>
      </c>
      <c r="M326" s="126" t="n">
        <v>45443</v>
      </c>
      <c r="N326" s="127">
        <f>IFERROR(IF(G326&lt;&gt;"",IF(I326=TRUE,0,IF(U326=TRUE,0,L326-M326)),0),0)</f>
        <v/>
      </c>
      <c r="O326" s="127">
        <f>IF(N326&gt;0,IF(N326&lt;=180,N326,0),0)</f>
        <v/>
      </c>
      <c r="P326" s="125">
        <f>IF(AND(N326&lt;90,N326&gt;0),Q326,0)</f>
        <v/>
      </c>
      <c r="Q326" s="125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25">
        <f>IF(AND(H326=TRUE,I326=FALSE),Q326,0)</f>
        <v/>
      </c>
      <c r="S326" s="125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26">
        <f>IF(U326=TRUE,$J326,"")</f>
        <v/>
      </c>
      <c r="U326" s="124" t="b">
        <v>0</v>
      </c>
      <c r="V326" s="125">
        <f>IF(AND(H326=TRUE,OR(K326="",K326&gt;M326)),S326,0)</f>
        <v/>
      </c>
      <c r="W326" s="124" t="n">
        <v>0</v>
      </c>
      <c r="X326" s="124" t="b">
        <v>0</v>
      </c>
      <c r="Y326" s="127">
        <f>IF(H326=FALSE,VLOOKUP($C326,Sales!$C:$F,4,FALSE),1)</f>
        <v/>
      </c>
      <c r="Z326" s="124">
        <f>IF(Y326=0,"Release",IF(AND(L326&lt;J326,Y326=1,H326=FALSE,U326=FALSE,MONTH(L326)&amp;"/"&amp;YEAR(L326)&lt;&gt;MONTH(J326)&amp;"/"&amp;YEAR(J326)),"Release",""))</f>
        <v/>
      </c>
      <c r="AA326" s="128">
        <f>_xlfn.minifs($L:$L,$C:$C,$C326,$F:$F,"&lt;&gt;0")</f>
        <v/>
      </c>
      <c r="AB326" s="128">
        <f>C326&amp;"-"&amp;A326</f>
        <v/>
      </c>
      <c r="AC326" s="128">
        <f>L326</f>
        <v/>
      </c>
    </row>
    <row r="327">
      <c r="A327" s="124" t="inlineStr">
        <is>
          <t>ZESP01</t>
        </is>
      </c>
      <c r="B327" s="124" t="n">
        <v>2</v>
      </c>
      <c r="C327" s="124" t="inlineStr">
        <is>
          <t>HVI201</t>
        </is>
      </c>
      <c r="D327" s="124" t="inlineStr">
        <is>
          <t>I</t>
        </is>
      </c>
      <c r="E327" s="124" t="inlineStr">
        <is>
          <t>Espag Etienne</t>
        </is>
      </c>
      <c r="F327" s="125">
        <f>SUMIFS(Investors!$M:$M, Investors!$I:$I, "&lt;=" &amp; 'NSST Print'!$B$3, Investors!$K:$K, "&gt;" &amp; 'NSST Print'!$B$3, Investors!$A:$A, 'Investor Exit List'!A327, Investors!$E:$E, 'Investor Exit List'!C327)</f>
        <v/>
      </c>
      <c r="G327" s="126" t="n">
        <v>45252</v>
      </c>
      <c r="H327" s="124">
        <f>VLOOKUP($C327,Sales!$C:$E,2,FALSE)</f>
        <v/>
      </c>
      <c r="I327" s="124">
        <f>VLOOKUP($C327,Sales!$C:$E,3,FALSE)</f>
        <v/>
      </c>
      <c r="J327" s="126">
        <f>SUMIFS(Sales!$H:$H,Sales!$C:$C,'Investor Exit List'!$C327)</f>
        <v/>
      </c>
      <c r="K327" s="126">
        <f>IF(I327=TRUE,J327,"")</f>
        <v/>
      </c>
      <c r="L327" s="126">
        <f>G327+730</f>
        <v/>
      </c>
      <c r="M327" s="126" t="n">
        <v>45443</v>
      </c>
      <c r="N327" s="127">
        <f>IFERROR(IF(G327&lt;&gt;"",IF(I327=TRUE,0,IF(U327=TRUE,0,L327-M327)),0),0)</f>
        <v/>
      </c>
      <c r="O327" s="127">
        <f>IF(N327&gt;0,IF(N327&lt;=180,N327,0),0)</f>
        <v/>
      </c>
      <c r="P327" s="125">
        <f>IF(AND(N327&lt;90,N327&gt;0),Q327,0)</f>
        <v/>
      </c>
      <c r="Q327" s="125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25">
        <f>IF(AND(H327=TRUE,I327=FALSE),Q327,0)</f>
        <v/>
      </c>
      <c r="S327" s="125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26">
        <f>IF(U327=TRUE,$J327,"")</f>
        <v/>
      </c>
      <c r="U327" s="124" t="b">
        <v>0</v>
      </c>
      <c r="V327" s="125">
        <f>IF(AND(H327=TRUE,OR(K327="",K327&gt;M327)),S327,0)</f>
        <v/>
      </c>
      <c r="W327" s="124" t="n">
        <v>0</v>
      </c>
      <c r="X327" s="124" t="b">
        <v>0</v>
      </c>
      <c r="Y327" s="127">
        <f>IF(H327=FALSE,VLOOKUP($C327,Sales!$C:$F,4,FALSE),1)</f>
        <v/>
      </c>
      <c r="Z327" s="124">
        <f>IF(Y327=0,"Release",IF(AND(L327&lt;J327,Y327=1,H327=FALSE,U327=FALSE,MONTH(L327)&amp;"/"&amp;YEAR(L327)&lt;&gt;MONTH(J327)&amp;"/"&amp;YEAR(J327)),"Release",""))</f>
        <v/>
      </c>
      <c r="AA327" s="128">
        <f>_xlfn.minifs($L:$L,$C:$C,$C327,$F:$F,"&lt;&gt;0")</f>
        <v/>
      </c>
      <c r="AB327" s="128">
        <f>C327&amp;"-"&amp;A327</f>
        <v/>
      </c>
      <c r="AC327" s="128">
        <f>L327</f>
        <v/>
      </c>
    </row>
    <row r="328">
      <c r="A328" s="124" t="inlineStr">
        <is>
          <t>ZKRO01</t>
        </is>
      </c>
      <c r="B328" s="124" t="n">
        <v>5</v>
      </c>
      <c r="C328" s="124" t="inlineStr">
        <is>
          <t>HVI201</t>
        </is>
      </c>
      <c r="D328" s="124" t="inlineStr">
        <is>
          <t>I</t>
        </is>
      </c>
      <c r="E328" s="124" t="inlineStr">
        <is>
          <t>van der Merwe Frans</t>
        </is>
      </c>
      <c r="F328" s="125">
        <f>SUMIFS(Investors!$M:$M, Investors!$I:$I, "&lt;=" &amp; 'NSST Print'!$B$3, Investors!$K:$K, "&gt;" &amp; 'NSST Print'!$B$3, Investors!$A:$A, 'Investor Exit List'!A328, Investors!$E:$E, 'Investor Exit List'!C328)</f>
        <v/>
      </c>
      <c r="G328" s="126" t="n">
        <v>45273</v>
      </c>
      <c r="H328" s="124">
        <f>VLOOKUP($C328,Sales!$C:$E,2,FALSE)</f>
        <v/>
      </c>
      <c r="I328" s="124">
        <f>VLOOKUP($C328,Sales!$C:$E,3,FALSE)</f>
        <v/>
      </c>
      <c r="J328" s="126">
        <f>SUMIFS(Sales!$H:$H,Sales!$C:$C,'Investor Exit List'!$C328)</f>
        <v/>
      </c>
      <c r="K328" s="126">
        <f>IF(I328=TRUE,J328,"")</f>
        <v/>
      </c>
      <c r="L328" s="126">
        <f>G328+730</f>
        <v/>
      </c>
      <c r="M328" s="126" t="n">
        <v>45443</v>
      </c>
      <c r="N328" s="127">
        <f>IFERROR(IF(G328&lt;&gt;"",IF(I328=TRUE,0,IF(U328=TRUE,0,L328-M328)),0),0)</f>
        <v/>
      </c>
      <c r="O328" s="127">
        <f>IF(N328&gt;0,IF(N328&lt;=180,N328,0),0)</f>
        <v/>
      </c>
      <c r="P328" s="125">
        <f>IF(AND(N328&lt;90,N328&gt;0),Q328,0)</f>
        <v/>
      </c>
      <c r="Q328" s="125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25">
        <f>IF(AND(H328=TRUE,I328=FALSE),Q328,0)</f>
        <v/>
      </c>
      <c r="S328" s="125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26">
        <f>IF(U328=TRUE,$J328,"")</f>
        <v/>
      </c>
      <c r="U328" s="124" t="b">
        <v>0</v>
      </c>
      <c r="V328" s="125">
        <f>IF(AND(H328=TRUE,OR(K328="",K328&gt;M328)),S328,0)</f>
        <v/>
      </c>
      <c r="W328" s="124" t="n">
        <v>0</v>
      </c>
      <c r="X328" s="124" t="b">
        <v>0</v>
      </c>
      <c r="Y328" s="127">
        <f>IF(H328=FALSE,VLOOKUP($C328,Sales!$C:$F,4,FALSE),1)</f>
        <v/>
      </c>
      <c r="Z328" s="124">
        <f>IF(Y328=0,"Release",IF(AND(L328&lt;J328,Y328=1,H328=FALSE,U328=FALSE,MONTH(L328)&amp;"/"&amp;YEAR(L328)&lt;&gt;MONTH(J328)&amp;"/"&amp;YEAR(J328)),"Release",""))</f>
        <v/>
      </c>
      <c r="AA328" s="128">
        <f>_xlfn.minifs($L:$L,$C:$C,$C328,$F:$F,"&lt;&gt;0")</f>
        <v/>
      </c>
      <c r="AB328" s="128">
        <f>C328&amp;"-"&amp;A328</f>
        <v/>
      </c>
      <c r="AC328" s="128">
        <f>L328</f>
        <v/>
      </c>
    </row>
    <row r="329">
      <c r="A329" s="124" t="inlineStr">
        <is>
          <t>ZKRI02</t>
        </is>
      </c>
      <c r="B329" s="124" t="n">
        <v>5</v>
      </c>
      <c r="C329" s="124" t="inlineStr">
        <is>
          <t>HVI202</t>
        </is>
      </c>
      <c r="D329" s="124" t="inlineStr">
        <is>
          <t>I</t>
        </is>
      </c>
      <c r="E329" s="124" t="inlineStr">
        <is>
          <t>Kriel Hermanus Johannes</t>
        </is>
      </c>
      <c r="F329" s="125">
        <f>SUMIFS(Investors!$M:$M, Investors!$I:$I, "&lt;=" &amp; 'NSST Print'!$B$3, Investors!$K:$K, "&gt;" &amp; 'NSST Print'!$B$3, Investors!$A:$A, 'Investor Exit List'!A329, Investors!$E:$E, 'Investor Exit List'!C329)</f>
        <v/>
      </c>
      <c r="G329" s="126" t="n">
        <v>45259</v>
      </c>
      <c r="H329" s="124">
        <f>VLOOKUP($C329,Sales!$C:$E,2,FALSE)</f>
        <v/>
      </c>
      <c r="I329" s="124">
        <f>VLOOKUP($C329,Sales!$C:$E,3,FALSE)</f>
        <v/>
      </c>
      <c r="J329" s="126">
        <f>SUMIFS(Sales!$H:$H,Sales!$C:$C,'Investor Exit List'!$C329)</f>
        <v/>
      </c>
      <c r="K329" s="126">
        <f>IF(I329=TRUE,J329,"")</f>
        <v/>
      </c>
      <c r="L329" s="126">
        <f>G329+730</f>
        <v/>
      </c>
      <c r="M329" s="126" t="n">
        <v>45443</v>
      </c>
      <c r="N329" s="127">
        <f>IFERROR(IF(G329&lt;&gt;"",IF(I329=TRUE,0,IF(U329=TRUE,0,L329-M329)),0),0)</f>
        <v/>
      </c>
      <c r="O329" s="127">
        <f>IF(N329&gt;0,IF(N329&lt;=180,N329,0),0)</f>
        <v/>
      </c>
      <c r="P329" s="125">
        <f>IF(AND(N329&lt;90,N329&gt;0),Q329,0)</f>
        <v/>
      </c>
      <c r="Q329" s="125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25">
        <f>IF(AND(H329=TRUE,I329=FALSE),Q329,0)</f>
        <v/>
      </c>
      <c r="S329" s="125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26">
        <f>IF(U329=TRUE,$J329,"")</f>
        <v/>
      </c>
      <c r="U329" s="124" t="b">
        <v>0</v>
      </c>
      <c r="V329" s="125">
        <f>IF(AND(H329=TRUE,OR(K329="",K329&gt;M329)),S329,0)</f>
        <v/>
      </c>
      <c r="W329" s="124" t="n">
        <v>0</v>
      </c>
      <c r="X329" s="124" t="b">
        <v>0</v>
      </c>
      <c r="Y329" s="127">
        <f>IF(H329=FALSE,VLOOKUP($C329,Sales!$C:$F,4,FALSE),1)</f>
        <v/>
      </c>
      <c r="Z329" s="124">
        <f>IF(Y329=0,"Release",IF(AND(L329&lt;J329,Y329=1,H329=FALSE,U329=FALSE,MONTH(L329)&amp;"/"&amp;YEAR(L329)&lt;&gt;MONTH(J329)&amp;"/"&amp;YEAR(J329)),"Release",""))</f>
        <v/>
      </c>
      <c r="AA329" s="128">
        <f>_xlfn.minifs($L:$L,$C:$C,$C329,$F:$F,"&lt;&gt;0")</f>
        <v/>
      </c>
      <c r="AB329" s="128">
        <f>C329&amp;"-"&amp;A329</f>
        <v/>
      </c>
      <c r="AC329" s="128">
        <f>L329</f>
        <v/>
      </c>
    </row>
    <row r="330">
      <c r="A330" s="124" t="inlineStr">
        <is>
          <t>ZKRI02</t>
        </is>
      </c>
      <c r="B330" s="124" t="n">
        <v>6</v>
      </c>
      <c r="C330" s="124" t="inlineStr">
        <is>
          <t>HVI203</t>
        </is>
      </c>
      <c r="D330" s="124" t="inlineStr">
        <is>
          <t>I</t>
        </is>
      </c>
      <c r="E330" s="124" t="inlineStr">
        <is>
          <t>Kriel Hermanus Johannes</t>
        </is>
      </c>
      <c r="F330" s="125">
        <f>SUMIFS(Investors!$M:$M, Investors!$I:$I, "&lt;=" &amp; 'NSST Print'!$B$3, Investors!$K:$K, "&gt;" &amp; 'NSST Print'!$B$3, Investors!$A:$A, 'Investor Exit List'!A330, Investors!$E:$E, 'Investor Exit List'!C330)</f>
        <v/>
      </c>
      <c r="G330" s="126" t="n">
        <v>45259</v>
      </c>
      <c r="H330" s="124">
        <f>VLOOKUP($C330,Sales!$C:$E,2,FALSE)</f>
        <v/>
      </c>
      <c r="I330" s="124">
        <f>VLOOKUP($C330,Sales!$C:$E,3,FALSE)</f>
        <v/>
      </c>
      <c r="J330" s="126">
        <f>SUMIFS(Sales!$H:$H,Sales!$C:$C,'Investor Exit List'!$C330)</f>
        <v/>
      </c>
      <c r="K330" s="126">
        <f>IF(I330=TRUE,J330,"")</f>
        <v/>
      </c>
      <c r="L330" s="126">
        <f>G330+730</f>
        <v/>
      </c>
      <c r="M330" s="126" t="n">
        <v>45443</v>
      </c>
      <c r="N330" s="127">
        <f>IFERROR(IF(G330&lt;&gt;"",IF(I330=TRUE,0,IF(U330=TRUE,0,L330-M330)),0),0)</f>
        <v/>
      </c>
      <c r="O330" s="127">
        <f>IF(N330&gt;0,IF(N330&lt;=180,N330,0),0)</f>
        <v/>
      </c>
      <c r="P330" s="125">
        <f>IF(AND(N330&lt;90,N330&gt;0),Q330,0)</f>
        <v/>
      </c>
      <c r="Q330" s="125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25">
        <f>IF(AND(H330=TRUE,I330=FALSE),Q330,0)</f>
        <v/>
      </c>
      <c r="S330" s="125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26">
        <f>IF(U330=TRUE,$J330,"")</f>
        <v/>
      </c>
      <c r="U330" s="124" t="b">
        <v>0</v>
      </c>
      <c r="V330" s="125">
        <f>IF(AND(H330=TRUE,OR(K330="",K330&gt;M330)),S330,0)</f>
        <v/>
      </c>
      <c r="W330" s="124" t="n">
        <v>0</v>
      </c>
      <c r="X330" s="124" t="b">
        <v>0</v>
      </c>
      <c r="Y330" s="127">
        <f>IF(H330=FALSE,VLOOKUP($C330,Sales!$C:$F,4,FALSE),1)</f>
        <v/>
      </c>
      <c r="Z330" s="124">
        <f>IF(Y330=0,"Release",IF(AND(L330&lt;J330,Y330=1,H330=FALSE,U330=FALSE,MONTH(L330)&amp;"/"&amp;YEAR(L330)&lt;&gt;MONTH(J330)&amp;"/"&amp;YEAR(J330)),"Release",""))</f>
        <v/>
      </c>
      <c r="AA330" s="128">
        <f>_xlfn.minifs($L:$L,$C:$C,$C330,$F:$F,"&lt;&gt;0")</f>
        <v/>
      </c>
      <c r="AB330" s="128">
        <f>C330&amp;"-"&amp;A330</f>
        <v/>
      </c>
      <c r="AC330" s="128">
        <f>L330</f>
        <v/>
      </c>
    </row>
    <row r="331">
      <c r="A331" s="124" t="inlineStr">
        <is>
          <t>ZMYB01</t>
        </is>
      </c>
      <c r="B331" s="124" t="n">
        <v>2</v>
      </c>
      <c r="C331" s="124" t="inlineStr">
        <is>
          <t>HVI204</t>
        </is>
      </c>
      <c r="D331" s="124" t="inlineStr">
        <is>
          <t>I</t>
        </is>
      </c>
      <c r="E331" s="124" t="inlineStr">
        <is>
          <t>Myburgh Hermanus Carel</t>
        </is>
      </c>
      <c r="F331" s="125">
        <f>SUMIFS(Investors!$M:$M, Investors!$I:$I, "&lt;=" &amp; 'NSST Print'!$B$3, Investors!$K:$K, "&gt;" &amp; 'NSST Print'!$B$3, Investors!$A:$A, 'Investor Exit List'!A331, Investors!$E:$E, 'Investor Exit List'!C331)</f>
        <v/>
      </c>
      <c r="G331" s="126" t="n">
        <v>45280</v>
      </c>
      <c r="H331" s="124">
        <f>VLOOKUP($C331,Sales!$C:$E,2,FALSE)</f>
        <v/>
      </c>
      <c r="I331" s="124">
        <f>VLOOKUP($C331,Sales!$C:$E,3,FALSE)</f>
        <v/>
      </c>
      <c r="J331" s="126">
        <f>SUMIFS(Sales!$H:$H,Sales!$C:$C,'Investor Exit List'!$C331)</f>
        <v/>
      </c>
      <c r="K331" s="126">
        <f>IF(I331=TRUE,J331,"")</f>
        <v/>
      </c>
      <c r="L331" s="126">
        <f>G331+730</f>
        <v/>
      </c>
      <c r="M331" s="126" t="n">
        <v>45443</v>
      </c>
      <c r="N331" s="127">
        <f>IFERROR(IF(G331&lt;&gt;"",IF(I331=TRUE,0,IF(U331=TRUE,0,L331-M331)),0),0)</f>
        <v/>
      </c>
      <c r="O331" s="127">
        <f>IF(N331&gt;0,IF(N331&lt;=180,N331,0),0)</f>
        <v/>
      </c>
      <c r="P331" s="125">
        <f>IF(AND(N331&lt;90,N331&gt;0),Q331,0)</f>
        <v/>
      </c>
      <c r="Q331" s="125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25">
        <f>IF(AND(H331=TRUE,I331=FALSE),Q331,0)</f>
        <v/>
      </c>
      <c r="S331" s="125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26">
        <f>IF(U331=TRUE,$J331,"")</f>
        <v/>
      </c>
      <c r="U331" s="124" t="b">
        <v>0</v>
      </c>
      <c r="V331" s="125">
        <f>IF(AND(H331=TRUE,OR(K331="",K331&gt;M331)),S331,0)</f>
        <v/>
      </c>
      <c r="W331" s="124" t="n">
        <v>0</v>
      </c>
      <c r="X331" s="124" t="b">
        <v>0</v>
      </c>
      <c r="Y331" s="127">
        <f>IF(H331=FALSE,VLOOKUP($C331,Sales!$C:$F,4,FALSE),1)</f>
        <v/>
      </c>
      <c r="Z331" s="124">
        <f>IF(Y331=0,"Release",IF(AND(L331&lt;J331,Y331=1,H331=FALSE,U331=FALSE,MONTH(L331)&amp;"/"&amp;YEAR(L331)&lt;&gt;MONTH(J331)&amp;"/"&amp;YEAR(J331)),"Release",""))</f>
        <v/>
      </c>
      <c r="AA331" s="128">
        <f>_xlfn.minifs($L:$L,$C:$C,$C331,$F:$F,"&lt;&gt;0")</f>
        <v/>
      </c>
      <c r="AB331" s="128">
        <f>C331&amp;"-"&amp;A331</f>
        <v/>
      </c>
      <c r="AC331" s="128">
        <f>L331</f>
        <v/>
      </c>
    </row>
    <row r="332">
      <c r="A332" s="124" t="inlineStr">
        <is>
          <t>ZOLI01</t>
        </is>
      </c>
      <c r="B332" s="124" t="n">
        <v>2</v>
      </c>
      <c r="C332" s="124" t="inlineStr">
        <is>
          <t>HVJ101</t>
        </is>
      </c>
      <c r="D332" s="124" t="inlineStr">
        <is>
          <t>J</t>
        </is>
      </c>
      <c r="E332" s="124" t="inlineStr">
        <is>
          <t>Olivier Jan Lukas Cornelus</t>
        </is>
      </c>
      <c r="F332" s="125">
        <f>SUMIFS(Investors!$M:$M, Investors!$I:$I, "&lt;=" &amp; 'NSST Print'!$B$3, Investors!$K:$K, "&gt;" &amp; 'NSST Print'!$B$3, Investors!$A:$A, 'Investor Exit List'!A332, Investors!$E:$E, 'Investor Exit List'!C332)</f>
        <v/>
      </c>
      <c r="G332" s="126" t="n">
        <v>44779</v>
      </c>
      <c r="H332" s="124">
        <f>VLOOKUP($C332,Sales!$C:$E,2,FALSE)</f>
        <v/>
      </c>
      <c r="I332" s="124">
        <f>VLOOKUP($C332,Sales!$C:$E,3,FALSE)</f>
        <v/>
      </c>
      <c r="J332" s="126">
        <f>SUMIFS(Sales!$H:$H,Sales!$C:$C,'Investor Exit List'!$C332)</f>
        <v/>
      </c>
      <c r="K332" s="126">
        <f>IF(I332=TRUE,J332,"")</f>
        <v/>
      </c>
      <c r="L332" s="126">
        <f>G332+730</f>
        <v/>
      </c>
      <c r="M332" s="126" t="n">
        <v>45443</v>
      </c>
      <c r="N332" s="127">
        <f>IFERROR(IF(G332&lt;&gt;"",IF(I332=TRUE,0,IF(U332=TRUE,0,L332-M332)),0),0)</f>
        <v/>
      </c>
      <c r="O332" s="127">
        <f>IF(N332&gt;0,IF(N332&lt;=180,N332,0),0)</f>
        <v/>
      </c>
      <c r="P332" s="125">
        <f>IF(AND(N332&lt;90,N332&gt;0),Q332,0)</f>
        <v/>
      </c>
      <c r="Q332" s="125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25">
        <f>IF(AND(H332=TRUE,I332=FALSE),Q332,0)</f>
        <v/>
      </c>
      <c r="S332" s="125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26">
        <f>IF(U332=TRUE,$J332,"")</f>
        <v/>
      </c>
      <c r="U332" s="124" t="b">
        <v>0</v>
      </c>
      <c r="V332" s="125">
        <f>IF(AND(H332=TRUE,OR(K332="",K332&gt;M332)),S332,0)</f>
        <v/>
      </c>
      <c r="W332" s="124" t="n">
        <v>0</v>
      </c>
      <c r="X332" s="124" t="b">
        <v>0</v>
      </c>
      <c r="Y332" s="127">
        <f>IF(H332=FALSE,VLOOKUP($C332,Sales!$C:$F,4,FALSE),1)</f>
        <v/>
      </c>
      <c r="Z332" s="124">
        <f>IF(Y332=0,"Release",IF(AND(L332&lt;J332,Y332=1,H332=FALSE,U332=FALSE,MONTH(L332)&amp;"/"&amp;YEAR(L332)&lt;&gt;MONTH(J332)&amp;"/"&amp;YEAR(J332)),"Release",""))</f>
        <v/>
      </c>
      <c r="AA332" s="128">
        <f>_xlfn.minifs($L:$L,$C:$C,$C332,$F:$F,"&lt;&gt;0")</f>
        <v/>
      </c>
      <c r="AB332" s="128">
        <f>C332&amp;"-"&amp;A332</f>
        <v/>
      </c>
      <c r="AC332" s="128">
        <f>L332</f>
        <v/>
      </c>
    </row>
    <row r="333">
      <c r="A333" s="124" t="inlineStr">
        <is>
          <t>ZVAN05</t>
        </is>
      </c>
      <c r="B333" s="124" t="n">
        <v>2</v>
      </c>
      <c r="C333" s="124" t="inlineStr">
        <is>
          <t>HVJ101</t>
        </is>
      </c>
      <c r="D333" s="124" t="inlineStr">
        <is>
          <t>J</t>
        </is>
      </c>
      <c r="E333" s="124" t="inlineStr">
        <is>
          <t>van der Sandt Hermanus</t>
        </is>
      </c>
      <c r="F333" s="125">
        <f>SUMIFS(Investors!$M:$M, Investors!$I:$I, "&lt;=" &amp; 'NSST Print'!$B$3, Investors!$K:$K, "&gt;" &amp; 'NSST Print'!$B$3, Investors!$A:$A, 'Investor Exit List'!A333, Investors!$E:$E, 'Investor Exit List'!C333)</f>
        <v/>
      </c>
      <c r="G333" s="126" t="n">
        <v>44777</v>
      </c>
      <c r="H333" s="124">
        <f>VLOOKUP($C333,Sales!$C:$E,2,FALSE)</f>
        <v/>
      </c>
      <c r="I333" s="124">
        <f>VLOOKUP($C333,Sales!$C:$E,3,FALSE)</f>
        <v/>
      </c>
      <c r="J333" s="126">
        <f>SUMIFS(Sales!$H:$H,Sales!$C:$C,'Investor Exit List'!$C333)</f>
        <v/>
      </c>
      <c r="K333" s="126">
        <f>IF(I333=TRUE,J333,"")</f>
        <v/>
      </c>
      <c r="L333" s="126">
        <f>G333+730</f>
        <v/>
      </c>
      <c r="M333" s="126" t="n">
        <v>45443</v>
      </c>
      <c r="N333" s="127">
        <f>IFERROR(IF(G333&lt;&gt;"",IF(I333=TRUE,0,IF(U333=TRUE,0,L333-M333)),0),0)</f>
        <v/>
      </c>
      <c r="O333" s="127">
        <f>IF(N333&gt;0,IF(N333&lt;=180,N333,0),0)</f>
        <v/>
      </c>
      <c r="P333" s="125">
        <f>IF(AND(N333&lt;90,N333&gt;0),Q333,0)</f>
        <v/>
      </c>
      <c r="Q333" s="125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25">
        <f>IF(AND(H333=TRUE,I333=FALSE),Q333,0)</f>
        <v/>
      </c>
      <c r="S333" s="125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26">
        <f>IF(U333=TRUE,$J333,"")</f>
        <v/>
      </c>
      <c r="U333" s="124" t="b">
        <v>0</v>
      </c>
      <c r="V333" s="125">
        <f>IF(AND(H333=TRUE,OR(K333="",K333&gt;M333)),S333,0)</f>
        <v/>
      </c>
      <c r="W333" s="124" t="n">
        <v>0</v>
      </c>
      <c r="X333" s="124" t="b">
        <v>0</v>
      </c>
      <c r="Y333" s="127">
        <f>IF(H333=FALSE,VLOOKUP($C333,Sales!$C:$F,4,FALSE),1)</f>
        <v/>
      </c>
      <c r="Z333" s="124">
        <f>IF(Y333=0,"Release",IF(AND(L333&lt;J333,Y333=1,H333=FALSE,U333=FALSE,MONTH(L333)&amp;"/"&amp;YEAR(L333)&lt;&gt;MONTH(J333)&amp;"/"&amp;YEAR(J333)),"Release",""))</f>
        <v/>
      </c>
      <c r="AA333" s="128">
        <f>_xlfn.minifs($L:$L,$C:$C,$C333,$F:$F,"&lt;&gt;0")</f>
        <v/>
      </c>
      <c r="AB333" s="128">
        <f>C333&amp;"-"&amp;A333</f>
        <v/>
      </c>
      <c r="AC333" s="128">
        <f>L333</f>
        <v/>
      </c>
    </row>
    <row r="334">
      <c r="A334" s="124" t="inlineStr">
        <is>
          <t>ZKUS03</t>
        </is>
      </c>
      <c r="B334" s="124" t="n">
        <v>3</v>
      </c>
      <c r="C334" s="124" t="inlineStr">
        <is>
          <t>HVJ102</t>
        </is>
      </c>
      <c r="D334" s="124" t="inlineStr">
        <is>
          <t>J</t>
        </is>
      </c>
      <c r="E334" s="124" t="inlineStr">
        <is>
          <t>Kuster Joanne Tracy</t>
        </is>
      </c>
      <c r="F334" s="125">
        <f>SUMIFS(Investors!$M:$M, Investors!$I:$I, "&lt;=" &amp; 'NSST Print'!$B$3, Investors!$K:$K, "&gt;" &amp; 'NSST Print'!$B$3, Investors!$A:$A, 'Investor Exit List'!A334, Investors!$E:$E, 'Investor Exit List'!C334)</f>
        <v/>
      </c>
      <c r="G334" s="126" t="n">
        <v>44743</v>
      </c>
      <c r="H334" s="124">
        <f>VLOOKUP($C334,Sales!$C:$E,2,FALSE)</f>
        <v/>
      </c>
      <c r="I334" s="124">
        <f>VLOOKUP($C334,Sales!$C:$E,3,FALSE)</f>
        <v/>
      </c>
      <c r="J334" s="126">
        <f>SUMIFS(Sales!$H:$H,Sales!$C:$C,'Investor Exit List'!$C334)</f>
        <v/>
      </c>
      <c r="K334" s="126">
        <f>IF(I334=TRUE,J334,"")</f>
        <v/>
      </c>
      <c r="L334" s="126">
        <f>G334+730</f>
        <v/>
      </c>
      <c r="M334" s="126" t="n">
        <v>45443</v>
      </c>
      <c r="N334" s="127">
        <f>IFERROR(IF(G334&lt;&gt;"",IF(I334=TRUE,0,IF(U334=TRUE,0,L334-M334)),0),0)</f>
        <v/>
      </c>
      <c r="O334" s="127">
        <f>IF(N334&gt;0,IF(N334&lt;=180,N334,0),0)</f>
        <v/>
      </c>
      <c r="P334" s="125">
        <f>IF(AND(N334&lt;90,N334&gt;0),Q334,0)</f>
        <v/>
      </c>
      <c r="Q334" s="125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25">
        <f>IF(AND(H334=TRUE,I334=FALSE),Q334,0)</f>
        <v/>
      </c>
      <c r="S334" s="125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26">
        <f>IF(U334=TRUE,$J334,"")</f>
        <v/>
      </c>
      <c r="U334" s="124" t="b">
        <v>0</v>
      </c>
      <c r="V334" s="125">
        <f>IF(AND(H334=TRUE,OR(K334="",K334&gt;M334)),S334,0)</f>
        <v/>
      </c>
      <c r="W334" s="124" t="n">
        <v>0</v>
      </c>
      <c r="X334" s="124" t="b">
        <v>0</v>
      </c>
      <c r="Y334" s="127">
        <f>IF(H334=FALSE,VLOOKUP($C334,Sales!$C:$F,4,FALSE),1)</f>
        <v/>
      </c>
      <c r="Z334" s="124">
        <f>IF(Y334=0,"Release",IF(AND(L334&lt;J334,Y334=1,H334=FALSE,U334=FALSE,MONTH(L334)&amp;"/"&amp;YEAR(L334)&lt;&gt;MONTH(J334)&amp;"/"&amp;YEAR(J334)),"Release",""))</f>
        <v/>
      </c>
      <c r="AA334" s="128">
        <f>_xlfn.minifs($L:$L,$C:$C,$C334,$F:$F,"&lt;&gt;0")</f>
        <v/>
      </c>
      <c r="AB334" s="128">
        <f>C334&amp;"-"&amp;A334</f>
        <v/>
      </c>
      <c r="AC334" s="128">
        <f>L334</f>
        <v/>
      </c>
    </row>
    <row r="335">
      <c r="A335" s="124" t="inlineStr">
        <is>
          <t>ZMCD02</t>
        </is>
      </c>
      <c r="B335" s="124" t="n">
        <v>3</v>
      </c>
      <c r="C335" s="124" t="inlineStr">
        <is>
          <t>HVJ102</t>
        </is>
      </c>
      <c r="D335" s="124" t="inlineStr">
        <is>
          <t>J</t>
        </is>
      </c>
      <c r="E335" s="124" t="inlineStr">
        <is>
          <t>McDonald Andre (Josias Andreas)</t>
        </is>
      </c>
      <c r="F335" s="125">
        <f>SUMIFS(Investors!$M:$M, Investors!$I:$I, "&lt;=" &amp; 'NSST Print'!$B$3, Investors!$K:$K, "&gt;" &amp; 'NSST Print'!$B$3, Investors!$A:$A, 'Investor Exit List'!A335, Investors!$E:$E, 'Investor Exit List'!C335)</f>
        <v/>
      </c>
      <c r="G335" s="126" t="n">
        <v>44743</v>
      </c>
      <c r="H335" s="124">
        <f>VLOOKUP($C335,Sales!$C:$E,2,FALSE)</f>
        <v/>
      </c>
      <c r="I335" s="124">
        <f>VLOOKUP($C335,Sales!$C:$E,3,FALSE)</f>
        <v/>
      </c>
      <c r="J335" s="126">
        <f>SUMIFS(Sales!$H:$H,Sales!$C:$C,'Investor Exit List'!$C335)</f>
        <v/>
      </c>
      <c r="K335" s="126">
        <f>IF(I335=TRUE,J335,"")</f>
        <v/>
      </c>
      <c r="L335" s="126">
        <f>G335+730</f>
        <v/>
      </c>
      <c r="M335" s="126" t="n">
        <v>45443</v>
      </c>
      <c r="N335" s="127">
        <f>IFERROR(IF(G335&lt;&gt;"",IF(I335=TRUE,0,IF(U335=TRUE,0,L335-M335)),0),0)</f>
        <v/>
      </c>
      <c r="O335" s="127">
        <f>IF(N335&gt;0,IF(N335&lt;=180,N335,0),0)</f>
        <v/>
      </c>
      <c r="P335" s="125">
        <f>IF(AND(N335&lt;90,N335&gt;0),Q335,0)</f>
        <v/>
      </c>
      <c r="Q335" s="125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25">
        <f>IF(AND(H335=TRUE,I335=FALSE),Q335,0)</f>
        <v/>
      </c>
      <c r="S335" s="125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26">
        <f>IF(U335=TRUE,$J335,"")</f>
        <v/>
      </c>
      <c r="U335" s="124" t="b">
        <v>0</v>
      </c>
      <c r="V335" s="125">
        <f>IF(AND(H335=TRUE,OR(K335="",K335&gt;M335)),S335,0)</f>
        <v/>
      </c>
      <c r="W335" s="124" t="n">
        <v>0</v>
      </c>
      <c r="X335" s="124" t="b">
        <v>0</v>
      </c>
      <c r="Y335" s="127">
        <f>IF(H335=FALSE,VLOOKUP($C335,Sales!$C:$F,4,FALSE),1)</f>
        <v/>
      </c>
      <c r="Z335" s="124">
        <f>IF(Y335=0,"Release",IF(AND(L335&lt;J335,Y335=1,H335=FALSE,U335=FALSE,MONTH(L335)&amp;"/"&amp;YEAR(L335)&lt;&gt;MONTH(J335)&amp;"/"&amp;YEAR(J335)),"Release",""))</f>
        <v/>
      </c>
      <c r="AA335" s="128">
        <f>_xlfn.minifs($L:$L,$C:$C,$C335,$F:$F,"&lt;&gt;0")</f>
        <v/>
      </c>
      <c r="AB335" s="128">
        <f>C335&amp;"-"&amp;A335</f>
        <v/>
      </c>
      <c r="AC335" s="128">
        <f>L335</f>
        <v/>
      </c>
    </row>
    <row r="336">
      <c r="A336" s="124" t="inlineStr">
        <is>
          <t>ZSCH01</t>
        </is>
      </c>
      <c r="B336" s="124" t="n">
        <v>14</v>
      </c>
      <c r="C336" s="124" t="inlineStr">
        <is>
          <t>HVJ102</t>
        </is>
      </c>
      <c r="D336" s="124" t="inlineStr">
        <is>
          <t>J</t>
        </is>
      </c>
      <c r="E336" s="124" t="inlineStr">
        <is>
          <t>Schubert Inge</t>
        </is>
      </c>
      <c r="F336" s="125">
        <f>SUMIFS(Investors!$M:$M, Investors!$I:$I, "&lt;=" &amp; 'NSST Print'!$B$3, Investors!$K:$K, "&gt;" &amp; 'NSST Print'!$B$3, Investors!$A:$A, 'Investor Exit List'!A336, Investors!$E:$E, 'Investor Exit List'!C336)</f>
        <v/>
      </c>
      <c r="G336" s="126" t="n">
        <v>44757</v>
      </c>
      <c r="H336" s="124">
        <f>VLOOKUP($C336,Sales!$C:$E,2,FALSE)</f>
        <v/>
      </c>
      <c r="I336" s="124">
        <f>VLOOKUP($C336,Sales!$C:$E,3,FALSE)</f>
        <v/>
      </c>
      <c r="J336" s="126">
        <f>SUMIFS(Sales!$H:$H,Sales!$C:$C,'Investor Exit List'!$C336)</f>
        <v/>
      </c>
      <c r="K336" s="126">
        <f>IF(I336=TRUE,J336,"")</f>
        <v/>
      </c>
      <c r="L336" s="126">
        <f>G336+730</f>
        <v/>
      </c>
      <c r="M336" s="126" t="n">
        <v>45443</v>
      </c>
      <c r="N336" s="127">
        <f>IFERROR(IF(G336&lt;&gt;"",IF(I336=TRUE,0,IF(U336=TRUE,0,L336-M336)),0),0)</f>
        <v/>
      </c>
      <c r="O336" s="127">
        <f>IF(N336&gt;0,IF(N336&lt;=180,N336,0),0)</f>
        <v/>
      </c>
      <c r="P336" s="125">
        <f>IF(AND(N336&lt;90,N336&gt;0),Q336,0)</f>
        <v/>
      </c>
      <c r="Q336" s="125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25">
        <f>IF(AND(H336=TRUE,I336=FALSE),Q336,0)</f>
        <v/>
      </c>
      <c r="S336" s="125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26">
        <f>IF(U336=TRUE,$J336,"")</f>
        <v/>
      </c>
      <c r="U336" s="124" t="b">
        <v>0</v>
      </c>
      <c r="V336" s="125">
        <f>IF(AND(H336=TRUE,OR(K336="",K336&gt;M336)),S336,0)</f>
        <v/>
      </c>
      <c r="W336" s="124" t="n">
        <v>0</v>
      </c>
      <c r="X336" s="124" t="b">
        <v>0</v>
      </c>
      <c r="Y336" s="127">
        <f>IF(H336=FALSE,VLOOKUP($C336,Sales!$C:$F,4,FALSE),1)</f>
        <v/>
      </c>
      <c r="Z336" s="124">
        <f>IF(Y336=0,"Release",IF(AND(L336&lt;J336,Y336=1,H336=FALSE,U336=FALSE,MONTH(L336)&amp;"/"&amp;YEAR(L336)&lt;&gt;MONTH(J336)&amp;"/"&amp;YEAR(J336)),"Release",""))</f>
        <v/>
      </c>
      <c r="AA336" s="128">
        <f>_xlfn.minifs($L:$L,$C:$C,$C336,$F:$F,"&lt;&gt;0")</f>
        <v/>
      </c>
      <c r="AB336" s="128">
        <f>C336&amp;"-"&amp;A336</f>
        <v/>
      </c>
      <c r="AC336" s="128">
        <f>L336</f>
        <v/>
      </c>
    </row>
    <row r="337">
      <c r="A337" s="124" t="inlineStr">
        <is>
          <t>ZWAL02</t>
        </is>
      </c>
      <c r="B337" s="124" t="n">
        <v>3</v>
      </c>
      <c r="C337" s="124" t="inlineStr">
        <is>
          <t>HVJ102</t>
        </is>
      </c>
      <c r="D337" s="124" t="inlineStr">
        <is>
          <t>J</t>
        </is>
      </c>
      <c r="E337" s="124" t="inlineStr">
        <is>
          <t>Wallander Johann</t>
        </is>
      </c>
      <c r="F337" s="125">
        <f>SUMIFS(Investors!$M:$M, Investors!$I:$I, "&lt;=" &amp; 'NSST Print'!$B$3, Investors!$K:$K, "&gt;" &amp; 'NSST Print'!$B$3, Investors!$A:$A, 'Investor Exit List'!A337, Investors!$E:$E, 'Investor Exit List'!C337)</f>
        <v/>
      </c>
      <c r="G337" s="126" t="n">
        <v>44903</v>
      </c>
      <c r="H337" s="124">
        <f>VLOOKUP($C337,Sales!$C:$E,2,FALSE)</f>
        <v/>
      </c>
      <c r="I337" s="124">
        <f>VLOOKUP($C337,Sales!$C:$E,3,FALSE)</f>
        <v/>
      </c>
      <c r="J337" s="126">
        <f>SUMIFS(Sales!$H:$H,Sales!$C:$C,'Investor Exit List'!$C337)</f>
        <v/>
      </c>
      <c r="K337" s="126">
        <f>IF(I337=TRUE,J337,"")</f>
        <v/>
      </c>
      <c r="L337" s="126">
        <f>G337+730</f>
        <v/>
      </c>
      <c r="M337" s="126" t="n">
        <v>45443</v>
      </c>
      <c r="N337" s="127">
        <f>IFERROR(IF(G337&lt;&gt;"",IF(I337=TRUE,0,IF(U337=TRUE,0,L337-M337)),0),0)</f>
        <v/>
      </c>
      <c r="O337" s="127">
        <f>IF(N337&gt;0,IF(N337&lt;=180,N337,0),0)</f>
        <v/>
      </c>
      <c r="P337" s="125">
        <f>IF(AND(N337&lt;90,N337&gt;0),Q337,0)</f>
        <v/>
      </c>
      <c r="Q337" s="125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25">
        <f>IF(AND(H337=TRUE,I337=FALSE),Q337,0)</f>
        <v/>
      </c>
      <c r="S337" s="125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26">
        <f>IF(U337=TRUE,$J337,"")</f>
        <v/>
      </c>
      <c r="U337" s="124" t="b">
        <v>0</v>
      </c>
      <c r="V337" s="125">
        <f>IF(AND(H337=TRUE,OR(K337="",K337&gt;M337)),S337,0)</f>
        <v/>
      </c>
      <c r="W337" s="124" t="n">
        <v>0</v>
      </c>
      <c r="X337" s="124" t="b">
        <v>0</v>
      </c>
      <c r="Y337" s="127">
        <f>IF(H337=FALSE,VLOOKUP($C337,Sales!$C:$F,4,FALSE),1)</f>
        <v/>
      </c>
      <c r="Z337" s="124">
        <f>IF(Y337=0,"Release",IF(AND(L337&lt;J337,Y337=1,H337=FALSE,U337=FALSE,MONTH(L337)&amp;"/"&amp;YEAR(L337)&lt;&gt;MONTH(J337)&amp;"/"&amp;YEAR(J337)),"Release",""))</f>
        <v/>
      </c>
      <c r="AA337" s="128">
        <f>_xlfn.minifs($L:$L,$C:$C,$C337,$F:$F,"&lt;&gt;0")</f>
        <v/>
      </c>
      <c r="AB337" s="128">
        <f>C337&amp;"-"&amp;A337</f>
        <v/>
      </c>
      <c r="AC337" s="128">
        <f>L337</f>
        <v/>
      </c>
    </row>
    <row r="338">
      <c r="A338" s="124" t="inlineStr">
        <is>
          <t>ZDIC01</t>
        </is>
      </c>
      <c r="B338" s="124" t="n">
        <v>10</v>
      </c>
      <c r="C338" s="124" t="inlineStr">
        <is>
          <t>HVJ103</t>
        </is>
      </c>
      <c r="D338" s="124" t="inlineStr">
        <is>
          <t>J</t>
        </is>
      </c>
      <c r="E338" s="124" t="inlineStr">
        <is>
          <t>Dickinson Grant Allan</t>
        </is>
      </c>
      <c r="F338" s="125">
        <f>SUMIFS(Investors!$M:$M, Investors!$I:$I, "&lt;=" &amp; 'NSST Print'!$B$3, Investors!$K:$K, "&gt;" &amp; 'NSST Print'!$B$3, Investors!$A:$A, 'Investor Exit List'!A338, Investors!$E:$E, 'Investor Exit List'!C338)</f>
        <v/>
      </c>
      <c r="G338" s="126" t="n">
        <v>44783</v>
      </c>
      <c r="H338" s="124">
        <f>VLOOKUP($C338,Sales!$C:$E,2,FALSE)</f>
        <v/>
      </c>
      <c r="I338" s="124">
        <f>VLOOKUP($C338,Sales!$C:$E,3,FALSE)</f>
        <v/>
      </c>
      <c r="J338" s="126">
        <f>SUMIFS(Sales!$H:$H,Sales!$C:$C,'Investor Exit List'!$C338)</f>
        <v/>
      </c>
      <c r="K338" s="126">
        <f>IF(I338=TRUE,J338,"")</f>
        <v/>
      </c>
      <c r="L338" s="126">
        <f>G338+730</f>
        <v/>
      </c>
      <c r="M338" s="126" t="n">
        <v>45443</v>
      </c>
      <c r="N338" s="127">
        <f>IFERROR(IF(G338&lt;&gt;"",IF(I338=TRUE,0,IF(U338=TRUE,0,L338-M338)),0),0)</f>
        <v/>
      </c>
      <c r="O338" s="127">
        <f>IF(N338&gt;0,IF(N338&lt;=180,N338,0),0)</f>
        <v/>
      </c>
      <c r="P338" s="125">
        <f>IF(AND(N338&lt;90,N338&gt;0),Q338,0)</f>
        <v/>
      </c>
      <c r="Q338" s="125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25">
        <f>IF(AND(H338=TRUE,I338=FALSE),Q338,0)</f>
        <v/>
      </c>
      <c r="S338" s="125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26">
        <f>IF(U338=TRUE,$J338,"")</f>
        <v/>
      </c>
      <c r="U338" s="124" t="b">
        <v>0</v>
      </c>
      <c r="V338" s="125">
        <f>IF(AND(H338=TRUE,OR(K338="",K338&gt;M338)),S338,0)</f>
        <v/>
      </c>
      <c r="W338" s="124" t="n">
        <v>0</v>
      </c>
      <c r="X338" s="124" t="b">
        <v>0</v>
      </c>
      <c r="Y338" s="127">
        <f>IF(H338=FALSE,VLOOKUP($C338,Sales!$C:$F,4,FALSE),1)</f>
        <v/>
      </c>
      <c r="Z338" s="124">
        <f>IF(Y338=0,"Release",IF(AND(L338&lt;J338,Y338=1,H338=FALSE,U338=FALSE,MONTH(L338)&amp;"/"&amp;YEAR(L338)&lt;&gt;MONTH(J338)&amp;"/"&amp;YEAR(J338)),"Release",""))</f>
        <v/>
      </c>
      <c r="AA338" s="128">
        <f>_xlfn.minifs($L:$L,$C:$C,$C338,$F:$F,"&lt;&gt;0")</f>
        <v/>
      </c>
      <c r="AB338" s="128">
        <f>C338&amp;"-"&amp;A338</f>
        <v/>
      </c>
      <c r="AC338" s="128">
        <f>L338</f>
        <v/>
      </c>
    </row>
    <row r="339">
      <c r="A339" s="124" t="inlineStr">
        <is>
          <t>ZHAY01</t>
        </is>
      </c>
      <c r="B339" s="124" t="n">
        <v>6</v>
      </c>
      <c r="C339" s="124" t="inlineStr">
        <is>
          <t>HVJ103</t>
        </is>
      </c>
      <c r="D339" s="124" t="inlineStr">
        <is>
          <t>J</t>
        </is>
      </c>
      <c r="E339" s="124" t="inlineStr">
        <is>
          <t>Haywood Johannes Wynand</t>
        </is>
      </c>
      <c r="F339" s="125">
        <f>SUMIFS(Investors!$M:$M, Investors!$I:$I, "&lt;=" &amp; 'NSST Print'!$B$3, Investors!$K:$K, "&gt;" &amp; 'NSST Print'!$B$3, Investors!$A:$A, 'Investor Exit List'!A339, Investors!$E:$E, 'Investor Exit List'!C339)</f>
        <v/>
      </c>
      <c r="G339" s="126" t="n">
        <v>45464</v>
      </c>
      <c r="H339" s="124">
        <f>VLOOKUP($C339,Sales!$C:$E,2,FALSE)</f>
        <v/>
      </c>
      <c r="I339" s="124">
        <f>VLOOKUP($C339,Sales!$C:$E,3,FALSE)</f>
        <v/>
      </c>
      <c r="J339" s="126">
        <f>SUMIFS(Sales!$H:$H,Sales!$C:$C,'Investor Exit List'!$C339)</f>
        <v/>
      </c>
      <c r="K339" s="126">
        <f>IF(I339=TRUE,J339,"")</f>
        <v/>
      </c>
      <c r="L339" s="126">
        <f>G339+730</f>
        <v/>
      </c>
      <c r="M339" s="126" t="n">
        <v>45443</v>
      </c>
      <c r="N339" s="127">
        <f>IFERROR(IF(G339&lt;&gt;"",IF(I339=TRUE,0,IF(U339=TRUE,0,L339-M339)),0),0)</f>
        <v/>
      </c>
      <c r="O339" s="127">
        <f>IF(N339&gt;0,IF(N339&lt;=180,N339,0),0)</f>
        <v/>
      </c>
      <c r="P339" s="125">
        <f>IF(AND(N339&lt;90,N339&gt;0),Q339,0)</f>
        <v/>
      </c>
      <c r="Q339" s="125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25">
        <f>IF(AND(H339=TRUE,I339=FALSE),Q339,0)</f>
        <v/>
      </c>
      <c r="S339" s="125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26">
        <f>IF(U339=TRUE,$J339,"")</f>
        <v/>
      </c>
      <c r="U339" s="124" t="b">
        <v>0</v>
      </c>
      <c r="V339" s="125">
        <f>IF(AND(H339=TRUE,OR(K339="",K339&gt;M339)),S339,0)</f>
        <v/>
      </c>
      <c r="W339" s="124" t="n">
        <v>0</v>
      </c>
      <c r="X339" s="124" t="b">
        <v>0</v>
      </c>
      <c r="Y339" s="127">
        <f>IF(H339=FALSE,VLOOKUP($C339,Sales!$C:$F,4,FALSE),1)</f>
        <v/>
      </c>
      <c r="Z339" s="124">
        <f>IF(Y339=0,"Release",IF(AND(L339&lt;J339,Y339=1,H339=FALSE,U339=FALSE,MONTH(L339)&amp;"/"&amp;YEAR(L339)&lt;&gt;MONTH(J339)&amp;"/"&amp;YEAR(J339)),"Release",""))</f>
        <v/>
      </c>
      <c r="AA339" s="128">
        <f>_xlfn.minifs($L:$L,$C:$C,$C339,$F:$F,"&lt;&gt;0")</f>
        <v/>
      </c>
      <c r="AB339" s="128">
        <f>C339&amp;"-"&amp;A339</f>
        <v/>
      </c>
      <c r="AC339" s="128">
        <f>L339</f>
        <v/>
      </c>
    </row>
    <row r="340">
      <c r="A340" s="124" t="inlineStr">
        <is>
          <t>ZJER01</t>
        </is>
      </c>
      <c r="B340" s="124" t="n">
        <v>3</v>
      </c>
      <c r="C340" s="124" t="inlineStr">
        <is>
          <t>HVJ103</t>
        </is>
      </c>
      <c r="D340" s="124" t="inlineStr">
        <is>
          <t>J</t>
        </is>
      </c>
      <c r="E340" s="124" t="inlineStr">
        <is>
          <t>Jere Towela Patricia Rosemarie</t>
        </is>
      </c>
      <c r="F340" s="125">
        <f>SUMIFS(Investors!$M:$M, Investors!$I:$I, "&lt;=" &amp; 'NSST Print'!$B$3, Investors!$K:$K, "&gt;" &amp; 'NSST Print'!$B$3, Investors!$A:$A, 'Investor Exit List'!A340, Investors!$E:$E, 'Investor Exit List'!C340)</f>
        <v/>
      </c>
      <c r="G340" s="126" t="n">
        <v>44798</v>
      </c>
      <c r="H340" s="124">
        <f>VLOOKUP($C340,Sales!$C:$E,2,FALSE)</f>
        <v/>
      </c>
      <c r="I340" s="124">
        <f>VLOOKUP($C340,Sales!$C:$E,3,FALSE)</f>
        <v/>
      </c>
      <c r="J340" s="126">
        <f>SUMIFS(Sales!$H:$H,Sales!$C:$C,'Investor Exit List'!$C340)</f>
        <v/>
      </c>
      <c r="K340" s="126">
        <f>IF(I340=TRUE,J340,"")</f>
        <v/>
      </c>
      <c r="L340" s="126">
        <f>G340+730</f>
        <v/>
      </c>
      <c r="M340" s="126" t="n">
        <v>45443</v>
      </c>
      <c r="N340" s="127">
        <f>IFERROR(IF(G340&lt;&gt;"",IF(I340=TRUE,0,IF(U340=TRUE,0,L340-M340)),0),0)</f>
        <v/>
      </c>
      <c r="O340" s="127">
        <f>IF(N340&gt;0,IF(N340&lt;=180,N340,0),0)</f>
        <v/>
      </c>
      <c r="P340" s="125">
        <f>IF(AND(N340&lt;90,N340&gt;0),Q340,0)</f>
        <v/>
      </c>
      <c r="Q340" s="125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25">
        <f>IF(AND(H340=TRUE,I340=FALSE),Q340,0)</f>
        <v/>
      </c>
      <c r="S340" s="125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26">
        <f>IF(U340=TRUE,$J340,"")</f>
        <v/>
      </c>
      <c r="U340" s="124" t="b">
        <v>0</v>
      </c>
      <c r="V340" s="125">
        <f>IF(AND(H340=TRUE,OR(K340="",K340&gt;M340)),S340,0)</f>
        <v/>
      </c>
      <c r="W340" s="124" t="n">
        <v>0</v>
      </c>
      <c r="X340" s="124" t="b">
        <v>0</v>
      </c>
      <c r="Y340" s="127">
        <f>IF(H340=FALSE,VLOOKUP($C340,Sales!$C:$F,4,FALSE),1)</f>
        <v/>
      </c>
      <c r="Z340" s="124">
        <f>IF(Y340=0,"Release",IF(AND(L340&lt;J340,Y340=1,H340=FALSE,U340=FALSE,MONTH(L340)&amp;"/"&amp;YEAR(L340)&lt;&gt;MONTH(J340)&amp;"/"&amp;YEAR(J340)),"Release",""))</f>
        <v/>
      </c>
      <c r="AA340" s="128">
        <f>_xlfn.minifs($L:$L,$C:$C,$C340,$F:$F,"&lt;&gt;0")</f>
        <v/>
      </c>
      <c r="AB340" s="128">
        <f>C340&amp;"-"&amp;A340</f>
        <v/>
      </c>
      <c r="AC340" s="128">
        <f>L340</f>
        <v/>
      </c>
    </row>
    <row r="341">
      <c r="A341" s="124" t="inlineStr">
        <is>
          <t>ZSCH02</t>
        </is>
      </c>
      <c r="B341" s="124" t="n">
        <v>3</v>
      </c>
      <c r="C341" s="124" t="inlineStr">
        <is>
          <t>HVJ103</t>
        </is>
      </c>
      <c r="D341" s="124" t="inlineStr">
        <is>
          <t>J</t>
        </is>
      </c>
      <c r="E341" s="124" t="inlineStr">
        <is>
          <t>van Schalkwyk Zeldre</t>
        </is>
      </c>
      <c r="F341" s="125">
        <f>SUMIFS(Investors!$M:$M, Investors!$I:$I, "&lt;=" &amp; 'NSST Print'!$B$3, Investors!$K:$K, "&gt;" &amp; 'NSST Print'!$B$3, Investors!$A:$A, 'Investor Exit List'!A341, Investors!$E:$E, 'Investor Exit List'!C341)</f>
        <v/>
      </c>
      <c r="G341" s="126" t="n">
        <v>45471</v>
      </c>
      <c r="H341" s="124">
        <f>VLOOKUP($C341,Sales!$C:$E,2,FALSE)</f>
        <v/>
      </c>
      <c r="I341" s="124">
        <f>VLOOKUP($C341,Sales!$C:$E,3,FALSE)</f>
        <v/>
      </c>
      <c r="J341" s="126">
        <f>SUMIFS(Sales!$H:$H,Sales!$C:$C,'Investor Exit List'!$C341)</f>
        <v/>
      </c>
      <c r="K341" s="126">
        <f>IF(I341=TRUE,J341,"")</f>
        <v/>
      </c>
      <c r="L341" s="126">
        <f>G341+730</f>
        <v/>
      </c>
      <c r="M341" s="126" t="n">
        <v>45443</v>
      </c>
      <c r="N341" s="127">
        <f>IFERROR(IF(G341&lt;&gt;"",IF(I341=TRUE,0,IF(U341=TRUE,0,L341-M341)),0),0)</f>
        <v/>
      </c>
      <c r="O341" s="127">
        <f>IF(N341&gt;0,IF(N341&lt;=180,N341,0),0)</f>
        <v/>
      </c>
      <c r="P341" s="125">
        <f>IF(AND(N341&lt;90,N341&gt;0),Q341,0)</f>
        <v/>
      </c>
      <c r="Q341" s="125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25">
        <f>IF(AND(H341=TRUE,I341=FALSE),Q341,0)</f>
        <v/>
      </c>
      <c r="S341" s="125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26">
        <f>IF(U341=TRUE,$J341,"")</f>
        <v/>
      </c>
      <c r="U341" s="124" t="b">
        <v>0</v>
      </c>
      <c r="V341" s="125">
        <f>IF(AND(H341=TRUE,OR(K341="",K341&gt;M341)),S341,0)</f>
        <v/>
      </c>
      <c r="W341" s="124" t="n">
        <v>0</v>
      </c>
      <c r="X341" s="124" t="b">
        <v>0</v>
      </c>
      <c r="Y341" s="127">
        <f>IF(H341=FALSE,VLOOKUP($C341,Sales!$C:$F,4,FALSE),1)</f>
        <v/>
      </c>
      <c r="Z341" s="124">
        <f>IF(Y341=0,"Release",IF(AND(L341&lt;J341,Y341=1,H341=FALSE,U341=FALSE,MONTH(L341)&amp;"/"&amp;YEAR(L341)&lt;&gt;MONTH(J341)&amp;"/"&amp;YEAR(J341)),"Release",""))</f>
        <v/>
      </c>
      <c r="AA341" s="128">
        <f>_xlfn.minifs($L:$L,$C:$C,$C341,$F:$F,"&lt;&gt;0")</f>
        <v/>
      </c>
      <c r="AB341" s="128">
        <f>C341&amp;"-"&amp;A341</f>
        <v/>
      </c>
      <c r="AC341" s="128">
        <f>L341</f>
        <v/>
      </c>
    </row>
    <row r="342">
      <c r="A342" s="124" t="inlineStr">
        <is>
          <t>ZSON01</t>
        </is>
      </c>
      <c r="B342" s="124" t="n">
        <v>17</v>
      </c>
      <c r="C342" s="124" t="inlineStr">
        <is>
          <t>HVJ103</t>
        </is>
      </c>
      <c r="D342" s="124" t="inlineStr">
        <is>
          <t>J</t>
        </is>
      </c>
      <c r="E342" s="124" t="inlineStr">
        <is>
          <t>Maduna Charles</t>
        </is>
      </c>
      <c r="F342" s="125">
        <f>SUMIFS(Investors!$M:$M, Investors!$I:$I, "&lt;=" &amp; 'NSST Print'!$B$3, Investors!$K:$K, "&gt;" &amp; 'NSST Print'!$B$3, Investors!$A:$A, 'Investor Exit List'!A342, Investors!$E:$E, 'Investor Exit List'!C342)</f>
        <v/>
      </c>
      <c r="G342" s="126" t="n">
        <v>45464</v>
      </c>
      <c r="H342" s="124">
        <f>VLOOKUP($C342,Sales!$C:$E,2,FALSE)</f>
        <v/>
      </c>
      <c r="I342" s="124">
        <f>VLOOKUP($C342,Sales!$C:$E,3,FALSE)</f>
        <v/>
      </c>
      <c r="J342" s="126">
        <f>SUMIFS(Sales!$H:$H,Sales!$C:$C,'Investor Exit List'!$C342)</f>
        <v/>
      </c>
      <c r="K342" s="126">
        <f>IF(I342=TRUE,J342,"")</f>
        <v/>
      </c>
      <c r="L342" s="126">
        <f>G342+730</f>
        <v/>
      </c>
      <c r="M342" s="126" t="n">
        <v>45443</v>
      </c>
      <c r="N342" s="127">
        <f>IFERROR(IF(G342&lt;&gt;"",IF(I342=TRUE,0,IF(U342=TRUE,0,L342-M342)),0),0)</f>
        <v/>
      </c>
      <c r="O342" s="127">
        <f>IF(N342&gt;0,IF(N342&lt;=180,N342,0),0)</f>
        <v/>
      </c>
      <c r="P342" s="125">
        <f>IF(AND(N342&lt;90,N342&gt;0),Q342,0)</f>
        <v/>
      </c>
      <c r="Q342" s="125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25">
        <f>IF(AND(H342=TRUE,I342=FALSE),Q342,0)</f>
        <v/>
      </c>
      <c r="S342" s="125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26">
        <f>IF(U342=TRUE,$J342,"")</f>
        <v/>
      </c>
      <c r="U342" s="124" t="b">
        <v>0</v>
      </c>
      <c r="V342" s="125">
        <f>IF(AND(H342=TRUE,OR(K342="",K342&gt;M342)),S342,0)</f>
        <v/>
      </c>
      <c r="W342" s="124" t="n">
        <v>0</v>
      </c>
      <c r="X342" s="124" t="b">
        <v>0</v>
      </c>
      <c r="Y342" s="127">
        <f>IF(H342=FALSE,VLOOKUP($C342,Sales!$C:$F,4,FALSE),1)</f>
        <v/>
      </c>
      <c r="Z342" s="124">
        <f>IF(Y342=0,"Release",IF(AND(L342&lt;J342,Y342=1,H342=FALSE,U342=FALSE,MONTH(L342)&amp;"/"&amp;YEAR(L342)&lt;&gt;MONTH(J342)&amp;"/"&amp;YEAR(J342)),"Release",""))</f>
        <v/>
      </c>
      <c r="AA342" s="128">
        <f>_xlfn.minifs($L:$L,$C:$C,$C342,$F:$F,"&lt;&gt;0")</f>
        <v/>
      </c>
      <c r="AB342" s="128">
        <f>C342&amp;"-"&amp;A342</f>
        <v/>
      </c>
      <c r="AC342" s="128">
        <f>L342</f>
        <v/>
      </c>
    </row>
    <row r="343">
      <c r="A343" s="124" t="inlineStr">
        <is>
          <t>ZZYL02</t>
        </is>
      </c>
      <c r="B343" s="124" t="n">
        <v>4</v>
      </c>
      <c r="C343" s="124" t="inlineStr">
        <is>
          <t>HVJ103</t>
        </is>
      </c>
      <c r="D343" s="124" t="inlineStr">
        <is>
          <t>J</t>
        </is>
      </c>
      <c r="E343" s="124" t="inlineStr">
        <is>
          <t>Zylstra Petronella Johanna</t>
        </is>
      </c>
      <c r="F343" s="125">
        <f>SUMIFS(Investors!$M:$M, Investors!$I:$I, "&lt;=" &amp; 'NSST Print'!$B$3, Investors!$K:$K, "&gt;" &amp; 'NSST Print'!$B$3, Investors!$A:$A, 'Investor Exit List'!A343, Investors!$E:$E, 'Investor Exit List'!C343)</f>
        <v/>
      </c>
      <c r="G343" s="126" t="n">
        <v>45471</v>
      </c>
      <c r="H343" s="124">
        <f>VLOOKUP($C343,Sales!$C:$E,2,FALSE)</f>
        <v/>
      </c>
      <c r="I343" s="124">
        <f>VLOOKUP($C343,Sales!$C:$E,3,FALSE)</f>
        <v/>
      </c>
      <c r="J343" s="126">
        <f>SUMIFS(Sales!$H:$H,Sales!$C:$C,'Investor Exit List'!$C343)</f>
        <v/>
      </c>
      <c r="K343" s="126">
        <f>IF(I343=TRUE,J343,"")</f>
        <v/>
      </c>
      <c r="L343" s="126">
        <f>G343+730</f>
        <v/>
      </c>
      <c r="M343" s="126" t="n">
        <v>45443</v>
      </c>
      <c r="N343" s="127">
        <f>IFERROR(IF(G343&lt;&gt;"",IF(I343=TRUE,0,IF(U343=TRUE,0,L343-M343)),0),0)</f>
        <v/>
      </c>
      <c r="O343" s="127">
        <f>IF(N343&gt;0,IF(N343&lt;=180,N343,0),0)</f>
        <v/>
      </c>
      <c r="P343" s="125">
        <f>IF(AND(N343&lt;90,N343&gt;0),Q343,0)</f>
        <v/>
      </c>
      <c r="Q343" s="125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25">
        <f>IF(AND(H343=TRUE,I343=FALSE),Q343,0)</f>
        <v/>
      </c>
      <c r="S343" s="125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26">
        <f>IF(U343=TRUE,$J343,"")</f>
        <v/>
      </c>
      <c r="U343" s="124" t="b">
        <v>0</v>
      </c>
      <c r="V343" s="125">
        <f>IF(AND(H343=TRUE,OR(K343="",K343&gt;M343)),S343,0)</f>
        <v/>
      </c>
      <c r="W343" s="124" t="n">
        <v>0</v>
      </c>
      <c r="X343" s="124" t="b">
        <v>0</v>
      </c>
      <c r="Y343" s="127">
        <f>IF(H343=FALSE,VLOOKUP($C343,Sales!$C:$F,4,FALSE),1)</f>
        <v/>
      </c>
      <c r="Z343" s="124">
        <f>IF(Y343=0,"Release",IF(AND(L343&lt;J343,Y343=1,H343=FALSE,U343=FALSE,MONTH(L343)&amp;"/"&amp;YEAR(L343)&lt;&gt;MONTH(J343)&amp;"/"&amp;YEAR(J343)),"Release",""))</f>
        <v/>
      </c>
      <c r="AA343" s="128">
        <f>_xlfn.minifs($L:$L,$C:$C,$C343,$F:$F,"&lt;&gt;0")</f>
        <v/>
      </c>
      <c r="AB343" s="128">
        <f>C343&amp;"-"&amp;A343</f>
        <v/>
      </c>
      <c r="AC343" s="128">
        <f>L343</f>
        <v/>
      </c>
    </row>
    <row r="344">
      <c r="A344" s="124" t="inlineStr">
        <is>
          <t>ZZYL03</t>
        </is>
      </c>
      <c r="B344" s="124" t="n">
        <v>5</v>
      </c>
      <c r="C344" s="124" t="inlineStr">
        <is>
          <t>HVJ103</t>
        </is>
      </c>
      <c r="D344" s="124" t="inlineStr">
        <is>
          <t>J</t>
        </is>
      </c>
      <c r="E344" s="124" t="inlineStr">
        <is>
          <t>Zylstra Sandra Robyn</t>
        </is>
      </c>
      <c r="F344" s="125">
        <f>SUMIFS(Investors!$M:$M, Investors!$I:$I, "&lt;=" &amp; 'NSST Print'!$B$3, Investors!$K:$K, "&gt;" &amp; 'NSST Print'!$B$3, Investors!$A:$A, 'Investor Exit List'!A344, Investors!$E:$E, 'Investor Exit List'!C344)</f>
        <v/>
      </c>
      <c r="G344" s="126" t="n">
        <v>45464</v>
      </c>
      <c r="H344" s="124">
        <f>VLOOKUP($C344,Sales!$C:$E,2,FALSE)</f>
        <v/>
      </c>
      <c r="I344" s="124">
        <f>VLOOKUP($C344,Sales!$C:$E,3,FALSE)</f>
        <v/>
      </c>
      <c r="J344" s="126">
        <f>SUMIFS(Sales!$H:$H,Sales!$C:$C,'Investor Exit List'!$C344)</f>
        <v/>
      </c>
      <c r="K344" s="126">
        <f>IF(I344=TRUE,J344,"")</f>
        <v/>
      </c>
      <c r="L344" s="126">
        <f>G344+730</f>
        <v/>
      </c>
      <c r="M344" s="126" t="n">
        <v>45443</v>
      </c>
      <c r="N344" s="127">
        <f>IFERROR(IF(G344&lt;&gt;"",IF(I344=TRUE,0,IF(U344=TRUE,0,L344-M344)),0),0)</f>
        <v/>
      </c>
      <c r="O344" s="127">
        <f>IF(N344&gt;0,IF(N344&lt;=180,N344,0),0)</f>
        <v/>
      </c>
      <c r="P344" s="125">
        <f>IF(AND(N344&lt;90,N344&gt;0),Q344,0)</f>
        <v/>
      </c>
      <c r="Q344" s="125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25">
        <f>IF(AND(H344=TRUE,I344=FALSE),Q344,0)</f>
        <v/>
      </c>
      <c r="S344" s="125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26">
        <f>IF(U344=TRUE,$J344,"")</f>
        <v/>
      </c>
      <c r="U344" s="124" t="b">
        <v>0</v>
      </c>
      <c r="V344" s="125">
        <f>IF(AND(H344=TRUE,OR(K344="",K344&gt;M344)),S344,0)</f>
        <v/>
      </c>
      <c r="W344" s="124" t="n">
        <v>0</v>
      </c>
      <c r="X344" s="124" t="b">
        <v>0</v>
      </c>
      <c r="Y344" s="127">
        <f>IF(H344=FALSE,VLOOKUP($C344,Sales!$C:$F,4,FALSE),1)</f>
        <v/>
      </c>
      <c r="Z344" s="124">
        <f>IF(Y344=0,"Release",IF(AND(L344&lt;J344,Y344=1,H344=FALSE,U344=FALSE,MONTH(L344)&amp;"/"&amp;YEAR(L344)&lt;&gt;MONTH(J344)&amp;"/"&amp;YEAR(J344)),"Release",""))</f>
        <v/>
      </c>
      <c r="AA344" s="128">
        <f>_xlfn.minifs($L:$L,$C:$C,$C344,$F:$F,"&lt;&gt;0")</f>
        <v/>
      </c>
      <c r="AB344" s="128">
        <f>C344&amp;"-"&amp;A344</f>
        <v/>
      </c>
      <c r="AC344" s="128">
        <f>L344</f>
        <v/>
      </c>
    </row>
    <row r="345">
      <c r="A345" s="124" t="inlineStr">
        <is>
          <t>ZZYL05</t>
        </is>
      </c>
      <c r="B345" s="124" t="n">
        <v>1</v>
      </c>
      <c r="C345" s="124" t="inlineStr">
        <is>
          <t>HVJ103</t>
        </is>
      </c>
      <c r="D345" s="124" t="inlineStr">
        <is>
          <t>J</t>
        </is>
      </c>
      <c r="E345" s="124" t="inlineStr">
        <is>
          <t>Zylstra Diana Wendy</t>
        </is>
      </c>
      <c r="F345" s="125">
        <f>SUMIFS(Investors!$M:$M, Investors!$I:$I, "&lt;=" &amp; 'NSST Print'!$B$3, Investors!$K:$K, "&gt;" &amp; 'NSST Print'!$B$3, Investors!$A:$A, 'Investor Exit List'!A345, Investors!$E:$E, 'Investor Exit List'!C345)</f>
        <v/>
      </c>
      <c r="G345" s="126" t="n">
        <v>44777</v>
      </c>
      <c r="H345" s="124">
        <f>VLOOKUP($C345,Sales!$C:$E,2,FALSE)</f>
        <v/>
      </c>
      <c r="I345" s="124">
        <f>VLOOKUP($C345,Sales!$C:$E,3,FALSE)</f>
        <v/>
      </c>
      <c r="J345" s="126">
        <f>SUMIFS(Sales!$H:$H,Sales!$C:$C,'Investor Exit List'!$C345)</f>
        <v/>
      </c>
      <c r="K345" s="126">
        <f>IF(I345=TRUE,J345,"")</f>
        <v/>
      </c>
      <c r="L345" s="126">
        <f>G345+730</f>
        <v/>
      </c>
      <c r="M345" s="126" t="n">
        <v>45443</v>
      </c>
      <c r="N345" s="127">
        <f>IFERROR(IF(G345&lt;&gt;"",IF(I345=TRUE,0,IF(U345=TRUE,0,L345-M345)),0),0)</f>
        <v/>
      </c>
      <c r="O345" s="127">
        <f>IF(N345&gt;0,IF(N345&lt;=180,N345,0),0)</f>
        <v/>
      </c>
      <c r="P345" s="125">
        <f>IF(AND(N345&lt;90,N345&gt;0),Q345,0)</f>
        <v/>
      </c>
      <c r="Q345" s="125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25">
        <f>IF(AND(H345=TRUE,I345=FALSE),Q345,0)</f>
        <v/>
      </c>
      <c r="S345" s="125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26">
        <f>IF(U345=TRUE,$J345,"")</f>
        <v/>
      </c>
      <c r="U345" s="124" t="b">
        <v>0</v>
      </c>
      <c r="V345" s="125">
        <f>IF(AND(H345=TRUE,OR(K345="",K345&gt;M345)),S345,0)</f>
        <v/>
      </c>
      <c r="W345" s="124" t="n">
        <v>0</v>
      </c>
      <c r="X345" s="124" t="b">
        <v>0</v>
      </c>
      <c r="Y345" s="127">
        <f>IF(H345=FALSE,VLOOKUP($C345,Sales!$C:$F,4,FALSE),1)</f>
        <v/>
      </c>
      <c r="Z345" s="124">
        <f>IF(Y345=0,"Release",IF(AND(L345&lt;J345,Y345=1,H345=FALSE,U345=FALSE,MONTH(L345)&amp;"/"&amp;YEAR(L345)&lt;&gt;MONTH(J345)&amp;"/"&amp;YEAR(J345)),"Release",""))</f>
        <v/>
      </c>
      <c r="AA345" s="128">
        <f>_xlfn.minifs($L:$L,$C:$C,$C345,$F:$F,"&lt;&gt;0")</f>
        <v/>
      </c>
      <c r="AB345" s="128">
        <f>C345&amp;"-"&amp;A345</f>
        <v/>
      </c>
      <c r="AC345" s="128">
        <f>L345</f>
        <v/>
      </c>
    </row>
    <row r="346">
      <c r="A346" s="124" t="inlineStr">
        <is>
          <t>ZBUM01</t>
        </is>
      </c>
      <c r="B346" s="124" t="n">
        <v>2</v>
      </c>
      <c r="C346" s="124" t="inlineStr">
        <is>
          <t>HVJ201</t>
        </is>
      </c>
      <c r="D346" s="124" t="inlineStr">
        <is>
          <t>J</t>
        </is>
      </c>
      <c r="E346" s="124" t="inlineStr">
        <is>
          <t>Brummer Andre Gottfried</t>
        </is>
      </c>
      <c r="F346" s="125">
        <f>SUMIFS(Investors!$M:$M, Investors!$I:$I, "&lt;=" &amp; 'NSST Print'!$B$3, Investors!$K:$K, "&gt;" &amp; 'NSST Print'!$B$3, Investors!$A:$A, 'Investor Exit List'!A346, Investors!$E:$E, 'Investor Exit List'!C346)</f>
        <v/>
      </c>
      <c r="G346" s="126" t="n">
        <v>44783</v>
      </c>
      <c r="H346" s="124">
        <f>VLOOKUP($C346,Sales!$C:$E,2,FALSE)</f>
        <v/>
      </c>
      <c r="I346" s="124">
        <f>VLOOKUP($C346,Sales!$C:$E,3,FALSE)</f>
        <v/>
      </c>
      <c r="J346" s="126">
        <f>SUMIFS(Sales!$H:$H,Sales!$C:$C,'Investor Exit List'!$C346)</f>
        <v/>
      </c>
      <c r="K346" s="126">
        <f>IF(I346=TRUE,J346,"")</f>
        <v/>
      </c>
      <c r="L346" s="126">
        <f>G346+730</f>
        <v/>
      </c>
      <c r="M346" s="126" t="n">
        <v>45443</v>
      </c>
      <c r="N346" s="127">
        <f>IFERROR(IF(G346&lt;&gt;"",IF(I346=TRUE,0,IF(U346=TRUE,0,L346-M346)),0),0)</f>
        <v/>
      </c>
      <c r="O346" s="127">
        <f>IF(N346&gt;0,IF(N346&lt;=180,N346,0),0)</f>
        <v/>
      </c>
      <c r="P346" s="125">
        <f>IF(AND(N346&lt;90,N346&gt;0),Q346,0)</f>
        <v/>
      </c>
      <c r="Q346" s="125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25">
        <f>IF(AND(H346=TRUE,I346=FALSE),Q346,0)</f>
        <v/>
      </c>
      <c r="S346" s="125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26">
        <f>IF(U346=TRUE,$J346,"")</f>
        <v/>
      </c>
      <c r="U346" s="124" t="b">
        <v>0</v>
      </c>
      <c r="V346" s="125">
        <f>IF(AND(H346=TRUE,OR(K346="",K346&gt;M346)),S346,0)</f>
        <v/>
      </c>
      <c r="W346" s="124" t="n">
        <v>0</v>
      </c>
      <c r="X346" s="124" t="b">
        <v>0</v>
      </c>
      <c r="Y346" s="127">
        <f>IF(H346=FALSE,VLOOKUP($C346,Sales!$C:$F,4,FALSE),1)</f>
        <v/>
      </c>
      <c r="Z346" s="124">
        <f>IF(Y346=0,"Release",IF(AND(L346&lt;J346,Y346=1,H346=FALSE,U346=FALSE,MONTH(L346)&amp;"/"&amp;YEAR(L346)&lt;&gt;MONTH(J346)&amp;"/"&amp;YEAR(J346)),"Release",""))</f>
        <v/>
      </c>
      <c r="AA346" s="128">
        <f>_xlfn.minifs($L:$L,$C:$C,$C346,$F:$F,"&lt;&gt;0")</f>
        <v/>
      </c>
      <c r="AB346" s="128">
        <f>C346&amp;"-"&amp;A346</f>
        <v/>
      </c>
      <c r="AC346" s="128">
        <f>L346</f>
        <v/>
      </c>
    </row>
    <row r="347">
      <c r="A347" s="124" t="inlineStr">
        <is>
          <t>ZSMI03</t>
        </is>
      </c>
      <c r="B347" s="124" t="n">
        <v>1</v>
      </c>
      <c r="C347" s="124" t="inlineStr">
        <is>
          <t>HVJ201</t>
        </is>
      </c>
      <c r="D347" s="124" t="inlineStr">
        <is>
          <t>J</t>
        </is>
      </c>
      <c r="E347" s="124" t="inlineStr">
        <is>
          <t>Smit Eugene Patrick</t>
        </is>
      </c>
      <c r="F347" s="125">
        <f>SUMIFS(Investors!$M:$M, Investors!$I:$I, "&lt;=" &amp; 'NSST Print'!$B$3, Investors!$K:$K, "&gt;" &amp; 'NSST Print'!$B$3, Investors!$A:$A, 'Investor Exit List'!A347, Investors!$E:$E, 'Investor Exit List'!C347)</f>
        <v/>
      </c>
      <c r="G347" s="126" t="n">
        <v>44811</v>
      </c>
      <c r="H347" s="124">
        <f>VLOOKUP($C347,Sales!$C:$E,2,FALSE)</f>
        <v/>
      </c>
      <c r="I347" s="124">
        <f>VLOOKUP($C347,Sales!$C:$E,3,FALSE)</f>
        <v/>
      </c>
      <c r="J347" s="126">
        <f>SUMIFS(Sales!$H:$H,Sales!$C:$C,'Investor Exit List'!$C347)</f>
        <v/>
      </c>
      <c r="K347" s="126">
        <f>IF(I347=TRUE,J347,"")</f>
        <v/>
      </c>
      <c r="L347" s="126">
        <f>G347+730</f>
        <v/>
      </c>
      <c r="M347" s="126" t="n">
        <v>45443</v>
      </c>
      <c r="N347" s="127">
        <f>IFERROR(IF(G347&lt;&gt;"",IF(I347=TRUE,0,IF(U347=TRUE,0,L347-M347)),0),0)</f>
        <v/>
      </c>
      <c r="O347" s="127">
        <f>IF(N347&gt;0,IF(N347&lt;=180,N347,0),0)</f>
        <v/>
      </c>
      <c r="P347" s="125">
        <f>IF(AND(N347&lt;90,N347&gt;0),Q347,0)</f>
        <v/>
      </c>
      <c r="Q347" s="125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25">
        <f>IF(AND(H347=TRUE,I347=FALSE),Q347,0)</f>
        <v/>
      </c>
      <c r="S347" s="125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26">
        <f>IF(U347=TRUE,$J347,"")</f>
        <v/>
      </c>
      <c r="U347" s="124" t="b">
        <v>0</v>
      </c>
      <c r="V347" s="125">
        <f>IF(AND(H347=TRUE,OR(K347="",K347&gt;M347)),S347,0)</f>
        <v/>
      </c>
      <c r="W347" s="124" t="n">
        <v>0</v>
      </c>
      <c r="X347" s="124" t="b">
        <v>0</v>
      </c>
      <c r="Y347" s="127">
        <f>IF(H347=FALSE,VLOOKUP($C347,Sales!$C:$F,4,FALSE),1)</f>
        <v/>
      </c>
      <c r="Z347" s="124">
        <f>IF(Y347=0,"Release",IF(AND(L347&lt;J347,Y347=1,H347=FALSE,U347=FALSE,MONTH(L347)&amp;"/"&amp;YEAR(L347)&lt;&gt;MONTH(J347)&amp;"/"&amp;YEAR(J347)),"Release",""))</f>
        <v/>
      </c>
      <c r="AA347" s="128">
        <f>_xlfn.minifs($L:$L,$C:$C,$C347,$F:$F,"&lt;&gt;0")</f>
        <v/>
      </c>
      <c r="AB347" s="128">
        <f>C347&amp;"-"&amp;A347</f>
        <v/>
      </c>
      <c r="AC347" s="128">
        <f>L347</f>
        <v/>
      </c>
    </row>
    <row r="348">
      <c r="A348" s="124" t="inlineStr">
        <is>
          <t>ZZYL02</t>
        </is>
      </c>
      <c r="B348" s="124" t="n">
        <v>2</v>
      </c>
      <c r="C348" s="124" t="inlineStr">
        <is>
          <t>HVJ201</t>
        </is>
      </c>
      <c r="D348" s="124" t="inlineStr">
        <is>
          <t>J</t>
        </is>
      </c>
      <c r="E348" s="124" t="inlineStr">
        <is>
          <t>Zylstra Petronella Johanna</t>
        </is>
      </c>
      <c r="F348" s="125">
        <f>SUMIFS(Investors!$M:$M, Investors!$I:$I, "&lt;=" &amp; 'NSST Print'!$B$3, Investors!$K:$K, "&gt;" &amp; 'NSST Print'!$B$3, Investors!$A:$A, 'Investor Exit List'!A348, Investors!$E:$E, 'Investor Exit List'!C348)</f>
        <v/>
      </c>
      <c r="G348" s="126" t="n">
        <v>44916</v>
      </c>
      <c r="H348" s="124">
        <f>VLOOKUP($C348,Sales!$C:$E,2,FALSE)</f>
        <v/>
      </c>
      <c r="I348" s="124">
        <f>VLOOKUP($C348,Sales!$C:$E,3,FALSE)</f>
        <v/>
      </c>
      <c r="J348" s="126">
        <f>SUMIFS(Sales!$H:$H,Sales!$C:$C,'Investor Exit List'!$C348)</f>
        <v/>
      </c>
      <c r="K348" s="126">
        <f>IF(I348=TRUE,J348,"")</f>
        <v/>
      </c>
      <c r="L348" s="126">
        <f>G348+730</f>
        <v/>
      </c>
      <c r="M348" s="126" t="n">
        <v>45443</v>
      </c>
      <c r="N348" s="127">
        <f>IFERROR(IF(G348&lt;&gt;"",IF(I348=TRUE,0,IF(U348=TRUE,0,L348-M348)),0),0)</f>
        <v/>
      </c>
      <c r="O348" s="127">
        <f>IF(N348&gt;0,IF(N348&lt;=180,N348,0),0)</f>
        <v/>
      </c>
      <c r="P348" s="125">
        <f>IF(AND(N348&lt;90,N348&gt;0),Q348,0)</f>
        <v/>
      </c>
      <c r="Q348" s="125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25">
        <f>IF(AND(H348=TRUE,I348=FALSE),Q348,0)</f>
        <v/>
      </c>
      <c r="S348" s="125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26">
        <f>IF(U348=TRUE,$J348,"")</f>
        <v/>
      </c>
      <c r="U348" s="124" t="b">
        <v>0</v>
      </c>
      <c r="V348" s="125">
        <f>IF(AND(H348=TRUE,OR(K348="",K348&gt;M348)),S348,0)</f>
        <v/>
      </c>
      <c r="W348" s="124" t="n">
        <v>0</v>
      </c>
      <c r="X348" s="124" t="b">
        <v>0</v>
      </c>
      <c r="Y348" s="127">
        <f>IF(H348=FALSE,VLOOKUP($C348,Sales!$C:$F,4,FALSE),1)</f>
        <v/>
      </c>
      <c r="Z348" s="124">
        <f>IF(Y348=0,"Release",IF(AND(L348&lt;J348,Y348=1,H348=FALSE,U348=FALSE,MONTH(L348)&amp;"/"&amp;YEAR(L348)&lt;&gt;MONTH(J348)&amp;"/"&amp;YEAR(J348)),"Release",""))</f>
        <v/>
      </c>
      <c r="AA348" s="128">
        <f>_xlfn.minifs($L:$L,$C:$C,$C348,$F:$F,"&lt;&gt;0")</f>
        <v/>
      </c>
      <c r="AB348" s="128">
        <f>C348&amp;"-"&amp;A348</f>
        <v/>
      </c>
      <c r="AC348" s="128">
        <f>L348</f>
        <v/>
      </c>
    </row>
    <row r="349">
      <c r="A349" s="124" t="inlineStr">
        <is>
          <t>ZLAB01</t>
        </is>
      </c>
      <c r="B349" s="124" t="n">
        <v>3</v>
      </c>
      <c r="C349" s="124" t="inlineStr">
        <is>
          <t>HVJ202</t>
        </is>
      </c>
      <c r="D349" s="124" t="inlineStr">
        <is>
          <t>J</t>
        </is>
      </c>
      <c r="E349" s="124" t="inlineStr">
        <is>
          <t>Labuschagne Andre Jan</t>
        </is>
      </c>
      <c r="F349" s="125">
        <f>SUMIFS(Investors!$M:$M, Investors!$I:$I, "&lt;=" &amp; 'NSST Print'!$B$3, Investors!$K:$K, "&gt;" &amp; 'NSST Print'!$B$3, Investors!$A:$A, 'Investor Exit List'!A349, Investors!$E:$E, 'Investor Exit List'!C349)</f>
        <v/>
      </c>
      <c r="G349" s="126" t="n">
        <v>44811</v>
      </c>
      <c r="H349" s="124">
        <f>VLOOKUP($C349,Sales!$C:$E,2,FALSE)</f>
        <v/>
      </c>
      <c r="I349" s="124">
        <f>VLOOKUP($C349,Sales!$C:$E,3,FALSE)</f>
        <v/>
      </c>
      <c r="J349" s="126">
        <f>SUMIFS(Sales!$H:$H,Sales!$C:$C,'Investor Exit List'!$C349)</f>
        <v/>
      </c>
      <c r="K349" s="126">
        <f>IF(I349=TRUE,J349,"")</f>
        <v/>
      </c>
      <c r="L349" s="126">
        <f>G349+730</f>
        <v/>
      </c>
      <c r="M349" s="126" t="n">
        <v>45443</v>
      </c>
      <c r="N349" s="127">
        <f>IFERROR(IF(G349&lt;&gt;"",IF(I349=TRUE,0,IF(U349=TRUE,0,L349-M349)),0),0)</f>
        <v/>
      </c>
      <c r="O349" s="127">
        <f>IF(N349&gt;0,IF(N349&lt;=180,N349,0),0)</f>
        <v/>
      </c>
      <c r="P349" s="125">
        <f>IF(AND(N349&lt;90,N349&gt;0),Q349,0)</f>
        <v/>
      </c>
      <c r="Q349" s="125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25">
        <f>IF(AND(H349=TRUE,I349=FALSE),Q349,0)</f>
        <v/>
      </c>
      <c r="S349" s="125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26">
        <f>IF(U349=TRUE,$J349,"")</f>
        <v/>
      </c>
      <c r="U349" s="124" t="b">
        <v>0</v>
      </c>
      <c r="V349" s="125">
        <f>IF(AND(H349=TRUE,OR(K349="",K349&gt;M349)),S349,0)</f>
        <v/>
      </c>
      <c r="W349" s="124" t="n">
        <v>0</v>
      </c>
      <c r="X349" s="124" t="b">
        <v>0</v>
      </c>
      <c r="Y349" s="127">
        <f>IF(H349=FALSE,VLOOKUP($C349,Sales!$C:$F,4,FALSE),1)</f>
        <v/>
      </c>
      <c r="Z349" s="124">
        <f>IF(Y349=0,"Release",IF(AND(L349&lt;J349,Y349=1,H349=FALSE,U349=FALSE,MONTH(L349)&amp;"/"&amp;YEAR(L349)&lt;&gt;MONTH(J349)&amp;"/"&amp;YEAR(J349)),"Release",""))</f>
        <v/>
      </c>
      <c r="AA349" s="128">
        <f>_xlfn.minifs($L:$L,$C:$C,$C349,$F:$F,"&lt;&gt;0")</f>
        <v/>
      </c>
      <c r="AB349" s="128">
        <f>C349&amp;"-"&amp;A349</f>
        <v/>
      </c>
      <c r="AC349" s="128">
        <f>L349</f>
        <v/>
      </c>
    </row>
    <row r="350">
      <c r="A350" s="124" t="inlineStr">
        <is>
          <t>ZBUM01</t>
        </is>
      </c>
      <c r="B350" s="124" t="n">
        <v>1</v>
      </c>
      <c r="C350" s="124" t="inlineStr">
        <is>
          <t>HVJ203</t>
        </is>
      </c>
      <c r="D350" s="124" t="inlineStr">
        <is>
          <t>J</t>
        </is>
      </c>
      <c r="E350" s="124" t="inlineStr">
        <is>
          <t>Brummer Andre Gottfried</t>
        </is>
      </c>
      <c r="F350" s="125">
        <f>SUMIFS(Investors!$M:$M, Investors!$I:$I, "&lt;=" &amp; 'NSST Print'!$B$3, Investors!$K:$K, "&gt;" &amp; 'NSST Print'!$B$3, Investors!$A:$A, 'Investor Exit List'!A350, Investors!$E:$E, 'Investor Exit List'!C350)</f>
        <v/>
      </c>
      <c r="G350" s="126" t="n">
        <v>44791</v>
      </c>
      <c r="H350" s="124">
        <f>VLOOKUP($C350,Sales!$C:$E,2,FALSE)</f>
        <v/>
      </c>
      <c r="I350" s="124">
        <f>VLOOKUP($C350,Sales!$C:$E,3,FALSE)</f>
        <v/>
      </c>
      <c r="J350" s="126">
        <f>SUMIFS(Sales!$H:$H,Sales!$C:$C,'Investor Exit List'!$C350)</f>
        <v/>
      </c>
      <c r="K350" s="126">
        <f>IF(I350=TRUE,J350,"")</f>
        <v/>
      </c>
      <c r="L350" s="126">
        <f>G350+730</f>
        <v/>
      </c>
      <c r="M350" s="126" t="n">
        <v>45443</v>
      </c>
      <c r="N350" s="127">
        <f>IFERROR(IF(G350&lt;&gt;"",IF(I350=TRUE,0,IF(U350=TRUE,0,L350-M350)),0),0)</f>
        <v/>
      </c>
      <c r="O350" s="127">
        <f>IF(N350&gt;0,IF(N350&lt;=180,N350,0),0)</f>
        <v/>
      </c>
      <c r="P350" s="125">
        <f>IF(AND(N350&lt;90,N350&gt;0),Q350,0)</f>
        <v/>
      </c>
      <c r="Q350" s="125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25">
        <f>IF(AND(H350=TRUE,I350=FALSE),Q350,0)</f>
        <v/>
      </c>
      <c r="S350" s="125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26">
        <f>IF(U350=TRUE,$J350,"")</f>
        <v/>
      </c>
      <c r="U350" s="124" t="b">
        <v>0</v>
      </c>
      <c r="V350" s="125">
        <f>IF(AND(H350=TRUE,OR(K350="",K350&gt;M350)),S350,0)</f>
        <v/>
      </c>
      <c r="W350" s="124" t="n">
        <v>0</v>
      </c>
      <c r="X350" s="124" t="b">
        <v>0</v>
      </c>
      <c r="Y350" s="127">
        <f>IF(H350=FALSE,VLOOKUP($C350,Sales!$C:$F,4,FALSE),1)</f>
        <v/>
      </c>
      <c r="Z350" s="124">
        <f>IF(Y350=0,"Release",IF(AND(L350&lt;J350,Y350=1,H350=FALSE,U350=FALSE,MONTH(L350)&amp;"/"&amp;YEAR(L350)&lt;&gt;MONTH(J350)&amp;"/"&amp;YEAR(J350)),"Release",""))</f>
        <v/>
      </c>
      <c r="AA350" s="128">
        <f>_xlfn.minifs($L:$L,$C:$C,$C350,$F:$F,"&lt;&gt;0")</f>
        <v/>
      </c>
      <c r="AB350" s="128">
        <f>C350&amp;"-"&amp;A350</f>
        <v/>
      </c>
      <c r="AC350" s="128">
        <f>L350</f>
        <v/>
      </c>
    </row>
    <row r="351">
      <c r="A351" s="124" t="inlineStr">
        <is>
          <t>ZBRO01</t>
        </is>
      </c>
      <c r="B351" s="124" t="n">
        <v>3</v>
      </c>
      <c r="C351" s="124" t="inlineStr">
        <is>
          <t>HVJ301</t>
        </is>
      </c>
      <c r="D351" s="124" t="inlineStr">
        <is>
          <t>J</t>
        </is>
      </c>
      <c r="E351" s="124" t="inlineStr">
        <is>
          <t>Brown Craig Anthony Richard</t>
        </is>
      </c>
      <c r="F351" s="125">
        <f>SUMIFS(Investors!$M:$M, Investors!$I:$I, "&lt;=" &amp; 'NSST Print'!$B$3, Investors!$K:$K, "&gt;" &amp; 'NSST Print'!$B$3, Investors!$A:$A, 'Investor Exit List'!A351, Investors!$E:$E, 'Investor Exit List'!C351)</f>
        <v/>
      </c>
      <c r="G351" s="126" t="n">
        <v>44868</v>
      </c>
      <c r="H351" s="124">
        <f>VLOOKUP($C351,Sales!$C:$E,2,FALSE)</f>
        <v/>
      </c>
      <c r="I351" s="124">
        <f>VLOOKUP($C351,Sales!$C:$E,3,FALSE)</f>
        <v/>
      </c>
      <c r="J351" s="126">
        <f>SUMIFS(Sales!$H:$H,Sales!$C:$C,'Investor Exit List'!$C351)</f>
        <v/>
      </c>
      <c r="K351" s="126">
        <f>IF(I351=TRUE,J351,"")</f>
        <v/>
      </c>
      <c r="L351" s="126">
        <f>G351+730</f>
        <v/>
      </c>
      <c r="M351" s="126" t="n">
        <v>45443</v>
      </c>
      <c r="N351" s="127">
        <f>IFERROR(IF(G351&lt;&gt;"",IF(I351=TRUE,0,IF(U351=TRUE,0,L351-M351)),0),0)</f>
        <v/>
      </c>
      <c r="O351" s="127">
        <f>IF(N351&gt;0,IF(N351&lt;=180,N351,0),0)</f>
        <v/>
      </c>
      <c r="P351" s="125">
        <f>IF(AND(N351&lt;90,N351&gt;0),Q351,0)</f>
        <v/>
      </c>
      <c r="Q351" s="125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25">
        <f>IF(AND(H351=TRUE,I351=FALSE),Q351,0)</f>
        <v/>
      </c>
      <c r="S351" s="125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26">
        <f>IF(U351=TRUE,$J351,"")</f>
        <v/>
      </c>
      <c r="U351" s="124" t="b">
        <v>0</v>
      </c>
      <c r="V351" s="125">
        <f>IF(AND(H351=TRUE,OR(K351="",K351&gt;M351)),S351,0)</f>
        <v/>
      </c>
      <c r="W351" s="124" t="n">
        <v>0</v>
      </c>
      <c r="X351" s="124" t="b">
        <v>0</v>
      </c>
      <c r="Y351" s="127">
        <f>IF(H351=FALSE,VLOOKUP($C351,Sales!$C:$F,4,FALSE),1)</f>
        <v/>
      </c>
      <c r="Z351" s="124">
        <f>IF(Y351=0,"Release",IF(AND(L351&lt;J351,Y351=1,H351=FALSE,U351=FALSE,MONTH(L351)&amp;"/"&amp;YEAR(L351)&lt;&gt;MONTH(J351)&amp;"/"&amp;YEAR(J351)),"Release",""))</f>
        <v/>
      </c>
      <c r="AA351" s="128">
        <f>_xlfn.minifs($L:$L,$C:$C,$C351,$F:$F,"&lt;&gt;0")</f>
        <v/>
      </c>
      <c r="AB351" s="128">
        <f>C351&amp;"-"&amp;A351</f>
        <v/>
      </c>
      <c r="AC351" s="128">
        <f>L351</f>
        <v/>
      </c>
    </row>
    <row r="352">
      <c r="A352" s="124" t="inlineStr">
        <is>
          <t>ZMAN02</t>
        </is>
      </c>
      <c r="B352" s="124" t="n">
        <v>1</v>
      </c>
      <c r="C352" s="124" t="inlineStr">
        <is>
          <t>HVJ301</t>
        </is>
      </c>
      <c r="D352" s="124" t="inlineStr">
        <is>
          <t>J</t>
        </is>
      </c>
      <c r="E352" s="124" t="inlineStr">
        <is>
          <t>Mans (Witberg) Ilse</t>
        </is>
      </c>
      <c r="F352" s="125">
        <f>SUMIFS(Investors!$M:$M, Investors!$I:$I, "&lt;=" &amp; 'NSST Print'!$B$3, Investors!$K:$K, "&gt;" &amp; 'NSST Print'!$B$3, Investors!$A:$A, 'Investor Exit List'!A352, Investors!$E:$E, 'Investor Exit List'!C352)</f>
        <v/>
      </c>
      <c r="G352" s="126" t="n">
        <v>44811</v>
      </c>
      <c r="H352" s="124">
        <f>VLOOKUP($C352,Sales!$C:$E,2,FALSE)</f>
        <v/>
      </c>
      <c r="I352" s="124">
        <f>VLOOKUP($C352,Sales!$C:$E,3,FALSE)</f>
        <v/>
      </c>
      <c r="J352" s="126">
        <f>SUMIFS(Sales!$H:$H,Sales!$C:$C,'Investor Exit List'!$C352)</f>
        <v/>
      </c>
      <c r="K352" s="126">
        <f>IF(I352=TRUE,J352,"")</f>
        <v/>
      </c>
      <c r="L352" s="126">
        <f>G352+730</f>
        <v/>
      </c>
      <c r="M352" s="126" t="n">
        <v>45443</v>
      </c>
      <c r="N352" s="127">
        <f>IFERROR(IF(G352&lt;&gt;"",IF(I352=TRUE,0,IF(U352=TRUE,0,L352-M352)),0),0)</f>
        <v/>
      </c>
      <c r="O352" s="127">
        <f>IF(N352&gt;0,IF(N352&lt;=180,N352,0),0)</f>
        <v/>
      </c>
      <c r="P352" s="125">
        <f>IF(AND(N352&lt;90,N352&gt;0),Q352,0)</f>
        <v/>
      </c>
      <c r="Q352" s="125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25">
        <f>IF(AND(H352=TRUE,I352=FALSE),Q352,0)</f>
        <v/>
      </c>
      <c r="S352" s="125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26">
        <f>IF(U352=TRUE,$J352,"")</f>
        <v/>
      </c>
      <c r="U352" s="124" t="b">
        <v>0</v>
      </c>
      <c r="V352" s="125">
        <f>IF(AND(H352=TRUE,OR(K352="",K352&gt;M352)),S352,0)</f>
        <v/>
      </c>
      <c r="W352" s="124" t="n">
        <v>0</v>
      </c>
      <c r="X352" s="124" t="b">
        <v>0</v>
      </c>
      <c r="Y352" s="127">
        <f>IF(H352=FALSE,VLOOKUP($C352,Sales!$C:$F,4,FALSE),1)</f>
        <v/>
      </c>
      <c r="Z352" s="124">
        <f>IF(Y352=0,"Release",IF(AND(L352&lt;J352,Y352=1,H352=FALSE,U352=FALSE,MONTH(L352)&amp;"/"&amp;YEAR(L352)&lt;&gt;MONTH(J352)&amp;"/"&amp;YEAR(J352)),"Release",""))</f>
        <v/>
      </c>
      <c r="AA352" s="128">
        <f>_xlfn.minifs($L:$L,$C:$C,$C352,$F:$F,"&lt;&gt;0")</f>
        <v/>
      </c>
      <c r="AB352" s="128">
        <f>C352&amp;"-"&amp;A352</f>
        <v/>
      </c>
      <c r="AC352" s="128">
        <f>L352</f>
        <v/>
      </c>
    </row>
    <row r="353">
      <c r="A353" s="124" t="inlineStr">
        <is>
          <t>ZSMI03</t>
        </is>
      </c>
      <c r="B353" s="124" t="n">
        <v>2</v>
      </c>
      <c r="C353" s="124" t="inlineStr">
        <is>
          <t>HVJ301</t>
        </is>
      </c>
      <c r="D353" s="124" t="inlineStr">
        <is>
          <t>J</t>
        </is>
      </c>
      <c r="E353" s="124" t="inlineStr">
        <is>
          <t>Smit Eugene Patrick</t>
        </is>
      </c>
      <c r="F353" s="125">
        <f>SUMIFS(Investors!$M:$M, Investors!$I:$I, "&lt;=" &amp; 'NSST Print'!$B$3, Investors!$K:$K, "&gt;" &amp; 'NSST Print'!$B$3, Investors!$A:$A, 'Investor Exit List'!A353, Investors!$E:$E, 'Investor Exit List'!C353)</f>
        <v/>
      </c>
      <c r="G353" s="126" t="n">
        <v>44811</v>
      </c>
      <c r="H353" s="124">
        <f>VLOOKUP($C353,Sales!$C:$E,2,FALSE)</f>
        <v/>
      </c>
      <c r="I353" s="124">
        <f>VLOOKUP($C353,Sales!$C:$E,3,FALSE)</f>
        <v/>
      </c>
      <c r="J353" s="126">
        <f>SUMIFS(Sales!$H:$H,Sales!$C:$C,'Investor Exit List'!$C353)</f>
        <v/>
      </c>
      <c r="K353" s="126">
        <f>IF(I353=TRUE,J353,"")</f>
        <v/>
      </c>
      <c r="L353" s="126">
        <f>G353+730</f>
        <v/>
      </c>
      <c r="M353" s="126" t="n">
        <v>45443</v>
      </c>
      <c r="N353" s="127">
        <f>IFERROR(IF(G353&lt;&gt;"",IF(I353=TRUE,0,IF(U353=TRUE,0,L353-M353)),0),0)</f>
        <v/>
      </c>
      <c r="O353" s="127">
        <f>IF(N353&gt;0,IF(N353&lt;=180,N353,0),0)</f>
        <v/>
      </c>
      <c r="P353" s="125">
        <f>IF(AND(N353&lt;90,N353&gt;0),Q353,0)</f>
        <v/>
      </c>
      <c r="Q353" s="125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25">
        <f>IF(AND(H353=TRUE,I353=FALSE),Q353,0)</f>
        <v/>
      </c>
      <c r="S353" s="125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26">
        <f>IF(U353=TRUE,$J353,"")</f>
        <v/>
      </c>
      <c r="U353" s="124" t="b">
        <v>0</v>
      </c>
      <c r="V353" s="125">
        <f>IF(AND(H353=TRUE,OR(K353="",K353&gt;M353)),S353,0)</f>
        <v/>
      </c>
      <c r="W353" s="124" t="n">
        <v>0</v>
      </c>
      <c r="X353" s="124" t="b">
        <v>0</v>
      </c>
      <c r="Y353" s="127">
        <f>IF(H353=FALSE,VLOOKUP($C353,Sales!$C:$F,4,FALSE),1)</f>
        <v/>
      </c>
      <c r="Z353" s="124">
        <f>IF(Y353=0,"Release",IF(AND(L353&lt;J353,Y353=1,H353=FALSE,U353=FALSE,MONTH(L353)&amp;"/"&amp;YEAR(L353)&lt;&gt;MONTH(J353)&amp;"/"&amp;YEAR(J353)),"Release",""))</f>
        <v/>
      </c>
      <c r="AA353" s="128">
        <f>_xlfn.minifs($L:$L,$C:$C,$C353,$F:$F,"&lt;&gt;0")</f>
        <v/>
      </c>
      <c r="AB353" s="128">
        <f>C353&amp;"-"&amp;A353</f>
        <v/>
      </c>
      <c r="AC353" s="128">
        <f>L353</f>
        <v/>
      </c>
    </row>
    <row r="354">
      <c r="A354" s="124" t="inlineStr">
        <is>
          <t>ZMAN02</t>
        </is>
      </c>
      <c r="B354" s="124" t="n">
        <v>2</v>
      </c>
      <c r="C354" s="124" t="inlineStr">
        <is>
          <t>HVJ302</t>
        </is>
      </c>
      <c r="D354" s="124" t="inlineStr">
        <is>
          <t>J</t>
        </is>
      </c>
      <c r="E354" s="124" t="inlineStr">
        <is>
          <t>Mans (Witberg) Ilse</t>
        </is>
      </c>
      <c r="F354" s="125">
        <f>SUMIFS(Investors!$M:$M, Investors!$I:$I, "&lt;=" &amp; 'NSST Print'!$B$3, Investors!$K:$K, "&gt;" &amp; 'NSST Print'!$B$3, Investors!$A:$A, 'Investor Exit List'!A354, Investors!$E:$E, 'Investor Exit List'!C354)</f>
        <v/>
      </c>
      <c r="G354" s="126" t="n">
        <v>44811</v>
      </c>
      <c r="H354" s="124">
        <f>VLOOKUP($C354,Sales!$C:$E,2,FALSE)</f>
        <v/>
      </c>
      <c r="I354" s="124">
        <f>VLOOKUP($C354,Sales!$C:$E,3,FALSE)</f>
        <v/>
      </c>
      <c r="J354" s="126">
        <f>SUMIFS(Sales!$H:$H,Sales!$C:$C,'Investor Exit List'!$C354)</f>
        <v/>
      </c>
      <c r="K354" s="126">
        <f>IF(I354=TRUE,J354,"")</f>
        <v/>
      </c>
      <c r="L354" s="126">
        <f>G354+730</f>
        <v/>
      </c>
      <c r="M354" s="126" t="n">
        <v>45443</v>
      </c>
      <c r="N354" s="127">
        <f>IFERROR(IF(G354&lt;&gt;"",IF(I354=TRUE,0,IF(U354=TRUE,0,L354-M354)),0),0)</f>
        <v/>
      </c>
      <c r="O354" s="127">
        <f>IF(N354&gt;0,IF(N354&lt;=180,N354,0),0)</f>
        <v/>
      </c>
      <c r="P354" s="125">
        <f>IF(AND(N354&lt;90,N354&gt;0),Q354,0)</f>
        <v/>
      </c>
      <c r="Q354" s="125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25">
        <f>IF(AND(H354=TRUE,I354=FALSE),Q354,0)</f>
        <v/>
      </c>
      <c r="S354" s="125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26">
        <f>IF(U354=TRUE,$J354,"")</f>
        <v/>
      </c>
      <c r="U354" s="124" t="b">
        <v>0</v>
      </c>
      <c r="V354" s="125">
        <f>IF(AND(H354=TRUE,OR(K354="",K354&gt;M354)),S354,0)</f>
        <v/>
      </c>
      <c r="W354" s="124" t="n">
        <v>0</v>
      </c>
      <c r="X354" s="124" t="b">
        <v>0</v>
      </c>
      <c r="Y354" s="127">
        <f>IF(H354=FALSE,VLOOKUP($C354,Sales!$C:$F,4,FALSE),1)</f>
        <v/>
      </c>
      <c r="Z354" s="124">
        <f>IF(Y354=0,"Release",IF(AND(L354&lt;J354,Y354=1,H354=FALSE,U354=FALSE,MONTH(L354)&amp;"/"&amp;YEAR(L354)&lt;&gt;MONTH(J354)&amp;"/"&amp;YEAR(J354)),"Release",""))</f>
        <v/>
      </c>
      <c r="AA354" s="128">
        <f>_xlfn.minifs($L:$L,$C:$C,$C354,$F:$F,"&lt;&gt;0")</f>
        <v/>
      </c>
      <c r="AB354" s="128">
        <f>C354&amp;"-"&amp;A354</f>
        <v/>
      </c>
      <c r="AC354" s="128">
        <f>L354</f>
        <v/>
      </c>
    </row>
    <row r="355">
      <c r="A355" s="124" t="inlineStr">
        <is>
          <t>ZVER04</t>
        </is>
      </c>
      <c r="B355" s="124" t="n">
        <v>1</v>
      </c>
      <c r="C355" s="124" t="inlineStr">
        <is>
          <t>HVJ302</t>
        </is>
      </c>
      <c r="D355" s="124" t="inlineStr">
        <is>
          <t>J</t>
        </is>
      </c>
      <c r="E355" s="124" t="inlineStr">
        <is>
          <t>Vermeulen Floris Nicolaas</t>
        </is>
      </c>
      <c r="F355" s="125">
        <f>SUMIFS(Investors!$M:$M, Investors!$I:$I, "&lt;=" &amp; 'NSST Print'!$B$3, Investors!$K:$K, "&gt;" &amp; 'NSST Print'!$B$3, Investors!$A:$A, 'Investor Exit List'!A355, Investors!$E:$E, 'Investor Exit List'!C355)</f>
        <v/>
      </c>
      <c r="G355" s="126" t="n">
        <v>44798</v>
      </c>
      <c r="H355" s="124">
        <f>VLOOKUP($C355,Sales!$C:$E,2,FALSE)</f>
        <v/>
      </c>
      <c r="I355" s="124">
        <f>VLOOKUP($C355,Sales!$C:$E,3,FALSE)</f>
        <v/>
      </c>
      <c r="J355" s="126">
        <f>SUMIFS(Sales!$H:$H,Sales!$C:$C,'Investor Exit List'!$C355)</f>
        <v/>
      </c>
      <c r="K355" s="126">
        <f>IF(I355=TRUE,J355,"")</f>
        <v/>
      </c>
      <c r="L355" s="126">
        <f>G355+730</f>
        <v/>
      </c>
      <c r="M355" s="126" t="n">
        <v>45443</v>
      </c>
      <c r="N355" s="127">
        <f>IFERROR(IF(G355&lt;&gt;"",IF(I355=TRUE,0,IF(U355=TRUE,0,L355-M355)),0),0)</f>
        <v/>
      </c>
      <c r="O355" s="127">
        <f>IF(N355&gt;0,IF(N355&lt;=180,N355,0),0)</f>
        <v/>
      </c>
      <c r="P355" s="125">
        <f>IF(AND(N355&lt;90,N355&gt;0),Q355,0)</f>
        <v/>
      </c>
      <c r="Q355" s="125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25">
        <f>IF(AND(H355=TRUE,I355=FALSE),Q355,0)</f>
        <v/>
      </c>
      <c r="S355" s="125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26">
        <f>IF(U355=TRUE,$J355,"")</f>
        <v/>
      </c>
      <c r="U355" s="124" t="b">
        <v>0</v>
      </c>
      <c r="V355" s="125">
        <f>IF(AND(H355=TRUE,OR(K355="",K355&gt;M355)),S355,0)</f>
        <v/>
      </c>
      <c r="W355" s="124" t="n">
        <v>0</v>
      </c>
      <c r="X355" s="124" t="b">
        <v>0</v>
      </c>
      <c r="Y355" s="127">
        <f>IF(H355=FALSE,VLOOKUP($C355,Sales!$C:$F,4,FALSE),1)</f>
        <v/>
      </c>
      <c r="Z355" s="124">
        <f>IF(Y355=0,"Release",IF(AND(L355&lt;J355,Y355=1,H355=FALSE,U355=FALSE,MONTH(L355)&amp;"/"&amp;YEAR(L355)&lt;&gt;MONTH(J355)&amp;"/"&amp;YEAR(J355)),"Release",""))</f>
        <v/>
      </c>
      <c r="AA355" s="128">
        <f>_xlfn.minifs($L:$L,$C:$C,$C355,$F:$F,"&lt;&gt;0")</f>
        <v/>
      </c>
      <c r="AB355" s="128">
        <f>C355&amp;"-"&amp;A355</f>
        <v/>
      </c>
      <c r="AC355" s="128">
        <f>L355</f>
        <v/>
      </c>
    </row>
    <row r="356">
      <c r="A356" s="124" t="inlineStr">
        <is>
          <t>ZHAY01</t>
        </is>
      </c>
      <c r="B356" s="124" t="n">
        <v>3</v>
      </c>
      <c r="C356" s="124" t="inlineStr">
        <is>
          <t>HVJ303</t>
        </is>
      </c>
      <c r="D356" s="124" t="inlineStr">
        <is>
          <t>J</t>
        </is>
      </c>
      <c r="E356" s="124" t="inlineStr">
        <is>
          <t>Haywood Johannes Wynand</t>
        </is>
      </c>
      <c r="F356" s="125">
        <f>SUMIFS(Investors!$M:$M, Investors!$I:$I, "&lt;=" &amp; 'NSST Print'!$B$3, Investors!$K:$K, "&gt;" &amp; 'NSST Print'!$B$3, Investors!$A:$A, 'Investor Exit List'!A356, Investors!$E:$E, 'Investor Exit List'!C356)</f>
        <v/>
      </c>
      <c r="G356" s="126" t="n">
        <v>45450</v>
      </c>
      <c r="H356" s="124">
        <f>VLOOKUP($C356,Sales!$C:$E,2,FALSE)</f>
        <v/>
      </c>
      <c r="I356" s="124">
        <f>VLOOKUP($C356,Sales!$C:$E,3,FALSE)</f>
        <v/>
      </c>
      <c r="J356" s="126">
        <f>SUMIFS(Sales!$H:$H,Sales!$C:$C,'Investor Exit List'!$C356)</f>
        <v/>
      </c>
      <c r="K356" s="126">
        <f>IF(I356=TRUE,J356,"")</f>
        <v/>
      </c>
      <c r="L356" s="126">
        <f>G356+730</f>
        <v/>
      </c>
      <c r="M356" s="126" t="n">
        <v>45443</v>
      </c>
      <c r="N356" s="127">
        <f>IFERROR(IF(G356&lt;&gt;"",IF(I356=TRUE,0,IF(U356=TRUE,0,L356-M356)),0),0)</f>
        <v/>
      </c>
      <c r="O356" s="127">
        <f>IF(N356&gt;0,IF(N356&lt;=180,N356,0),0)</f>
        <v/>
      </c>
      <c r="P356" s="125">
        <f>IF(AND(N356&lt;90,N356&gt;0),Q356,0)</f>
        <v/>
      </c>
      <c r="Q356" s="125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25">
        <f>IF(AND(H356=TRUE,I356=FALSE),Q356,0)</f>
        <v/>
      </c>
      <c r="S356" s="125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26">
        <f>IF(U356=TRUE,$J356,"")</f>
        <v/>
      </c>
      <c r="U356" s="124" t="b">
        <v>0</v>
      </c>
      <c r="V356" s="125">
        <f>IF(AND(H356=TRUE,OR(K356="",K356&gt;M356)),S356,0)</f>
        <v/>
      </c>
      <c r="W356" s="124" t="n">
        <v>0</v>
      </c>
      <c r="X356" s="124" t="b">
        <v>0</v>
      </c>
      <c r="Y356" s="127">
        <f>IF(H356=FALSE,VLOOKUP($C356,Sales!$C:$F,4,FALSE),1)</f>
        <v/>
      </c>
      <c r="Z356" s="124">
        <f>IF(Y356=0,"Release",IF(AND(L356&lt;J356,Y356=1,H356=FALSE,U356=FALSE,MONTH(L356)&amp;"/"&amp;YEAR(L356)&lt;&gt;MONTH(J356)&amp;"/"&amp;YEAR(J356)),"Release",""))</f>
        <v/>
      </c>
      <c r="AA356" s="128">
        <f>_xlfn.minifs($L:$L,$C:$C,$C356,$F:$F,"&lt;&gt;0")</f>
        <v/>
      </c>
      <c r="AB356" s="128">
        <f>C356&amp;"-"&amp;A356</f>
        <v/>
      </c>
      <c r="AC356" s="128">
        <f>L356</f>
        <v/>
      </c>
    </row>
    <row r="357">
      <c r="A357" s="124" t="inlineStr">
        <is>
          <t>ZKRU01</t>
        </is>
      </c>
      <c r="B357" s="124" t="n">
        <v>10</v>
      </c>
      <c r="C357" s="124" t="inlineStr">
        <is>
          <t>HVJ303</t>
        </is>
      </c>
      <c r="D357" s="124" t="inlineStr">
        <is>
          <t>J</t>
        </is>
      </c>
      <c r="E357" s="124" t="inlineStr">
        <is>
          <t>Kruger Jurgen</t>
        </is>
      </c>
      <c r="F357" s="125">
        <f>SUMIFS(Investors!$M:$M, Investors!$I:$I, "&lt;=" &amp; 'NSST Print'!$B$3, Investors!$K:$K, "&gt;" &amp; 'NSST Print'!$B$3, Investors!$A:$A, 'Investor Exit List'!A357, Investors!$E:$E, 'Investor Exit List'!C357)</f>
        <v/>
      </c>
      <c r="G357" s="126" t="n">
        <v>45450</v>
      </c>
      <c r="H357" s="124">
        <f>VLOOKUP($C357,Sales!$C:$E,2,FALSE)</f>
        <v/>
      </c>
      <c r="I357" s="124">
        <f>VLOOKUP($C357,Sales!$C:$E,3,FALSE)</f>
        <v/>
      </c>
      <c r="J357" s="126">
        <f>SUMIFS(Sales!$H:$H,Sales!$C:$C,'Investor Exit List'!$C357)</f>
        <v/>
      </c>
      <c r="K357" s="126">
        <f>IF(I357=TRUE,J357,"")</f>
        <v/>
      </c>
      <c r="L357" s="126">
        <f>G357+730</f>
        <v/>
      </c>
      <c r="M357" s="126" t="n">
        <v>45443</v>
      </c>
      <c r="N357" s="127">
        <f>IFERROR(IF(G357&lt;&gt;"",IF(I357=TRUE,0,IF(U357=TRUE,0,L357-M357)),0),0)</f>
        <v/>
      </c>
      <c r="O357" s="127">
        <f>IF(N357&gt;0,IF(N357&lt;=180,N357,0),0)</f>
        <v/>
      </c>
      <c r="P357" s="125">
        <f>IF(AND(N357&lt;90,N357&gt;0),Q357,0)</f>
        <v/>
      </c>
      <c r="Q357" s="125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25">
        <f>IF(AND(H357=TRUE,I357=FALSE),Q357,0)</f>
        <v/>
      </c>
      <c r="S357" s="125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26">
        <f>IF(U357=TRUE,$J357,"")</f>
        <v/>
      </c>
      <c r="U357" s="124" t="b">
        <v>0</v>
      </c>
      <c r="V357" s="125">
        <f>IF(AND(H357=TRUE,OR(K357="",K357&gt;M357)),S357,0)</f>
        <v/>
      </c>
      <c r="W357" s="124" t="n">
        <v>0</v>
      </c>
      <c r="X357" s="124" t="b">
        <v>0</v>
      </c>
      <c r="Y357" s="127">
        <f>IF(H357=FALSE,VLOOKUP($C357,Sales!$C:$F,4,FALSE),1)</f>
        <v/>
      </c>
      <c r="Z357" s="124">
        <f>IF(Y357=0,"Release",IF(AND(L357&lt;J357,Y357=1,H357=FALSE,U357=FALSE,MONTH(L357)&amp;"/"&amp;YEAR(L357)&lt;&gt;MONTH(J357)&amp;"/"&amp;YEAR(J357)),"Release",""))</f>
        <v/>
      </c>
      <c r="AA357" s="128">
        <f>_xlfn.minifs($L:$L,$C:$C,$C357,$F:$F,"&lt;&gt;0")</f>
        <v/>
      </c>
      <c r="AB357" s="128">
        <f>C357&amp;"-"&amp;A357</f>
        <v/>
      </c>
      <c r="AC357" s="128">
        <f>L357</f>
        <v/>
      </c>
    </row>
    <row r="358">
      <c r="A358" s="124" t="inlineStr">
        <is>
          <t>ZPLA01</t>
        </is>
      </c>
      <c r="B358" s="124" t="n">
        <v>4</v>
      </c>
      <c r="C358" s="124" t="inlineStr">
        <is>
          <t>HVJ303</t>
        </is>
      </c>
      <c r="D358" s="124" t="inlineStr">
        <is>
          <t>J</t>
        </is>
      </c>
      <c r="E358" s="124" t="inlineStr">
        <is>
          <t>Placzkowska Aneta</t>
        </is>
      </c>
      <c r="F358" s="125">
        <f>SUMIFS(Investors!$M:$M, Investors!$I:$I, "&lt;=" &amp; 'NSST Print'!$B$3, Investors!$K:$K, "&gt;" &amp; 'NSST Print'!$B$3, Investors!$A:$A, 'Investor Exit List'!A358, Investors!$E:$E, 'Investor Exit List'!C358)</f>
        <v/>
      </c>
      <c r="G358" s="126" t="n">
        <v>45450</v>
      </c>
      <c r="H358" s="124">
        <f>VLOOKUP($C358,Sales!$C:$E,2,FALSE)</f>
        <v/>
      </c>
      <c r="I358" s="124">
        <f>VLOOKUP($C358,Sales!$C:$E,3,FALSE)</f>
        <v/>
      </c>
      <c r="J358" s="126">
        <f>SUMIFS(Sales!$H:$H,Sales!$C:$C,'Investor Exit List'!$C358)</f>
        <v/>
      </c>
      <c r="K358" s="126">
        <f>IF(I358=TRUE,J358,"")</f>
        <v/>
      </c>
      <c r="L358" s="126">
        <f>G358+730</f>
        <v/>
      </c>
      <c r="M358" s="126" t="n">
        <v>45443</v>
      </c>
      <c r="N358" s="127">
        <f>IFERROR(IF(G358&lt;&gt;"",IF(I358=TRUE,0,IF(U358=TRUE,0,L358-M358)),0),0)</f>
        <v/>
      </c>
      <c r="O358" s="127">
        <f>IF(N358&gt;0,IF(N358&lt;=180,N358,0),0)</f>
        <v/>
      </c>
      <c r="P358" s="125">
        <f>IF(AND(N358&lt;90,N358&gt;0),Q358,0)</f>
        <v/>
      </c>
      <c r="Q358" s="125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25">
        <f>IF(AND(H358=TRUE,I358=FALSE),Q358,0)</f>
        <v/>
      </c>
      <c r="S358" s="125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26">
        <f>IF(U358=TRUE,$J358,"")</f>
        <v/>
      </c>
      <c r="U358" s="124" t="b">
        <v>0</v>
      </c>
      <c r="V358" s="125">
        <f>IF(AND(H358=TRUE,OR(K358="",K358&gt;M358)),S358,0)</f>
        <v/>
      </c>
      <c r="W358" s="124" t="n">
        <v>0</v>
      </c>
      <c r="X358" s="124" t="b">
        <v>0</v>
      </c>
      <c r="Y358" s="127">
        <f>IF(H358=FALSE,VLOOKUP($C358,Sales!$C:$F,4,FALSE),1)</f>
        <v/>
      </c>
      <c r="Z358" s="124">
        <f>IF(Y358=0,"Release",IF(AND(L358&lt;J358,Y358=1,H358=FALSE,U358=FALSE,MONTH(L358)&amp;"/"&amp;YEAR(L358)&lt;&gt;MONTH(J358)&amp;"/"&amp;YEAR(J358)),"Release",""))</f>
        <v/>
      </c>
      <c r="AA358" s="128">
        <f>_xlfn.minifs($L:$L,$C:$C,$C358,$F:$F,"&lt;&gt;0")</f>
        <v/>
      </c>
      <c r="AB358" s="128">
        <f>C358&amp;"-"&amp;A358</f>
        <v/>
      </c>
      <c r="AC358" s="128">
        <f>L358</f>
        <v/>
      </c>
    </row>
    <row r="359">
      <c r="A359" s="124" t="inlineStr">
        <is>
          <t>ZVER04</t>
        </is>
      </c>
      <c r="B359" s="124" t="n">
        <v>2</v>
      </c>
      <c r="C359" s="124" t="inlineStr">
        <is>
          <t>HVJ303</t>
        </is>
      </c>
      <c r="D359" s="124" t="inlineStr">
        <is>
          <t>J</t>
        </is>
      </c>
      <c r="E359" s="124" t="inlineStr">
        <is>
          <t>Vermeulen Floris Nicolaas</t>
        </is>
      </c>
      <c r="F359" s="125">
        <f>SUMIFS(Investors!$M:$M, Investors!$I:$I, "&lt;=" &amp; 'NSST Print'!$B$3, Investors!$K:$K, "&gt;" &amp; 'NSST Print'!$B$3, Investors!$A:$A, 'Investor Exit List'!A359, Investors!$E:$E, 'Investor Exit List'!C359)</f>
        <v/>
      </c>
      <c r="G359" s="126" t="n">
        <v>44798</v>
      </c>
      <c r="H359" s="124">
        <f>VLOOKUP($C359,Sales!$C:$E,2,FALSE)</f>
        <v/>
      </c>
      <c r="I359" s="124">
        <f>VLOOKUP($C359,Sales!$C:$E,3,FALSE)</f>
        <v/>
      </c>
      <c r="J359" s="126">
        <f>SUMIFS(Sales!$H:$H,Sales!$C:$C,'Investor Exit List'!$C359)</f>
        <v/>
      </c>
      <c r="K359" s="126">
        <f>IF(I359=TRUE,J359,"")</f>
        <v/>
      </c>
      <c r="L359" s="126">
        <f>G359+730</f>
        <v/>
      </c>
      <c r="M359" s="126" t="n">
        <v>45443</v>
      </c>
      <c r="N359" s="127">
        <f>IFERROR(IF(G359&lt;&gt;"",IF(I359=TRUE,0,IF(U359=TRUE,0,L359-M359)),0),0)</f>
        <v/>
      </c>
      <c r="O359" s="127">
        <f>IF(N359&gt;0,IF(N359&lt;=180,N359,0),0)</f>
        <v/>
      </c>
      <c r="P359" s="125">
        <f>IF(AND(N359&lt;90,N359&gt;0),Q359,0)</f>
        <v/>
      </c>
      <c r="Q359" s="125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25">
        <f>IF(AND(H359=TRUE,I359=FALSE),Q359,0)</f>
        <v/>
      </c>
      <c r="S359" s="125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26">
        <f>IF(U359=TRUE,$J359,"")</f>
        <v/>
      </c>
      <c r="U359" s="124" t="b">
        <v>1</v>
      </c>
      <c r="V359" s="125">
        <f>IF(AND(H359=TRUE,OR(K359="",K359&gt;M359)),S359,0)</f>
        <v/>
      </c>
      <c r="W359" s="124" t="n">
        <v>0</v>
      </c>
      <c r="X359" s="124" t="b">
        <v>0</v>
      </c>
      <c r="Y359" s="127">
        <f>IF(H359=FALSE,VLOOKUP($C359,Sales!$C:$F,4,FALSE),1)</f>
        <v/>
      </c>
      <c r="Z359" s="124">
        <f>IF(Y359=0,"Release",IF(AND(L359&lt;J359,Y359=1,H359=FALSE,U359=FALSE,MONTH(L359)&amp;"/"&amp;YEAR(L359)&lt;&gt;MONTH(J359)&amp;"/"&amp;YEAR(J359)),"Release",""))</f>
        <v/>
      </c>
      <c r="AA359" s="128">
        <f>_xlfn.minifs($L:$L,$C:$C,$C359,$F:$F,"&lt;&gt;0")</f>
        <v/>
      </c>
      <c r="AB359" s="128">
        <f>C359&amp;"-"&amp;A359</f>
        <v/>
      </c>
      <c r="AC359" s="128">
        <f>L359</f>
        <v/>
      </c>
    </row>
    <row r="360">
      <c r="A360" s="124" t="inlineStr">
        <is>
          <t>ZFOU02</t>
        </is>
      </c>
      <c r="B360" s="124" t="n">
        <v>1</v>
      </c>
      <c r="C360" s="124" t="inlineStr">
        <is>
          <t>HVJ401</t>
        </is>
      </c>
      <c r="D360" s="124" t="inlineStr">
        <is>
          <t>J</t>
        </is>
      </c>
      <c r="E360" s="124" t="inlineStr">
        <is>
          <t>Fountain Clyde Michael</t>
        </is>
      </c>
      <c r="F360" s="125">
        <f>SUMIFS(Investors!$M:$M, Investors!$I:$I, "&lt;=" &amp; 'NSST Print'!$B$3, Investors!$K:$K, "&gt;" &amp; 'NSST Print'!$B$3, Investors!$A:$A, 'Investor Exit List'!A360, Investors!$E:$E, 'Investor Exit List'!C360)</f>
        <v/>
      </c>
      <c r="G360" s="126" t="n">
        <v>44811</v>
      </c>
      <c r="H360" s="124">
        <f>VLOOKUP($C360,Sales!$C:$E,2,FALSE)</f>
        <v/>
      </c>
      <c r="I360" s="124">
        <f>VLOOKUP($C360,Sales!$C:$E,3,FALSE)</f>
        <v/>
      </c>
      <c r="J360" s="126">
        <f>SUMIFS(Sales!$H:$H,Sales!$C:$C,'Investor Exit List'!$C360)</f>
        <v/>
      </c>
      <c r="K360" s="126">
        <f>IF(I360=TRUE,J360,"")</f>
        <v/>
      </c>
      <c r="L360" s="126">
        <f>G360+730</f>
        <v/>
      </c>
      <c r="M360" s="126" t="n">
        <v>45443</v>
      </c>
      <c r="N360" s="127">
        <f>IFERROR(IF(G360&lt;&gt;"",IF(I360=TRUE,0,IF(U360=TRUE,0,L360-M360)),0),0)</f>
        <v/>
      </c>
      <c r="O360" s="127">
        <f>IF(N360&gt;0,IF(N360&lt;=180,N360,0),0)</f>
        <v/>
      </c>
      <c r="P360" s="125">
        <f>IF(AND(N360&lt;90,N360&gt;0),Q360,0)</f>
        <v/>
      </c>
      <c r="Q360" s="125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25">
        <f>IF(AND(H360=TRUE,I360=FALSE),Q360,0)</f>
        <v/>
      </c>
      <c r="S360" s="125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26">
        <f>IF(U360=TRUE,$J360,"")</f>
        <v/>
      </c>
      <c r="U360" s="124" t="b">
        <v>0</v>
      </c>
      <c r="V360" s="125">
        <f>IF(AND(H360=TRUE,OR(K360="",K360&gt;M360)),S360,0)</f>
        <v/>
      </c>
      <c r="W360" s="124" t="n">
        <v>0</v>
      </c>
      <c r="X360" s="124" t="b">
        <v>0</v>
      </c>
      <c r="Y360" s="127">
        <f>IF(H360=FALSE,VLOOKUP($C360,Sales!$C:$F,4,FALSE),1)</f>
        <v/>
      </c>
      <c r="Z360" s="124">
        <f>IF(Y360=0,"Release",IF(AND(L360&lt;J360,Y360=1,H360=FALSE,U360=FALSE,MONTH(L360)&amp;"/"&amp;YEAR(L360)&lt;&gt;MONTH(J360)&amp;"/"&amp;YEAR(J360)),"Release",""))</f>
        <v/>
      </c>
      <c r="AA360" s="128">
        <f>_xlfn.minifs($L:$L,$C:$C,$C360,$F:$F,"&lt;&gt;0")</f>
        <v/>
      </c>
      <c r="AB360" s="128">
        <f>C360&amp;"-"&amp;A360</f>
        <v/>
      </c>
      <c r="AC360" s="128">
        <f>L360</f>
        <v/>
      </c>
    </row>
    <row r="361">
      <c r="A361" s="124" t="inlineStr">
        <is>
          <t>ZHAY01</t>
        </is>
      </c>
      <c r="B361" s="124" t="n">
        <v>7</v>
      </c>
      <c r="C361" s="124" t="inlineStr">
        <is>
          <t>HVJ401</t>
        </is>
      </c>
      <c r="D361" s="124" t="inlineStr">
        <is>
          <t>J</t>
        </is>
      </c>
      <c r="E361" s="124" t="inlineStr">
        <is>
          <t>Haywood Johannes Wynand</t>
        </is>
      </c>
      <c r="F361" s="125">
        <f>SUMIFS(Investors!$M:$M, Investors!$I:$I, "&lt;=" &amp; 'NSST Print'!$B$3, Investors!$K:$K, "&gt;" &amp; 'NSST Print'!$B$3, Investors!$A:$A, 'Investor Exit List'!A361, Investors!$E:$E, 'Investor Exit List'!C361)</f>
        <v/>
      </c>
      <c r="G361" s="126" t="n">
        <v>45464</v>
      </c>
      <c r="H361" s="124">
        <f>VLOOKUP($C361,Sales!$C:$E,2,FALSE)</f>
        <v/>
      </c>
      <c r="I361" s="124">
        <f>VLOOKUP($C361,Sales!$C:$E,3,FALSE)</f>
        <v/>
      </c>
      <c r="J361" s="126">
        <f>SUMIFS(Sales!$H:$H,Sales!$C:$C,'Investor Exit List'!$C361)</f>
        <v/>
      </c>
      <c r="K361" s="126">
        <f>IF(I361=TRUE,J361,"")</f>
        <v/>
      </c>
      <c r="L361" s="126">
        <f>G361+730</f>
        <v/>
      </c>
      <c r="M361" s="126" t="n">
        <v>45443</v>
      </c>
      <c r="N361" s="127">
        <f>IFERROR(IF(G361&lt;&gt;"",IF(I361=TRUE,0,IF(U361=TRUE,0,L361-M361)),0),0)</f>
        <v/>
      </c>
      <c r="O361" s="127">
        <f>IF(N361&gt;0,IF(N361&lt;=180,N361,0),0)</f>
        <v/>
      </c>
      <c r="P361" s="125">
        <f>IF(AND(N361&lt;90,N361&gt;0),Q361,0)</f>
        <v/>
      </c>
      <c r="Q361" s="125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25">
        <f>IF(AND(H361=TRUE,I361=FALSE),Q361,0)</f>
        <v/>
      </c>
      <c r="S361" s="125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26">
        <f>IF(U361=TRUE,$J361,"")</f>
        <v/>
      </c>
      <c r="U361" s="124" t="b">
        <v>0</v>
      </c>
      <c r="V361" s="125">
        <f>IF(AND(H361=TRUE,OR(K361="",K361&gt;M361)),S361,0)</f>
        <v/>
      </c>
      <c r="W361" s="124" t="n">
        <v>0</v>
      </c>
      <c r="X361" s="124" t="b">
        <v>0</v>
      </c>
      <c r="Y361" s="127">
        <f>IF(H361=FALSE,VLOOKUP($C361,Sales!$C:$F,4,FALSE),1)</f>
        <v/>
      </c>
      <c r="Z361" s="124">
        <f>IF(Y361=0,"Release",IF(AND(L361&lt;J361,Y361=1,H361=FALSE,U361=FALSE,MONTH(L361)&amp;"/"&amp;YEAR(L361)&lt;&gt;MONTH(J361)&amp;"/"&amp;YEAR(J361)),"Release",""))</f>
        <v/>
      </c>
      <c r="AA361" s="128">
        <f>_xlfn.minifs($L:$L,$C:$C,$C361,$F:$F,"&lt;&gt;0")</f>
        <v/>
      </c>
      <c r="AB361" s="128">
        <f>C361&amp;"-"&amp;A361</f>
        <v/>
      </c>
      <c r="AC361" s="128">
        <f>L361</f>
        <v/>
      </c>
    </row>
    <row r="362">
      <c r="A362" s="124" t="inlineStr">
        <is>
          <t>ZJAN01</t>
        </is>
      </c>
      <c r="B362" s="124" t="n">
        <v>3</v>
      </c>
      <c r="C362" s="124" t="inlineStr">
        <is>
          <t>HVJ401</t>
        </is>
      </c>
      <c r="D362" s="124" t="inlineStr">
        <is>
          <t>J</t>
        </is>
      </c>
      <c r="E362" s="124" t="inlineStr">
        <is>
          <t>Jansen van Rensburg Petrus Johannes</t>
        </is>
      </c>
      <c r="F362" s="125">
        <f>SUMIFS(Investors!$M:$M, Investors!$I:$I, "&lt;=" &amp; 'NSST Print'!$B$3, Investors!$K:$K, "&gt;" &amp; 'NSST Print'!$B$3, Investors!$A:$A, 'Investor Exit List'!A362, Investors!$E:$E, 'Investor Exit List'!C362)</f>
        <v/>
      </c>
      <c r="G362" s="126" t="n">
        <v>45464</v>
      </c>
      <c r="H362" s="124">
        <f>VLOOKUP($C362,Sales!$C:$E,2,FALSE)</f>
        <v/>
      </c>
      <c r="I362" s="124">
        <f>VLOOKUP($C362,Sales!$C:$E,3,FALSE)</f>
        <v/>
      </c>
      <c r="J362" s="126">
        <f>SUMIFS(Sales!$H:$H,Sales!$C:$C,'Investor Exit List'!$C362)</f>
        <v/>
      </c>
      <c r="K362" s="126">
        <f>IF(I362=TRUE,J362,"")</f>
        <v/>
      </c>
      <c r="L362" s="126">
        <f>G362+730</f>
        <v/>
      </c>
      <c r="M362" s="126" t="n">
        <v>45443</v>
      </c>
      <c r="N362" s="127">
        <f>IFERROR(IF(G362&lt;&gt;"",IF(I362=TRUE,0,IF(U362=TRUE,0,L362-M362)),0),0)</f>
        <v/>
      </c>
      <c r="O362" s="127">
        <f>IF(N362&gt;0,IF(N362&lt;=180,N362,0),0)</f>
        <v/>
      </c>
      <c r="P362" s="125">
        <f>IF(AND(N362&lt;90,N362&gt;0),Q362,0)</f>
        <v/>
      </c>
      <c r="Q362" s="125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25">
        <f>IF(AND(H362=TRUE,I362=FALSE),Q362,0)</f>
        <v/>
      </c>
      <c r="S362" s="125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26">
        <f>IF(U362=TRUE,$J362,"")</f>
        <v/>
      </c>
      <c r="U362" s="124" t="b">
        <v>0</v>
      </c>
      <c r="V362" s="125">
        <f>IF(AND(H362=TRUE,OR(K362="",K362&gt;M362)),S362,0)</f>
        <v/>
      </c>
      <c r="W362" s="124" t="n">
        <v>0</v>
      </c>
      <c r="X362" s="124" t="b">
        <v>0</v>
      </c>
      <c r="Y362" s="127">
        <f>IF(H362=FALSE,VLOOKUP($C362,Sales!$C:$F,4,FALSE),1)</f>
        <v/>
      </c>
      <c r="Z362" s="124">
        <f>IF(Y362=0,"Release",IF(AND(L362&lt;J362,Y362=1,H362=FALSE,U362=FALSE,MONTH(L362)&amp;"/"&amp;YEAR(L362)&lt;&gt;MONTH(J362)&amp;"/"&amp;YEAR(J362)),"Release",""))</f>
        <v/>
      </c>
      <c r="AA362" s="128">
        <f>_xlfn.minifs($L:$L,$C:$C,$C362,$F:$F,"&lt;&gt;0")</f>
        <v/>
      </c>
      <c r="AB362" s="128">
        <f>C362&amp;"-"&amp;A362</f>
        <v/>
      </c>
      <c r="AC362" s="128">
        <f>L362</f>
        <v/>
      </c>
    </row>
    <row r="363">
      <c r="A363" s="124" t="inlineStr">
        <is>
          <t>ZZYL03</t>
        </is>
      </c>
      <c r="B363" s="124" t="n">
        <v>6</v>
      </c>
      <c r="C363" s="124" t="inlineStr">
        <is>
          <t>HVJ401</t>
        </is>
      </c>
      <c r="D363" s="124" t="inlineStr">
        <is>
          <t>J</t>
        </is>
      </c>
      <c r="E363" s="124" t="inlineStr">
        <is>
          <t>Zylstra Sandra Robyn</t>
        </is>
      </c>
      <c r="F363" s="125">
        <f>SUMIFS(Investors!$M:$M, Investors!$I:$I, "&lt;=" &amp; 'NSST Print'!$B$3, Investors!$K:$K, "&gt;" &amp; 'NSST Print'!$B$3, Investors!$A:$A, 'Investor Exit List'!A363, Investors!$E:$E, 'Investor Exit List'!C363)</f>
        <v/>
      </c>
      <c r="G363" s="126" t="n">
        <v>45464</v>
      </c>
      <c r="H363" s="124">
        <f>VLOOKUP($C363,Sales!$C:$E,2,FALSE)</f>
        <v/>
      </c>
      <c r="I363" s="124">
        <f>VLOOKUP($C363,Sales!$C:$E,3,FALSE)</f>
        <v/>
      </c>
      <c r="J363" s="126">
        <f>SUMIFS(Sales!$H:$H,Sales!$C:$C,'Investor Exit List'!$C363)</f>
        <v/>
      </c>
      <c r="K363" s="126">
        <f>IF(I363=TRUE,J363,"")</f>
        <v/>
      </c>
      <c r="L363" s="126">
        <f>G363+730</f>
        <v/>
      </c>
      <c r="M363" s="126" t="n">
        <v>45443</v>
      </c>
      <c r="N363" s="127">
        <f>IFERROR(IF(G363&lt;&gt;"",IF(I363=TRUE,0,IF(U363=TRUE,0,L363-M363)),0),0)</f>
        <v/>
      </c>
      <c r="O363" s="127">
        <f>IF(N363&gt;0,IF(N363&lt;=180,N363,0),0)</f>
        <v/>
      </c>
      <c r="P363" s="125">
        <f>IF(AND(N363&lt;90,N363&gt;0),Q363,0)</f>
        <v/>
      </c>
      <c r="Q363" s="125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25">
        <f>IF(AND(H363=TRUE,I363=FALSE),Q363,0)</f>
        <v/>
      </c>
      <c r="S363" s="125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26">
        <f>IF(U363=TRUE,$J363,"")</f>
        <v/>
      </c>
      <c r="U363" s="124" t="b">
        <v>0</v>
      </c>
      <c r="V363" s="125">
        <f>IF(AND(H363=TRUE,OR(K363="",K363&gt;M363)),S363,0)</f>
        <v/>
      </c>
      <c r="W363" s="124" t="n">
        <v>0</v>
      </c>
      <c r="X363" s="124" t="b">
        <v>0</v>
      </c>
      <c r="Y363" s="127">
        <f>IF(H363=FALSE,VLOOKUP($C363,Sales!$C:$F,4,FALSE),1)</f>
        <v/>
      </c>
      <c r="Z363" s="124">
        <f>IF(Y363=0,"Release",IF(AND(L363&lt;J363,Y363=1,H363=FALSE,U363=FALSE,MONTH(L363)&amp;"/"&amp;YEAR(L363)&lt;&gt;MONTH(J363)&amp;"/"&amp;YEAR(J363)),"Release",""))</f>
        <v/>
      </c>
      <c r="AA363" s="128">
        <f>_xlfn.minifs($L:$L,$C:$C,$C363,$F:$F,"&lt;&gt;0")</f>
        <v/>
      </c>
      <c r="AB363" s="128">
        <f>C363&amp;"-"&amp;A363</f>
        <v/>
      </c>
      <c r="AC363" s="128">
        <f>L363</f>
        <v/>
      </c>
    </row>
    <row r="364">
      <c r="A364" s="124" t="inlineStr">
        <is>
          <t>ZHAY01</t>
        </is>
      </c>
      <c r="B364" s="124" t="n">
        <v>4</v>
      </c>
      <c r="C364" s="124" t="inlineStr">
        <is>
          <t>HVJ402</t>
        </is>
      </c>
      <c r="D364" s="124" t="inlineStr">
        <is>
          <t>J</t>
        </is>
      </c>
      <c r="E364" s="124" t="inlineStr">
        <is>
          <t>Haywood Johannes Wynand</t>
        </is>
      </c>
      <c r="F364" s="125">
        <f>SUMIFS(Investors!$M:$M, Investors!$I:$I, "&lt;=" &amp; 'NSST Print'!$B$3, Investors!$K:$K, "&gt;" &amp; 'NSST Print'!$B$3, Investors!$A:$A, 'Investor Exit List'!A364, Investors!$E:$E, 'Investor Exit List'!C364)</f>
        <v/>
      </c>
      <c r="G364" s="126" t="n">
        <v>45450</v>
      </c>
      <c r="H364" s="124">
        <f>VLOOKUP($C364,Sales!$C:$E,2,FALSE)</f>
        <v/>
      </c>
      <c r="I364" s="124">
        <f>VLOOKUP($C364,Sales!$C:$E,3,FALSE)</f>
        <v/>
      </c>
      <c r="J364" s="126">
        <f>SUMIFS(Sales!$H:$H,Sales!$C:$C,'Investor Exit List'!$C364)</f>
        <v/>
      </c>
      <c r="K364" s="126">
        <f>IF(I364=TRUE,J364,"")</f>
        <v/>
      </c>
      <c r="L364" s="126">
        <f>G364+730</f>
        <v/>
      </c>
      <c r="M364" s="126" t="n">
        <v>45443</v>
      </c>
      <c r="N364" s="127">
        <f>IFERROR(IF(G364&lt;&gt;"",IF(I364=TRUE,0,IF(U364=TRUE,0,L364-M364)),0),0)</f>
        <v/>
      </c>
      <c r="O364" s="127">
        <f>IF(N364&gt;0,IF(N364&lt;=180,N364,0),0)</f>
        <v/>
      </c>
      <c r="P364" s="125">
        <f>IF(AND(N364&lt;90,N364&gt;0),Q364,0)</f>
        <v/>
      </c>
      <c r="Q364" s="125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25">
        <f>IF(AND(H364=TRUE,I364=FALSE),Q364,0)</f>
        <v/>
      </c>
      <c r="S364" s="125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26">
        <f>IF(U364=TRUE,$J364,"")</f>
        <v/>
      </c>
      <c r="U364" s="124" t="b">
        <v>0</v>
      </c>
      <c r="V364" s="125">
        <f>IF(AND(H364=TRUE,OR(K364="",K364&gt;M364)),S364,0)</f>
        <v/>
      </c>
      <c r="W364" s="124" t="n">
        <v>0</v>
      </c>
      <c r="X364" s="124" t="b">
        <v>0</v>
      </c>
      <c r="Y364" s="127">
        <f>IF(H364=FALSE,VLOOKUP($C364,Sales!$C:$F,4,FALSE),1)</f>
        <v/>
      </c>
      <c r="Z364" s="124">
        <f>IF(Y364=0,"Release",IF(AND(L364&lt;J364,Y364=1,H364=FALSE,U364=FALSE,MONTH(L364)&amp;"/"&amp;YEAR(L364)&lt;&gt;MONTH(J364)&amp;"/"&amp;YEAR(J364)),"Release",""))</f>
        <v/>
      </c>
      <c r="AA364" s="128">
        <f>_xlfn.minifs($L:$L,$C:$C,$C364,$F:$F,"&lt;&gt;0")</f>
        <v/>
      </c>
      <c r="AB364" s="128">
        <f>C364&amp;"-"&amp;A364</f>
        <v/>
      </c>
      <c r="AC364" s="128">
        <f>L364</f>
        <v/>
      </c>
    </row>
    <row r="365">
      <c r="A365" s="124" t="inlineStr">
        <is>
          <t>ZPLA01</t>
        </is>
      </c>
      <c r="B365" s="124" t="n">
        <v>5</v>
      </c>
      <c r="C365" s="124" t="inlineStr">
        <is>
          <t>HVJ402</t>
        </is>
      </c>
      <c r="D365" s="124" t="inlineStr">
        <is>
          <t>J</t>
        </is>
      </c>
      <c r="E365" s="124" t="inlineStr">
        <is>
          <t>Placzkowska Aneta</t>
        </is>
      </c>
      <c r="F365" s="125">
        <f>SUMIFS(Investors!$M:$M, Investors!$I:$I, "&lt;=" &amp; 'NSST Print'!$B$3, Investors!$K:$K, "&gt;" &amp; 'NSST Print'!$B$3, Investors!$A:$A, 'Investor Exit List'!A365, Investors!$E:$E, 'Investor Exit List'!C365)</f>
        <v/>
      </c>
      <c r="G365" s="126" t="n">
        <v>45450</v>
      </c>
      <c r="H365" s="124">
        <f>VLOOKUP($C365,Sales!$C:$E,2,FALSE)</f>
        <v/>
      </c>
      <c r="I365" s="124">
        <f>VLOOKUP($C365,Sales!$C:$E,3,FALSE)</f>
        <v/>
      </c>
      <c r="J365" s="126">
        <f>SUMIFS(Sales!$H:$H,Sales!$C:$C,'Investor Exit List'!$C365)</f>
        <v/>
      </c>
      <c r="K365" s="126">
        <f>IF(I365=TRUE,J365,"")</f>
        <v/>
      </c>
      <c r="L365" s="126">
        <f>G365+730</f>
        <v/>
      </c>
      <c r="M365" s="126" t="n">
        <v>45443</v>
      </c>
      <c r="N365" s="127">
        <f>IFERROR(IF(G365&lt;&gt;"",IF(I365=TRUE,0,IF(U365=TRUE,0,L365-M365)),0),0)</f>
        <v/>
      </c>
      <c r="O365" s="127">
        <f>IF(N365&gt;0,IF(N365&lt;=180,N365,0),0)</f>
        <v/>
      </c>
      <c r="P365" s="125">
        <f>IF(AND(N365&lt;90,N365&gt;0),Q365,0)</f>
        <v/>
      </c>
      <c r="Q365" s="125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25">
        <f>IF(AND(H365=TRUE,I365=FALSE),Q365,0)</f>
        <v/>
      </c>
      <c r="S365" s="125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26">
        <f>IF(U365=TRUE,$J365,"")</f>
        <v/>
      </c>
      <c r="U365" s="124" t="b">
        <v>0</v>
      </c>
      <c r="V365" s="125">
        <f>IF(AND(H365=TRUE,OR(K365="",K365&gt;M365)),S365,0)</f>
        <v/>
      </c>
      <c r="W365" s="124" t="n">
        <v>0</v>
      </c>
      <c r="X365" s="124" t="b">
        <v>0</v>
      </c>
      <c r="Y365" s="127">
        <f>IF(H365=FALSE,VLOOKUP($C365,Sales!$C:$F,4,FALSE),1)</f>
        <v/>
      </c>
      <c r="Z365" s="124">
        <f>IF(Y365=0,"Release",IF(AND(L365&lt;J365,Y365=1,H365=FALSE,U365=FALSE,MONTH(L365)&amp;"/"&amp;YEAR(L365)&lt;&gt;MONTH(J365)&amp;"/"&amp;YEAR(J365)),"Release",""))</f>
        <v/>
      </c>
      <c r="AA365" s="128">
        <f>_xlfn.minifs($L:$L,$C:$C,$C365,$F:$F,"&lt;&gt;0")</f>
        <v/>
      </c>
      <c r="AB365" s="128">
        <f>C365&amp;"-"&amp;A365</f>
        <v/>
      </c>
      <c r="AC365" s="128">
        <f>L365</f>
        <v/>
      </c>
    </row>
    <row r="366">
      <c r="A366" s="124" t="inlineStr">
        <is>
          <t>ZVIS02</t>
        </is>
      </c>
      <c r="B366" s="124" t="n">
        <v>2</v>
      </c>
      <c r="C366" s="124" t="inlineStr">
        <is>
          <t>HVJ402</t>
        </is>
      </c>
      <c r="D366" s="124" t="inlineStr">
        <is>
          <t>J</t>
        </is>
      </c>
      <c r="E366" s="124" t="inlineStr">
        <is>
          <t>Visser Jimke</t>
        </is>
      </c>
      <c r="F366" s="125">
        <f>SUMIFS(Investors!$M:$M, Investors!$I:$I, "&lt;=" &amp; 'NSST Print'!$B$3, Investors!$K:$K, "&gt;" &amp; 'NSST Print'!$B$3, Investors!$A:$A, 'Investor Exit List'!A366, Investors!$E:$E, 'Investor Exit List'!C366)</f>
        <v/>
      </c>
      <c r="G366" s="126" t="n">
        <v>44811</v>
      </c>
      <c r="H366" s="124">
        <f>VLOOKUP($C366,Sales!$C:$E,2,FALSE)</f>
        <v/>
      </c>
      <c r="I366" s="124">
        <f>VLOOKUP($C366,Sales!$C:$E,3,FALSE)</f>
        <v/>
      </c>
      <c r="J366" s="126">
        <f>SUMIFS(Sales!$H:$H,Sales!$C:$C,'Investor Exit List'!$C366)</f>
        <v/>
      </c>
      <c r="K366" s="126">
        <f>IF(I366=TRUE,J366,"")</f>
        <v/>
      </c>
      <c r="L366" s="126">
        <f>G366+730</f>
        <v/>
      </c>
      <c r="M366" s="126" t="n">
        <v>45443</v>
      </c>
      <c r="N366" s="127">
        <f>IFERROR(IF(G366&lt;&gt;"",IF(I366=TRUE,0,IF(U366=TRUE,0,L366-M366)),0),0)</f>
        <v/>
      </c>
      <c r="O366" s="127">
        <f>IF(N366&gt;0,IF(N366&lt;=180,N366,0),0)</f>
        <v/>
      </c>
      <c r="P366" s="125">
        <f>IF(AND(N366&lt;90,N366&gt;0),Q366,0)</f>
        <v/>
      </c>
      <c r="Q366" s="125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25">
        <f>IF(AND(H366=TRUE,I366=FALSE),Q366,0)</f>
        <v/>
      </c>
      <c r="S366" s="125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26">
        <f>IF(U366=TRUE,$J366,"")</f>
        <v/>
      </c>
      <c r="U366" s="124" t="b">
        <v>1</v>
      </c>
      <c r="V366" s="125">
        <f>IF(AND(H366=TRUE,OR(K366="",K366&gt;M366)),S366,0)</f>
        <v/>
      </c>
      <c r="W366" s="124" t="n">
        <v>0</v>
      </c>
      <c r="X366" s="124" t="b">
        <v>0</v>
      </c>
      <c r="Y366" s="127">
        <f>IF(H366=FALSE,VLOOKUP($C366,Sales!$C:$F,4,FALSE),1)</f>
        <v/>
      </c>
      <c r="Z366" s="124">
        <f>IF(Y366=0,"Release",IF(AND(L366&lt;J366,Y366=1,H366=FALSE,U366=FALSE,MONTH(L366)&amp;"/"&amp;YEAR(L366)&lt;&gt;MONTH(J366)&amp;"/"&amp;YEAR(J366)),"Release",""))</f>
        <v/>
      </c>
      <c r="AA366" s="128">
        <f>_xlfn.minifs($L:$L,$C:$C,$C366,$F:$F,"&lt;&gt;0")</f>
        <v/>
      </c>
      <c r="AB366" s="128">
        <f>C366&amp;"-"&amp;A366</f>
        <v/>
      </c>
      <c r="AC366" s="128">
        <f>L366</f>
        <v/>
      </c>
    </row>
    <row r="367">
      <c r="A367" s="124" t="inlineStr">
        <is>
          <t>ZWEL01</t>
        </is>
      </c>
      <c r="B367" s="124" t="n">
        <v>5</v>
      </c>
      <c r="C367" s="124" t="inlineStr">
        <is>
          <t>HVJ402</t>
        </is>
      </c>
      <c r="D367" s="124" t="inlineStr">
        <is>
          <t>J</t>
        </is>
      </c>
      <c r="E367" s="124" t="inlineStr">
        <is>
          <t>Welham Christopher John</t>
        </is>
      </c>
      <c r="F367" s="125">
        <f>SUMIFS(Investors!$M:$M, Investors!$I:$I, "&lt;=" &amp; 'NSST Print'!$B$3, Investors!$K:$K, "&gt;" &amp; 'NSST Print'!$B$3, Investors!$A:$A, 'Investor Exit List'!A367, Investors!$E:$E, 'Investor Exit List'!C367)</f>
        <v/>
      </c>
      <c r="G367" s="126" t="n">
        <v>45450</v>
      </c>
      <c r="H367" s="124">
        <f>VLOOKUP($C367,Sales!$C:$E,2,FALSE)</f>
        <v/>
      </c>
      <c r="I367" s="124">
        <f>VLOOKUP($C367,Sales!$C:$E,3,FALSE)</f>
        <v/>
      </c>
      <c r="J367" s="126">
        <f>SUMIFS(Sales!$H:$H,Sales!$C:$C,'Investor Exit List'!$C367)</f>
        <v/>
      </c>
      <c r="K367" s="126">
        <f>IF(I367=TRUE,J367,"")</f>
        <v/>
      </c>
      <c r="L367" s="126">
        <f>G367+730</f>
        <v/>
      </c>
      <c r="M367" s="126" t="n">
        <v>45443</v>
      </c>
      <c r="N367" s="127">
        <f>IFERROR(IF(G367&lt;&gt;"",IF(I367=TRUE,0,IF(U367=TRUE,0,L367-M367)),0),0)</f>
        <v/>
      </c>
      <c r="O367" s="127">
        <f>IF(N367&gt;0,IF(N367&lt;=180,N367,0),0)</f>
        <v/>
      </c>
      <c r="P367" s="125">
        <f>IF(AND(N367&lt;90,N367&gt;0),Q367,0)</f>
        <v/>
      </c>
      <c r="Q367" s="125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25">
        <f>IF(AND(H367=TRUE,I367=FALSE),Q367,0)</f>
        <v/>
      </c>
      <c r="S367" s="125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26">
        <f>IF(U367=TRUE,$J367,"")</f>
        <v/>
      </c>
      <c r="U367" s="124" t="b">
        <v>0</v>
      </c>
      <c r="V367" s="125">
        <f>IF(AND(H367=TRUE,OR(K367="",K367&gt;M367)),S367,0)</f>
        <v/>
      </c>
      <c r="W367" s="124" t="n">
        <v>0</v>
      </c>
      <c r="X367" s="124" t="b">
        <v>0</v>
      </c>
      <c r="Y367" s="127">
        <f>IF(H367=FALSE,VLOOKUP($C367,Sales!$C:$F,4,FALSE),1)</f>
        <v/>
      </c>
      <c r="Z367" s="124">
        <f>IF(Y367=0,"Release",IF(AND(L367&lt;J367,Y367=1,H367=FALSE,U367=FALSE,MONTH(L367)&amp;"/"&amp;YEAR(L367)&lt;&gt;MONTH(J367)&amp;"/"&amp;YEAR(J367)),"Release",""))</f>
        <v/>
      </c>
      <c r="AA367" s="128">
        <f>_xlfn.minifs($L:$L,$C:$C,$C367,$F:$F,"&lt;&gt;0")</f>
        <v/>
      </c>
      <c r="AB367" s="128">
        <f>C367&amp;"-"&amp;A367</f>
        <v/>
      </c>
      <c r="AC367" s="128">
        <f>L367</f>
        <v/>
      </c>
    </row>
    <row r="368">
      <c r="A368" s="124" t="inlineStr">
        <is>
          <t>ZFOU02</t>
        </is>
      </c>
      <c r="B368" s="124" t="n">
        <v>2</v>
      </c>
      <c r="C368" s="124" t="inlineStr">
        <is>
          <t>HVJ403</t>
        </is>
      </c>
      <c r="D368" s="124" t="inlineStr">
        <is>
          <t>J</t>
        </is>
      </c>
      <c r="E368" s="124" t="inlineStr">
        <is>
          <t>Fountain Clyde Michael</t>
        </is>
      </c>
      <c r="F368" s="125">
        <f>SUMIFS(Investors!$M:$M, Investors!$I:$I, "&lt;=" &amp; 'NSST Print'!$B$3, Investors!$K:$K, "&gt;" &amp; 'NSST Print'!$B$3, Investors!$A:$A, 'Investor Exit List'!A368, Investors!$E:$E, 'Investor Exit List'!C368)</f>
        <v/>
      </c>
      <c r="G368" s="126" t="n">
        <v>44811</v>
      </c>
      <c r="H368" s="124">
        <f>VLOOKUP($C368,Sales!$C:$E,2,FALSE)</f>
        <v/>
      </c>
      <c r="I368" s="124">
        <f>VLOOKUP($C368,Sales!$C:$E,3,FALSE)</f>
        <v/>
      </c>
      <c r="J368" s="126">
        <f>SUMIFS(Sales!$H:$H,Sales!$C:$C,'Investor Exit List'!$C368)</f>
        <v/>
      </c>
      <c r="K368" s="126">
        <f>IF(I368=TRUE,J368,"")</f>
        <v/>
      </c>
      <c r="L368" s="126">
        <f>G368+730</f>
        <v/>
      </c>
      <c r="M368" s="126" t="n">
        <v>45443</v>
      </c>
      <c r="N368" s="127">
        <f>IFERROR(IF(G368&lt;&gt;"",IF(I368=TRUE,0,IF(U368=TRUE,0,L368-M368)),0),0)</f>
        <v/>
      </c>
      <c r="O368" s="127">
        <f>IF(N368&gt;0,IF(N368&lt;=180,N368,0),0)</f>
        <v/>
      </c>
      <c r="P368" s="125">
        <f>IF(AND(N368&lt;90,N368&gt;0),Q368,0)</f>
        <v/>
      </c>
      <c r="Q368" s="125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25">
        <f>IF(AND(H368=TRUE,I368=FALSE),Q368,0)</f>
        <v/>
      </c>
      <c r="S368" s="125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26">
        <f>IF(U368=TRUE,$J368,"")</f>
        <v/>
      </c>
      <c r="U368" s="124" t="b">
        <v>0</v>
      </c>
      <c r="V368" s="125">
        <f>IF(AND(H368=TRUE,OR(K368="",K368&gt;M368)),S368,0)</f>
        <v/>
      </c>
      <c r="W368" s="124" t="n">
        <v>0</v>
      </c>
      <c r="X368" s="124" t="b">
        <v>0</v>
      </c>
      <c r="Y368" s="127">
        <f>IF(H368=FALSE,VLOOKUP($C368,Sales!$C:$F,4,FALSE),1)</f>
        <v/>
      </c>
      <c r="Z368" s="124">
        <f>IF(Y368=0,"Release",IF(AND(L368&lt;J368,Y368=1,H368=FALSE,U368=FALSE,MONTH(L368)&amp;"/"&amp;YEAR(L368)&lt;&gt;MONTH(J368)&amp;"/"&amp;YEAR(J368)),"Release",""))</f>
        <v/>
      </c>
      <c r="AA368" s="128">
        <f>_xlfn.minifs($L:$L,$C:$C,$C368,$F:$F,"&lt;&gt;0")</f>
        <v/>
      </c>
      <c r="AB368" s="128">
        <f>C368&amp;"-"&amp;A368</f>
        <v/>
      </c>
      <c r="AC368" s="128">
        <f>L368</f>
        <v/>
      </c>
    </row>
    <row r="369">
      <c r="A369" s="124" t="inlineStr">
        <is>
          <t>ZVER04</t>
        </is>
      </c>
      <c r="B369" s="124" t="n">
        <v>3</v>
      </c>
      <c r="C369" s="124" t="inlineStr">
        <is>
          <t>HVJ403</t>
        </is>
      </c>
      <c r="D369" s="124" t="inlineStr">
        <is>
          <t>J</t>
        </is>
      </c>
      <c r="E369" s="124" t="inlineStr">
        <is>
          <t>Vermeulen Floris Nicolaas</t>
        </is>
      </c>
      <c r="F369" s="125">
        <f>SUMIFS(Investors!$M:$M, Investors!$I:$I, "&lt;=" &amp; 'NSST Print'!$B$3, Investors!$K:$K, "&gt;" &amp; 'NSST Print'!$B$3, Investors!$A:$A, 'Investor Exit List'!A369, Investors!$E:$E, 'Investor Exit List'!C369)</f>
        <v/>
      </c>
      <c r="G369" s="126" t="n">
        <v>44798</v>
      </c>
      <c r="H369" s="124">
        <f>VLOOKUP($C369,Sales!$C:$E,2,FALSE)</f>
        <v/>
      </c>
      <c r="I369" s="124">
        <f>VLOOKUP($C369,Sales!$C:$E,3,FALSE)</f>
        <v/>
      </c>
      <c r="J369" s="126">
        <f>SUMIFS(Sales!$H:$H,Sales!$C:$C,'Investor Exit List'!$C369)</f>
        <v/>
      </c>
      <c r="K369" s="126">
        <f>IF(I369=TRUE,J369,"")</f>
        <v/>
      </c>
      <c r="L369" s="126">
        <f>G369+730</f>
        <v/>
      </c>
      <c r="M369" s="126" t="n">
        <v>45443</v>
      </c>
      <c r="N369" s="127">
        <f>IFERROR(IF(G369&lt;&gt;"",IF(I369=TRUE,0,IF(U369=TRUE,0,L369-M369)),0),0)</f>
        <v/>
      </c>
      <c r="O369" s="127">
        <f>IF(N369&gt;0,IF(N369&lt;=180,N369,0),0)</f>
        <v/>
      </c>
      <c r="P369" s="125">
        <f>IF(AND(N369&lt;90,N369&gt;0),Q369,0)</f>
        <v/>
      </c>
      <c r="Q369" s="125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25">
        <f>IF(AND(H369=TRUE,I369=FALSE),Q369,0)</f>
        <v/>
      </c>
      <c r="S369" s="125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26">
        <f>IF(U369=TRUE,$J369,"")</f>
        <v/>
      </c>
      <c r="U369" s="124" t="b">
        <v>0</v>
      </c>
      <c r="V369" s="125">
        <f>IF(AND(H369=TRUE,OR(K369="",K369&gt;M369)),S369,0)</f>
        <v/>
      </c>
      <c r="W369" s="124" t="n">
        <v>0</v>
      </c>
      <c r="X369" s="124" t="b">
        <v>0</v>
      </c>
      <c r="Y369" s="127">
        <f>IF(H369=FALSE,VLOOKUP($C369,Sales!$C:$F,4,FALSE),1)</f>
        <v/>
      </c>
      <c r="Z369" s="124">
        <f>IF(Y369=0,"Release",IF(AND(L369&lt;J369,Y369=1,H369=FALSE,U369=FALSE,MONTH(L369)&amp;"/"&amp;YEAR(L369)&lt;&gt;MONTH(J369)&amp;"/"&amp;YEAR(J369)),"Release",""))</f>
        <v/>
      </c>
      <c r="AA369" s="128">
        <f>_xlfn.minifs($L:$L,$C:$C,$C369,$F:$F,"&lt;&gt;0")</f>
        <v/>
      </c>
      <c r="AB369" s="128">
        <f>C369&amp;"-"&amp;A369</f>
        <v/>
      </c>
      <c r="AC369" s="128">
        <f>L369</f>
        <v/>
      </c>
    </row>
    <row r="370">
      <c r="A370" s="124" t="inlineStr">
        <is>
          <t>ZCRO01</t>
        </is>
      </c>
      <c r="B370" s="124" t="n">
        <v>14</v>
      </c>
      <c r="C370" s="124" t="inlineStr">
        <is>
          <t>HVK101</t>
        </is>
      </c>
      <c r="D370" s="124" t="inlineStr">
        <is>
          <t>K</t>
        </is>
      </c>
      <c r="E370" s="124" t="inlineStr">
        <is>
          <t>Lunau Marc</t>
        </is>
      </c>
      <c r="F370" s="125">
        <f>SUMIFS(Investors!$M:$M, Investors!$I:$I, "&lt;=" &amp; 'NSST Print'!$B$3, Investors!$K:$K, "&gt;" &amp; 'NSST Print'!$B$3, Investors!$A:$A, 'Investor Exit List'!A370, Investors!$E:$E, 'Investor Exit List'!C370)</f>
        <v/>
      </c>
      <c r="G370" s="126" t="n">
        <v>45107</v>
      </c>
      <c r="H370" s="124">
        <f>VLOOKUP($C370,Sales!$C:$E,2,FALSE)</f>
        <v/>
      </c>
      <c r="I370" s="124">
        <f>VLOOKUP($C370,Sales!$C:$E,3,FALSE)</f>
        <v/>
      </c>
      <c r="J370" s="126">
        <f>SUMIFS(Sales!$H:$H,Sales!$C:$C,'Investor Exit List'!$C370)</f>
        <v/>
      </c>
      <c r="K370" s="126">
        <f>IF(I370=TRUE,J370,"")</f>
        <v/>
      </c>
      <c r="L370" s="126">
        <f>G370+730</f>
        <v/>
      </c>
      <c r="M370" s="126" t="n">
        <v>45443</v>
      </c>
      <c r="N370" s="127">
        <f>IFERROR(IF(G370&lt;&gt;"",IF(I370=TRUE,0,IF(U370=TRUE,0,L370-M370)),0),0)</f>
        <v/>
      </c>
      <c r="O370" s="127">
        <f>IF(N370&gt;0,IF(N370&lt;=180,N370,0),0)</f>
        <v/>
      </c>
      <c r="P370" s="125">
        <f>IF(AND(N370&lt;90,N370&gt;0),Q370,0)</f>
        <v/>
      </c>
      <c r="Q370" s="125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25">
        <f>IF(AND(H370=TRUE,I370=FALSE),Q370,0)</f>
        <v/>
      </c>
      <c r="S370" s="125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26">
        <f>IF(U370=TRUE,$J370,"")</f>
        <v/>
      </c>
      <c r="U370" s="124" t="b">
        <v>0</v>
      </c>
      <c r="V370" s="125">
        <f>IF(AND(H370=TRUE,OR(K370="",K370&gt;M370)),S370,0)</f>
        <v/>
      </c>
      <c r="W370" s="124" t="n">
        <v>0</v>
      </c>
      <c r="X370" s="124" t="b">
        <v>0</v>
      </c>
      <c r="Y370" s="127">
        <f>IF(H370=FALSE,VLOOKUP($C370,Sales!$C:$F,4,FALSE),1)</f>
        <v/>
      </c>
      <c r="Z370" s="124">
        <f>IF(Y370=0,"Release",IF(AND(L370&lt;J370,Y370=1,H370=FALSE,U370=FALSE,MONTH(L370)&amp;"/"&amp;YEAR(L370)&lt;&gt;MONTH(J370)&amp;"/"&amp;YEAR(J370)),"Release",""))</f>
        <v/>
      </c>
      <c r="AA370" s="128">
        <f>_xlfn.minifs($L:$L,$C:$C,$C370,$F:$F,"&lt;&gt;0")</f>
        <v/>
      </c>
      <c r="AB370" s="128">
        <f>C370&amp;"-"&amp;A370</f>
        <v/>
      </c>
      <c r="AC370" s="128">
        <f>L370</f>
        <v/>
      </c>
    </row>
    <row r="371">
      <c r="A371" s="124" t="inlineStr">
        <is>
          <t>ZINT01</t>
        </is>
      </c>
      <c r="B371" s="124" t="n">
        <v>16</v>
      </c>
      <c r="C371" s="124" t="inlineStr">
        <is>
          <t>HVK101</t>
        </is>
      </c>
      <c r="D371" s="124" t="inlineStr">
        <is>
          <t>K</t>
        </is>
      </c>
      <c r="E371" s="124" t="inlineStr">
        <is>
          <t>Lunau Marc</t>
        </is>
      </c>
      <c r="F371" s="125">
        <f>SUMIFS(Investors!$M:$M, Investors!$I:$I, "&lt;=" &amp; 'NSST Print'!$B$3, Investors!$K:$K, "&gt;" &amp; 'NSST Print'!$B$3, Investors!$A:$A, 'Investor Exit List'!A371, Investors!$E:$E, 'Investor Exit List'!C371)</f>
        <v/>
      </c>
      <c r="G371" s="126" t="n">
        <v>45107</v>
      </c>
      <c r="H371" s="124">
        <f>VLOOKUP($C371,Sales!$C:$E,2,FALSE)</f>
        <v/>
      </c>
      <c r="I371" s="124">
        <f>VLOOKUP($C371,Sales!$C:$E,3,FALSE)</f>
        <v/>
      </c>
      <c r="J371" s="126">
        <f>SUMIFS(Sales!$H:$H,Sales!$C:$C,'Investor Exit List'!$C371)</f>
        <v/>
      </c>
      <c r="K371" s="126">
        <f>IF(I371=TRUE,J371,"")</f>
        <v/>
      </c>
      <c r="L371" s="126">
        <f>G371+730</f>
        <v/>
      </c>
      <c r="M371" s="126" t="n">
        <v>45443</v>
      </c>
      <c r="N371" s="127">
        <f>IFERROR(IF(G371&lt;&gt;"",IF(I371=TRUE,0,IF(U371=TRUE,0,L371-M371)),0),0)</f>
        <v/>
      </c>
      <c r="O371" s="127">
        <f>IF(N371&gt;0,IF(N371&lt;=180,N371,0),0)</f>
        <v/>
      </c>
      <c r="P371" s="125">
        <f>IF(AND(N371&lt;90,N371&gt;0),Q371,0)</f>
        <v/>
      </c>
      <c r="Q371" s="125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25">
        <f>IF(AND(H371=TRUE,I371=FALSE),Q371,0)</f>
        <v/>
      </c>
      <c r="S371" s="125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26">
        <f>IF(U371=TRUE,$J371,"")</f>
        <v/>
      </c>
      <c r="U371" s="124" t="b">
        <v>0</v>
      </c>
      <c r="V371" s="125">
        <f>IF(AND(H371=TRUE,OR(K371="",K371&gt;M371)),S371,0)</f>
        <v/>
      </c>
      <c r="W371" s="124" t="n">
        <v>0</v>
      </c>
      <c r="X371" s="124" t="b">
        <v>0</v>
      </c>
      <c r="Y371" s="127">
        <f>IF(H371=FALSE,VLOOKUP($C371,Sales!$C:$F,4,FALSE),1)</f>
        <v/>
      </c>
      <c r="Z371" s="124">
        <f>IF(Y371=0,"Release",IF(AND(L371&lt;J371,Y371=1,H371=FALSE,U371=FALSE,MONTH(L371)&amp;"/"&amp;YEAR(L371)&lt;&gt;MONTH(J371)&amp;"/"&amp;YEAR(J371)),"Release",""))</f>
        <v/>
      </c>
      <c r="AA371" s="128">
        <f>_xlfn.minifs($L:$L,$C:$C,$C371,$F:$F,"&lt;&gt;0")</f>
        <v/>
      </c>
      <c r="AB371" s="128">
        <f>C371&amp;"-"&amp;A371</f>
        <v/>
      </c>
      <c r="AC371" s="128">
        <f>L371</f>
        <v/>
      </c>
    </row>
    <row r="372">
      <c r="A372" s="124" t="inlineStr">
        <is>
          <t>ZMIN01</t>
        </is>
      </c>
      <c r="B372" s="124" t="n">
        <v>2</v>
      </c>
      <c r="C372" s="124" t="inlineStr">
        <is>
          <t>HVK101</t>
        </is>
      </c>
      <c r="D372" s="124" t="inlineStr">
        <is>
          <t>K</t>
        </is>
      </c>
      <c r="E372" s="124" t="inlineStr">
        <is>
          <t>Minnaar Irene Petronella</t>
        </is>
      </c>
      <c r="F372" s="125">
        <f>SUMIFS(Investors!$M:$M, Investors!$I:$I, "&lt;=" &amp; 'NSST Print'!$B$3, Investors!$K:$K, "&gt;" &amp; 'NSST Print'!$B$3, Investors!$A:$A, 'Investor Exit List'!A372, Investors!$E:$E, 'Investor Exit List'!C372)</f>
        <v/>
      </c>
      <c r="G372" s="126" t="n">
        <v>45016</v>
      </c>
      <c r="H372" s="124">
        <f>VLOOKUP($C372,Sales!$C:$E,2,FALSE)</f>
        <v/>
      </c>
      <c r="I372" s="124">
        <f>VLOOKUP($C372,Sales!$C:$E,3,FALSE)</f>
        <v/>
      </c>
      <c r="J372" s="126">
        <f>SUMIFS(Sales!$H:$H,Sales!$C:$C,'Investor Exit List'!$C372)</f>
        <v/>
      </c>
      <c r="K372" s="126">
        <f>IF(I372=TRUE,J372,"")</f>
        <v/>
      </c>
      <c r="L372" s="126">
        <f>G372+730</f>
        <v/>
      </c>
      <c r="M372" s="126" t="n">
        <v>45443</v>
      </c>
      <c r="N372" s="127">
        <f>IFERROR(IF(G372&lt;&gt;"",IF(I372=TRUE,0,IF(U372=TRUE,0,L372-M372)),0),0)</f>
        <v/>
      </c>
      <c r="O372" s="127">
        <f>IF(N372&gt;0,IF(N372&lt;=180,N372,0),0)</f>
        <v/>
      </c>
      <c r="P372" s="125">
        <f>IF(AND(N372&lt;90,N372&gt;0),Q372,0)</f>
        <v/>
      </c>
      <c r="Q372" s="125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25">
        <f>IF(AND(H372=TRUE,I372=FALSE),Q372,0)</f>
        <v/>
      </c>
      <c r="S372" s="125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26">
        <f>IF(U372=TRUE,$J372,"")</f>
        <v/>
      </c>
      <c r="U372" s="124" t="b">
        <v>0</v>
      </c>
      <c r="V372" s="125">
        <f>IF(AND(H372=TRUE,OR(K372="",K372&gt;M372)),S372,0)</f>
        <v/>
      </c>
      <c r="W372" s="124" t="n">
        <v>0</v>
      </c>
      <c r="X372" s="124" t="b">
        <v>0</v>
      </c>
      <c r="Y372" s="127">
        <f>IF(H372=FALSE,VLOOKUP($C372,Sales!$C:$F,4,FALSE),1)</f>
        <v/>
      </c>
      <c r="Z372" s="124">
        <f>IF(Y372=0,"Release",IF(AND(L372&lt;J372,Y372=1,H372=FALSE,U372=FALSE,MONTH(L372)&amp;"/"&amp;YEAR(L372)&lt;&gt;MONTH(J372)&amp;"/"&amp;YEAR(J372)),"Release",""))</f>
        <v/>
      </c>
      <c r="AA372" s="128">
        <f>_xlfn.minifs($L:$L,$C:$C,$C372,$F:$F,"&lt;&gt;0")</f>
        <v/>
      </c>
      <c r="AB372" s="128">
        <f>C372&amp;"-"&amp;A372</f>
        <v/>
      </c>
      <c r="AC372" s="128">
        <f>L372</f>
        <v/>
      </c>
    </row>
    <row r="373">
      <c r="A373" s="124" t="inlineStr">
        <is>
          <t>ZRIT01</t>
        </is>
      </c>
      <c r="B373" s="124" t="n">
        <v>8</v>
      </c>
      <c r="C373" s="124" t="inlineStr">
        <is>
          <t>HVK101</t>
        </is>
      </c>
      <c r="D373" s="124" t="inlineStr">
        <is>
          <t>K</t>
        </is>
      </c>
      <c r="E373" s="124" t="inlineStr">
        <is>
          <t>Ritter Dennis</t>
        </is>
      </c>
      <c r="F373" s="125">
        <f>SUMIFS(Investors!$M:$M, Investors!$I:$I, "&lt;=" &amp; 'NSST Print'!$B$3, Investors!$K:$K, "&gt;" &amp; 'NSST Print'!$B$3, Investors!$A:$A, 'Investor Exit List'!A373, Investors!$E:$E, 'Investor Exit List'!C373)</f>
        <v/>
      </c>
      <c r="G373" s="126" t="n">
        <v>44909</v>
      </c>
      <c r="H373" s="124">
        <f>VLOOKUP($C373,Sales!$C:$E,2,FALSE)</f>
        <v/>
      </c>
      <c r="I373" s="124">
        <f>VLOOKUP($C373,Sales!$C:$E,3,FALSE)</f>
        <v/>
      </c>
      <c r="J373" s="126">
        <f>SUMIFS(Sales!$H:$H,Sales!$C:$C,'Investor Exit List'!$C373)</f>
        <v/>
      </c>
      <c r="K373" s="126">
        <f>IF(I373=TRUE,J373,"")</f>
        <v/>
      </c>
      <c r="L373" s="126">
        <f>G373+730</f>
        <v/>
      </c>
      <c r="M373" s="126" t="n">
        <v>45443</v>
      </c>
      <c r="N373" s="127">
        <f>IFERROR(IF(G373&lt;&gt;"",IF(I373=TRUE,0,IF(U373=TRUE,0,L373-M373)),0),0)</f>
        <v/>
      </c>
      <c r="O373" s="127">
        <f>IF(N373&gt;0,IF(N373&lt;=180,N373,0),0)</f>
        <v/>
      </c>
      <c r="P373" s="125">
        <f>IF(AND(N373&lt;90,N373&gt;0),Q373,0)</f>
        <v/>
      </c>
      <c r="Q373" s="125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25">
        <f>IF(AND(H373=TRUE,I373=FALSE),Q373,0)</f>
        <v/>
      </c>
      <c r="S373" s="125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26">
        <f>IF(U373=TRUE,$J373,"")</f>
        <v/>
      </c>
      <c r="U373" s="124" t="b">
        <v>0</v>
      </c>
      <c r="V373" s="125">
        <f>IF(AND(H373=TRUE,OR(K373="",K373&gt;M373)),S373,0)</f>
        <v/>
      </c>
      <c r="W373" s="124" t="n">
        <v>0</v>
      </c>
      <c r="X373" s="124" t="b">
        <v>0</v>
      </c>
      <c r="Y373" s="127">
        <f>IF(H373=FALSE,VLOOKUP($C373,Sales!$C:$F,4,FALSE),1)</f>
        <v/>
      </c>
      <c r="Z373" s="124">
        <f>IF(Y373=0,"Release",IF(AND(L373&lt;J373,Y373=1,H373=FALSE,U373=FALSE,MONTH(L373)&amp;"/"&amp;YEAR(L373)&lt;&gt;MONTH(J373)&amp;"/"&amp;YEAR(J373)),"Release",""))</f>
        <v/>
      </c>
      <c r="AA373" s="128">
        <f>_xlfn.minifs($L:$L,$C:$C,$C373,$F:$F,"&lt;&gt;0")</f>
        <v/>
      </c>
      <c r="AB373" s="128">
        <f>C373&amp;"-"&amp;A373</f>
        <v/>
      </c>
      <c r="AC373" s="128">
        <f>L373</f>
        <v/>
      </c>
    </row>
    <row r="374">
      <c r="A374" s="124" t="inlineStr">
        <is>
          <t>ZVAN05</t>
        </is>
      </c>
      <c r="B374" s="124" t="n">
        <v>5</v>
      </c>
      <c r="C374" s="124" t="inlineStr">
        <is>
          <t>HVK102</t>
        </is>
      </c>
      <c r="D374" s="124" t="inlineStr">
        <is>
          <t>K</t>
        </is>
      </c>
      <c r="E374" s="124" t="inlineStr">
        <is>
          <t>van der Sandt Hermanus</t>
        </is>
      </c>
      <c r="F374" s="125">
        <f>SUMIFS(Investors!$M:$M, Investors!$I:$I, "&lt;=" &amp; 'NSST Print'!$B$3, Investors!$K:$K, "&gt;" &amp; 'NSST Print'!$B$3, Investors!$A:$A, 'Investor Exit List'!A374, Investors!$E:$E, 'Investor Exit List'!C374)</f>
        <v/>
      </c>
      <c r="G374" s="126" t="n">
        <v>44909</v>
      </c>
      <c r="H374" s="124">
        <f>VLOOKUP($C374,Sales!$C:$E,2,FALSE)</f>
        <v/>
      </c>
      <c r="I374" s="124">
        <f>VLOOKUP($C374,Sales!$C:$E,3,FALSE)</f>
        <v/>
      </c>
      <c r="J374" s="126">
        <f>SUMIFS(Sales!$H:$H,Sales!$C:$C,'Investor Exit List'!$C374)</f>
        <v/>
      </c>
      <c r="K374" s="126">
        <f>IF(I374=TRUE,J374,"")</f>
        <v/>
      </c>
      <c r="L374" s="126">
        <f>G374+730</f>
        <v/>
      </c>
      <c r="M374" s="126" t="n">
        <v>45443</v>
      </c>
      <c r="N374" s="127">
        <f>IFERROR(IF(G374&lt;&gt;"",IF(I374=TRUE,0,IF(U374=TRUE,0,L374-M374)),0),0)</f>
        <v/>
      </c>
      <c r="O374" s="127">
        <f>IF(N374&gt;0,IF(N374&lt;=180,N374,0),0)</f>
        <v/>
      </c>
      <c r="P374" s="125">
        <f>IF(AND(N374&lt;90,N374&gt;0),Q374,0)</f>
        <v/>
      </c>
      <c r="Q374" s="125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25">
        <f>IF(AND(H374=TRUE,I374=FALSE),Q374,0)</f>
        <v/>
      </c>
      <c r="S374" s="125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26">
        <f>IF(U374=TRUE,$J374,"")</f>
        <v/>
      </c>
      <c r="U374" s="124" t="b">
        <v>0</v>
      </c>
      <c r="V374" s="125">
        <f>IF(AND(H374=TRUE,OR(K374="",K374&gt;M374)),S374,0)</f>
        <v/>
      </c>
      <c r="W374" s="124" t="n">
        <v>0</v>
      </c>
      <c r="X374" s="124" t="b">
        <v>0</v>
      </c>
      <c r="Y374" s="127">
        <f>IF(H374=FALSE,VLOOKUP($C374,Sales!$C:$F,4,FALSE),1)</f>
        <v/>
      </c>
      <c r="Z374" s="124">
        <f>IF(Y374=0,"Release",IF(AND(L374&lt;J374,Y374=1,H374=FALSE,U374=FALSE,MONTH(L374)&amp;"/"&amp;YEAR(L374)&lt;&gt;MONTH(J374)&amp;"/"&amp;YEAR(J374)),"Release",""))</f>
        <v/>
      </c>
      <c r="AA374" s="128">
        <f>_xlfn.minifs($L:$L,$C:$C,$C374,$F:$F,"&lt;&gt;0")</f>
        <v/>
      </c>
      <c r="AB374" s="128">
        <f>C374&amp;"-"&amp;A374</f>
        <v/>
      </c>
      <c r="AC374" s="128">
        <f>L374</f>
        <v/>
      </c>
    </row>
    <row r="375">
      <c r="A375" s="124" t="inlineStr">
        <is>
          <t>ZCRO01</t>
        </is>
      </c>
      <c r="B375" s="124" t="n">
        <v>7</v>
      </c>
      <c r="C375" s="124" t="inlineStr">
        <is>
          <t>HVK103</t>
        </is>
      </c>
      <c r="D375" s="124" t="inlineStr">
        <is>
          <t>K</t>
        </is>
      </c>
      <c r="E375" s="124" t="inlineStr">
        <is>
          <t>Lunau Marc</t>
        </is>
      </c>
      <c r="F375" s="125">
        <f>SUMIFS(Investors!$M:$M, Investors!$I:$I, "&lt;=" &amp; 'NSST Print'!$B$3, Investors!$K:$K, "&gt;" &amp; 'NSST Print'!$B$3, Investors!$A:$A, 'Investor Exit List'!A375, Investors!$E:$E, 'Investor Exit List'!C375)</f>
        <v/>
      </c>
      <c r="G375" s="126" t="n">
        <v>44967</v>
      </c>
      <c r="H375" s="124">
        <f>VLOOKUP($C375,Sales!$C:$E,2,FALSE)</f>
        <v/>
      </c>
      <c r="I375" s="124">
        <f>VLOOKUP($C375,Sales!$C:$E,3,FALSE)</f>
        <v/>
      </c>
      <c r="J375" s="126">
        <f>SUMIFS(Sales!$H:$H,Sales!$C:$C,'Investor Exit List'!$C375)</f>
        <v/>
      </c>
      <c r="K375" s="126">
        <f>IF(I375=TRUE,J375,"")</f>
        <v/>
      </c>
      <c r="L375" s="126">
        <f>G375+730</f>
        <v/>
      </c>
      <c r="M375" s="126" t="n">
        <v>45443</v>
      </c>
      <c r="N375" s="127">
        <f>IFERROR(IF(G375&lt;&gt;"",IF(I375=TRUE,0,IF(U375=TRUE,0,L375-M375)),0),0)</f>
        <v/>
      </c>
      <c r="O375" s="127">
        <f>IF(N375&gt;0,IF(N375&lt;=180,N375,0),0)</f>
        <v/>
      </c>
      <c r="P375" s="125">
        <f>IF(AND(N375&lt;90,N375&gt;0),Q375,0)</f>
        <v/>
      </c>
      <c r="Q375" s="125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25">
        <f>IF(AND(H375=TRUE,I375=FALSE),Q375,0)</f>
        <v/>
      </c>
      <c r="S375" s="125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26">
        <f>IF(U375=TRUE,$J375,"")</f>
        <v/>
      </c>
      <c r="U375" s="124" t="b">
        <v>0</v>
      </c>
      <c r="V375" s="125">
        <f>IF(AND(H375=TRUE,OR(K375="",K375&gt;M375)),S375,0)</f>
        <v/>
      </c>
      <c r="W375" s="124" t="n">
        <v>0</v>
      </c>
      <c r="X375" s="124" t="b">
        <v>0</v>
      </c>
      <c r="Y375" s="127">
        <f>IF(H375=FALSE,VLOOKUP($C375,Sales!$C:$F,4,FALSE),1)</f>
        <v/>
      </c>
      <c r="Z375" s="124">
        <f>IF(Y375=0,"Release",IF(AND(L375&lt;J375,Y375=1,H375=FALSE,U375=FALSE,MONTH(L375)&amp;"/"&amp;YEAR(L375)&lt;&gt;MONTH(J375)&amp;"/"&amp;YEAR(J375)),"Release",""))</f>
        <v/>
      </c>
      <c r="AA375" s="128">
        <f>_xlfn.minifs($L:$L,$C:$C,$C375,$F:$F,"&lt;&gt;0")</f>
        <v/>
      </c>
      <c r="AB375" s="128">
        <f>C375&amp;"-"&amp;A375</f>
        <v/>
      </c>
      <c r="AC375" s="128">
        <f>L375</f>
        <v/>
      </c>
    </row>
    <row r="376">
      <c r="A376" s="124" t="inlineStr">
        <is>
          <t>ZDAM01</t>
        </is>
      </c>
      <c r="B376" s="124" t="n">
        <v>3</v>
      </c>
      <c r="C376" s="124" t="inlineStr">
        <is>
          <t>HVK103</t>
        </is>
      </c>
      <c r="D376" s="124" t="inlineStr">
        <is>
          <t>K</t>
        </is>
      </c>
      <c r="E376" s="124" t="inlineStr">
        <is>
          <t>Damane Lisbeth</t>
        </is>
      </c>
      <c r="F376" s="125">
        <f>SUMIFS(Investors!$M:$M, Investors!$I:$I, "&lt;=" &amp; 'NSST Print'!$B$3, Investors!$K:$K, "&gt;" &amp; 'NSST Print'!$B$3, Investors!$A:$A, 'Investor Exit List'!A376, Investors!$E:$E, 'Investor Exit List'!C376)</f>
        <v/>
      </c>
      <c r="G376" s="126" t="n">
        <v>44916</v>
      </c>
      <c r="H376" s="124">
        <f>VLOOKUP($C376,Sales!$C:$E,2,FALSE)</f>
        <v/>
      </c>
      <c r="I376" s="124">
        <f>VLOOKUP($C376,Sales!$C:$E,3,FALSE)</f>
        <v/>
      </c>
      <c r="J376" s="126">
        <f>SUMIFS(Sales!$H:$H,Sales!$C:$C,'Investor Exit List'!$C376)</f>
        <v/>
      </c>
      <c r="K376" s="126">
        <f>IF(I376=TRUE,J376,"")</f>
        <v/>
      </c>
      <c r="L376" s="126">
        <f>G376+730</f>
        <v/>
      </c>
      <c r="M376" s="126" t="n">
        <v>45443</v>
      </c>
      <c r="N376" s="127">
        <f>IFERROR(IF(G376&lt;&gt;"",IF(I376=TRUE,0,IF(U376=TRUE,0,L376-M376)),0),0)</f>
        <v/>
      </c>
      <c r="O376" s="127">
        <f>IF(N376&gt;0,IF(N376&lt;=180,N376,0),0)</f>
        <v/>
      </c>
      <c r="P376" s="125">
        <f>IF(AND(N376&lt;90,N376&gt;0),Q376,0)</f>
        <v/>
      </c>
      <c r="Q376" s="125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25">
        <f>IF(AND(H376=TRUE,I376=FALSE),Q376,0)</f>
        <v/>
      </c>
      <c r="S376" s="125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26">
        <f>IF(U376=TRUE,$J376,"")</f>
        <v/>
      </c>
      <c r="U376" s="124" t="b">
        <v>0</v>
      </c>
      <c r="V376" s="125">
        <f>IF(AND(H376=TRUE,OR(K376="",K376&gt;M376)),S376,0)</f>
        <v/>
      </c>
      <c r="W376" s="124" t="n">
        <v>0</v>
      </c>
      <c r="X376" s="124" t="b">
        <v>0</v>
      </c>
      <c r="Y376" s="127">
        <f>IF(H376=FALSE,VLOOKUP($C376,Sales!$C:$F,4,FALSE),1)</f>
        <v/>
      </c>
      <c r="Z376" s="124">
        <f>IF(Y376=0,"Release",IF(AND(L376&lt;J376,Y376=1,H376=FALSE,U376=FALSE,MONTH(L376)&amp;"/"&amp;YEAR(L376)&lt;&gt;MONTH(J376)&amp;"/"&amp;YEAR(J376)),"Release",""))</f>
        <v/>
      </c>
      <c r="AA376" s="128">
        <f>_xlfn.minifs($L:$L,$C:$C,$C376,$F:$F,"&lt;&gt;0")</f>
        <v/>
      </c>
      <c r="AB376" s="128">
        <f>C376&amp;"-"&amp;A376</f>
        <v/>
      </c>
      <c r="AC376" s="128">
        <f>L376</f>
        <v/>
      </c>
    </row>
    <row r="377">
      <c r="A377" s="124" t="inlineStr">
        <is>
          <t>ZELE01</t>
        </is>
      </c>
      <c r="B377" s="124" t="n">
        <v>2</v>
      </c>
      <c r="C377" s="124" t="inlineStr">
        <is>
          <t>HVK103</t>
        </is>
      </c>
      <c r="D377" s="124" t="inlineStr">
        <is>
          <t>K</t>
        </is>
      </c>
      <c r="E377" s="124" t="inlineStr">
        <is>
          <t>Lew Emile Kenneth</t>
        </is>
      </c>
      <c r="F377" s="125">
        <f>SUMIFS(Investors!$M:$M, Investors!$I:$I, "&lt;=" &amp; 'NSST Print'!$B$3, Investors!$K:$K, "&gt;" &amp; 'NSST Print'!$B$3, Investors!$A:$A, 'Investor Exit List'!A377, Investors!$E:$E, 'Investor Exit List'!C377)</f>
        <v/>
      </c>
      <c r="G377" s="126" t="n">
        <v>44916</v>
      </c>
      <c r="H377" s="124">
        <f>VLOOKUP($C377,Sales!$C:$E,2,FALSE)</f>
        <v/>
      </c>
      <c r="I377" s="124">
        <f>VLOOKUP($C377,Sales!$C:$E,3,FALSE)</f>
        <v/>
      </c>
      <c r="J377" s="126">
        <f>SUMIFS(Sales!$H:$H,Sales!$C:$C,'Investor Exit List'!$C377)</f>
        <v/>
      </c>
      <c r="K377" s="126">
        <f>IF(I377=TRUE,J377,"")</f>
        <v/>
      </c>
      <c r="L377" s="126">
        <f>G377+730</f>
        <v/>
      </c>
      <c r="M377" s="126" t="n">
        <v>45443</v>
      </c>
      <c r="N377" s="127">
        <f>IFERROR(IF(G377&lt;&gt;"",IF(I377=TRUE,0,IF(U377=TRUE,0,L377-M377)),0),0)</f>
        <v/>
      </c>
      <c r="O377" s="127">
        <f>IF(N377&gt;0,IF(N377&lt;=180,N377,0),0)</f>
        <v/>
      </c>
      <c r="P377" s="125">
        <f>IF(AND(N377&lt;90,N377&gt;0),Q377,0)</f>
        <v/>
      </c>
      <c r="Q377" s="125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25">
        <f>IF(AND(H377=TRUE,I377=FALSE),Q377,0)</f>
        <v/>
      </c>
      <c r="S377" s="125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26">
        <f>IF(U377=TRUE,$J377,"")</f>
        <v/>
      </c>
      <c r="U377" s="124" t="b">
        <v>0</v>
      </c>
      <c r="V377" s="125">
        <f>IF(AND(H377=TRUE,OR(K377="",K377&gt;M377)),S377,0)</f>
        <v/>
      </c>
      <c r="W377" s="124" t="n">
        <v>0</v>
      </c>
      <c r="X377" s="124" t="b">
        <v>0</v>
      </c>
      <c r="Y377" s="127">
        <f>IF(H377=FALSE,VLOOKUP($C377,Sales!$C:$F,4,FALSE),1)</f>
        <v/>
      </c>
      <c r="Z377" s="124">
        <f>IF(Y377=0,"Release",IF(AND(L377&lt;J377,Y377=1,H377=FALSE,U377=FALSE,MONTH(L377)&amp;"/"&amp;YEAR(L377)&lt;&gt;MONTH(J377)&amp;"/"&amp;YEAR(J377)),"Release",""))</f>
        <v/>
      </c>
      <c r="AA377" s="128">
        <f>_xlfn.minifs($L:$L,$C:$C,$C377,$F:$F,"&lt;&gt;0")</f>
        <v/>
      </c>
      <c r="AB377" s="128">
        <f>C377&amp;"-"&amp;A377</f>
        <v/>
      </c>
      <c r="AC377" s="128">
        <f>L377</f>
        <v/>
      </c>
    </row>
    <row r="378">
      <c r="A378" s="124" t="inlineStr">
        <is>
          <t>ZJOH01</t>
        </is>
      </c>
      <c r="B378" s="124" t="n">
        <v>5</v>
      </c>
      <c r="C378" s="124" t="inlineStr">
        <is>
          <t>HVK103</t>
        </is>
      </c>
      <c r="D378" s="124" t="inlineStr">
        <is>
          <t>K</t>
        </is>
      </c>
      <c r="E378" s="124" t="inlineStr">
        <is>
          <t>Johns Lisa-Marie Natalie</t>
        </is>
      </c>
      <c r="F378" s="125">
        <f>SUMIFS(Investors!$M:$M, Investors!$I:$I, "&lt;=" &amp; 'NSST Print'!$B$3, Investors!$K:$K, "&gt;" &amp; 'NSST Print'!$B$3, Investors!$A:$A, 'Investor Exit List'!A378, Investors!$E:$E, 'Investor Exit List'!C378)</f>
        <v/>
      </c>
      <c r="G378" s="126" t="n">
        <v>44967</v>
      </c>
      <c r="H378" s="124">
        <f>VLOOKUP($C378,Sales!$C:$E,2,FALSE)</f>
        <v/>
      </c>
      <c r="I378" s="124">
        <f>VLOOKUP($C378,Sales!$C:$E,3,FALSE)</f>
        <v/>
      </c>
      <c r="J378" s="126">
        <f>SUMIFS(Sales!$H:$H,Sales!$C:$C,'Investor Exit List'!$C378)</f>
        <v/>
      </c>
      <c r="K378" s="126">
        <f>IF(I378=TRUE,J378,"")</f>
        <v/>
      </c>
      <c r="L378" s="126">
        <f>G378+730</f>
        <v/>
      </c>
      <c r="M378" s="126" t="n">
        <v>45443</v>
      </c>
      <c r="N378" s="127">
        <f>IFERROR(IF(G378&lt;&gt;"",IF(I378=TRUE,0,IF(U378=TRUE,0,L378-M378)),0),0)</f>
        <v/>
      </c>
      <c r="O378" s="127">
        <f>IF(N378&gt;0,IF(N378&lt;=180,N378,0),0)</f>
        <v/>
      </c>
      <c r="P378" s="125">
        <f>IF(AND(N378&lt;90,N378&gt;0),Q378,0)</f>
        <v/>
      </c>
      <c r="Q378" s="125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25">
        <f>IF(AND(H378=TRUE,I378=FALSE),Q378,0)</f>
        <v/>
      </c>
      <c r="S378" s="125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26">
        <f>IF(U378=TRUE,$J378,"")</f>
        <v/>
      </c>
      <c r="U378" s="124" t="b">
        <v>0</v>
      </c>
      <c r="V378" s="125">
        <f>IF(AND(H378=TRUE,OR(K378="",K378&gt;M378)),S378,0)</f>
        <v/>
      </c>
      <c r="W378" s="124" t="n">
        <v>0</v>
      </c>
      <c r="X378" s="124" t="b">
        <v>0</v>
      </c>
      <c r="Y378" s="127">
        <f>IF(H378=FALSE,VLOOKUP($C378,Sales!$C:$F,4,FALSE),1)</f>
        <v/>
      </c>
      <c r="Z378" s="124">
        <f>IF(Y378=0,"Release",IF(AND(L378&lt;J378,Y378=1,H378=FALSE,U378=FALSE,MONTH(L378)&amp;"/"&amp;YEAR(L378)&lt;&gt;MONTH(J378)&amp;"/"&amp;YEAR(J378)),"Release",""))</f>
        <v/>
      </c>
      <c r="AA378" s="128">
        <f>_xlfn.minifs($L:$L,$C:$C,$C378,$F:$F,"&lt;&gt;0")</f>
        <v/>
      </c>
      <c r="AB378" s="128">
        <f>C378&amp;"-"&amp;A378</f>
        <v/>
      </c>
      <c r="AC378" s="128">
        <f>L378</f>
        <v/>
      </c>
    </row>
    <row r="379">
      <c r="A379" s="124" t="inlineStr">
        <is>
          <t>ZRIT01</t>
        </is>
      </c>
      <c r="B379" s="124" t="n">
        <v>15</v>
      </c>
      <c r="C379" s="124" t="inlineStr">
        <is>
          <t>HVK103</t>
        </is>
      </c>
      <c r="D379" s="124" t="inlineStr">
        <is>
          <t>K</t>
        </is>
      </c>
      <c r="E379" s="124" t="inlineStr">
        <is>
          <t>Ritter Dennis</t>
        </is>
      </c>
      <c r="F379" s="125">
        <f>SUMIFS(Investors!$M:$M, Investors!$I:$I, "&lt;=" &amp; 'NSST Print'!$B$3, Investors!$K:$K, "&gt;" &amp; 'NSST Print'!$B$3, Investors!$A:$A, 'Investor Exit List'!A379, Investors!$E:$E, 'Investor Exit List'!C379)</f>
        <v/>
      </c>
      <c r="G379" s="126" t="n">
        <v>45129</v>
      </c>
      <c r="H379" s="124">
        <f>VLOOKUP($C379,Sales!$C:$E,2,FALSE)</f>
        <v/>
      </c>
      <c r="I379" s="124">
        <f>VLOOKUP($C379,Sales!$C:$E,3,FALSE)</f>
        <v/>
      </c>
      <c r="J379" s="126">
        <f>SUMIFS(Sales!$H:$H,Sales!$C:$C,'Investor Exit List'!$C379)</f>
        <v/>
      </c>
      <c r="K379" s="126">
        <f>IF(I379=TRUE,J379,"")</f>
        <v/>
      </c>
      <c r="L379" s="126">
        <f>G379+730</f>
        <v/>
      </c>
      <c r="M379" s="126" t="n">
        <v>45443</v>
      </c>
      <c r="N379" s="127">
        <f>IFERROR(IF(G379&lt;&gt;"",IF(I379=TRUE,0,IF(U379=TRUE,0,L379-M379)),0),0)</f>
        <v/>
      </c>
      <c r="O379" s="127">
        <f>IF(N379&gt;0,IF(N379&lt;=180,N379,0),0)</f>
        <v/>
      </c>
      <c r="P379" s="125">
        <f>IF(AND(N379&lt;90,N379&gt;0),Q379,0)</f>
        <v/>
      </c>
      <c r="Q379" s="125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25">
        <f>IF(AND(H379=TRUE,I379=FALSE),Q379,0)</f>
        <v/>
      </c>
      <c r="S379" s="125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26">
        <f>IF(U379=TRUE,$J379,"")</f>
        <v/>
      </c>
      <c r="U379" s="124" t="b">
        <v>0</v>
      </c>
      <c r="V379" s="125">
        <f>IF(AND(H379=TRUE,OR(K379="",K379&gt;M379)),S379,0)</f>
        <v/>
      </c>
      <c r="W379" s="124" t="n">
        <v>0</v>
      </c>
      <c r="X379" s="124" t="b">
        <v>0</v>
      </c>
      <c r="Y379" s="127">
        <f>IF(H379=FALSE,VLOOKUP($C379,Sales!$C:$F,4,FALSE),1)</f>
        <v/>
      </c>
      <c r="Z379" s="124">
        <f>IF(Y379=0,"Release",IF(AND(L379&lt;J379,Y379=1,H379=FALSE,U379=FALSE,MONTH(L379)&amp;"/"&amp;YEAR(L379)&lt;&gt;MONTH(J379)&amp;"/"&amp;YEAR(J379)),"Release",""))</f>
        <v/>
      </c>
      <c r="AA379" s="128">
        <f>_xlfn.minifs($L:$L,$C:$C,$C379,$F:$F,"&lt;&gt;0")</f>
        <v/>
      </c>
      <c r="AB379" s="128">
        <f>C379&amp;"-"&amp;A379</f>
        <v/>
      </c>
      <c r="AC379" s="128">
        <f>L379</f>
        <v/>
      </c>
    </row>
    <row r="380">
      <c r="A380" s="124" t="inlineStr">
        <is>
          <t>ZINT01</t>
        </is>
      </c>
      <c r="B380" s="124" t="n">
        <v>10</v>
      </c>
      <c r="C380" s="124" t="inlineStr">
        <is>
          <t>HVK104</t>
        </is>
      </c>
      <c r="D380" s="124" t="inlineStr">
        <is>
          <t>K</t>
        </is>
      </c>
      <c r="E380" s="124" t="inlineStr">
        <is>
          <t>Lunau Marc</t>
        </is>
      </c>
      <c r="F380" s="125">
        <f>SUMIFS(Investors!$M:$M, Investors!$I:$I, "&lt;=" &amp; 'NSST Print'!$B$3, Investors!$K:$K, "&gt;" &amp; 'NSST Print'!$B$3, Investors!$A:$A, 'Investor Exit List'!A380, Investors!$E:$E, 'Investor Exit List'!C380)</f>
        <v/>
      </c>
      <c r="G380" s="126" t="n">
        <v>44980</v>
      </c>
      <c r="H380" s="124">
        <f>VLOOKUP($C380,Sales!$C:$E,2,FALSE)</f>
        <v/>
      </c>
      <c r="I380" s="124">
        <f>VLOOKUP($C380,Sales!$C:$E,3,FALSE)</f>
        <v/>
      </c>
      <c r="J380" s="126">
        <f>SUMIFS(Sales!$H:$H,Sales!$C:$C,'Investor Exit List'!$C380)</f>
        <v/>
      </c>
      <c r="K380" s="126">
        <f>IF(I380=TRUE,J380,"")</f>
        <v/>
      </c>
      <c r="L380" s="126">
        <f>G380+730</f>
        <v/>
      </c>
      <c r="M380" s="126" t="n">
        <v>45443</v>
      </c>
      <c r="N380" s="127">
        <f>IFERROR(IF(G380&lt;&gt;"",IF(I380=TRUE,0,IF(U380=TRUE,0,L380-M380)),0),0)</f>
        <v/>
      </c>
      <c r="O380" s="127">
        <f>IF(N380&gt;0,IF(N380&lt;=180,N380,0),0)</f>
        <v/>
      </c>
      <c r="P380" s="125">
        <f>IF(AND(N380&lt;90,N380&gt;0),Q380,0)</f>
        <v/>
      </c>
      <c r="Q380" s="125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25">
        <f>IF(AND(H380=TRUE,I380=FALSE),Q380,0)</f>
        <v/>
      </c>
      <c r="S380" s="125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26">
        <f>IF(U380=TRUE,$J380,"")</f>
        <v/>
      </c>
      <c r="U380" s="124" t="b">
        <v>0</v>
      </c>
      <c r="V380" s="125">
        <f>IF(AND(H380=TRUE,OR(K380="",K380&gt;M380)),S380,0)</f>
        <v/>
      </c>
      <c r="W380" s="124" t="n">
        <v>0</v>
      </c>
      <c r="X380" s="124" t="b">
        <v>0</v>
      </c>
      <c r="Y380" s="127">
        <f>IF(H380=FALSE,VLOOKUP($C380,Sales!$C:$F,4,FALSE),1)</f>
        <v/>
      </c>
      <c r="Z380" s="124">
        <f>IF(Y380=0,"Release",IF(AND(L380&lt;J380,Y380=1,H380=FALSE,U380=FALSE,MONTH(L380)&amp;"/"&amp;YEAR(L380)&lt;&gt;MONTH(J380)&amp;"/"&amp;YEAR(J380)),"Release",""))</f>
        <v/>
      </c>
      <c r="AA380" s="128">
        <f>_xlfn.minifs($L:$L,$C:$C,$C380,$F:$F,"&lt;&gt;0")</f>
        <v/>
      </c>
      <c r="AB380" s="128">
        <f>C380&amp;"-"&amp;A380</f>
        <v/>
      </c>
      <c r="AC380" s="128">
        <f>L380</f>
        <v/>
      </c>
    </row>
    <row r="381">
      <c r="A381" s="124" t="inlineStr">
        <is>
          <t>ZNIE01</t>
        </is>
      </c>
      <c r="B381" s="124" t="n">
        <v>4</v>
      </c>
      <c r="C381" s="124" t="inlineStr">
        <is>
          <t>HVK104</t>
        </is>
      </c>
      <c r="D381" s="124" t="inlineStr">
        <is>
          <t>K</t>
        </is>
      </c>
      <c r="E381" s="124" t="inlineStr">
        <is>
          <t>van Niekerk Grant Richard</t>
        </is>
      </c>
      <c r="F381" s="125">
        <f>SUMIFS(Investors!$M:$M, Investors!$I:$I, "&lt;=" &amp; 'NSST Print'!$B$3, Investors!$K:$K, "&gt;" &amp; 'NSST Print'!$B$3, Investors!$A:$A, 'Investor Exit List'!A381, Investors!$E:$E, 'Investor Exit List'!C381)</f>
        <v/>
      </c>
      <c r="G381" s="126" t="n">
        <v>45044</v>
      </c>
      <c r="H381" s="124">
        <f>VLOOKUP($C381,Sales!$C:$E,2,FALSE)</f>
        <v/>
      </c>
      <c r="I381" s="124">
        <f>VLOOKUP($C381,Sales!$C:$E,3,FALSE)</f>
        <v/>
      </c>
      <c r="J381" s="126">
        <f>SUMIFS(Sales!$H:$H,Sales!$C:$C,'Investor Exit List'!$C381)</f>
        <v/>
      </c>
      <c r="K381" s="126">
        <f>IF(I381=TRUE,J381,"")</f>
        <v/>
      </c>
      <c r="L381" s="126">
        <f>G381+730</f>
        <v/>
      </c>
      <c r="M381" s="126" t="n">
        <v>45443</v>
      </c>
      <c r="N381" s="127">
        <f>IFERROR(IF(G381&lt;&gt;"",IF(I381=TRUE,0,IF(U381=TRUE,0,L381-M381)),0),0)</f>
        <v/>
      </c>
      <c r="O381" s="127">
        <f>IF(N381&gt;0,IF(N381&lt;=180,N381,0),0)</f>
        <v/>
      </c>
      <c r="P381" s="125">
        <f>IF(AND(N381&lt;90,N381&gt;0),Q381,0)</f>
        <v/>
      </c>
      <c r="Q381" s="125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25">
        <f>IF(AND(H381=TRUE,I381=FALSE),Q381,0)</f>
        <v/>
      </c>
      <c r="S381" s="125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26">
        <f>IF(U381=TRUE,$J381,"")</f>
        <v/>
      </c>
      <c r="U381" s="124" t="b">
        <v>0</v>
      </c>
      <c r="V381" s="125">
        <f>IF(AND(H381=TRUE,OR(K381="",K381&gt;M381)),S381,0)</f>
        <v/>
      </c>
      <c r="W381" s="124" t="n">
        <v>0</v>
      </c>
      <c r="X381" s="124" t="b">
        <v>0</v>
      </c>
      <c r="Y381" s="127">
        <f>IF(H381=FALSE,VLOOKUP($C381,Sales!$C:$F,4,FALSE),1)</f>
        <v/>
      </c>
      <c r="Z381" s="124">
        <f>IF(Y381=0,"Release",IF(AND(L381&lt;J381,Y381=1,H381=FALSE,U381=FALSE,MONTH(L381)&amp;"/"&amp;YEAR(L381)&lt;&gt;MONTH(J381)&amp;"/"&amp;YEAR(J381)),"Release",""))</f>
        <v/>
      </c>
      <c r="AA381" s="128">
        <f>_xlfn.minifs($L:$L,$C:$C,$C381,$F:$F,"&lt;&gt;0")</f>
        <v/>
      </c>
      <c r="AB381" s="128">
        <f>C381&amp;"-"&amp;A381</f>
        <v/>
      </c>
      <c r="AC381" s="128">
        <f>L381</f>
        <v/>
      </c>
    </row>
    <row r="382">
      <c r="A382" s="124" t="inlineStr">
        <is>
          <t>ZBOH01</t>
        </is>
      </c>
      <c r="B382" s="124" t="n">
        <v>2</v>
      </c>
      <c r="C382" s="124" t="inlineStr">
        <is>
          <t>HVK105</t>
        </is>
      </c>
      <c r="D382" s="124" t="inlineStr">
        <is>
          <t>K</t>
        </is>
      </c>
      <c r="E382" s="124" t="inlineStr">
        <is>
          <t>Brenda Bohme Werner Hugo Bohme &amp;</t>
        </is>
      </c>
      <c r="F382" s="125">
        <f>SUMIFS(Investors!$M:$M, Investors!$I:$I, "&lt;=" &amp; 'NSST Print'!$B$3, Investors!$K:$K, "&gt;" &amp; 'NSST Print'!$B$3, Investors!$A:$A, 'Investor Exit List'!A382, Investors!$E:$E, 'Investor Exit List'!C382)</f>
        <v/>
      </c>
      <c r="G382" s="126" t="n">
        <v>44960</v>
      </c>
      <c r="H382" s="124">
        <f>VLOOKUP($C382,Sales!$C:$E,2,FALSE)</f>
        <v/>
      </c>
      <c r="I382" s="124">
        <f>VLOOKUP($C382,Sales!$C:$E,3,FALSE)</f>
        <v/>
      </c>
      <c r="J382" s="126">
        <f>SUMIFS(Sales!$H:$H,Sales!$C:$C,'Investor Exit List'!$C382)</f>
        <v/>
      </c>
      <c r="K382" s="126">
        <f>IF(I382=TRUE,J382,"")</f>
        <v/>
      </c>
      <c r="L382" s="126">
        <f>G382+730</f>
        <v/>
      </c>
      <c r="M382" s="126" t="n">
        <v>45443</v>
      </c>
      <c r="N382" s="127">
        <f>IFERROR(IF(G382&lt;&gt;"",IF(I382=TRUE,0,IF(U382=TRUE,0,L382-M382)),0),0)</f>
        <v/>
      </c>
      <c r="O382" s="127">
        <f>IF(N382&gt;0,IF(N382&lt;=180,N382,0),0)</f>
        <v/>
      </c>
      <c r="P382" s="125">
        <f>IF(AND(N382&lt;90,N382&gt;0),Q382,0)</f>
        <v/>
      </c>
      <c r="Q382" s="125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25">
        <f>IF(AND(H382=TRUE,I382=FALSE),Q382,0)</f>
        <v/>
      </c>
      <c r="S382" s="125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26">
        <f>IF(U382=TRUE,$J382,"")</f>
        <v/>
      </c>
      <c r="U382" s="124" t="b">
        <v>0</v>
      </c>
      <c r="V382" s="125">
        <f>IF(AND(H382=TRUE,OR(K382="",K382&gt;M382)),S382,0)</f>
        <v/>
      </c>
      <c r="W382" s="124" t="n">
        <v>0</v>
      </c>
      <c r="X382" s="124" t="b">
        <v>0</v>
      </c>
      <c r="Y382" s="127">
        <f>IF(H382=FALSE,VLOOKUP($C382,Sales!$C:$F,4,FALSE),1)</f>
        <v/>
      </c>
      <c r="Z382" s="124">
        <f>IF(Y382=0,"Release",IF(AND(L382&lt;J382,Y382=1,H382=FALSE,U382=FALSE,MONTH(L382)&amp;"/"&amp;YEAR(L382)&lt;&gt;MONTH(J382)&amp;"/"&amp;YEAR(J382)),"Release",""))</f>
        <v/>
      </c>
      <c r="AA382" s="128">
        <f>_xlfn.minifs($L:$L,$C:$C,$C382,$F:$F,"&lt;&gt;0")</f>
        <v/>
      </c>
      <c r="AB382" s="128">
        <f>C382&amp;"-"&amp;A382</f>
        <v/>
      </c>
      <c r="AC382" s="128">
        <f>L382</f>
        <v/>
      </c>
    </row>
    <row r="383">
      <c r="A383" s="124" t="inlineStr">
        <is>
          <t>ZCRO01</t>
        </is>
      </c>
      <c r="B383" s="124" t="n">
        <v>6</v>
      </c>
      <c r="C383" s="124" t="inlineStr">
        <is>
          <t>HVK105</t>
        </is>
      </c>
      <c r="D383" s="124" t="inlineStr">
        <is>
          <t>K</t>
        </is>
      </c>
      <c r="E383" s="124" t="inlineStr">
        <is>
          <t>Lunau Marc</t>
        </is>
      </c>
      <c r="F383" s="125">
        <f>SUMIFS(Investors!$M:$M, Investors!$I:$I, "&lt;=" &amp; 'NSST Print'!$B$3, Investors!$K:$K, "&gt;" &amp; 'NSST Print'!$B$3, Investors!$A:$A, 'Investor Exit List'!A383, Investors!$E:$E, 'Investor Exit List'!C383)</f>
        <v/>
      </c>
      <c r="G383" s="126" t="n">
        <v>44916</v>
      </c>
      <c r="H383" s="124">
        <f>VLOOKUP($C383,Sales!$C:$E,2,FALSE)</f>
        <v/>
      </c>
      <c r="I383" s="124">
        <f>VLOOKUP($C383,Sales!$C:$E,3,FALSE)</f>
        <v/>
      </c>
      <c r="J383" s="126">
        <f>SUMIFS(Sales!$H:$H,Sales!$C:$C,'Investor Exit List'!$C383)</f>
        <v/>
      </c>
      <c r="K383" s="126">
        <f>IF(I383=TRUE,J383,"")</f>
        <v/>
      </c>
      <c r="L383" s="126">
        <f>G383+730</f>
        <v/>
      </c>
      <c r="M383" s="126" t="n">
        <v>45443</v>
      </c>
      <c r="N383" s="127">
        <f>IFERROR(IF(G383&lt;&gt;"",IF(I383=TRUE,0,IF(U383=TRUE,0,L383-M383)),0),0)</f>
        <v/>
      </c>
      <c r="O383" s="127">
        <f>IF(N383&gt;0,IF(N383&lt;=180,N383,0),0)</f>
        <v/>
      </c>
      <c r="P383" s="125">
        <f>IF(AND(N383&lt;90,N383&gt;0),Q383,0)</f>
        <v/>
      </c>
      <c r="Q383" s="125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25">
        <f>IF(AND(H383=TRUE,I383=FALSE),Q383,0)</f>
        <v/>
      </c>
      <c r="S383" s="125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26">
        <f>IF(U383=TRUE,$J383,"")</f>
        <v/>
      </c>
      <c r="U383" s="124" t="b">
        <v>0</v>
      </c>
      <c r="V383" s="125">
        <f>IF(AND(H383=TRUE,OR(K383="",K383&gt;M383)),S383,0)</f>
        <v/>
      </c>
      <c r="W383" s="124" t="n">
        <v>0</v>
      </c>
      <c r="X383" s="124" t="b">
        <v>0</v>
      </c>
      <c r="Y383" s="127">
        <f>IF(H383=FALSE,VLOOKUP($C383,Sales!$C:$F,4,FALSE),1)</f>
        <v/>
      </c>
      <c r="Z383" s="124">
        <f>IF(Y383=0,"Release",IF(AND(L383&lt;J383,Y383=1,H383=FALSE,U383=FALSE,MONTH(L383)&amp;"/"&amp;YEAR(L383)&lt;&gt;MONTH(J383)&amp;"/"&amp;YEAR(J383)),"Release",""))</f>
        <v/>
      </c>
      <c r="AA383" s="128">
        <f>_xlfn.minifs($L:$L,$C:$C,$C383,$F:$F,"&lt;&gt;0")</f>
        <v/>
      </c>
      <c r="AB383" s="128">
        <f>C383&amp;"-"&amp;A383</f>
        <v/>
      </c>
      <c r="AC383" s="128">
        <f>L383</f>
        <v/>
      </c>
    </row>
    <row r="384">
      <c r="A384" s="124" t="inlineStr">
        <is>
          <t>ZHAR01</t>
        </is>
      </c>
      <c r="B384" s="124" t="n">
        <v>3</v>
      </c>
      <c r="C384" s="124" t="inlineStr">
        <is>
          <t>HVK106</t>
        </is>
      </c>
      <c r="D384" s="124" t="inlineStr">
        <is>
          <t>K</t>
        </is>
      </c>
      <c r="E384" s="124" t="inlineStr">
        <is>
          <t>Hart Teresa-Ann</t>
        </is>
      </c>
      <c r="F384" s="125">
        <f>SUMIFS(Investors!$M:$M, Investors!$I:$I, "&lt;=" &amp; 'NSST Print'!$B$3, Investors!$K:$K, "&gt;" &amp; 'NSST Print'!$B$3, Investors!$A:$A, 'Investor Exit List'!A384, Investors!$E:$E, 'Investor Exit List'!C384)</f>
        <v/>
      </c>
      <c r="G384" s="126" t="n">
        <v>45457</v>
      </c>
      <c r="H384" s="124">
        <f>VLOOKUP($C384,Sales!$C:$E,2,FALSE)</f>
        <v/>
      </c>
      <c r="I384" s="124">
        <f>VLOOKUP($C384,Sales!$C:$E,3,FALSE)</f>
        <v/>
      </c>
      <c r="J384" s="126">
        <f>SUMIFS(Sales!$H:$H,Sales!$C:$C,'Investor Exit List'!$C384)</f>
        <v/>
      </c>
      <c r="K384" s="126">
        <f>IF(I384=TRUE,J384,"")</f>
        <v/>
      </c>
      <c r="L384" s="126">
        <f>G384+730</f>
        <v/>
      </c>
      <c r="M384" s="126" t="n">
        <v>45443</v>
      </c>
      <c r="N384" s="127">
        <f>IFERROR(IF(G384&lt;&gt;"",IF(I384=TRUE,0,IF(U384=TRUE,0,L384-M384)),0),0)</f>
        <v/>
      </c>
      <c r="O384" s="127">
        <f>IF(N384&gt;0,IF(N384&lt;=180,N384,0),0)</f>
        <v/>
      </c>
      <c r="P384" s="125">
        <f>IF(AND(N384&lt;90,N384&gt;0),Q384,0)</f>
        <v/>
      </c>
      <c r="Q384" s="125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25">
        <f>IF(AND(H384=TRUE,I384=FALSE),Q384,0)</f>
        <v/>
      </c>
      <c r="S384" s="125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26">
        <f>IF(U384=TRUE,$J384,"")</f>
        <v/>
      </c>
      <c r="U384" s="124" t="b">
        <v>0</v>
      </c>
      <c r="V384" s="125">
        <f>IF(AND(H384=TRUE,OR(K384="",K384&gt;M384)),S384,0)</f>
        <v/>
      </c>
      <c r="W384" s="124" t="n">
        <v>0</v>
      </c>
      <c r="X384" s="124" t="b">
        <v>0</v>
      </c>
      <c r="Y384" s="127">
        <f>IF(H384=FALSE,VLOOKUP($C384,Sales!$C:$F,4,FALSE),1)</f>
        <v/>
      </c>
      <c r="Z384" s="124">
        <f>IF(Y384=0,"Release",IF(AND(L384&lt;J384,Y384=1,H384=FALSE,U384=FALSE,MONTH(L384)&amp;"/"&amp;YEAR(L384)&lt;&gt;MONTH(J384)&amp;"/"&amp;YEAR(J384)),"Release",""))</f>
        <v/>
      </c>
      <c r="AA384" s="128">
        <f>_xlfn.minifs($L:$L,$C:$C,$C384,$F:$F,"&lt;&gt;0")</f>
        <v/>
      </c>
      <c r="AB384" s="128">
        <f>C384&amp;"-"&amp;A384</f>
        <v/>
      </c>
      <c r="AC384" s="128">
        <f>L384</f>
        <v/>
      </c>
    </row>
    <row r="385">
      <c r="A385" s="124" t="inlineStr">
        <is>
          <t>ZHAY01</t>
        </is>
      </c>
      <c r="B385" s="124" t="n">
        <v>5</v>
      </c>
      <c r="C385" s="124" t="inlineStr">
        <is>
          <t>HVK106</t>
        </is>
      </c>
      <c r="D385" s="124" t="inlineStr">
        <is>
          <t>K</t>
        </is>
      </c>
      <c r="E385" s="124" t="inlineStr">
        <is>
          <t>Haywood Johannes Wynand</t>
        </is>
      </c>
      <c r="F385" s="125">
        <f>SUMIFS(Investors!$M:$M, Investors!$I:$I, "&lt;=" &amp; 'NSST Print'!$B$3, Investors!$K:$K, "&gt;" &amp; 'NSST Print'!$B$3, Investors!$A:$A, 'Investor Exit List'!A385, Investors!$E:$E, 'Investor Exit List'!C385)</f>
        <v/>
      </c>
      <c r="G385" s="126" t="n">
        <v>45457</v>
      </c>
      <c r="H385" s="124">
        <f>VLOOKUP($C385,Sales!$C:$E,2,FALSE)</f>
        <v/>
      </c>
      <c r="I385" s="124">
        <f>VLOOKUP($C385,Sales!$C:$E,3,FALSE)</f>
        <v/>
      </c>
      <c r="J385" s="126">
        <f>SUMIFS(Sales!$H:$H,Sales!$C:$C,'Investor Exit List'!$C385)</f>
        <v/>
      </c>
      <c r="K385" s="126">
        <f>IF(I385=TRUE,J385,"")</f>
        <v/>
      </c>
      <c r="L385" s="126">
        <f>G385+730</f>
        <v/>
      </c>
      <c r="M385" s="126" t="n">
        <v>45443</v>
      </c>
      <c r="N385" s="127">
        <f>IFERROR(IF(G385&lt;&gt;"",IF(I385=TRUE,0,IF(U385=TRUE,0,L385-M385)),0),0)</f>
        <v/>
      </c>
      <c r="O385" s="127">
        <f>IF(N385&gt;0,IF(N385&lt;=180,N385,0),0)</f>
        <v/>
      </c>
      <c r="P385" s="125">
        <f>IF(AND(N385&lt;90,N385&gt;0),Q385,0)</f>
        <v/>
      </c>
      <c r="Q385" s="125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25">
        <f>IF(AND(H385=TRUE,I385=FALSE),Q385,0)</f>
        <v/>
      </c>
      <c r="S385" s="125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26">
        <f>IF(U385=TRUE,$J385,"")</f>
        <v/>
      </c>
      <c r="U385" s="124" t="b">
        <v>0</v>
      </c>
      <c r="V385" s="125">
        <f>IF(AND(H385=TRUE,OR(K385="",K385&gt;M385)),S385,0)</f>
        <v/>
      </c>
      <c r="W385" s="124" t="n">
        <v>0</v>
      </c>
      <c r="X385" s="124" t="b">
        <v>0</v>
      </c>
      <c r="Y385" s="127">
        <f>IF(H385=FALSE,VLOOKUP($C385,Sales!$C:$F,4,FALSE),1)</f>
        <v/>
      </c>
      <c r="Z385" s="124">
        <f>IF(Y385=0,"Release",IF(AND(L385&lt;J385,Y385=1,H385=FALSE,U385=FALSE,MONTH(L385)&amp;"/"&amp;YEAR(L385)&lt;&gt;MONTH(J385)&amp;"/"&amp;YEAR(J385)),"Release",""))</f>
        <v/>
      </c>
      <c r="AA385" s="128">
        <f>_xlfn.minifs($L:$L,$C:$C,$C385,$F:$F,"&lt;&gt;0")</f>
        <v/>
      </c>
      <c r="AB385" s="128">
        <f>C385&amp;"-"&amp;A385</f>
        <v/>
      </c>
      <c r="AC385" s="128">
        <f>L385</f>
        <v/>
      </c>
    </row>
    <row r="386">
      <c r="A386" s="124" t="inlineStr">
        <is>
          <t>ZVER05</t>
        </is>
      </c>
      <c r="B386" s="124" t="n">
        <v>1</v>
      </c>
      <c r="C386" s="124" t="inlineStr">
        <is>
          <t>HVK106</t>
        </is>
      </c>
      <c r="D386" s="124" t="inlineStr">
        <is>
          <t>K</t>
        </is>
      </c>
      <c r="E386" s="124" t="inlineStr">
        <is>
          <t>Vermeulen Anita Hester</t>
        </is>
      </c>
      <c r="F386" s="125">
        <f>SUMIFS(Investors!$M:$M, Investors!$I:$I, "&lt;=" &amp; 'NSST Print'!$B$3, Investors!$K:$K, "&gt;" &amp; 'NSST Print'!$B$3, Investors!$A:$A, 'Investor Exit List'!A386, Investors!$E:$E, 'Investor Exit List'!C386)</f>
        <v/>
      </c>
      <c r="G386" s="126" t="n">
        <v>45457</v>
      </c>
      <c r="H386" s="124">
        <f>VLOOKUP($C386,Sales!$C:$E,2,FALSE)</f>
        <v/>
      </c>
      <c r="I386" s="124">
        <f>VLOOKUP($C386,Sales!$C:$E,3,FALSE)</f>
        <v/>
      </c>
      <c r="J386" s="126">
        <f>SUMIFS(Sales!$H:$H,Sales!$C:$C,'Investor Exit List'!$C386)</f>
        <v/>
      </c>
      <c r="K386" s="126">
        <f>IF(I386=TRUE,J386,"")</f>
        <v/>
      </c>
      <c r="L386" s="126">
        <f>G386+730</f>
        <v/>
      </c>
      <c r="M386" s="126" t="n">
        <v>45443</v>
      </c>
      <c r="N386" s="127">
        <f>IFERROR(IF(G386&lt;&gt;"",IF(I386=TRUE,0,IF(U386=TRUE,0,L386-M386)),0),0)</f>
        <v/>
      </c>
      <c r="O386" s="127">
        <f>IF(N386&gt;0,IF(N386&lt;=180,N386,0),0)</f>
        <v/>
      </c>
      <c r="P386" s="125">
        <f>IF(AND(N386&lt;90,N386&gt;0),Q386,0)</f>
        <v/>
      </c>
      <c r="Q386" s="125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25">
        <f>IF(AND(H386=TRUE,I386=FALSE),Q386,0)</f>
        <v/>
      </c>
      <c r="S386" s="125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26">
        <f>IF(U386=TRUE,$J386,"")</f>
        <v/>
      </c>
      <c r="U386" s="124" t="b">
        <v>0</v>
      </c>
      <c r="V386" s="125">
        <f>IF(AND(H386=TRUE,OR(K386="",K386&gt;M386)),S386,0)</f>
        <v/>
      </c>
      <c r="W386" s="124" t="n">
        <v>0</v>
      </c>
      <c r="X386" s="124" t="b">
        <v>0</v>
      </c>
      <c r="Y386" s="127">
        <f>IF(H386=FALSE,VLOOKUP($C386,Sales!$C:$F,4,FALSE),1)</f>
        <v/>
      </c>
      <c r="Z386" s="124">
        <f>IF(Y386=0,"Release",IF(AND(L386&lt;J386,Y386=1,H386=FALSE,U386=FALSE,MONTH(L386)&amp;"/"&amp;YEAR(L386)&lt;&gt;MONTH(J386)&amp;"/"&amp;YEAR(J386)),"Release",""))</f>
        <v/>
      </c>
      <c r="AA386" s="128">
        <f>_xlfn.minifs($L:$L,$C:$C,$C386,$F:$F,"&lt;&gt;0")</f>
        <v/>
      </c>
      <c r="AB386" s="128">
        <f>C386&amp;"-"&amp;A386</f>
        <v/>
      </c>
      <c r="AC386" s="128">
        <f>L386</f>
        <v/>
      </c>
    </row>
    <row r="387">
      <c r="A387" s="124" t="inlineStr">
        <is>
          <t>ZZYL03</t>
        </is>
      </c>
      <c r="B387" s="124" t="n">
        <v>3</v>
      </c>
      <c r="C387" s="124" t="inlineStr">
        <is>
          <t>HVK106</t>
        </is>
      </c>
      <c r="D387" s="124" t="inlineStr">
        <is>
          <t>K</t>
        </is>
      </c>
      <c r="E387" s="124" t="inlineStr">
        <is>
          <t>Zylstra Sandra Robyn</t>
        </is>
      </c>
      <c r="F387" s="125">
        <f>SUMIFS(Investors!$M:$M, Investors!$I:$I, "&lt;=" &amp; 'NSST Print'!$B$3, Investors!$K:$K, "&gt;" &amp; 'NSST Print'!$B$3, Investors!$A:$A, 'Investor Exit List'!A387, Investors!$E:$E, 'Investor Exit List'!C387)</f>
        <v/>
      </c>
      <c r="G387" s="126" t="n">
        <v>44916</v>
      </c>
      <c r="H387" s="124">
        <f>VLOOKUP($C387,Sales!$C:$E,2,FALSE)</f>
        <v/>
      </c>
      <c r="I387" s="124">
        <f>VLOOKUP($C387,Sales!$C:$E,3,FALSE)</f>
        <v/>
      </c>
      <c r="J387" s="126">
        <f>SUMIFS(Sales!$H:$H,Sales!$C:$C,'Investor Exit List'!$C387)</f>
        <v/>
      </c>
      <c r="K387" s="126">
        <f>IF(I387=TRUE,J387,"")</f>
        <v/>
      </c>
      <c r="L387" s="126">
        <f>G387+730</f>
        <v/>
      </c>
      <c r="M387" s="126" t="n">
        <v>45443</v>
      </c>
      <c r="N387" s="127">
        <f>IFERROR(IF(G387&lt;&gt;"",IF(I387=TRUE,0,IF(U387=TRUE,0,L387-M387)),0),0)</f>
        <v/>
      </c>
      <c r="O387" s="127">
        <f>IF(N387&gt;0,IF(N387&lt;=180,N387,0),0)</f>
        <v/>
      </c>
      <c r="P387" s="125">
        <f>IF(AND(N387&lt;90,N387&gt;0),Q387,0)</f>
        <v/>
      </c>
      <c r="Q387" s="125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25">
        <f>IF(AND(H387=TRUE,I387=FALSE),Q387,0)</f>
        <v/>
      </c>
      <c r="S387" s="125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26">
        <f>IF(U387=TRUE,$J387,"")</f>
        <v/>
      </c>
      <c r="U387" s="124" t="b">
        <v>1</v>
      </c>
      <c r="V387" s="125">
        <f>IF(AND(H387=TRUE,OR(K387="",K387&gt;M387)),S387,0)</f>
        <v/>
      </c>
      <c r="W387" s="124" t="n">
        <v>0</v>
      </c>
      <c r="X387" s="124" t="b">
        <v>0</v>
      </c>
      <c r="Y387" s="127">
        <f>IF(H387=FALSE,VLOOKUP($C387,Sales!$C:$F,4,FALSE),1)</f>
        <v/>
      </c>
      <c r="Z387" s="124">
        <f>IF(Y387=0,"Release",IF(AND(L387&lt;J387,Y387=1,H387=FALSE,U387=FALSE,MONTH(L387)&amp;"/"&amp;YEAR(L387)&lt;&gt;MONTH(J387)&amp;"/"&amp;YEAR(J387)),"Release",""))</f>
        <v/>
      </c>
      <c r="AA387" s="128">
        <f>_xlfn.minifs($L:$L,$C:$C,$C387,$F:$F,"&lt;&gt;0")</f>
        <v/>
      </c>
      <c r="AB387" s="128">
        <f>C387&amp;"-"&amp;A387</f>
        <v/>
      </c>
      <c r="AC387" s="128">
        <f>L387</f>
        <v/>
      </c>
    </row>
    <row r="388">
      <c r="A388" s="124" t="inlineStr">
        <is>
          <t>ZVAN05</t>
        </is>
      </c>
      <c r="B388" s="124" t="n">
        <v>6</v>
      </c>
      <c r="C388" s="124" t="inlineStr">
        <is>
          <t>HVK201</t>
        </is>
      </c>
      <c r="D388" s="124" t="inlineStr">
        <is>
          <t>K</t>
        </is>
      </c>
      <c r="E388" s="124" t="inlineStr">
        <is>
          <t>van der Sandt Hermanus</t>
        </is>
      </c>
      <c r="F388" s="125">
        <f>SUMIFS(Investors!$M:$M, Investors!$I:$I, "&lt;=" &amp; 'NSST Print'!$B$3, Investors!$K:$K, "&gt;" &amp; 'NSST Print'!$B$3, Investors!$A:$A, 'Investor Exit List'!A388, Investors!$E:$E, 'Investor Exit List'!C388)</f>
        <v/>
      </c>
      <c r="G388" s="126" t="n">
        <v>44916</v>
      </c>
      <c r="H388" s="124">
        <f>VLOOKUP($C388,Sales!$C:$E,2,FALSE)</f>
        <v/>
      </c>
      <c r="I388" s="124">
        <f>VLOOKUP($C388,Sales!$C:$E,3,FALSE)</f>
        <v/>
      </c>
      <c r="J388" s="126">
        <f>SUMIFS(Sales!$H:$H,Sales!$C:$C,'Investor Exit List'!$C388)</f>
        <v/>
      </c>
      <c r="K388" s="126">
        <f>IF(I388=TRUE,J388,"")</f>
        <v/>
      </c>
      <c r="L388" s="126">
        <f>G388+730</f>
        <v/>
      </c>
      <c r="M388" s="126" t="n">
        <v>45443</v>
      </c>
      <c r="N388" s="127">
        <f>IFERROR(IF(G388&lt;&gt;"",IF(I388=TRUE,0,IF(U388=TRUE,0,L388-M388)),0),0)</f>
        <v/>
      </c>
      <c r="O388" s="127">
        <f>IF(N388&gt;0,IF(N388&lt;=180,N388,0),0)</f>
        <v/>
      </c>
      <c r="P388" s="125">
        <f>IF(AND(N388&lt;90,N388&gt;0),Q388,0)</f>
        <v/>
      </c>
      <c r="Q388" s="125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25">
        <f>IF(AND(H388=TRUE,I388=FALSE),Q388,0)</f>
        <v/>
      </c>
      <c r="S388" s="125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26">
        <f>IF(U388=TRUE,$J388,"")</f>
        <v/>
      </c>
      <c r="U388" s="124" t="b">
        <v>0</v>
      </c>
      <c r="V388" s="125">
        <f>IF(AND(H388=TRUE,OR(K388="",K388&gt;M388)),S388,0)</f>
        <v/>
      </c>
      <c r="W388" s="124" t="n">
        <v>0</v>
      </c>
      <c r="X388" s="124" t="b">
        <v>0</v>
      </c>
      <c r="Y388" s="127">
        <f>IF(H388=FALSE,VLOOKUP($C388,Sales!$C:$F,4,FALSE),1)</f>
        <v/>
      </c>
      <c r="Z388" s="124">
        <f>IF(Y388=0,"Release",IF(AND(L388&lt;J388,Y388=1,H388=FALSE,U388=FALSE,MONTH(L388)&amp;"/"&amp;YEAR(L388)&lt;&gt;MONTH(J388)&amp;"/"&amp;YEAR(J388)),"Release",""))</f>
        <v/>
      </c>
      <c r="AA388" s="128">
        <f>_xlfn.minifs($L:$L,$C:$C,$C388,$F:$F,"&lt;&gt;0")</f>
        <v/>
      </c>
      <c r="AB388" s="128">
        <f>C388&amp;"-"&amp;A388</f>
        <v/>
      </c>
      <c r="AC388" s="128">
        <f>L388</f>
        <v/>
      </c>
    </row>
    <row r="389">
      <c r="A389" s="124" t="inlineStr">
        <is>
          <t>ZBLO01</t>
        </is>
      </c>
      <c r="B389" s="124" t="n">
        <v>3</v>
      </c>
      <c r="C389" s="124" t="inlineStr">
        <is>
          <t>HVK202</t>
        </is>
      </c>
      <c r="D389" s="124" t="inlineStr">
        <is>
          <t>K</t>
        </is>
      </c>
      <c r="E389" s="124" t="inlineStr">
        <is>
          <t>Blows Robert Errol</t>
        </is>
      </c>
      <c r="F389" s="125">
        <f>SUMIFS(Investors!$M:$M, Investors!$I:$I, "&lt;=" &amp; 'NSST Print'!$B$3, Investors!$K:$K, "&gt;" &amp; 'NSST Print'!$B$3, Investors!$A:$A, 'Investor Exit List'!A389, Investors!$E:$E, 'Investor Exit List'!C389)</f>
        <v/>
      </c>
      <c r="G389" s="126" t="n">
        <v>44916</v>
      </c>
      <c r="H389" s="124">
        <f>VLOOKUP($C389,Sales!$C:$E,2,FALSE)</f>
        <v/>
      </c>
      <c r="I389" s="124">
        <f>VLOOKUP($C389,Sales!$C:$E,3,FALSE)</f>
        <v/>
      </c>
      <c r="J389" s="126">
        <f>SUMIFS(Sales!$H:$H,Sales!$C:$C,'Investor Exit List'!$C389)</f>
        <v/>
      </c>
      <c r="K389" s="126">
        <f>IF(I389=TRUE,J389,"")</f>
        <v/>
      </c>
      <c r="L389" s="126">
        <f>G389+730</f>
        <v/>
      </c>
      <c r="M389" s="126" t="n">
        <v>45443</v>
      </c>
      <c r="N389" s="127">
        <f>IFERROR(IF(G389&lt;&gt;"",IF(I389=TRUE,0,IF(U389=TRUE,0,L389-M389)),0),0)</f>
        <v/>
      </c>
      <c r="O389" s="127">
        <f>IF(N389&gt;0,IF(N389&lt;=180,N389,0),0)</f>
        <v/>
      </c>
      <c r="P389" s="125">
        <f>IF(AND(N389&lt;90,N389&gt;0),Q389,0)</f>
        <v/>
      </c>
      <c r="Q389" s="125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25">
        <f>IF(AND(H389=TRUE,I389=FALSE),Q389,0)</f>
        <v/>
      </c>
      <c r="S389" s="125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26">
        <f>IF(U389=TRUE,$J389,"")</f>
        <v/>
      </c>
      <c r="U389" s="124" t="b">
        <v>0</v>
      </c>
      <c r="V389" s="125">
        <f>IF(AND(H389=TRUE,OR(K389="",K389&gt;M389)),S389,0)</f>
        <v/>
      </c>
      <c r="W389" s="124" t="n">
        <v>0</v>
      </c>
      <c r="X389" s="124" t="b">
        <v>0</v>
      </c>
      <c r="Y389" s="127">
        <f>IF(H389=FALSE,VLOOKUP($C389,Sales!$C:$F,4,FALSE),1)</f>
        <v/>
      </c>
      <c r="Z389" s="124">
        <f>IF(Y389=0,"Release",IF(AND(L389&lt;J389,Y389=1,H389=FALSE,U389=FALSE,MONTH(L389)&amp;"/"&amp;YEAR(L389)&lt;&gt;MONTH(J389)&amp;"/"&amp;YEAR(J389)),"Release",""))</f>
        <v/>
      </c>
      <c r="AA389" s="128">
        <f>_xlfn.minifs($L:$L,$C:$C,$C389,$F:$F,"&lt;&gt;0")</f>
        <v/>
      </c>
      <c r="AB389" s="128">
        <f>C389&amp;"-"&amp;A389</f>
        <v/>
      </c>
      <c r="AC389" s="128">
        <f>L389</f>
        <v/>
      </c>
    </row>
    <row r="390">
      <c r="A390" s="124" t="inlineStr">
        <is>
          <t>ZLAB02</t>
        </is>
      </c>
      <c r="B390" s="124" t="n">
        <v>2</v>
      </c>
      <c r="C390" s="124" t="inlineStr">
        <is>
          <t>HVK202</t>
        </is>
      </c>
      <c r="D390" s="124" t="inlineStr">
        <is>
          <t>K</t>
        </is>
      </c>
      <c r="E390" s="124" t="inlineStr">
        <is>
          <t>Labuschagne Jandre</t>
        </is>
      </c>
      <c r="F390" s="125">
        <f>SUMIFS(Investors!$M:$M, Investors!$I:$I, "&lt;=" &amp; 'NSST Print'!$B$3, Investors!$K:$K, "&gt;" &amp; 'NSST Print'!$B$3, Investors!$A:$A, 'Investor Exit List'!A390, Investors!$E:$E, 'Investor Exit List'!C390)</f>
        <v/>
      </c>
      <c r="G390" s="126" t="n">
        <v>44916</v>
      </c>
      <c r="H390" s="124">
        <f>VLOOKUP($C390,Sales!$C:$E,2,FALSE)</f>
        <v/>
      </c>
      <c r="I390" s="124">
        <f>VLOOKUP($C390,Sales!$C:$E,3,FALSE)</f>
        <v/>
      </c>
      <c r="J390" s="126">
        <f>SUMIFS(Sales!$H:$H,Sales!$C:$C,'Investor Exit List'!$C390)</f>
        <v/>
      </c>
      <c r="K390" s="126">
        <f>IF(I390=TRUE,J390,"")</f>
        <v/>
      </c>
      <c r="L390" s="126">
        <f>G390+730</f>
        <v/>
      </c>
      <c r="M390" s="126" t="n">
        <v>45443</v>
      </c>
      <c r="N390" s="127">
        <f>IFERROR(IF(G390&lt;&gt;"",IF(I390=TRUE,0,IF(U390=TRUE,0,L390-M390)),0),0)</f>
        <v/>
      </c>
      <c r="O390" s="127">
        <f>IF(N390&gt;0,IF(N390&lt;=180,N390,0),0)</f>
        <v/>
      </c>
      <c r="P390" s="125">
        <f>IF(AND(N390&lt;90,N390&gt;0),Q390,0)</f>
        <v/>
      </c>
      <c r="Q390" s="125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25">
        <f>IF(AND(H390=TRUE,I390=FALSE),Q390,0)</f>
        <v/>
      </c>
      <c r="S390" s="125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26">
        <f>IF(U390=TRUE,$J390,"")</f>
        <v/>
      </c>
      <c r="U390" s="124" t="b">
        <v>0</v>
      </c>
      <c r="V390" s="125">
        <f>IF(AND(H390=TRUE,OR(K390="",K390&gt;M390)),S390,0)</f>
        <v/>
      </c>
      <c r="W390" s="124" t="n">
        <v>0</v>
      </c>
      <c r="X390" s="124" t="b">
        <v>0</v>
      </c>
      <c r="Y390" s="127">
        <f>IF(H390=FALSE,VLOOKUP($C390,Sales!$C:$F,4,FALSE),1)</f>
        <v/>
      </c>
      <c r="Z390" s="124">
        <f>IF(Y390=0,"Release",IF(AND(L390&lt;J390,Y390=1,H390=FALSE,U390=FALSE,MONTH(L390)&amp;"/"&amp;YEAR(L390)&lt;&gt;MONTH(J390)&amp;"/"&amp;YEAR(J390)),"Release",""))</f>
        <v/>
      </c>
      <c r="AA390" s="128">
        <f>_xlfn.minifs($L:$L,$C:$C,$C390,$F:$F,"&lt;&gt;0")</f>
        <v/>
      </c>
      <c r="AB390" s="128">
        <f>C390&amp;"-"&amp;A390</f>
        <v/>
      </c>
      <c r="AC390" s="128">
        <f>L390</f>
        <v/>
      </c>
    </row>
    <row r="391">
      <c r="A391" s="124" t="inlineStr">
        <is>
          <t>ZRAN01</t>
        </is>
      </c>
      <c r="B391" s="124" t="n">
        <v>23</v>
      </c>
      <c r="C391" s="124" t="inlineStr">
        <is>
          <t>HVK202</t>
        </is>
      </c>
      <c r="D391" s="124" t="inlineStr">
        <is>
          <t>K</t>
        </is>
      </c>
      <c r="E391" s="124" t="inlineStr">
        <is>
          <t>Rankin Ross Partick Gemill</t>
        </is>
      </c>
      <c r="F391" s="125">
        <f>SUMIFS(Investors!$M:$M, Investors!$I:$I, "&lt;=" &amp; 'NSST Print'!$B$3, Investors!$K:$K, "&gt;" &amp; 'NSST Print'!$B$3, Investors!$A:$A, 'Investor Exit List'!A391, Investors!$E:$E, 'Investor Exit List'!C391)</f>
        <v/>
      </c>
      <c r="G391" s="126" t="n">
        <v>44967</v>
      </c>
      <c r="H391" s="124">
        <f>VLOOKUP($C391,Sales!$C:$E,2,FALSE)</f>
        <v/>
      </c>
      <c r="I391" s="124">
        <f>VLOOKUP($C391,Sales!$C:$E,3,FALSE)</f>
        <v/>
      </c>
      <c r="J391" s="126">
        <f>SUMIFS(Sales!$H:$H,Sales!$C:$C,'Investor Exit List'!$C391)</f>
        <v/>
      </c>
      <c r="K391" s="126">
        <f>IF(I391=TRUE,J391,"")</f>
        <v/>
      </c>
      <c r="L391" s="126">
        <f>G391+730</f>
        <v/>
      </c>
      <c r="M391" s="126" t="n">
        <v>45443</v>
      </c>
      <c r="N391" s="127">
        <f>IFERROR(IF(G391&lt;&gt;"",IF(I391=TRUE,0,IF(U391=TRUE,0,L391-M391)),0),0)</f>
        <v/>
      </c>
      <c r="O391" s="127">
        <f>IF(N391&gt;0,IF(N391&lt;=180,N391,0),0)</f>
        <v/>
      </c>
      <c r="P391" s="125">
        <f>IF(AND(N391&lt;90,N391&gt;0),Q391,0)</f>
        <v/>
      </c>
      <c r="Q391" s="125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25">
        <f>IF(AND(H391=TRUE,I391=FALSE),Q391,0)</f>
        <v/>
      </c>
      <c r="S391" s="125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26">
        <f>IF(U391=TRUE,$J391,"")</f>
        <v/>
      </c>
      <c r="U391" s="124" t="b">
        <v>0</v>
      </c>
      <c r="V391" s="125">
        <f>IF(AND(H391=TRUE,OR(K391="",K391&gt;M391)),S391,0)</f>
        <v/>
      </c>
      <c r="W391" s="124" t="n">
        <v>0</v>
      </c>
      <c r="X391" s="124" t="b">
        <v>0</v>
      </c>
      <c r="Y391" s="127">
        <f>IF(H391=FALSE,VLOOKUP($C391,Sales!$C:$F,4,FALSE),1)</f>
        <v/>
      </c>
      <c r="Z391" s="124">
        <f>IF(Y391=0,"Release",IF(AND(L391&lt;J391,Y391=1,H391=FALSE,U391=FALSE,MONTH(L391)&amp;"/"&amp;YEAR(L391)&lt;&gt;MONTH(J391)&amp;"/"&amp;YEAR(J391)),"Release",""))</f>
        <v/>
      </c>
      <c r="AA391" s="128">
        <f>_xlfn.minifs($L:$L,$C:$C,$C391,$F:$F,"&lt;&gt;0")</f>
        <v/>
      </c>
      <c r="AB391" s="128">
        <f>C391&amp;"-"&amp;A391</f>
        <v/>
      </c>
      <c r="AC391" s="128">
        <f>L391</f>
        <v/>
      </c>
    </row>
    <row r="392">
      <c r="A392" s="124" t="inlineStr">
        <is>
          <t>ZVDM01</t>
        </is>
      </c>
      <c r="B392" s="124" t="n">
        <v>5</v>
      </c>
      <c r="C392" s="124" t="inlineStr">
        <is>
          <t>HVK202</t>
        </is>
      </c>
      <c r="D392" s="124" t="inlineStr">
        <is>
          <t>K</t>
        </is>
      </c>
      <c r="E392" s="124" t="inlineStr">
        <is>
          <t>van der Mescht Paula</t>
        </is>
      </c>
      <c r="F392" s="125">
        <f>SUMIFS(Investors!$M:$M, Investors!$I:$I, "&lt;=" &amp; 'NSST Print'!$B$3, Investors!$K:$K, "&gt;" &amp; 'NSST Print'!$B$3, Investors!$A:$A, 'Investor Exit List'!A392, Investors!$E:$E, 'Investor Exit List'!C392)</f>
        <v/>
      </c>
      <c r="G392" s="126" t="n">
        <v>44986</v>
      </c>
      <c r="H392" s="124">
        <f>VLOOKUP($C392,Sales!$C:$E,2,FALSE)</f>
        <v/>
      </c>
      <c r="I392" s="124">
        <f>VLOOKUP($C392,Sales!$C:$E,3,FALSE)</f>
        <v/>
      </c>
      <c r="J392" s="126">
        <f>SUMIFS(Sales!$H:$H,Sales!$C:$C,'Investor Exit List'!$C392)</f>
        <v/>
      </c>
      <c r="K392" s="126">
        <f>IF(I392=TRUE,J392,"")</f>
        <v/>
      </c>
      <c r="L392" s="126">
        <f>G392+730</f>
        <v/>
      </c>
      <c r="M392" s="126" t="n">
        <v>45443</v>
      </c>
      <c r="N392" s="127">
        <f>IFERROR(IF(G392&lt;&gt;"",IF(I392=TRUE,0,IF(U392=TRUE,0,L392-M392)),0),0)</f>
        <v/>
      </c>
      <c r="O392" s="127">
        <f>IF(N392&gt;0,IF(N392&lt;=180,N392,0),0)</f>
        <v/>
      </c>
      <c r="P392" s="125">
        <f>IF(AND(N392&lt;90,N392&gt;0),Q392,0)</f>
        <v/>
      </c>
      <c r="Q392" s="125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25">
        <f>IF(AND(H392=TRUE,I392=FALSE),Q392,0)</f>
        <v/>
      </c>
      <c r="S392" s="125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26">
        <f>IF(U392=TRUE,$J392,"")</f>
        <v/>
      </c>
      <c r="U392" s="124" t="b">
        <v>0</v>
      </c>
      <c r="V392" s="125">
        <f>IF(AND(H392=TRUE,OR(K392="",K392&gt;M392)),S392,0)</f>
        <v/>
      </c>
      <c r="W392" s="124" t="n">
        <v>0</v>
      </c>
      <c r="X392" s="124" t="b">
        <v>0</v>
      </c>
      <c r="Y392" s="127">
        <f>IF(H392=FALSE,VLOOKUP($C392,Sales!$C:$F,4,FALSE),1)</f>
        <v/>
      </c>
      <c r="Z392" s="124">
        <f>IF(Y392=0,"Release",IF(AND(L392&lt;J392,Y392=1,H392=FALSE,U392=FALSE,MONTH(L392)&amp;"/"&amp;YEAR(L392)&lt;&gt;MONTH(J392)&amp;"/"&amp;YEAR(J392)),"Release",""))</f>
        <v/>
      </c>
      <c r="AA392" s="128">
        <f>_xlfn.minifs($L:$L,$C:$C,$C392,$F:$F,"&lt;&gt;0")</f>
        <v/>
      </c>
      <c r="AB392" s="128">
        <f>C392&amp;"-"&amp;A392</f>
        <v/>
      </c>
      <c r="AC392" s="128">
        <f>L392</f>
        <v/>
      </c>
    </row>
    <row r="393">
      <c r="A393" s="124" t="inlineStr">
        <is>
          <t>ZZYL03</t>
        </is>
      </c>
      <c r="B393" s="124" t="n">
        <v>4</v>
      </c>
      <c r="C393" s="124" t="inlineStr">
        <is>
          <t>HVK202</t>
        </is>
      </c>
      <c r="D393" s="124" t="inlineStr">
        <is>
          <t>K</t>
        </is>
      </c>
      <c r="E393" s="124" t="inlineStr">
        <is>
          <t>Zylstra Sandra Robyn</t>
        </is>
      </c>
      <c r="F393" s="125">
        <f>SUMIFS(Investors!$M:$M, Investors!$I:$I, "&lt;=" &amp; 'NSST Print'!$B$3, Investors!$K:$K, "&gt;" &amp; 'NSST Print'!$B$3, Investors!$A:$A, 'Investor Exit List'!A393, Investors!$E:$E, 'Investor Exit List'!C393)</f>
        <v/>
      </c>
      <c r="G393" s="126" t="n">
        <v>45016</v>
      </c>
      <c r="H393" s="124">
        <f>VLOOKUP($C393,Sales!$C:$E,2,FALSE)</f>
        <v/>
      </c>
      <c r="I393" s="124">
        <f>VLOOKUP($C393,Sales!$C:$E,3,FALSE)</f>
        <v/>
      </c>
      <c r="J393" s="126">
        <f>SUMIFS(Sales!$H:$H,Sales!$C:$C,'Investor Exit List'!$C393)</f>
        <v/>
      </c>
      <c r="K393" s="126">
        <f>IF(I393=TRUE,J393,"")</f>
        <v/>
      </c>
      <c r="L393" s="126">
        <f>G393+730</f>
        <v/>
      </c>
      <c r="M393" s="126" t="n">
        <v>45443</v>
      </c>
      <c r="N393" s="127">
        <f>IFERROR(IF(G393&lt;&gt;"",IF(I393=TRUE,0,IF(U393=TRUE,0,L393-M393)),0),0)</f>
        <v/>
      </c>
      <c r="O393" s="127">
        <f>IF(N393&gt;0,IF(N393&lt;=180,N393,0),0)</f>
        <v/>
      </c>
      <c r="P393" s="125">
        <f>IF(AND(N393&lt;90,N393&gt;0),Q393,0)</f>
        <v/>
      </c>
      <c r="Q393" s="125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25">
        <f>IF(AND(H393=TRUE,I393=FALSE),Q393,0)</f>
        <v/>
      </c>
      <c r="S393" s="125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26">
        <f>IF(U393=TRUE,$J393,"")</f>
        <v/>
      </c>
      <c r="U393" s="124" t="b">
        <v>0</v>
      </c>
      <c r="V393" s="125">
        <f>IF(AND(H393=TRUE,OR(K393="",K393&gt;M393)),S393,0)</f>
        <v/>
      </c>
      <c r="W393" s="124" t="n">
        <v>0</v>
      </c>
      <c r="X393" s="124" t="b">
        <v>0</v>
      </c>
      <c r="Y393" s="127">
        <f>IF(H393=FALSE,VLOOKUP($C393,Sales!$C:$F,4,FALSE),1)</f>
        <v/>
      </c>
      <c r="Z393" s="124">
        <f>IF(Y393=0,"Release",IF(AND(L393&lt;J393,Y393=1,H393=FALSE,U393=FALSE,MONTH(L393)&amp;"/"&amp;YEAR(L393)&lt;&gt;MONTH(J393)&amp;"/"&amp;YEAR(J393)),"Release",""))</f>
        <v/>
      </c>
      <c r="AA393" s="128">
        <f>_xlfn.minifs($L:$L,$C:$C,$C393,$F:$F,"&lt;&gt;0")</f>
        <v/>
      </c>
      <c r="AB393" s="128">
        <f>C393&amp;"-"&amp;A393</f>
        <v/>
      </c>
      <c r="AC393" s="128">
        <f>L393</f>
        <v/>
      </c>
    </row>
    <row r="394">
      <c r="A394" s="124" t="inlineStr">
        <is>
          <t>ZASD01</t>
        </is>
      </c>
      <c r="B394" s="124" t="n">
        <v>2</v>
      </c>
      <c r="C394" s="124" t="inlineStr">
        <is>
          <t>HVK203</t>
        </is>
      </c>
      <c r="D394" s="124" t="inlineStr">
        <is>
          <t>K</t>
        </is>
      </c>
      <c r="E394" s="124" t="inlineStr">
        <is>
          <t>Bendall Stuart Charles</t>
        </is>
      </c>
      <c r="F394" s="125">
        <f>SUMIFS(Investors!$M:$M, Investors!$I:$I, "&lt;=" &amp; 'NSST Print'!$B$3, Investors!$K:$K, "&gt;" &amp; 'NSST Print'!$B$3, Investors!$A:$A, 'Investor Exit List'!A394, Investors!$E:$E, 'Investor Exit List'!C394)</f>
        <v/>
      </c>
      <c r="G394" s="126" t="n">
        <v>44916</v>
      </c>
      <c r="H394" s="124">
        <f>VLOOKUP($C394,Sales!$C:$E,2,FALSE)</f>
        <v/>
      </c>
      <c r="I394" s="124">
        <f>VLOOKUP($C394,Sales!$C:$E,3,FALSE)</f>
        <v/>
      </c>
      <c r="J394" s="126">
        <f>SUMIFS(Sales!$H:$H,Sales!$C:$C,'Investor Exit List'!$C394)</f>
        <v/>
      </c>
      <c r="K394" s="126">
        <f>IF(I394=TRUE,J394,"")</f>
        <v/>
      </c>
      <c r="L394" s="126">
        <f>G394+730</f>
        <v/>
      </c>
      <c r="M394" s="126" t="n">
        <v>45443</v>
      </c>
      <c r="N394" s="127">
        <f>IFERROR(IF(G394&lt;&gt;"",IF(I394=TRUE,0,IF(U394=TRUE,0,L394-M394)),0),0)</f>
        <v/>
      </c>
      <c r="O394" s="127">
        <f>IF(N394&gt;0,IF(N394&lt;=180,N394,0),0)</f>
        <v/>
      </c>
      <c r="P394" s="125">
        <f>IF(AND(N394&lt;90,N394&gt;0),Q394,0)</f>
        <v/>
      </c>
      <c r="Q394" s="125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25">
        <f>IF(AND(H394=TRUE,I394=FALSE),Q394,0)</f>
        <v/>
      </c>
      <c r="S394" s="125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26">
        <f>IF(U394=TRUE,$J394,"")</f>
        <v/>
      </c>
      <c r="U394" s="124" t="b">
        <v>0</v>
      </c>
      <c r="V394" s="125">
        <f>IF(AND(H394=TRUE,OR(K394="",K394&gt;M394)),S394,0)</f>
        <v/>
      </c>
      <c r="W394" s="124" t="n">
        <v>0</v>
      </c>
      <c r="X394" s="124" t="b">
        <v>0</v>
      </c>
      <c r="Y394" s="127">
        <f>IF(H394=FALSE,VLOOKUP($C394,Sales!$C:$F,4,FALSE),1)</f>
        <v/>
      </c>
      <c r="Z394" s="124">
        <f>IF(Y394=0,"Release",IF(AND(L394&lt;J394,Y394=1,H394=FALSE,U394=FALSE,MONTH(L394)&amp;"/"&amp;YEAR(L394)&lt;&gt;MONTH(J394)&amp;"/"&amp;YEAR(J394)),"Release",""))</f>
        <v/>
      </c>
      <c r="AA394" s="128">
        <f>_xlfn.minifs($L:$L,$C:$C,$C394,$F:$F,"&lt;&gt;0")</f>
        <v/>
      </c>
      <c r="AB394" s="128">
        <f>C394&amp;"-"&amp;A394</f>
        <v/>
      </c>
      <c r="AC394" s="128">
        <f>L394</f>
        <v/>
      </c>
    </row>
    <row r="395">
      <c r="A395" s="124" t="inlineStr">
        <is>
          <t>ZLOU01</t>
        </is>
      </c>
      <c r="B395" s="124" t="n">
        <v>2</v>
      </c>
      <c r="C395" s="124" t="inlineStr">
        <is>
          <t>HVK203</t>
        </is>
      </c>
      <c r="D395" s="124" t="inlineStr">
        <is>
          <t>K</t>
        </is>
      </c>
      <c r="E395" s="124" t="inlineStr">
        <is>
          <t>Louw Ricardo Brandon</t>
        </is>
      </c>
      <c r="F395" s="125">
        <f>SUMIFS(Investors!$M:$M, Investors!$I:$I, "&lt;=" &amp; 'NSST Print'!$B$3, Investors!$K:$K, "&gt;" &amp; 'NSST Print'!$B$3, Investors!$A:$A, 'Investor Exit List'!A395, Investors!$E:$E, 'Investor Exit List'!C395)</f>
        <v/>
      </c>
      <c r="G395" s="126" t="n">
        <v>45044</v>
      </c>
      <c r="H395" s="124">
        <f>VLOOKUP($C395,Sales!$C:$E,2,FALSE)</f>
        <v/>
      </c>
      <c r="I395" s="124">
        <f>VLOOKUP($C395,Sales!$C:$E,3,FALSE)</f>
        <v/>
      </c>
      <c r="J395" s="126">
        <f>SUMIFS(Sales!$H:$H,Sales!$C:$C,'Investor Exit List'!$C395)</f>
        <v/>
      </c>
      <c r="K395" s="126">
        <f>IF(I395=TRUE,J395,"")</f>
        <v/>
      </c>
      <c r="L395" s="126">
        <f>G395+730</f>
        <v/>
      </c>
      <c r="M395" s="126" t="n">
        <v>45443</v>
      </c>
      <c r="N395" s="127">
        <f>IFERROR(IF(G395&lt;&gt;"",IF(I395=TRUE,0,IF(U395=TRUE,0,L395-M395)),0),0)</f>
        <v/>
      </c>
      <c r="O395" s="127">
        <f>IF(N395&gt;0,IF(N395&lt;=180,N395,0),0)</f>
        <v/>
      </c>
      <c r="P395" s="125">
        <f>IF(AND(N395&lt;90,N395&gt;0),Q395,0)</f>
        <v/>
      </c>
      <c r="Q395" s="125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25">
        <f>IF(AND(H395=TRUE,I395=FALSE),Q395,0)</f>
        <v/>
      </c>
      <c r="S395" s="125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26">
        <f>IF(U395=TRUE,$J395,"")</f>
        <v/>
      </c>
      <c r="U395" s="124" t="b">
        <v>0</v>
      </c>
      <c r="V395" s="125">
        <f>IF(AND(H395=TRUE,OR(K395="",K395&gt;M395)),S395,0)</f>
        <v/>
      </c>
      <c r="W395" s="124" t="n">
        <v>0</v>
      </c>
      <c r="X395" s="124" t="b">
        <v>0</v>
      </c>
      <c r="Y395" s="127">
        <f>IF(H395=FALSE,VLOOKUP($C395,Sales!$C:$F,4,FALSE),1)</f>
        <v/>
      </c>
      <c r="Z395" s="124">
        <f>IF(Y395=0,"Release",IF(AND(L395&lt;J395,Y395=1,H395=FALSE,U395=FALSE,MONTH(L395)&amp;"/"&amp;YEAR(L395)&lt;&gt;MONTH(J395)&amp;"/"&amp;YEAR(J395)),"Release",""))</f>
        <v/>
      </c>
      <c r="AA395" s="128">
        <f>_xlfn.minifs($L:$L,$C:$C,$C395,$F:$F,"&lt;&gt;0")</f>
        <v/>
      </c>
      <c r="AB395" s="128">
        <f>C395&amp;"-"&amp;A395</f>
        <v/>
      </c>
      <c r="AC395" s="128">
        <f>L395</f>
        <v/>
      </c>
    </row>
    <row r="396">
      <c r="A396" s="124" t="inlineStr">
        <is>
          <t>ZSPE01</t>
        </is>
      </c>
      <c r="B396" s="124" t="n">
        <v>4</v>
      </c>
      <c r="C396" s="124" t="inlineStr">
        <is>
          <t>HVK203</t>
        </is>
      </c>
      <c r="D396" s="124" t="inlineStr">
        <is>
          <t>K</t>
        </is>
      </c>
      <c r="E396" s="124" t="inlineStr">
        <is>
          <t>Speelman Mosiuoa Samuel</t>
        </is>
      </c>
      <c r="F396" s="125">
        <f>SUMIFS(Investors!$M:$M, Investors!$I:$I, "&lt;=" &amp; 'NSST Print'!$B$3, Investors!$K:$K, "&gt;" &amp; 'NSST Print'!$B$3, Investors!$A:$A, 'Investor Exit List'!A396, Investors!$E:$E, 'Investor Exit List'!C396)</f>
        <v/>
      </c>
      <c r="G396" s="126" t="n">
        <v>45016</v>
      </c>
      <c r="H396" s="124">
        <f>VLOOKUP($C396,Sales!$C:$E,2,FALSE)</f>
        <v/>
      </c>
      <c r="I396" s="124">
        <f>VLOOKUP($C396,Sales!$C:$E,3,FALSE)</f>
        <v/>
      </c>
      <c r="J396" s="126">
        <f>SUMIFS(Sales!$H:$H,Sales!$C:$C,'Investor Exit List'!$C396)</f>
        <v/>
      </c>
      <c r="K396" s="126">
        <f>IF(I396=TRUE,J396,"")</f>
        <v/>
      </c>
      <c r="L396" s="126">
        <f>G396+730</f>
        <v/>
      </c>
      <c r="M396" s="126" t="n">
        <v>45443</v>
      </c>
      <c r="N396" s="127">
        <f>IFERROR(IF(G396&lt;&gt;"",IF(I396=TRUE,0,IF(U396=TRUE,0,L396-M396)),0),0)</f>
        <v/>
      </c>
      <c r="O396" s="127">
        <f>IF(N396&gt;0,IF(N396&lt;=180,N396,0),0)</f>
        <v/>
      </c>
      <c r="P396" s="125">
        <f>IF(AND(N396&lt;90,N396&gt;0),Q396,0)</f>
        <v/>
      </c>
      <c r="Q396" s="125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25">
        <f>IF(AND(H396=TRUE,I396=FALSE),Q396,0)</f>
        <v/>
      </c>
      <c r="S396" s="125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26">
        <f>IF(U396=TRUE,$J396,"")</f>
        <v/>
      </c>
      <c r="U396" s="124" t="b">
        <v>0</v>
      </c>
      <c r="V396" s="125">
        <f>IF(AND(H396=TRUE,OR(K396="",K396&gt;M396)),S396,0)</f>
        <v/>
      </c>
      <c r="W396" s="124" t="n">
        <v>0</v>
      </c>
      <c r="X396" s="124" t="b">
        <v>0</v>
      </c>
      <c r="Y396" s="127">
        <f>IF(H396=FALSE,VLOOKUP($C396,Sales!$C:$F,4,FALSE),1)</f>
        <v/>
      </c>
      <c r="Z396" s="124">
        <f>IF(Y396=0,"Release",IF(AND(L396&lt;J396,Y396=1,H396=FALSE,U396=FALSE,MONTH(L396)&amp;"/"&amp;YEAR(L396)&lt;&gt;MONTH(J396)&amp;"/"&amp;YEAR(J396)),"Release",""))</f>
        <v/>
      </c>
      <c r="AA396" s="128">
        <f>_xlfn.minifs($L:$L,$C:$C,$C396,$F:$F,"&lt;&gt;0")</f>
        <v/>
      </c>
      <c r="AB396" s="128">
        <f>C396&amp;"-"&amp;A396</f>
        <v/>
      </c>
      <c r="AC396" s="128">
        <f>L396</f>
        <v/>
      </c>
    </row>
    <row r="397">
      <c r="A397" s="124" t="inlineStr">
        <is>
          <t>ZCAM01</t>
        </is>
      </c>
      <c r="B397" s="124" t="n">
        <v>3</v>
      </c>
      <c r="C397" s="124" t="inlineStr">
        <is>
          <t>HVK204</t>
        </is>
      </c>
      <c r="D397" s="124" t="inlineStr">
        <is>
          <t>K</t>
        </is>
      </c>
      <c r="E397" s="124" t="inlineStr">
        <is>
          <t>Campbell Jeremy &amp; Rosaline</t>
        </is>
      </c>
      <c r="F397" s="125">
        <f>SUMIFS(Investors!$M:$M, Investors!$I:$I, "&lt;=" &amp; 'NSST Print'!$B$3, Investors!$K:$K, "&gt;" &amp; 'NSST Print'!$B$3, Investors!$A:$A, 'Investor Exit List'!A397, Investors!$E:$E, 'Investor Exit List'!C397)</f>
        <v/>
      </c>
      <c r="G397" s="126" t="n">
        <v>45016</v>
      </c>
      <c r="H397" s="124">
        <f>VLOOKUP($C397,Sales!$C:$E,2,FALSE)</f>
        <v/>
      </c>
      <c r="I397" s="124">
        <f>VLOOKUP($C397,Sales!$C:$E,3,FALSE)</f>
        <v/>
      </c>
      <c r="J397" s="126">
        <f>SUMIFS(Sales!$H:$H,Sales!$C:$C,'Investor Exit List'!$C397)</f>
        <v/>
      </c>
      <c r="K397" s="126">
        <f>IF(I397=TRUE,J397,"")</f>
        <v/>
      </c>
      <c r="L397" s="126">
        <f>G397+730</f>
        <v/>
      </c>
      <c r="M397" s="126" t="n">
        <v>45443</v>
      </c>
      <c r="N397" s="127">
        <f>IFERROR(IF(G397&lt;&gt;"",IF(I397=TRUE,0,IF(U397=TRUE,0,L397-M397)),0),0)</f>
        <v/>
      </c>
      <c r="O397" s="127">
        <f>IF(N397&gt;0,IF(N397&lt;=180,N397,0),0)</f>
        <v/>
      </c>
      <c r="P397" s="125">
        <f>IF(AND(N397&lt;90,N397&gt;0),Q397,0)</f>
        <v/>
      </c>
      <c r="Q397" s="125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25">
        <f>IF(AND(H397=TRUE,I397=FALSE),Q397,0)</f>
        <v/>
      </c>
      <c r="S397" s="125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26">
        <f>IF(U397=TRUE,$J397,"")</f>
        <v/>
      </c>
      <c r="U397" s="124" t="b">
        <v>0</v>
      </c>
      <c r="V397" s="125">
        <f>IF(AND(H397=TRUE,OR(K397="",K397&gt;M397)),S397,0)</f>
        <v/>
      </c>
      <c r="W397" s="124" t="n">
        <v>0</v>
      </c>
      <c r="X397" s="124" t="b">
        <v>0</v>
      </c>
      <c r="Y397" s="127">
        <f>IF(H397=FALSE,VLOOKUP($C397,Sales!$C:$F,4,FALSE),1)</f>
        <v/>
      </c>
      <c r="Z397" s="124">
        <f>IF(Y397=0,"Release",IF(AND(L397&lt;J397,Y397=1,H397=FALSE,U397=FALSE,MONTH(L397)&amp;"/"&amp;YEAR(L397)&lt;&gt;MONTH(J397)&amp;"/"&amp;YEAR(J397)),"Release",""))</f>
        <v/>
      </c>
      <c r="AA397" s="128">
        <f>_xlfn.minifs($L:$L,$C:$C,$C397,$F:$F,"&lt;&gt;0")</f>
        <v/>
      </c>
      <c r="AB397" s="128">
        <f>C397&amp;"-"&amp;A397</f>
        <v/>
      </c>
      <c r="AC397" s="128">
        <f>L397</f>
        <v/>
      </c>
    </row>
    <row r="398">
      <c r="A398" s="124" t="inlineStr">
        <is>
          <t>ZFEM01</t>
        </is>
      </c>
      <c r="B398" s="124" t="n">
        <v>4</v>
      </c>
      <c r="C398" s="124" t="inlineStr">
        <is>
          <t>HVK204</t>
        </is>
      </c>
      <c r="D398" s="124" t="inlineStr">
        <is>
          <t>K</t>
        </is>
      </c>
      <c r="E398" s="124" t="inlineStr">
        <is>
          <t>Morkel Francina Elisabeth</t>
        </is>
      </c>
      <c r="F398" s="125">
        <f>SUMIFS(Investors!$M:$M, Investors!$I:$I, "&lt;=" &amp; 'NSST Print'!$B$3, Investors!$K:$K, "&gt;" &amp; 'NSST Print'!$B$3, Investors!$A:$A, 'Investor Exit List'!A398, Investors!$E:$E, 'Investor Exit List'!C398)</f>
        <v/>
      </c>
      <c r="G398" s="126" t="n">
        <v>44916</v>
      </c>
      <c r="H398" s="124">
        <f>VLOOKUP($C398,Sales!$C:$E,2,FALSE)</f>
        <v/>
      </c>
      <c r="I398" s="124">
        <f>VLOOKUP($C398,Sales!$C:$E,3,FALSE)</f>
        <v/>
      </c>
      <c r="J398" s="126">
        <f>SUMIFS(Sales!$H:$H,Sales!$C:$C,'Investor Exit List'!$C398)</f>
        <v/>
      </c>
      <c r="K398" s="126">
        <f>IF(I398=TRUE,J398,"")</f>
        <v/>
      </c>
      <c r="L398" s="126">
        <f>G398+730</f>
        <v/>
      </c>
      <c r="M398" s="126" t="n">
        <v>45443</v>
      </c>
      <c r="N398" s="127">
        <f>IFERROR(IF(G398&lt;&gt;"",IF(I398=TRUE,0,IF(U398=TRUE,0,L398-M398)),0),0)</f>
        <v/>
      </c>
      <c r="O398" s="127">
        <f>IF(N398&gt;0,IF(N398&lt;=180,N398,0),0)</f>
        <v/>
      </c>
      <c r="P398" s="125">
        <f>IF(AND(N398&lt;90,N398&gt;0),Q398,0)</f>
        <v/>
      </c>
      <c r="Q398" s="125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25">
        <f>IF(AND(H398=TRUE,I398=FALSE),Q398,0)</f>
        <v/>
      </c>
      <c r="S398" s="125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26">
        <f>IF(U398=TRUE,$J398,"")</f>
        <v/>
      </c>
      <c r="U398" s="124" t="b">
        <v>0</v>
      </c>
      <c r="V398" s="125">
        <f>IF(AND(H398=TRUE,OR(K398="",K398&gt;M398)),S398,0)</f>
        <v/>
      </c>
      <c r="W398" s="124" t="n">
        <v>0</v>
      </c>
      <c r="X398" s="124" t="b">
        <v>0</v>
      </c>
      <c r="Y398" s="127">
        <f>IF(H398=FALSE,VLOOKUP($C398,Sales!$C:$F,4,FALSE),1)</f>
        <v/>
      </c>
      <c r="Z398" s="124">
        <f>IF(Y398=0,"Release",IF(AND(L398&lt;J398,Y398=1,H398=FALSE,U398=FALSE,MONTH(L398)&amp;"/"&amp;YEAR(L398)&lt;&gt;MONTH(J398)&amp;"/"&amp;YEAR(J398)),"Release",""))</f>
        <v/>
      </c>
      <c r="AA398" s="128">
        <f>_xlfn.minifs($L:$L,$C:$C,$C398,$F:$F,"&lt;&gt;0")</f>
        <v/>
      </c>
      <c r="AB398" s="128">
        <f>C398&amp;"-"&amp;A398</f>
        <v/>
      </c>
      <c r="AC398" s="128">
        <f>L398</f>
        <v/>
      </c>
    </row>
    <row r="399">
      <c r="A399" s="124" t="inlineStr">
        <is>
          <t>ZKRO03</t>
        </is>
      </c>
      <c r="B399" s="124" t="n">
        <v>2</v>
      </c>
      <c r="C399" s="124" t="inlineStr">
        <is>
          <t>HVK204</t>
        </is>
      </c>
      <c r="D399" s="124" t="inlineStr">
        <is>
          <t>K</t>
        </is>
      </c>
      <c r="E399" s="124" t="inlineStr">
        <is>
          <t>Krohn Jacqueline</t>
        </is>
      </c>
      <c r="F399" s="125">
        <f>SUMIFS(Investors!$M:$M, Investors!$I:$I, "&lt;=" &amp; 'NSST Print'!$B$3, Investors!$K:$K, "&gt;" &amp; 'NSST Print'!$B$3, Investors!$A:$A, 'Investor Exit List'!A399, Investors!$E:$E, 'Investor Exit List'!C399)</f>
        <v/>
      </c>
      <c r="G399" s="126" t="n">
        <v>44980</v>
      </c>
      <c r="H399" s="124">
        <f>VLOOKUP($C399,Sales!$C:$E,2,FALSE)</f>
        <v/>
      </c>
      <c r="I399" s="124">
        <f>VLOOKUP($C399,Sales!$C:$E,3,FALSE)</f>
        <v/>
      </c>
      <c r="J399" s="126">
        <f>SUMIFS(Sales!$H:$H,Sales!$C:$C,'Investor Exit List'!$C399)</f>
        <v/>
      </c>
      <c r="K399" s="126">
        <f>IF(I399=TRUE,J399,"")</f>
        <v/>
      </c>
      <c r="L399" s="126">
        <f>G399+730</f>
        <v/>
      </c>
      <c r="M399" s="126" t="n">
        <v>45443</v>
      </c>
      <c r="N399" s="127">
        <f>IFERROR(IF(G399&lt;&gt;"",IF(I399=TRUE,0,IF(U399=TRUE,0,L399-M399)),0),0)</f>
        <v/>
      </c>
      <c r="O399" s="127">
        <f>IF(N399&gt;0,IF(N399&lt;=180,N399,0),0)</f>
        <v/>
      </c>
      <c r="P399" s="125">
        <f>IF(AND(N399&lt;90,N399&gt;0),Q399,0)</f>
        <v/>
      </c>
      <c r="Q399" s="125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25">
        <f>IF(AND(H399=TRUE,I399=FALSE),Q399,0)</f>
        <v/>
      </c>
      <c r="S399" s="125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26">
        <f>IF(U399=TRUE,$J399,"")</f>
        <v/>
      </c>
      <c r="U399" s="124" t="b">
        <v>0</v>
      </c>
      <c r="V399" s="125">
        <f>IF(AND(H399=TRUE,OR(K399="",K399&gt;M399)),S399,0)</f>
        <v/>
      </c>
      <c r="W399" s="124" t="n">
        <v>0</v>
      </c>
      <c r="X399" s="124" t="b">
        <v>0</v>
      </c>
      <c r="Y399" s="127">
        <f>IF(H399=FALSE,VLOOKUP($C399,Sales!$C:$F,4,FALSE),1)</f>
        <v/>
      </c>
      <c r="Z399" s="124">
        <f>IF(Y399=0,"Release",IF(AND(L399&lt;J399,Y399=1,H399=FALSE,U399=FALSE,MONTH(L399)&amp;"/"&amp;YEAR(L399)&lt;&gt;MONTH(J399)&amp;"/"&amp;YEAR(J399)),"Release",""))</f>
        <v/>
      </c>
      <c r="AA399" s="128">
        <f>_xlfn.minifs($L:$L,$C:$C,$C399,$F:$F,"&lt;&gt;0")</f>
        <v/>
      </c>
      <c r="AB399" s="128">
        <f>C399&amp;"-"&amp;A399</f>
        <v/>
      </c>
      <c r="AC399" s="128">
        <f>L399</f>
        <v/>
      </c>
    </row>
    <row r="400">
      <c r="A400" s="124" t="inlineStr">
        <is>
          <t>ZFOU02</t>
        </is>
      </c>
      <c r="B400" s="124" t="n">
        <v>3</v>
      </c>
      <c r="C400" s="124" t="inlineStr">
        <is>
          <t>HVK205</t>
        </is>
      </c>
      <c r="D400" s="124" t="inlineStr">
        <is>
          <t>K</t>
        </is>
      </c>
      <c r="E400" s="124" t="inlineStr">
        <is>
          <t>Fountain Clyde Michael</t>
        </is>
      </c>
      <c r="F400" s="125">
        <f>SUMIFS(Investors!$M:$M, Investors!$I:$I, "&lt;=" &amp; 'NSST Print'!$B$3, Investors!$K:$K, "&gt;" &amp; 'NSST Print'!$B$3, Investors!$A:$A, 'Investor Exit List'!A400, Investors!$E:$E, 'Investor Exit List'!C400)</f>
        <v/>
      </c>
      <c r="G400" s="126" t="n">
        <v>45471</v>
      </c>
      <c r="H400" s="124">
        <f>VLOOKUP($C400,Sales!$C:$E,2,FALSE)</f>
        <v/>
      </c>
      <c r="I400" s="124">
        <f>VLOOKUP($C400,Sales!$C:$E,3,FALSE)</f>
        <v/>
      </c>
      <c r="J400" s="126">
        <f>SUMIFS(Sales!$H:$H,Sales!$C:$C,'Investor Exit List'!$C400)</f>
        <v/>
      </c>
      <c r="K400" s="126">
        <f>IF(I400=TRUE,J400,"")</f>
        <v/>
      </c>
      <c r="L400" s="126">
        <f>G400+730</f>
        <v/>
      </c>
      <c r="M400" s="126" t="n">
        <v>45443</v>
      </c>
      <c r="N400" s="127">
        <f>IFERROR(IF(G400&lt;&gt;"",IF(I400=TRUE,0,IF(U400=TRUE,0,L400-M400)),0),0)</f>
        <v/>
      </c>
      <c r="O400" s="127">
        <f>IF(N400&gt;0,IF(N400&lt;=180,N400,0),0)</f>
        <v/>
      </c>
      <c r="P400" s="125">
        <f>IF(AND(N400&lt;90,N400&gt;0),Q400,0)</f>
        <v/>
      </c>
      <c r="Q400" s="125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25">
        <f>IF(AND(H400=TRUE,I400=FALSE),Q400,0)</f>
        <v/>
      </c>
      <c r="S400" s="125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26">
        <f>IF(U400=TRUE,$J400,"")</f>
        <v/>
      </c>
      <c r="U400" s="124" t="b">
        <v>0</v>
      </c>
      <c r="V400" s="125">
        <f>IF(AND(H400=TRUE,OR(K400="",K400&gt;M400)),S400,0)</f>
        <v/>
      </c>
      <c r="W400" s="124" t="n">
        <v>0</v>
      </c>
      <c r="X400" s="124" t="b">
        <v>0</v>
      </c>
      <c r="Y400" s="127">
        <f>IF(H400=FALSE,VLOOKUP($C400,Sales!$C:$F,4,FALSE),1)</f>
        <v/>
      </c>
      <c r="Z400" s="124">
        <f>IF(Y400=0,"Release",IF(AND(L400&lt;J400,Y400=1,H400=FALSE,U400=FALSE,MONTH(L400)&amp;"/"&amp;YEAR(L400)&lt;&gt;MONTH(J400)&amp;"/"&amp;YEAR(J400)),"Release",""))</f>
        <v/>
      </c>
      <c r="AA400" s="128">
        <f>_xlfn.minifs($L:$L,$C:$C,$C400,$F:$F,"&lt;&gt;0")</f>
        <v/>
      </c>
      <c r="AB400" s="128">
        <f>C400&amp;"-"&amp;A400</f>
        <v/>
      </c>
      <c r="AC400" s="128">
        <f>L400</f>
        <v/>
      </c>
    </row>
    <row r="401">
      <c r="A401" s="124" t="inlineStr">
        <is>
          <t>ZHAY01</t>
        </is>
      </c>
      <c r="B401" s="124" t="n">
        <v>9</v>
      </c>
      <c r="C401" s="124" t="inlineStr">
        <is>
          <t>HVK205</t>
        </is>
      </c>
      <c r="D401" s="124" t="inlineStr">
        <is>
          <t>K</t>
        </is>
      </c>
      <c r="E401" s="124" t="inlineStr">
        <is>
          <t>Haywood Johannes Wynand</t>
        </is>
      </c>
      <c r="F401" s="125">
        <f>SUMIFS(Investors!$M:$M, Investors!$I:$I, "&lt;=" &amp; 'NSST Print'!$B$3, Investors!$K:$K, "&gt;" &amp; 'NSST Print'!$B$3, Investors!$A:$A, 'Investor Exit List'!A401, Investors!$E:$E, 'Investor Exit List'!C401)</f>
        <v/>
      </c>
      <c r="G401" s="126" t="n">
        <v>45471</v>
      </c>
      <c r="H401" s="124">
        <f>VLOOKUP($C401,Sales!$C:$E,2,FALSE)</f>
        <v/>
      </c>
      <c r="I401" s="124">
        <f>VLOOKUP($C401,Sales!$C:$E,3,FALSE)</f>
        <v/>
      </c>
      <c r="J401" s="126">
        <f>SUMIFS(Sales!$H:$H,Sales!$C:$C,'Investor Exit List'!$C401)</f>
        <v/>
      </c>
      <c r="K401" s="126">
        <f>IF(I401=TRUE,J401,"")</f>
        <v/>
      </c>
      <c r="L401" s="126">
        <f>G401+730</f>
        <v/>
      </c>
      <c r="M401" s="126" t="n">
        <v>45443</v>
      </c>
      <c r="N401" s="127">
        <f>IFERROR(IF(G401&lt;&gt;"",IF(I401=TRUE,0,IF(U401=TRUE,0,L401-M401)),0),0)</f>
        <v/>
      </c>
      <c r="O401" s="127">
        <f>IF(N401&gt;0,IF(N401&lt;=180,N401,0),0)</f>
        <v/>
      </c>
      <c r="P401" s="125">
        <f>IF(AND(N401&lt;90,N401&gt;0),Q401,0)</f>
        <v/>
      </c>
      <c r="Q401" s="125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25">
        <f>IF(AND(H401=TRUE,I401=FALSE),Q401,0)</f>
        <v/>
      </c>
      <c r="S401" s="125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26">
        <f>IF(U401=TRUE,$J401,"")</f>
        <v/>
      </c>
      <c r="U401" s="124" t="b">
        <v>0</v>
      </c>
      <c r="V401" s="125">
        <f>IF(AND(H401=TRUE,OR(K401="",K401&gt;M401)),S401,0)</f>
        <v/>
      </c>
      <c r="W401" s="124" t="n">
        <v>0</v>
      </c>
      <c r="X401" s="124" t="b">
        <v>0</v>
      </c>
      <c r="Y401" s="127">
        <f>IF(H401=FALSE,VLOOKUP($C401,Sales!$C:$F,4,FALSE),1)</f>
        <v/>
      </c>
      <c r="Z401" s="124">
        <f>IF(Y401=0,"Release",IF(AND(L401&lt;J401,Y401=1,H401=FALSE,U401=FALSE,MONTH(L401)&amp;"/"&amp;YEAR(L401)&lt;&gt;MONTH(J401)&amp;"/"&amp;YEAR(J401)),"Release",""))</f>
        <v/>
      </c>
      <c r="AA401" s="128">
        <f>_xlfn.minifs($L:$L,$C:$C,$C401,$F:$F,"&lt;&gt;0")</f>
        <v/>
      </c>
      <c r="AB401" s="128">
        <f>C401&amp;"-"&amp;A401</f>
        <v/>
      </c>
      <c r="AC401" s="128">
        <f>L401</f>
        <v/>
      </c>
    </row>
    <row r="402">
      <c r="A402" s="124" t="inlineStr">
        <is>
          <t>ZVDW01</t>
        </is>
      </c>
      <c r="B402" s="124" t="n">
        <v>2</v>
      </c>
      <c r="C402" s="124" t="inlineStr">
        <is>
          <t>HVK205</t>
        </is>
      </c>
      <c r="D402" s="124" t="inlineStr">
        <is>
          <t>K</t>
        </is>
      </c>
      <c r="E402" s="124" t="inlineStr">
        <is>
          <t>van der Walt  Philip</t>
        </is>
      </c>
      <c r="F402" s="125">
        <f>SUMIFS(Investors!$M:$M, Investors!$I:$I, "&lt;=" &amp; 'NSST Print'!$B$3, Investors!$K:$K, "&gt;" &amp; 'NSST Print'!$B$3, Investors!$A:$A, 'Investor Exit List'!A402, Investors!$E:$E, 'Investor Exit List'!C402)</f>
        <v/>
      </c>
      <c r="G402" s="126" t="n">
        <v>45016</v>
      </c>
      <c r="H402" s="124">
        <f>VLOOKUP($C402,Sales!$C:$E,2,FALSE)</f>
        <v/>
      </c>
      <c r="I402" s="124">
        <f>VLOOKUP($C402,Sales!$C:$E,3,FALSE)</f>
        <v/>
      </c>
      <c r="J402" s="126">
        <f>SUMIFS(Sales!$H:$H,Sales!$C:$C,'Investor Exit List'!$C402)</f>
        <v/>
      </c>
      <c r="K402" s="126">
        <f>IF(I402=TRUE,J402,"")</f>
        <v/>
      </c>
      <c r="L402" s="126">
        <f>G402+730</f>
        <v/>
      </c>
      <c r="M402" s="126" t="n">
        <v>45443</v>
      </c>
      <c r="N402" s="127">
        <f>IFERROR(IF(G402&lt;&gt;"",IF(I402=TRUE,0,IF(U402=TRUE,0,L402-M402)),0),0)</f>
        <v/>
      </c>
      <c r="O402" s="127">
        <f>IF(N402&gt;0,IF(N402&lt;=180,N402,0),0)</f>
        <v/>
      </c>
      <c r="P402" s="125">
        <f>IF(AND(N402&lt;90,N402&gt;0),Q402,0)</f>
        <v/>
      </c>
      <c r="Q402" s="125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25">
        <f>IF(AND(H402=TRUE,I402=FALSE),Q402,0)</f>
        <v/>
      </c>
      <c r="S402" s="125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26">
        <f>IF(U402=TRUE,$J402,"")</f>
        <v/>
      </c>
      <c r="U402" s="124" t="b">
        <v>1</v>
      </c>
      <c r="V402" s="125">
        <f>IF(AND(H402=TRUE,OR(K402="",K402&gt;M402)),S402,0)</f>
        <v/>
      </c>
      <c r="W402" s="124" t="n">
        <v>0</v>
      </c>
      <c r="X402" s="124" t="b">
        <v>0</v>
      </c>
      <c r="Y402" s="127">
        <f>IF(H402=FALSE,VLOOKUP($C402,Sales!$C:$F,4,FALSE),1)</f>
        <v/>
      </c>
      <c r="Z402" s="124">
        <f>IF(Y402=0,"Release",IF(AND(L402&lt;J402,Y402=1,H402=FALSE,U402=FALSE,MONTH(L402)&amp;"/"&amp;YEAR(L402)&lt;&gt;MONTH(J402)&amp;"/"&amp;YEAR(J402)),"Release",""))</f>
        <v/>
      </c>
      <c r="AA402" s="128">
        <f>_xlfn.minifs($L:$L,$C:$C,$C402,$F:$F,"&lt;&gt;0")</f>
        <v/>
      </c>
      <c r="AB402" s="128">
        <f>C402&amp;"-"&amp;A402</f>
        <v/>
      </c>
      <c r="AC402" s="128">
        <f>L402</f>
        <v/>
      </c>
    </row>
    <row r="403">
      <c r="A403" s="124" t="inlineStr">
        <is>
          <t>ZWEL01</t>
        </is>
      </c>
      <c r="B403" s="124" t="n">
        <v>6</v>
      </c>
      <c r="C403" s="124" t="inlineStr">
        <is>
          <t>HVK205</t>
        </is>
      </c>
      <c r="D403" s="124" t="inlineStr">
        <is>
          <t>K</t>
        </is>
      </c>
      <c r="E403" s="124" t="inlineStr">
        <is>
          <t>Welham Christopher John</t>
        </is>
      </c>
      <c r="F403" s="125">
        <f>SUMIFS(Investors!$M:$M, Investors!$I:$I, "&lt;=" &amp; 'NSST Print'!$B$3, Investors!$K:$K, "&gt;" &amp; 'NSST Print'!$B$3, Investors!$A:$A, 'Investor Exit List'!A403, Investors!$E:$E, 'Investor Exit List'!C403)</f>
        <v/>
      </c>
      <c r="G403" s="126" t="n">
        <v>45471</v>
      </c>
      <c r="H403" s="124">
        <f>VLOOKUP($C403,Sales!$C:$E,2,FALSE)</f>
        <v/>
      </c>
      <c r="I403" s="124">
        <f>VLOOKUP($C403,Sales!$C:$E,3,FALSE)</f>
        <v/>
      </c>
      <c r="J403" s="126">
        <f>SUMIFS(Sales!$H:$H,Sales!$C:$C,'Investor Exit List'!$C403)</f>
        <v/>
      </c>
      <c r="K403" s="126">
        <f>IF(I403=TRUE,J403,"")</f>
        <v/>
      </c>
      <c r="L403" s="126">
        <f>G403+730</f>
        <v/>
      </c>
      <c r="M403" s="126" t="n">
        <v>45443</v>
      </c>
      <c r="N403" s="127">
        <f>IFERROR(IF(G403&lt;&gt;"",IF(I403=TRUE,0,IF(U403=TRUE,0,L403-M403)),0),0)</f>
        <v/>
      </c>
      <c r="O403" s="127">
        <f>IF(N403&gt;0,IF(N403&lt;=180,N403,0),0)</f>
        <v/>
      </c>
      <c r="P403" s="125">
        <f>IF(AND(N403&lt;90,N403&gt;0),Q403,0)</f>
        <v/>
      </c>
      <c r="Q403" s="125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25">
        <f>IF(AND(H403=TRUE,I403=FALSE),Q403,0)</f>
        <v/>
      </c>
      <c r="S403" s="125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26">
        <f>IF(U403=TRUE,$J403,"")</f>
        <v/>
      </c>
      <c r="U403" s="124" t="b">
        <v>0</v>
      </c>
      <c r="V403" s="125">
        <f>IF(AND(H403=TRUE,OR(K403="",K403&gt;M403)),S403,0)</f>
        <v/>
      </c>
      <c r="W403" s="124" t="n">
        <v>0</v>
      </c>
      <c r="X403" s="124" t="b">
        <v>0</v>
      </c>
      <c r="Y403" s="127">
        <f>IF(H403=FALSE,VLOOKUP($C403,Sales!$C:$F,4,FALSE),1)</f>
        <v/>
      </c>
      <c r="Z403" s="124">
        <f>IF(Y403=0,"Release",IF(AND(L403&lt;J403,Y403=1,H403=FALSE,U403=FALSE,MONTH(L403)&amp;"/"&amp;YEAR(L403)&lt;&gt;MONTH(J403)&amp;"/"&amp;YEAR(J403)),"Release",""))</f>
        <v/>
      </c>
      <c r="AA403" s="128">
        <f>_xlfn.minifs($L:$L,$C:$C,$C403,$F:$F,"&lt;&gt;0")</f>
        <v/>
      </c>
      <c r="AB403" s="128">
        <f>C403&amp;"-"&amp;A403</f>
        <v/>
      </c>
      <c r="AC403" s="128">
        <f>L403</f>
        <v/>
      </c>
    </row>
    <row r="404">
      <c r="A404" s="124" t="inlineStr">
        <is>
          <t>ZZYL02</t>
        </is>
      </c>
      <c r="B404" s="124" t="n">
        <v>3</v>
      </c>
      <c r="C404" s="124" t="inlineStr">
        <is>
          <t>HVK205</t>
        </is>
      </c>
      <c r="D404" s="124" t="inlineStr">
        <is>
          <t>K</t>
        </is>
      </c>
      <c r="E404" s="124" t="inlineStr">
        <is>
          <t>Zylstra Petronella Johanna</t>
        </is>
      </c>
      <c r="F404" s="125">
        <f>SUMIFS(Investors!$M:$M, Investors!$I:$I, "&lt;=" &amp; 'NSST Print'!$B$3, Investors!$K:$K, "&gt;" &amp; 'NSST Print'!$B$3, Investors!$A:$A, 'Investor Exit List'!A404, Investors!$E:$E, 'Investor Exit List'!C404)</f>
        <v/>
      </c>
      <c r="G404" s="126" t="n">
        <v>44916</v>
      </c>
      <c r="H404" s="124">
        <f>VLOOKUP($C404,Sales!$C:$E,2,FALSE)</f>
        <v/>
      </c>
      <c r="I404" s="124">
        <f>VLOOKUP($C404,Sales!$C:$E,3,FALSE)</f>
        <v/>
      </c>
      <c r="J404" s="126">
        <f>SUMIFS(Sales!$H:$H,Sales!$C:$C,'Investor Exit List'!$C404)</f>
        <v/>
      </c>
      <c r="K404" s="126">
        <f>IF(I404=TRUE,J404,"")</f>
        <v/>
      </c>
      <c r="L404" s="126">
        <f>G404+730</f>
        <v/>
      </c>
      <c r="M404" s="126" t="n">
        <v>45443</v>
      </c>
      <c r="N404" s="127">
        <f>IFERROR(IF(G404&lt;&gt;"",IF(I404=TRUE,0,IF(U404=TRUE,0,L404-M404)),0),0)</f>
        <v/>
      </c>
      <c r="O404" s="127">
        <f>IF(N404&gt;0,IF(N404&lt;=180,N404,0),0)</f>
        <v/>
      </c>
      <c r="P404" s="125">
        <f>IF(AND(N404&lt;90,N404&gt;0),Q404,0)</f>
        <v/>
      </c>
      <c r="Q404" s="125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25">
        <f>IF(AND(H404=TRUE,I404=FALSE),Q404,0)</f>
        <v/>
      </c>
      <c r="S404" s="125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26">
        <f>IF(U404=TRUE,$J404,"")</f>
        <v/>
      </c>
      <c r="U404" s="124" t="b">
        <v>1</v>
      </c>
      <c r="V404" s="125">
        <f>IF(AND(H404=TRUE,OR(K404="",K404&gt;M404)),S404,0)</f>
        <v/>
      </c>
      <c r="W404" s="124" t="n">
        <v>0</v>
      </c>
      <c r="X404" s="124" t="b">
        <v>0</v>
      </c>
      <c r="Y404" s="127">
        <f>IF(H404=FALSE,VLOOKUP($C404,Sales!$C:$F,4,FALSE),1)</f>
        <v/>
      </c>
      <c r="Z404" s="124">
        <f>IF(Y404=0,"Release",IF(AND(L404&lt;J404,Y404=1,H404=FALSE,U404=FALSE,MONTH(L404)&amp;"/"&amp;YEAR(L404)&lt;&gt;MONTH(J404)&amp;"/"&amp;YEAR(J404)),"Release",""))</f>
        <v/>
      </c>
      <c r="AA404" s="128">
        <f>_xlfn.minifs($L:$L,$C:$C,$C404,$F:$F,"&lt;&gt;0")</f>
        <v/>
      </c>
      <c r="AB404" s="128">
        <f>C404&amp;"-"&amp;A404</f>
        <v/>
      </c>
      <c r="AC404" s="128">
        <f>L404</f>
        <v/>
      </c>
    </row>
    <row r="405">
      <c r="A405" s="124" t="inlineStr">
        <is>
          <t>ZZYL05</t>
        </is>
      </c>
      <c r="B405" s="124" t="n">
        <v>2</v>
      </c>
      <c r="C405" s="124" t="inlineStr">
        <is>
          <t>HVK205</t>
        </is>
      </c>
      <c r="D405" s="124" t="inlineStr">
        <is>
          <t>K</t>
        </is>
      </c>
      <c r="E405" s="124" t="inlineStr">
        <is>
          <t>Zylstra Diana Wendy</t>
        </is>
      </c>
      <c r="F405" s="125">
        <f>SUMIFS(Investors!$M:$M, Investors!$I:$I, "&lt;=" &amp; 'NSST Print'!$B$3, Investors!$K:$K, "&gt;" &amp; 'NSST Print'!$B$3, Investors!$A:$A, 'Investor Exit List'!A405, Investors!$E:$E, 'Investor Exit List'!C405)</f>
        <v/>
      </c>
      <c r="G405" s="126" t="n">
        <v>45471</v>
      </c>
      <c r="H405" s="124">
        <f>VLOOKUP($C405,Sales!$C:$E,2,FALSE)</f>
        <v/>
      </c>
      <c r="I405" s="124">
        <f>VLOOKUP($C405,Sales!$C:$E,3,FALSE)</f>
        <v/>
      </c>
      <c r="J405" s="126">
        <f>SUMIFS(Sales!$H:$H,Sales!$C:$C,'Investor Exit List'!$C405)</f>
        <v/>
      </c>
      <c r="K405" s="126">
        <f>IF(I405=TRUE,J405,"")</f>
        <v/>
      </c>
      <c r="L405" s="126">
        <f>G405+730</f>
        <v/>
      </c>
      <c r="M405" s="126" t="n">
        <v>45443</v>
      </c>
      <c r="N405" s="127">
        <f>IFERROR(IF(G405&lt;&gt;"",IF(I405=TRUE,0,IF(U405=TRUE,0,L405-M405)),0),0)</f>
        <v/>
      </c>
      <c r="O405" s="127">
        <f>IF(N405&gt;0,IF(N405&lt;=180,N405,0),0)</f>
        <v/>
      </c>
      <c r="P405" s="125">
        <f>IF(AND(N405&lt;90,N405&gt;0),Q405,0)</f>
        <v/>
      </c>
      <c r="Q405" s="125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25">
        <f>IF(AND(H405=TRUE,I405=FALSE),Q405,0)</f>
        <v/>
      </c>
      <c r="S405" s="125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26">
        <f>IF(U405=TRUE,$J405,"")</f>
        <v/>
      </c>
      <c r="U405" s="124" t="b">
        <v>0</v>
      </c>
      <c r="V405" s="125">
        <f>IF(AND(H405=TRUE,OR(K405="",K405&gt;M405)),S405,0)</f>
        <v/>
      </c>
      <c r="W405" s="124" t="n">
        <v>0</v>
      </c>
      <c r="X405" s="124" t="b">
        <v>0</v>
      </c>
      <c r="Y405" s="127">
        <f>IF(H405=FALSE,VLOOKUP($C405,Sales!$C:$F,4,FALSE),1)</f>
        <v/>
      </c>
      <c r="Z405" s="124">
        <f>IF(Y405=0,"Release",IF(AND(L405&lt;J405,Y405=1,H405=FALSE,U405=FALSE,MONTH(L405)&amp;"/"&amp;YEAR(L405)&lt;&gt;MONTH(J405)&amp;"/"&amp;YEAR(J405)),"Release",""))</f>
        <v/>
      </c>
      <c r="AA405" s="128">
        <f>_xlfn.minifs($L:$L,$C:$C,$C405,$F:$F,"&lt;&gt;0")</f>
        <v/>
      </c>
      <c r="AB405" s="128">
        <f>C405&amp;"-"&amp;A405</f>
        <v/>
      </c>
      <c r="AC405" s="128">
        <f>L405</f>
        <v/>
      </c>
    </row>
    <row r="406">
      <c r="A406" s="124" t="inlineStr">
        <is>
          <t>ZCOL01</t>
        </is>
      </c>
      <c r="B406" s="124" t="n">
        <v>4</v>
      </c>
      <c r="C406" s="124" t="inlineStr">
        <is>
          <t>HVK206</t>
        </is>
      </c>
      <c r="D406" s="124" t="inlineStr">
        <is>
          <t>K</t>
        </is>
      </c>
      <c r="E406" s="124" t="inlineStr">
        <is>
          <t>Collins Christine</t>
        </is>
      </c>
      <c r="F406" s="125">
        <f>SUMIFS(Investors!$M:$M, Investors!$I:$I, "&lt;=" &amp; 'NSST Print'!$B$3, Investors!$K:$K, "&gt;" &amp; 'NSST Print'!$B$3, Investors!$A:$A, 'Investor Exit List'!A406, Investors!$E:$E, 'Investor Exit List'!C406)</f>
        <v/>
      </c>
      <c r="G406" s="126" t="n">
        <v>45008</v>
      </c>
      <c r="H406" s="124">
        <f>VLOOKUP($C406,Sales!$C:$E,2,FALSE)</f>
        <v/>
      </c>
      <c r="I406" s="124">
        <f>VLOOKUP($C406,Sales!$C:$E,3,FALSE)</f>
        <v/>
      </c>
      <c r="J406" s="126">
        <f>SUMIFS(Sales!$H:$H,Sales!$C:$C,'Investor Exit List'!$C406)</f>
        <v/>
      </c>
      <c r="K406" s="126">
        <f>IF(I406=TRUE,J406,"")</f>
        <v/>
      </c>
      <c r="L406" s="126">
        <f>G406+730</f>
        <v/>
      </c>
      <c r="M406" s="126" t="n">
        <v>45443</v>
      </c>
      <c r="N406" s="127">
        <f>IFERROR(IF(G406&lt;&gt;"",IF(I406=TRUE,0,IF(U406=TRUE,0,L406-M406)),0),0)</f>
        <v/>
      </c>
      <c r="O406" s="127">
        <f>IF(N406&gt;0,IF(N406&lt;=180,N406,0),0)</f>
        <v/>
      </c>
      <c r="P406" s="125">
        <f>IF(AND(N406&lt;90,N406&gt;0),Q406,0)</f>
        <v/>
      </c>
      <c r="Q406" s="125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25">
        <f>IF(AND(H406=TRUE,I406=FALSE),Q406,0)</f>
        <v/>
      </c>
      <c r="S406" s="125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26">
        <f>IF(U406=TRUE,$J406,"")</f>
        <v/>
      </c>
      <c r="U406" s="124" t="b">
        <v>0</v>
      </c>
      <c r="V406" s="125">
        <f>IF(AND(H406=TRUE,OR(K406="",K406&gt;M406)),S406,0)</f>
        <v/>
      </c>
      <c r="W406" s="124" t="n">
        <v>0</v>
      </c>
      <c r="X406" s="124" t="b">
        <v>0</v>
      </c>
      <c r="Y406" s="127">
        <f>IF(H406=FALSE,VLOOKUP($C406,Sales!$C:$F,4,FALSE),1)</f>
        <v/>
      </c>
      <c r="Z406" s="124">
        <f>IF(Y406=0,"Release",IF(AND(L406&lt;J406,Y406=1,H406=FALSE,U406=FALSE,MONTH(L406)&amp;"/"&amp;YEAR(L406)&lt;&gt;MONTH(J406)&amp;"/"&amp;YEAR(J406)),"Release",""))</f>
        <v/>
      </c>
      <c r="AA406" s="128">
        <f>_xlfn.minifs($L:$L,$C:$C,$C406,$F:$F,"&lt;&gt;0")</f>
        <v/>
      </c>
      <c r="AB406" s="128">
        <f>C406&amp;"-"&amp;A406</f>
        <v/>
      </c>
      <c r="AC406" s="128">
        <f>L406</f>
        <v/>
      </c>
    </row>
    <row r="407">
      <c r="A407" s="124" t="inlineStr">
        <is>
          <t>ZDIC01</t>
        </is>
      </c>
      <c r="B407" s="124" t="n">
        <v>11</v>
      </c>
      <c r="C407" s="124" t="inlineStr">
        <is>
          <t>HVK206</t>
        </is>
      </c>
      <c r="D407" s="124" t="inlineStr">
        <is>
          <t>K</t>
        </is>
      </c>
      <c r="E407" s="124" t="inlineStr">
        <is>
          <t>Dickinson Grant Allan</t>
        </is>
      </c>
      <c r="F407" s="125">
        <f>SUMIFS(Investors!$M:$M, Investors!$I:$I, "&lt;=" &amp; 'NSST Print'!$B$3, Investors!$K:$K, "&gt;" &amp; 'NSST Print'!$B$3, Investors!$A:$A, 'Investor Exit List'!A407, Investors!$E:$E, 'Investor Exit List'!C407)</f>
        <v/>
      </c>
      <c r="G407" s="126" t="n">
        <v>45044</v>
      </c>
      <c r="H407" s="124">
        <f>VLOOKUP($C407,Sales!$C:$E,2,FALSE)</f>
        <v/>
      </c>
      <c r="I407" s="124">
        <f>VLOOKUP($C407,Sales!$C:$E,3,FALSE)</f>
        <v/>
      </c>
      <c r="J407" s="126">
        <f>SUMIFS(Sales!$H:$H,Sales!$C:$C,'Investor Exit List'!$C407)</f>
        <v/>
      </c>
      <c r="K407" s="126">
        <f>IF(I407=TRUE,J407,"")</f>
        <v/>
      </c>
      <c r="L407" s="126">
        <f>G407+730</f>
        <v/>
      </c>
      <c r="M407" s="126" t="n">
        <v>45443</v>
      </c>
      <c r="N407" s="127">
        <f>IFERROR(IF(G407&lt;&gt;"",IF(I407=TRUE,0,IF(U407=TRUE,0,L407-M407)),0),0)</f>
        <v/>
      </c>
      <c r="O407" s="127">
        <f>IF(N407&gt;0,IF(N407&lt;=180,N407,0),0)</f>
        <v/>
      </c>
      <c r="P407" s="125">
        <f>IF(AND(N407&lt;90,N407&gt;0),Q407,0)</f>
        <v/>
      </c>
      <c r="Q407" s="125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25">
        <f>IF(AND(H407=TRUE,I407=FALSE),Q407,0)</f>
        <v/>
      </c>
      <c r="S407" s="125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26">
        <f>IF(U407=TRUE,$J407,"")</f>
        <v/>
      </c>
      <c r="U407" s="124" t="b">
        <v>0</v>
      </c>
      <c r="V407" s="125">
        <f>IF(AND(H407=TRUE,OR(K407="",K407&gt;M407)),S407,0)</f>
        <v/>
      </c>
      <c r="W407" s="124" t="n">
        <v>0</v>
      </c>
      <c r="X407" s="124" t="b">
        <v>0</v>
      </c>
      <c r="Y407" s="127">
        <f>IF(H407=FALSE,VLOOKUP($C407,Sales!$C:$F,4,FALSE),1)</f>
        <v/>
      </c>
      <c r="Z407" s="124">
        <f>IF(Y407=0,"Release",IF(AND(L407&lt;J407,Y407=1,H407=FALSE,U407=FALSE,MONTH(L407)&amp;"/"&amp;YEAR(L407)&lt;&gt;MONTH(J407)&amp;"/"&amp;YEAR(J407)),"Release",""))</f>
        <v/>
      </c>
      <c r="AA407" s="128">
        <f>_xlfn.minifs($L:$L,$C:$C,$C407,$F:$F,"&lt;&gt;0")</f>
        <v/>
      </c>
      <c r="AB407" s="128">
        <f>C407&amp;"-"&amp;A407</f>
        <v/>
      </c>
      <c r="AC407" s="128">
        <f>L407</f>
        <v/>
      </c>
    </row>
    <row r="408">
      <c r="A408" s="124" t="inlineStr">
        <is>
          <t>ZFOU01</t>
        </is>
      </c>
      <c r="B408" s="124" t="n">
        <v>2</v>
      </c>
      <c r="C408" s="124" t="inlineStr">
        <is>
          <t>HVK206</t>
        </is>
      </c>
      <c r="D408" s="124" t="inlineStr">
        <is>
          <t>K</t>
        </is>
      </c>
      <c r="E408" s="124" t="inlineStr">
        <is>
          <t>Fourie Hester Magrietha</t>
        </is>
      </c>
      <c r="F408" s="125">
        <f>SUMIFS(Investors!$M:$M, Investors!$I:$I, "&lt;=" &amp; 'NSST Print'!$B$3, Investors!$K:$K, "&gt;" &amp; 'NSST Print'!$B$3, Investors!$A:$A, 'Investor Exit List'!A408, Investors!$E:$E, 'Investor Exit List'!C408)</f>
        <v/>
      </c>
      <c r="G408" s="126" t="n">
        <v>45016</v>
      </c>
      <c r="H408" s="124">
        <f>VLOOKUP($C408,Sales!$C:$E,2,FALSE)</f>
        <v/>
      </c>
      <c r="I408" s="124">
        <f>VLOOKUP($C408,Sales!$C:$E,3,FALSE)</f>
        <v/>
      </c>
      <c r="J408" s="126">
        <f>SUMIFS(Sales!$H:$H,Sales!$C:$C,'Investor Exit List'!$C408)</f>
        <v/>
      </c>
      <c r="K408" s="126">
        <f>IF(I408=TRUE,J408,"")</f>
        <v/>
      </c>
      <c r="L408" s="126">
        <f>G408+730</f>
        <v/>
      </c>
      <c r="M408" s="126" t="n">
        <v>45443</v>
      </c>
      <c r="N408" s="127">
        <f>IFERROR(IF(G408&lt;&gt;"",IF(I408=TRUE,0,IF(U408=TRUE,0,L408-M408)),0),0)</f>
        <v/>
      </c>
      <c r="O408" s="127">
        <f>IF(N408&gt;0,IF(N408&lt;=180,N408,0),0)</f>
        <v/>
      </c>
      <c r="P408" s="125">
        <f>IF(AND(N408&lt;90,N408&gt;0),Q408,0)</f>
        <v/>
      </c>
      <c r="Q408" s="125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25">
        <f>IF(AND(H408=TRUE,I408=FALSE),Q408,0)</f>
        <v/>
      </c>
      <c r="S408" s="125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26">
        <f>IF(U408=TRUE,$J408,"")</f>
        <v/>
      </c>
      <c r="U408" s="124" t="b">
        <v>0</v>
      </c>
      <c r="V408" s="125">
        <f>IF(AND(H408=TRUE,OR(K408="",K408&gt;M408)),S408,0)</f>
        <v/>
      </c>
      <c r="W408" s="124" t="n">
        <v>0</v>
      </c>
      <c r="X408" s="124" t="b">
        <v>0</v>
      </c>
      <c r="Y408" s="127">
        <f>IF(H408=FALSE,VLOOKUP($C408,Sales!$C:$F,4,FALSE),1)</f>
        <v/>
      </c>
      <c r="Z408" s="124">
        <f>IF(Y408=0,"Release",IF(AND(L408&lt;J408,Y408=1,H408=FALSE,U408=FALSE,MONTH(L408)&amp;"/"&amp;YEAR(L408)&lt;&gt;MONTH(J408)&amp;"/"&amp;YEAR(J408)),"Release",""))</f>
        <v/>
      </c>
      <c r="AA408" s="128">
        <f>_xlfn.minifs($L:$L,$C:$C,$C408,$F:$F,"&lt;&gt;0")</f>
        <v/>
      </c>
      <c r="AB408" s="128">
        <f>C408&amp;"-"&amp;A408</f>
        <v/>
      </c>
      <c r="AC408" s="128">
        <f>L408</f>
        <v/>
      </c>
    </row>
    <row r="409">
      <c r="A409" s="124" t="inlineStr">
        <is>
          <t>ZGOV01</t>
        </is>
      </c>
      <c r="B409" s="124" t="n">
        <v>2</v>
      </c>
      <c r="C409" s="124" t="inlineStr">
        <is>
          <t>HVK206</t>
        </is>
      </c>
      <c r="D409" s="124" t="inlineStr">
        <is>
          <t>K</t>
        </is>
      </c>
      <c r="E409" s="124" t="inlineStr">
        <is>
          <t>Govender Preshnee</t>
        </is>
      </c>
      <c r="F409" s="125">
        <f>SUMIFS(Investors!$M:$M, Investors!$I:$I, "&lt;=" &amp; 'NSST Print'!$B$3, Investors!$K:$K, "&gt;" &amp; 'NSST Print'!$B$3, Investors!$A:$A, 'Investor Exit List'!A409, Investors!$E:$E, 'Investor Exit List'!C409)</f>
        <v/>
      </c>
      <c r="G409" s="126" t="n">
        <v>44967</v>
      </c>
      <c r="H409" s="124">
        <f>VLOOKUP($C409,Sales!$C:$E,2,FALSE)</f>
        <v/>
      </c>
      <c r="I409" s="124">
        <f>VLOOKUP($C409,Sales!$C:$E,3,FALSE)</f>
        <v/>
      </c>
      <c r="J409" s="126">
        <f>SUMIFS(Sales!$H:$H,Sales!$C:$C,'Investor Exit List'!$C409)</f>
        <v/>
      </c>
      <c r="K409" s="126">
        <f>IF(I409=TRUE,J409,"")</f>
        <v/>
      </c>
      <c r="L409" s="126">
        <f>G409+730</f>
        <v/>
      </c>
      <c r="M409" s="126" t="n">
        <v>45443</v>
      </c>
      <c r="N409" s="127">
        <f>IFERROR(IF(G409&lt;&gt;"",IF(I409=TRUE,0,IF(U409=TRUE,0,L409-M409)),0),0)</f>
        <v/>
      </c>
      <c r="O409" s="127">
        <f>IF(N409&gt;0,IF(N409&lt;=180,N409,0),0)</f>
        <v/>
      </c>
      <c r="P409" s="125">
        <f>IF(AND(N409&lt;90,N409&gt;0),Q409,0)</f>
        <v/>
      </c>
      <c r="Q409" s="125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25">
        <f>IF(AND(H409=TRUE,I409=FALSE),Q409,0)</f>
        <v/>
      </c>
      <c r="S409" s="125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26">
        <f>IF(U409=TRUE,$J409,"")</f>
        <v/>
      </c>
      <c r="U409" s="124" t="b">
        <v>0</v>
      </c>
      <c r="V409" s="125">
        <f>IF(AND(H409=TRUE,OR(K409="",K409&gt;M409)),S409,0)</f>
        <v/>
      </c>
      <c r="W409" s="124" t="n">
        <v>0</v>
      </c>
      <c r="X409" s="124" t="b">
        <v>0</v>
      </c>
      <c r="Y409" s="127">
        <f>IF(H409=FALSE,VLOOKUP($C409,Sales!$C:$F,4,FALSE),1)</f>
        <v/>
      </c>
      <c r="Z409" s="124">
        <f>IF(Y409=0,"Release",IF(AND(L409&lt;J409,Y409=1,H409=FALSE,U409=FALSE,MONTH(L409)&amp;"/"&amp;YEAR(L409)&lt;&gt;MONTH(J409)&amp;"/"&amp;YEAR(J409)),"Release",""))</f>
        <v/>
      </c>
      <c r="AA409" s="128">
        <f>_xlfn.minifs($L:$L,$C:$C,$C409,$F:$F,"&lt;&gt;0")</f>
        <v/>
      </c>
      <c r="AB409" s="128">
        <f>C409&amp;"-"&amp;A409</f>
        <v/>
      </c>
      <c r="AC409" s="128">
        <f>L409</f>
        <v/>
      </c>
    </row>
    <row r="410">
      <c r="A410" s="124" t="inlineStr">
        <is>
          <t>ZBAR01</t>
        </is>
      </c>
      <c r="B410" s="124" t="n">
        <v>2</v>
      </c>
      <c r="C410" s="124" t="inlineStr">
        <is>
          <t>HVK301</t>
        </is>
      </c>
      <c r="D410" s="124" t="inlineStr">
        <is>
          <t>K</t>
        </is>
      </c>
      <c r="E410" s="124" t="inlineStr">
        <is>
          <t>Barr Stuart Christopher</t>
        </is>
      </c>
      <c r="F410" s="125">
        <f>SUMIFS(Investors!$M:$M, Investors!$I:$I, "&lt;=" &amp; 'NSST Print'!$B$3, Investors!$K:$K, "&gt;" &amp; 'NSST Print'!$B$3, Investors!$A:$A, 'Investor Exit List'!A410, Investors!$E:$E, 'Investor Exit List'!C410)</f>
        <v/>
      </c>
      <c r="G410" s="126" t="n">
        <v>44986</v>
      </c>
      <c r="H410" s="124">
        <f>VLOOKUP($C410,Sales!$C:$E,2,FALSE)</f>
        <v/>
      </c>
      <c r="I410" s="124">
        <f>VLOOKUP($C410,Sales!$C:$E,3,FALSE)</f>
        <v/>
      </c>
      <c r="J410" s="126">
        <f>SUMIFS(Sales!$H:$H,Sales!$C:$C,'Investor Exit List'!$C410)</f>
        <v/>
      </c>
      <c r="K410" s="126">
        <f>IF(I410=TRUE,J410,"")</f>
        <v/>
      </c>
      <c r="L410" s="126">
        <f>G410+730</f>
        <v/>
      </c>
      <c r="M410" s="126" t="n">
        <v>45443</v>
      </c>
      <c r="N410" s="127">
        <f>IFERROR(IF(G410&lt;&gt;"",IF(I410=TRUE,0,IF(U410=TRUE,0,L410-M410)),0),0)</f>
        <v/>
      </c>
      <c r="O410" s="127">
        <f>IF(N410&gt;0,IF(N410&lt;=180,N410,0),0)</f>
        <v/>
      </c>
      <c r="P410" s="125">
        <f>IF(AND(N410&lt;90,N410&gt;0),Q410,0)</f>
        <v/>
      </c>
      <c r="Q410" s="125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25">
        <f>IF(AND(H410=TRUE,I410=FALSE),Q410,0)</f>
        <v/>
      </c>
      <c r="S410" s="125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26">
        <f>IF(U410=TRUE,$J410,"")</f>
        <v/>
      </c>
      <c r="U410" s="124" t="b">
        <v>0</v>
      </c>
      <c r="V410" s="125">
        <f>IF(AND(H410=TRUE,OR(K410="",K410&gt;M410)),S410,0)</f>
        <v/>
      </c>
      <c r="W410" s="124" t="n">
        <v>0</v>
      </c>
      <c r="X410" s="124" t="b">
        <v>0</v>
      </c>
      <c r="Y410" s="127">
        <f>IF(H410=FALSE,VLOOKUP($C410,Sales!$C:$F,4,FALSE),1)</f>
        <v/>
      </c>
      <c r="Z410" s="124">
        <f>IF(Y410=0,"Release",IF(AND(L410&lt;J410,Y410=1,H410=FALSE,U410=FALSE,MONTH(L410)&amp;"/"&amp;YEAR(L410)&lt;&gt;MONTH(J410)&amp;"/"&amp;YEAR(J410)),"Release",""))</f>
        <v/>
      </c>
      <c r="AA410" s="128">
        <f>_xlfn.minifs($L:$L,$C:$C,$C410,$F:$F,"&lt;&gt;0")</f>
        <v/>
      </c>
      <c r="AB410" s="128">
        <f>C410&amp;"-"&amp;A410</f>
        <v/>
      </c>
      <c r="AC410" s="128">
        <f>L410</f>
        <v/>
      </c>
    </row>
    <row r="411">
      <c r="A411" s="124" t="inlineStr">
        <is>
          <t>ZDAV01</t>
        </is>
      </c>
      <c r="B411" s="124" t="n">
        <v>5</v>
      </c>
      <c r="C411" s="124" t="inlineStr">
        <is>
          <t>HVK301</t>
        </is>
      </c>
      <c r="D411" s="124" t="inlineStr">
        <is>
          <t>K</t>
        </is>
      </c>
      <c r="E411" s="124" t="inlineStr">
        <is>
          <t>Davies Heather Mary Lyn</t>
        </is>
      </c>
      <c r="F411" s="125">
        <f>SUMIFS(Investors!$M:$M, Investors!$I:$I, "&lt;=" &amp; 'NSST Print'!$B$3, Investors!$K:$K, "&gt;" &amp; 'NSST Print'!$B$3, Investors!$A:$A, 'Investor Exit List'!A411, Investors!$E:$E, 'Investor Exit List'!C411)</f>
        <v/>
      </c>
      <c r="G411" s="126" t="n">
        <v>44967</v>
      </c>
      <c r="H411" s="124">
        <f>VLOOKUP($C411,Sales!$C:$E,2,FALSE)</f>
        <v/>
      </c>
      <c r="I411" s="124">
        <f>VLOOKUP($C411,Sales!$C:$E,3,FALSE)</f>
        <v/>
      </c>
      <c r="J411" s="126">
        <f>SUMIFS(Sales!$H:$H,Sales!$C:$C,'Investor Exit List'!$C411)</f>
        <v/>
      </c>
      <c r="K411" s="126">
        <f>IF(I411=TRUE,J411,"")</f>
        <v/>
      </c>
      <c r="L411" s="126">
        <f>G411+730</f>
        <v/>
      </c>
      <c r="M411" s="126" t="n">
        <v>45443</v>
      </c>
      <c r="N411" s="127">
        <f>IFERROR(IF(G411&lt;&gt;"",IF(I411=TRUE,0,IF(U411=TRUE,0,L411-M411)),0),0)</f>
        <v/>
      </c>
      <c r="O411" s="127">
        <f>IF(N411&gt;0,IF(N411&lt;=180,N411,0),0)</f>
        <v/>
      </c>
      <c r="P411" s="125">
        <f>IF(AND(N411&lt;90,N411&gt;0),Q411,0)</f>
        <v/>
      </c>
      <c r="Q411" s="125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25">
        <f>IF(AND(H411=TRUE,I411=FALSE),Q411,0)</f>
        <v/>
      </c>
      <c r="S411" s="125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26">
        <f>IF(U411=TRUE,$J411,"")</f>
        <v/>
      </c>
      <c r="U411" s="124" t="b">
        <v>0</v>
      </c>
      <c r="V411" s="125">
        <f>IF(AND(H411=TRUE,OR(K411="",K411&gt;M411)),S411,0)</f>
        <v/>
      </c>
      <c r="W411" s="124" t="n">
        <v>0</v>
      </c>
      <c r="X411" s="124" t="b">
        <v>0</v>
      </c>
      <c r="Y411" s="127">
        <f>IF(H411=FALSE,VLOOKUP($C411,Sales!$C:$F,4,FALSE),1)</f>
        <v/>
      </c>
      <c r="Z411" s="124">
        <f>IF(Y411=0,"Release",IF(AND(L411&lt;J411,Y411=1,H411=FALSE,U411=FALSE,MONTH(L411)&amp;"/"&amp;YEAR(L411)&lt;&gt;MONTH(J411)&amp;"/"&amp;YEAR(J411)),"Release",""))</f>
        <v/>
      </c>
      <c r="AA411" s="128">
        <f>_xlfn.minifs($L:$L,$C:$C,$C411,$F:$F,"&lt;&gt;0")</f>
        <v/>
      </c>
      <c r="AB411" s="128">
        <f>C411&amp;"-"&amp;A411</f>
        <v/>
      </c>
      <c r="AC411" s="128">
        <f>L411</f>
        <v/>
      </c>
    </row>
    <row r="412">
      <c r="A412" s="124" t="inlineStr">
        <is>
          <t>ZHIL01</t>
        </is>
      </c>
      <c r="B412" s="124" t="n">
        <v>2</v>
      </c>
      <c r="C412" s="124" t="inlineStr">
        <is>
          <t>HVK301</t>
        </is>
      </c>
      <c r="D412" s="124" t="inlineStr">
        <is>
          <t>K</t>
        </is>
      </c>
      <c r="E412" s="124" t="inlineStr">
        <is>
          <t>Hill Trevor David</t>
        </is>
      </c>
      <c r="F412" s="125">
        <f>SUMIFS(Investors!$M:$M, Investors!$I:$I, "&lt;=" &amp; 'NSST Print'!$B$3, Investors!$K:$K, "&gt;" &amp; 'NSST Print'!$B$3, Investors!$A:$A, 'Investor Exit List'!A412, Investors!$E:$E, 'Investor Exit List'!C412)</f>
        <v/>
      </c>
      <c r="G412" s="126" t="n">
        <v>44916</v>
      </c>
      <c r="H412" s="124">
        <f>VLOOKUP($C412,Sales!$C:$E,2,FALSE)</f>
        <v/>
      </c>
      <c r="I412" s="124">
        <f>VLOOKUP($C412,Sales!$C:$E,3,FALSE)</f>
        <v/>
      </c>
      <c r="J412" s="126">
        <f>SUMIFS(Sales!$H:$H,Sales!$C:$C,'Investor Exit List'!$C412)</f>
        <v/>
      </c>
      <c r="K412" s="126">
        <f>IF(I412=TRUE,J412,"")</f>
        <v/>
      </c>
      <c r="L412" s="126">
        <f>G412+730</f>
        <v/>
      </c>
      <c r="M412" s="126" t="n">
        <v>45443</v>
      </c>
      <c r="N412" s="127">
        <f>IFERROR(IF(G412&lt;&gt;"",IF(I412=TRUE,0,IF(U412=TRUE,0,L412-M412)),0),0)</f>
        <v/>
      </c>
      <c r="O412" s="127">
        <f>IF(N412&gt;0,IF(N412&lt;=180,N412,0),0)</f>
        <v/>
      </c>
      <c r="P412" s="125">
        <f>IF(AND(N412&lt;90,N412&gt;0),Q412,0)</f>
        <v/>
      </c>
      <c r="Q412" s="125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25">
        <f>IF(AND(H412=TRUE,I412=FALSE),Q412,0)</f>
        <v/>
      </c>
      <c r="S412" s="125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26">
        <f>IF(U412=TRUE,$J412,"")</f>
        <v/>
      </c>
      <c r="U412" s="124" t="b">
        <v>0</v>
      </c>
      <c r="V412" s="125">
        <f>IF(AND(H412=TRUE,OR(K412="",K412&gt;M412)),S412,0)</f>
        <v/>
      </c>
      <c r="W412" s="124" t="n">
        <v>0</v>
      </c>
      <c r="X412" s="124" t="b">
        <v>0</v>
      </c>
      <c r="Y412" s="127">
        <f>IF(H412=FALSE,VLOOKUP($C412,Sales!$C:$F,4,FALSE),1)</f>
        <v/>
      </c>
      <c r="Z412" s="124">
        <f>IF(Y412=0,"Release",IF(AND(L412&lt;J412,Y412=1,H412=FALSE,U412=FALSE,MONTH(L412)&amp;"/"&amp;YEAR(L412)&lt;&gt;MONTH(J412)&amp;"/"&amp;YEAR(J412)),"Release",""))</f>
        <v/>
      </c>
      <c r="AA412" s="128">
        <f>_xlfn.minifs($L:$L,$C:$C,$C412,$F:$F,"&lt;&gt;0")</f>
        <v/>
      </c>
      <c r="AB412" s="128">
        <f>C412&amp;"-"&amp;A412</f>
        <v/>
      </c>
      <c r="AC412" s="128">
        <f>L412</f>
        <v/>
      </c>
    </row>
    <row r="413">
      <c r="A413" s="124" t="inlineStr">
        <is>
          <t>ZJBM01</t>
        </is>
      </c>
      <c r="B413" s="124" t="n">
        <v>2</v>
      </c>
      <c r="C413" s="124" t="inlineStr">
        <is>
          <t>HVK301</t>
        </is>
      </c>
      <c r="D413" s="124" t="inlineStr">
        <is>
          <t>K</t>
        </is>
      </c>
      <c r="E413" s="124" t="inlineStr">
        <is>
          <t>Morkel Jacobus Bruwer</t>
        </is>
      </c>
      <c r="F413" s="125">
        <f>SUMIFS(Investors!$M:$M, Investors!$I:$I, "&lt;=" &amp; 'NSST Print'!$B$3, Investors!$K:$K, "&gt;" &amp; 'NSST Print'!$B$3, Investors!$A:$A, 'Investor Exit List'!A413, Investors!$E:$E, 'Investor Exit List'!C413)</f>
        <v/>
      </c>
      <c r="G413" s="126" t="n">
        <v>44916</v>
      </c>
      <c r="H413" s="124">
        <f>VLOOKUP($C413,Sales!$C:$E,2,FALSE)</f>
        <v/>
      </c>
      <c r="I413" s="124">
        <f>VLOOKUP($C413,Sales!$C:$E,3,FALSE)</f>
        <v/>
      </c>
      <c r="J413" s="126">
        <f>SUMIFS(Sales!$H:$H,Sales!$C:$C,'Investor Exit List'!$C413)</f>
        <v/>
      </c>
      <c r="K413" s="126">
        <f>IF(I413=TRUE,J413,"")</f>
        <v/>
      </c>
      <c r="L413" s="126">
        <f>G413+730</f>
        <v/>
      </c>
      <c r="M413" s="126" t="n">
        <v>45443</v>
      </c>
      <c r="N413" s="127">
        <f>IFERROR(IF(G413&lt;&gt;"",IF(I413=TRUE,0,IF(U413=TRUE,0,L413-M413)),0),0)</f>
        <v/>
      </c>
      <c r="O413" s="127">
        <f>IF(N413&gt;0,IF(N413&lt;=180,N413,0),0)</f>
        <v/>
      </c>
      <c r="P413" s="125">
        <f>IF(AND(N413&lt;90,N413&gt;0),Q413,0)</f>
        <v/>
      </c>
      <c r="Q413" s="125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25">
        <f>IF(AND(H413=TRUE,I413=FALSE),Q413,0)</f>
        <v/>
      </c>
      <c r="S413" s="125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26">
        <f>IF(U413=TRUE,$J413,"")</f>
        <v/>
      </c>
      <c r="U413" s="124" t="b">
        <v>0</v>
      </c>
      <c r="V413" s="125">
        <f>IF(AND(H413=TRUE,OR(K413="",K413&gt;M413)),S413,0)</f>
        <v/>
      </c>
      <c r="W413" s="124" t="n">
        <v>0</v>
      </c>
      <c r="X413" s="124" t="b">
        <v>0</v>
      </c>
      <c r="Y413" s="127">
        <f>IF(H413=FALSE,VLOOKUP($C413,Sales!$C:$F,4,FALSE),1)</f>
        <v/>
      </c>
      <c r="Z413" s="124">
        <f>IF(Y413=0,"Release",IF(AND(L413&lt;J413,Y413=1,H413=FALSE,U413=FALSE,MONTH(L413)&amp;"/"&amp;YEAR(L413)&lt;&gt;MONTH(J413)&amp;"/"&amp;YEAR(J413)),"Release",""))</f>
        <v/>
      </c>
      <c r="AA413" s="128">
        <f>_xlfn.minifs($L:$L,$C:$C,$C413,$F:$F,"&lt;&gt;0")</f>
        <v/>
      </c>
      <c r="AB413" s="128">
        <f>C413&amp;"-"&amp;A413</f>
        <v/>
      </c>
      <c r="AC413" s="128">
        <f>L413</f>
        <v/>
      </c>
    </row>
    <row r="414">
      <c r="A414" s="124" t="inlineStr">
        <is>
          <t>ZVAN05</t>
        </is>
      </c>
      <c r="B414" s="124" t="n">
        <v>7</v>
      </c>
      <c r="C414" s="124" t="inlineStr">
        <is>
          <t>HVK301</t>
        </is>
      </c>
      <c r="D414" s="124" t="inlineStr">
        <is>
          <t>K</t>
        </is>
      </c>
      <c r="E414" s="124" t="inlineStr">
        <is>
          <t>van der Sandt Hermanus</t>
        </is>
      </c>
      <c r="F414" s="125">
        <f>SUMIFS(Investors!$M:$M, Investors!$I:$I, "&lt;=" &amp; 'NSST Print'!$B$3, Investors!$K:$K, "&gt;" &amp; 'NSST Print'!$B$3, Investors!$A:$A, 'Investor Exit List'!A414, Investors!$E:$E, 'Investor Exit List'!C414)</f>
        <v/>
      </c>
      <c r="G414" s="126" t="n">
        <v>44909</v>
      </c>
      <c r="H414" s="124">
        <f>VLOOKUP($C414,Sales!$C:$E,2,FALSE)</f>
        <v/>
      </c>
      <c r="I414" s="124">
        <f>VLOOKUP($C414,Sales!$C:$E,3,FALSE)</f>
        <v/>
      </c>
      <c r="J414" s="126">
        <f>SUMIFS(Sales!$H:$H,Sales!$C:$C,'Investor Exit List'!$C414)</f>
        <v/>
      </c>
      <c r="K414" s="126">
        <f>IF(I414=TRUE,J414,"")</f>
        <v/>
      </c>
      <c r="L414" s="126">
        <f>G414+730</f>
        <v/>
      </c>
      <c r="M414" s="126" t="n">
        <v>45443</v>
      </c>
      <c r="N414" s="127">
        <f>IFERROR(IF(G414&lt;&gt;"",IF(I414=TRUE,0,IF(U414=TRUE,0,L414-M414)),0),0)</f>
        <v/>
      </c>
      <c r="O414" s="127">
        <f>IF(N414&gt;0,IF(N414&lt;=180,N414,0),0)</f>
        <v/>
      </c>
      <c r="P414" s="125">
        <f>IF(AND(N414&lt;90,N414&gt;0),Q414,0)</f>
        <v/>
      </c>
      <c r="Q414" s="125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25">
        <f>IF(AND(H414=TRUE,I414=FALSE),Q414,0)</f>
        <v/>
      </c>
      <c r="S414" s="125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26">
        <f>IF(U414=TRUE,$J414,"")</f>
        <v/>
      </c>
      <c r="U414" s="124" t="b">
        <v>0</v>
      </c>
      <c r="V414" s="125">
        <f>IF(AND(H414=TRUE,OR(K414="",K414&gt;M414)),S414,0)</f>
        <v/>
      </c>
      <c r="W414" s="124" t="n">
        <v>0</v>
      </c>
      <c r="X414" s="124" t="b">
        <v>0</v>
      </c>
      <c r="Y414" s="127">
        <f>IF(H414=FALSE,VLOOKUP($C414,Sales!$C:$F,4,FALSE),1)</f>
        <v/>
      </c>
      <c r="Z414" s="124">
        <f>IF(Y414=0,"Release",IF(AND(L414&lt;J414,Y414=1,H414=FALSE,U414=FALSE,MONTH(L414)&amp;"/"&amp;YEAR(L414)&lt;&gt;MONTH(J414)&amp;"/"&amp;YEAR(J414)),"Release",""))</f>
        <v/>
      </c>
      <c r="AA414" s="128">
        <f>_xlfn.minifs($L:$L,$C:$C,$C414,$F:$F,"&lt;&gt;0")</f>
        <v/>
      </c>
      <c r="AB414" s="128">
        <f>C414&amp;"-"&amp;A414</f>
        <v/>
      </c>
      <c r="AC414" s="128">
        <f>L414</f>
        <v/>
      </c>
    </row>
    <row r="415">
      <c r="A415" s="124" t="inlineStr">
        <is>
          <t>ZBEL01</t>
        </is>
      </c>
      <c r="B415" s="124" t="n">
        <v>5</v>
      </c>
      <c r="C415" s="124" t="inlineStr">
        <is>
          <t>HVK302</t>
        </is>
      </c>
      <c r="D415" s="124" t="inlineStr">
        <is>
          <t>K</t>
        </is>
      </c>
      <c r="E415" s="124" t="inlineStr">
        <is>
          <t>Belford Helen Constance</t>
        </is>
      </c>
      <c r="F415" s="125">
        <f>SUMIFS(Investors!$M:$M, Investors!$I:$I, "&lt;=" &amp; 'NSST Print'!$B$3, Investors!$K:$K, "&gt;" &amp; 'NSST Print'!$B$3, Investors!$A:$A, 'Investor Exit List'!A415, Investors!$E:$E, 'Investor Exit List'!C415)</f>
        <v/>
      </c>
      <c r="G415" s="126" t="n">
        <v>44986</v>
      </c>
      <c r="H415" s="124">
        <f>VLOOKUP($C415,Sales!$C:$E,2,FALSE)</f>
        <v/>
      </c>
      <c r="I415" s="124">
        <f>VLOOKUP($C415,Sales!$C:$E,3,FALSE)</f>
        <v/>
      </c>
      <c r="J415" s="126">
        <f>SUMIFS(Sales!$H:$H,Sales!$C:$C,'Investor Exit List'!$C415)</f>
        <v/>
      </c>
      <c r="K415" s="126">
        <f>IF(I415=TRUE,J415,"")</f>
        <v/>
      </c>
      <c r="L415" s="126">
        <f>G415+730</f>
        <v/>
      </c>
      <c r="M415" s="126" t="n">
        <v>45443</v>
      </c>
      <c r="N415" s="127">
        <f>IFERROR(IF(G415&lt;&gt;"",IF(I415=TRUE,0,IF(U415=TRUE,0,L415-M415)),0),0)</f>
        <v/>
      </c>
      <c r="O415" s="127">
        <f>IF(N415&gt;0,IF(N415&lt;=180,N415,0),0)</f>
        <v/>
      </c>
      <c r="P415" s="125">
        <f>IF(AND(N415&lt;90,N415&gt;0),Q415,0)</f>
        <v/>
      </c>
      <c r="Q415" s="125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25">
        <f>IF(AND(H415=TRUE,I415=FALSE),Q415,0)</f>
        <v/>
      </c>
      <c r="S415" s="125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26">
        <f>IF(U415=TRUE,$J415,"")</f>
        <v/>
      </c>
      <c r="U415" s="124" t="b">
        <v>0</v>
      </c>
      <c r="V415" s="125">
        <f>IF(AND(H415=TRUE,OR(K415="",K415&gt;M415)),S415,0)</f>
        <v/>
      </c>
      <c r="W415" s="124" t="n">
        <v>0</v>
      </c>
      <c r="X415" s="124" t="b">
        <v>0</v>
      </c>
      <c r="Y415" s="127">
        <f>IF(H415=FALSE,VLOOKUP($C415,Sales!$C:$F,4,FALSE),1)</f>
        <v/>
      </c>
      <c r="Z415" s="124">
        <f>IF(Y415=0,"Release",IF(AND(L415&lt;J415,Y415=1,H415=FALSE,U415=FALSE,MONTH(L415)&amp;"/"&amp;YEAR(L415)&lt;&gt;MONTH(J415)&amp;"/"&amp;YEAR(J415)),"Release",""))</f>
        <v/>
      </c>
      <c r="AA415" s="128">
        <f>_xlfn.minifs($L:$L,$C:$C,$C415,$F:$F,"&lt;&gt;0")</f>
        <v/>
      </c>
      <c r="AB415" s="128">
        <f>C415&amp;"-"&amp;A415</f>
        <v/>
      </c>
      <c r="AC415" s="128">
        <f>L415</f>
        <v/>
      </c>
    </row>
    <row r="416">
      <c r="A416" s="124" t="inlineStr">
        <is>
          <t>ZCRO01</t>
        </is>
      </c>
      <c r="B416" s="124" t="n">
        <v>8</v>
      </c>
      <c r="C416" s="124" t="inlineStr">
        <is>
          <t>HVK302</t>
        </is>
      </c>
      <c r="D416" s="124" t="inlineStr">
        <is>
          <t>K</t>
        </is>
      </c>
      <c r="E416" s="124" t="inlineStr">
        <is>
          <t>Lunau Marc</t>
        </is>
      </c>
      <c r="F416" s="125">
        <f>SUMIFS(Investors!$M:$M, Investors!$I:$I, "&lt;=" &amp; 'NSST Print'!$B$3, Investors!$K:$K, "&gt;" &amp; 'NSST Print'!$B$3, Investors!$A:$A, 'Investor Exit List'!A416, Investors!$E:$E, 'Investor Exit List'!C416)</f>
        <v/>
      </c>
      <c r="G416" s="126" t="n">
        <v>44995</v>
      </c>
      <c r="H416" s="124">
        <f>VLOOKUP($C416,Sales!$C:$E,2,FALSE)</f>
        <v/>
      </c>
      <c r="I416" s="124">
        <f>VLOOKUP($C416,Sales!$C:$E,3,FALSE)</f>
        <v/>
      </c>
      <c r="J416" s="126">
        <f>SUMIFS(Sales!$H:$H,Sales!$C:$C,'Investor Exit List'!$C416)</f>
        <v/>
      </c>
      <c r="K416" s="126">
        <f>IF(I416=TRUE,J416,"")</f>
        <v/>
      </c>
      <c r="L416" s="126">
        <f>G416+730</f>
        <v/>
      </c>
      <c r="M416" s="126" t="n">
        <v>45443</v>
      </c>
      <c r="N416" s="127">
        <f>IFERROR(IF(G416&lt;&gt;"",IF(I416=TRUE,0,IF(U416=TRUE,0,L416-M416)),0),0)</f>
        <v/>
      </c>
      <c r="O416" s="127">
        <f>IF(N416&gt;0,IF(N416&lt;=180,N416,0),0)</f>
        <v/>
      </c>
      <c r="P416" s="125">
        <f>IF(AND(N416&lt;90,N416&gt;0),Q416,0)</f>
        <v/>
      </c>
      <c r="Q416" s="125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25">
        <f>IF(AND(H416=TRUE,I416=FALSE),Q416,0)</f>
        <v/>
      </c>
      <c r="S416" s="125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26">
        <f>IF(U416=TRUE,$J416,"")</f>
        <v/>
      </c>
      <c r="U416" s="124" t="b">
        <v>0</v>
      </c>
      <c r="V416" s="125">
        <f>IF(AND(H416=TRUE,OR(K416="",K416&gt;M416)),S416,0)</f>
        <v/>
      </c>
      <c r="W416" s="124" t="n">
        <v>0</v>
      </c>
      <c r="X416" s="124" t="b">
        <v>0</v>
      </c>
      <c r="Y416" s="127">
        <f>IF(H416=FALSE,VLOOKUP($C416,Sales!$C:$F,4,FALSE),1)</f>
        <v/>
      </c>
      <c r="Z416" s="124">
        <f>IF(Y416=0,"Release",IF(AND(L416&lt;J416,Y416=1,H416=FALSE,U416=FALSE,MONTH(L416)&amp;"/"&amp;YEAR(L416)&lt;&gt;MONTH(J416)&amp;"/"&amp;YEAR(J416)),"Release",""))</f>
        <v/>
      </c>
      <c r="AA416" s="128">
        <f>_xlfn.minifs($L:$L,$C:$C,$C416,$F:$F,"&lt;&gt;0")</f>
        <v/>
      </c>
      <c r="AB416" s="128">
        <f>C416&amp;"-"&amp;A416</f>
        <v/>
      </c>
      <c r="AC416" s="128">
        <f>L416</f>
        <v/>
      </c>
    </row>
    <row r="417">
      <c r="A417" s="124" t="inlineStr">
        <is>
          <t>ZJOH01</t>
        </is>
      </c>
      <c r="B417" s="124" t="n">
        <v>6</v>
      </c>
      <c r="C417" s="124" t="inlineStr">
        <is>
          <t>HVK302</t>
        </is>
      </c>
      <c r="D417" s="124" t="inlineStr">
        <is>
          <t>K</t>
        </is>
      </c>
      <c r="E417" s="124" t="inlineStr">
        <is>
          <t>Johns Lisa-Marie Natalie</t>
        </is>
      </c>
      <c r="F417" s="125">
        <f>SUMIFS(Investors!$M:$M, Investors!$I:$I, "&lt;=" &amp; 'NSST Print'!$B$3, Investors!$K:$K, "&gt;" &amp; 'NSST Print'!$B$3, Investors!$A:$A, 'Investor Exit List'!A417, Investors!$E:$E, 'Investor Exit List'!C417)</f>
        <v/>
      </c>
      <c r="G417" s="126" t="n">
        <v>44995</v>
      </c>
      <c r="H417" s="124">
        <f>VLOOKUP($C417,Sales!$C:$E,2,FALSE)</f>
        <v/>
      </c>
      <c r="I417" s="124">
        <f>VLOOKUP($C417,Sales!$C:$E,3,FALSE)</f>
        <v/>
      </c>
      <c r="J417" s="126">
        <f>SUMIFS(Sales!$H:$H,Sales!$C:$C,'Investor Exit List'!$C417)</f>
        <v/>
      </c>
      <c r="K417" s="126">
        <f>IF(I417=TRUE,J417,"")</f>
        <v/>
      </c>
      <c r="L417" s="126">
        <f>G417+730</f>
        <v/>
      </c>
      <c r="M417" s="126" t="n">
        <v>45443</v>
      </c>
      <c r="N417" s="127">
        <f>IFERROR(IF(G417&lt;&gt;"",IF(I417=TRUE,0,IF(U417=TRUE,0,L417-M417)),0),0)</f>
        <v/>
      </c>
      <c r="O417" s="127">
        <f>IF(N417&gt;0,IF(N417&lt;=180,N417,0),0)</f>
        <v/>
      </c>
      <c r="P417" s="125">
        <f>IF(AND(N417&lt;90,N417&gt;0),Q417,0)</f>
        <v/>
      </c>
      <c r="Q417" s="125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25">
        <f>IF(AND(H417=TRUE,I417=FALSE),Q417,0)</f>
        <v/>
      </c>
      <c r="S417" s="125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26">
        <f>IF(U417=TRUE,$J417,"")</f>
        <v/>
      </c>
      <c r="U417" s="124" t="b">
        <v>0</v>
      </c>
      <c r="V417" s="125">
        <f>IF(AND(H417=TRUE,OR(K417="",K417&gt;M417)),S417,0)</f>
        <v/>
      </c>
      <c r="W417" s="124" t="n">
        <v>0</v>
      </c>
      <c r="X417" s="124" t="b">
        <v>0</v>
      </c>
      <c r="Y417" s="127">
        <f>IF(H417=FALSE,VLOOKUP($C417,Sales!$C:$F,4,FALSE),1)</f>
        <v/>
      </c>
      <c r="Z417" s="124">
        <f>IF(Y417=0,"Release",IF(AND(L417&lt;J417,Y417=1,H417=FALSE,U417=FALSE,MONTH(L417)&amp;"/"&amp;YEAR(L417)&lt;&gt;MONTH(J417)&amp;"/"&amp;YEAR(J417)),"Release",""))</f>
        <v/>
      </c>
      <c r="AA417" s="128">
        <f>_xlfn.minifs($L:$L,$C:$C,$C417,$F:$F,"&lt;&gt;0")</f>
        <v/>
      </c>
      <c r="AB417" s="128">
        <f>C417&amp;"-"&amp;A417</f>
        <v/>
      </c>
      <c r="AC417" s="128">
        <f>L417</f>
        <v/>
      </c>
    </row>
    <row r="418">
      <c r="A418" s="124" t="inlineStr">
        <is>
          <t>ZLEW01</t>
        </is>
      </c>
      <c r="B418" s="124" t="n">
        <v>9</v>
      </c>
      <c r="C418" s="124" t="inlineStr">
        <is>
          <t>HVK302</t>
        </is>
      </c>
      <c r="D418" s="124" t="inlineStr">
        <is>
          <t>K</t>
        </is>
      </c>
      <c r="E418" s="124" t="inlineStr">
        <is>
          <t>Lewis Martina Christina</t>
        </is>
      </c>
      <c r="F418" s="125">
        <f>SUMIFS(Investors!$M:$M, Investors!$I:$I, "&lt;=" &amp; 'NSST Print'!$B$3, Investors!$K:$K, "&gt;" &amp; 'NSST Print'!$B$3, Investors!$A:$A, 'Investor Exit List'!A418, Investors!$E:$E, 'Investor Exit List'!C418)</f>
        <v/>
      </c>
      <c r="G418" s="126" t="n">
        <v>44980</v>
      </c>
      <c r="H418" s="124">
        <f>VLOOKUP($C418,Sales!$C:$E,2,FALSE)</f>
        <v/>
      </c>
      <c r="I418" s="124">
        <f>VLOOKUP($C418,Sales!$C:$E,3,FALSE)</f>
        <v/>
      </c>
      <c r="J418" s="126">
        <f>SUMIFS(Sales!$H:$H,Sales!$C:$C,'Investor Exit List'!$C418)</f>
        <v/>
      </c>
      <c r="K418" s="126">
        <f>IF(I418=TRUE,J418,"")</f>
        <v/>
      </c>
      <c r="L418" s="126">
        <f>G418+730</f>
        <v/>
      </c>
      <c r="M418" s="126" t="n">
        <v>45443</v>
      </c>
      <c r="N418" s="127">
        <f>IFERROR(IF(G418&lt;&gt;"",IF(I418=TRUE,0,IF(U418=TRUE,0,L418-M418)),0),0)</f>
        <v/>
      </c>
      <c r="O418" s="127">
        <f>IF(N418&gt;0,IF(N418&lt;=180,N418,0),0)</f>
        <v/>
      </c>
      <c r="P418" s="125">
        <f>IF(AND(N418&lt;90,N418&gt;0),Q418,0)</f>
        <v/>
      </c>
      <c r="Q418" s="125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25">
        <f>IF(AND(H418=TRUE,I418=FALSE),Q418,0)</f>
        <v/>
      </c>
      <c r="S418" s="125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26">
        <f>IF(U418=TRUE,$J418,"")</f>
        <v/>
      </c>
      <c r="U418" s="124" t="b">
        <v>0</v>
      </c>
      <c r="V418" s="125">
        <f>IF(AND(H418=TRUE,OR(K418="",K418&gt;M418)),S418,0)</f>
        <v/>
      </c>
      <c r="W418" s="124" t="n">
        <v>0</v>
      </c>
      <c r="X418" s="124" t="b">
        <v>0</v>
      </c>
      <c r="Y418" s="127">
        <f>IF(H418=FALSE,VLOOKUP($C418,Sales!$C:$F,4,FALSE),1)</f>
        <v/>
      </c>
      <c r="Z418" s="124">
        <f>IF(Y418=0,"Release",IF(AND(L418&lt;J418,Y418=1,H418=FALSE,U418=FALSE,MONTH(L418)&amp;"/"&amp;YEAR(L418)&lt;&gt;MONTH(J418)&amp;"/"&amp;YEAR(J418)),"Release",""))</f>
        <v/>
      </c>
      <c r="AA418" s="128">
        <f>_xlfn.minifs($L:$L,$C:$C,$C418,$F:$F,"&lt;&gt;0")</f>
        <v/>
      </c>
      <c r="AB418" s="128">
        <f>C418&amp;"-"&amp;A418</f>
        <v/>
      </c>
      <c r="AC418" s="128">
        <f>L418</f>
        <v/>
      </c>
    </row>
    <row r="419">
      <c r="A419" s="124" t="inlineStr">
        <is>
          <t>ZMAR01</t>
        </is>
      </c>
      <c r="B419" s="124" t="n">
        <v>3</v>
      </c>
      <c r="C419" s="124" t="inlineStr">
        <is>
          <t>HVK302</t>
        </is>
      </c>
      <c r="D419" s="124" t="inlineStr">
        <is>
          <t>K</t>
        </is>
      </c>
      <c r="E419" s="124" t="inlineStr">
        <is>
          <t>Martin Beverley-Ann Kinsla</t>
        </is>
      </c>
      <c r="F419" s="125">
        <f>SUMIFS(Investors!$M:$M, Investors!$I:$I, "&lt;=" &amp; 'NSST Print'!$B$3, Investors!$K:$K, "&gt;" &amp; 'NSST Print'!$B$3, Investors!$A:$A, 'Investor Exit List'!A419, Investors!$E:$E, 'Investor Exit List'!C419)</f>
        <v/>
      </c>
      <c r="G419" s="126" t="n">
        <v>44980</v>
      </c>
      <c r="H419" s="124">
        <f>VLOOKUP($C419,Sales!$C:$E,2,FALSE)</f>
        <v/>
      </c>
      <c r="I419" s="124">
        <f>VLOOKUP($C419,Sales!$C:$E,3,FALSE)</f>
        <v/>
      </c>
      <c r="J419" s="126">
        <f>SUMIFS(Sales!$H:$H,Sales!$C:$C,'Investor Exit List'!$C419)</f>
        <v/>
      </c>
      <c r="K419" s="126">
        <f>IF(I419=TRUE,J419,"")</f>
        <v/>
      </c>
      <c r="L419" s="126">
        <f>G419+730</f>
        <v/>
      </c>
      <c r="M419" s="126" t="n">
        <v>45443</v>
      </c>
      <c r="N419" s="127">
        <f>IFERROR(IF(G419&lt;&gt;"",IF(I419=TRUE,0,IF(U419=TRUE,0,L419-M419)),0),0)</f>
        <v/>
      </c>
      <c r="O419" s="127">
        <f>IF(N419&gt;0,IF(N419&lt;=180,N419,0),0)</f>
        <v/>
      </c>
      <c r="P419" s="125">
        <f>IF(AND(N419&lt;90,N419&gt;0),Q419,0)</f>
        <v/>
      </c>
      <c r="Q419" s="125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25">
        <f>IF(AND(H419=TRUE,I419=FALSE),Q419,0)</f>
        <v/>
      </c>
      <c r="S419" s="125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26">
        <f>IF(U419=TRUE,$J419,"")</f>
        <v/>
      </c>
      <c r="U419" s="124" t="b">
        <v>0</v>
      </c>
      <c r="V419" s="125">
        <f>IF(AND(H419=TRUE,OR(K419="",K419&gt;M419)),S419,0)</f>
        <v/>
      </c>
      <c r="W419" s="124" t="n">
        <v>0</v>
      </c>
      <c r="X419" s="124" t="b">
        <v>0</v>
      </c>
      <c r="Y419" s="127">
        <f>IF(H419=FALSE,VLOOKUP($C419,Sales!$C:$F,4,FALSE),1)</f>
        <v/>
      </c>
      <c r="Z419" s="124">
        <f>IF(Y419=0,"Release",IF(AND(L419&lt;J419,Y419=1,H419=FALSE,U419=FALSE,MONTH(L419)&amp;"/"&amp;YEAR(L419)&lt;&gt;MONTH(J419)&amp;"/"&amp;YEAR(J419)),"Release",""))</f>
        <v/>
      </c>
      <c r="AA419" s="128">
        <f>_xlfn.minifs($L:$L,$C:$C,$C419,$F:$F,"&lt;&gt;0")</f>
        <v/>
      </c>
      <c r="AB419" s="128">
        <f>C419&amp;"-"&amp;A419</f>
        <v/>
      </c>
      <c r="AC419" s="128">
        <f>L419</f>
        <v/>
      </c>
    </row>
    <row r="420">
      <c r="A420" s="124" t="inlineStr">
        <is>
          <t>ZCRO01</t>
        </is>
      </c>
      <c r="B420" s="124" t="n">
        <v>9</v>
      </c>
      <c r="C420" s="124" t="inlineStr">
        <is>
          <t>HVK303</t>
        </is>
      </c>
      <c r="D420" s="124" t="inlineStr">
        <is>
          <t>K</t>
        </is>
      </c>
      <c r="E420" s="124" t="inlineStr">
        <is>
          <t>Lunau Marc</t>
        </is>
      </c>
      <c r="F420" s="125">
        <f>SUMIFS(Investors!$M:$M, Investors!$I:$I, "&lt;=" &amp; 'NSST Print'!$B$3, Investors!$K:$K, "&gt;" &amp; 'NSST Print'!$B$3, Investors!$A:$A, 'Investor Exit List'!A420, Investors!$E:$E, 'Investor Exit List'!C420)</f>
        <v/>
      </c>
      <c r="G420" s="126" t="n">
        <v>44995</v>
      </c>
      <c r="H420" s="124">
        <f>VLOOKUP($C420,Sales!$C:$E,2,FALSE)</f>
        <v/>
      </c>
      <c r="I420" s="124">
        <f>VLOOKUP($C420,Sales!$C:$E,3,FALSE)</f>
        <v/>
      </c>
      <c r="J420" s="126">
        <f>SUMIFS(Sales!$H:$H,Sales!$C:$C,'Investor Exit List'!$C420)</f>
        <v/>
      </c>
      <c r="K420" s="126">
        <f>IF(I420=TRUE,J420,"")</f>
        <v/>
      </c>
      <c r="L420" s="126">
        <f>G420+730</f>
        <v/>
      </c>
      <c r="M420" s="126" t="n">
        <v>45443</v>
      </c>
      <c r="N420" s="127">
        <f>IFERROR(IF(G420&lt;&gt;"",IF(I420=TRUE,0,IF(U420=TRUE,0,L420-M420)),0),0)</f>
        <v/>
      </c>
      <c r="O420" s="127">
        <f>IF(N420&gt;0,IF(N420&lt;=180,N420,0),0)</f>
        <v/>
      </c>
      <c r="P420" s="125">
        <f>IF(AND(N420&lt;90,N420&gt;0),Q420,0)</f>
        <v/>
      </c>
      <c r="Q420" s="125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25">
        <f>IF(AND(H420=TRUE,I420=FALSE),Q420,0)</f>
        <v/>
      </c>
      <c r="S420" s="125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26">
        <f>IF(U420=TRUE,$J420,"")</f>
        <v/>
      </c>
      <c r="U420" s="124" t="b">
        <v>0</v>
      </c>
      <c r="V420" s="125">
        <f>IF(AND(H420=TRUE,OR(K420="",K420&gt;M420)),S420,0)</f>
        <v/>
      </c>
      <c r="W420" s="124" t="n">
        <v>0</v>
      </c>
      <c r="X420" s="124" t="b">
        <v>0</v>
      </c>
      <c r="Y420" s="127">
        <f>IF(H420=FALSE,VLOOKUP($C420,Sales!$C:$F,4,FALSE),1)</f>
        <v/>
      </c>
      <c r="Z420" s="124">
        <f>IF(Y420=0,"Release",IF(AND(L420&lt;J420,Y420=1,H420=FALSE,U420=FALSE,MONTH(L420)&amp;"/"&amp;YEAR(L420)&lt;&gt;MONTH(J420)&amp;"/"&amp;YEAR(J420)),"Release",""))</f>
        <v/>
      </c>
      <c r="AA420" s="128">
        <f>_xlfn.minifs($L:$L,$C:$C,$C420,$F:$F,"&lt;&gt;0")</f>
        <v/>
      </c>
      <c r="AB420" s="128">
        <f>C420&amp;"-"&amp;A420</f>
        <v/>
      </c>
      <c r="AC420" s="128">
        <f>L420</f>
        <v/>
      </c>
    </row>
    <row r="421">
      <c r="A421" s="124" t="inlineStr">
        <is>
          <t>ZDAD01</t>
        </is>
      </c>
      <c r="B421" s="124" t="n">
        <v>3</v>
      </c>
      <c r="C421" s="124" t="inlineStr">
        <is>
          <t>HVK303</t>
        </is>
      </c>
      <c r="D421" s="124" t="inlineStr">
        <is>
          <t>K</t>
        </is>
      </c>
      <c r="E421" s="124" t="inlineStr">
        <is>
          <t>Dadoo Feroz</t>
        </is>
      </c>
      <c r="F421" s="125">
        <f>SUMIFS(Investors!$M:$M, Investors!$I:$I, "&lt;=" &amp; 'NSST Print'!$B$3, Investors!$K:$K, "&gt;" &amp; 'NSST Print'!$B$3, Investors!$A:$A, 'Investor Exit List'!A421, Investors!$E:$E, 'Investor Exit List'!C421)</f>
        <v/>
      </c>
      <c r="G421" s="126" t="n">
        <v>45016</v>
      </c>
      <c r="H421" s="124">
        <f>VLOOKUP($C421,Sales!$C:$E,2,FALSE)</f>
        <v/>
      </c>
      <c r="I421" s="124">
        <f>VLOOKUP($C421,Sales!$C:$E,3,FALSE)</f>
        <v/>
      </c>
      <c r="J421" s="126">
        <f>SUMIFS(Sales!$H:$H,Sales!$C:$C,'Investor Exit List'!$C421)</f>
        <v/>
      </c>
      <c r="K421" s="126">
        <f>IF(I421=TRUE,J421,"")</f>
        <v/>
      </c>
      <c r="L421" s="126">
        <f>G421+730</f>
        <v/>
      </c>
      <c r="M421" s="126" t="n">
        <v>45443</v>
      </c>
      <c r="N421" s="127">
        <f>IFERROR(IF(G421&lt;&gt;"",IF(I421=TRUE,0,IF(U421=TRUE,0,L421-M421)),0),0)</f>
        <v/>
      </c>
      <c r="O421" s="127">
        <f>IF(N421&gt;0,IF(N421&lt;=180,N421,0),0)</f>
        <v/>
      </c>
      <c r="P421" s="125">
        <f>IF(AND(N421&lt;90,N421&gt;0),Q421,0)</f>
        <v/>
      </c>
      <c r="Q421" s="125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25">
        <f>IF(AND(H421=TRUE,I421=FALSE),Q421,0)</f>
        <v/>
      </c>
      <c r="S421" s="125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26">
        <f>IF(U421=TRUE,$J421,"")</f>
        <v/>
      </c>
      <c r="U421" s="124" t="b">
        <v>0</v>
      </c>
      <c r="V421" s="125">
        <f>IF(AND(H421=TRUE,OR(K421="",K421&gt;M421)),S421,0)</f>
        <v/>
      </c>
      <c r="W421" s="124" t="n">
        <v>0</v>
      </c>
      <c r="X421" s="124" t="b">
        <v>0</v>
      </c>
      <c r="Y421" s="127">
        <f>IF(H421=FALSE,VLOOKUP($C421,Sales!$C:$F,4,FALSE),1)</f>
        <v/>
      </c>
      <c r="Z421" s="124">
        <f>IF(Y421=0,"Release",IF(AND(L421&lt;J421,Y421=1,H421=FALSE,U421=FALSE,MONTH(L421)&amp;"/"&amp;YEAR(L421)&lt;&gt;MONTH(J421)&amp;"/"&amp;YEAR(J421)),"Release",""))</f>
        <v/>
      </c>
      <c r="AA421" s="128">
        <f>_xlfn.minifs($L:$L,$C:$C,$C421,$F:$F,"&lt;&gt;0")</f>
        <v/>
      </c>
      <c r="AB421" s="128">
        <f>C421&amp;"-"&amp;A421</f>
        <v/>
      </c>
      <c r="AC421" s="128">
        <f>L421</f>
        <v/>
      </c>
    </row>
    <row r="422">
      <c r="A422" s="124" t="inlineStr">
        <is>
          <t>ZHUN01</t>
        </is>
      </c>
      <c r="B422" s="124" t="n">
        <v>4</v>
      </c>
      <c r="C422" s="124" t="inlineStr">
        <is>
          <t>HVK303</t>
        </is>
      </c>
      <c r="D422" s="124" t="inlineStr">
        <is>
          <t>K</t>
        </is>
      </c>
      <c r="E422" s="124" t="inlineStr">
        <is>
          <t>Hunter Lance</t>
        </is>
      </c>
      <c r="F422" s="125">
        <f>SUMIFS(Investors!$M:$M, Investors!$I:$I, "&lt;=" &amp; 'NSST Print'!$B$3, Investors!$K:$K, "&gt;" &amp; 'NSST Print'!$B$3, Investors!$A:$A, 'Investor Exit List'!A422, Investors!$E:$E, 'Investor Exit List'!C422)</f>
        <v/>
      </c>
      <c r="G422" s="126" t="n">
        <v>44980</v>
      </c>
      <c r="H422" s="124">
        <f>VLOOKUP($C422,Sales!$C:$E,2,FALSE)</f>
        <v/>
      </c>
      <c r="I422" s="124">
        <f>VLOOKUP($C422,Sales!$C:$E,3,FALSE)</f>
        <v/>
      </c>
      <c r="J422" s="126">
        <f>SUMIFS(Sales!$H:$H,Sales!$C:$C,'Investor Exit List'!$C422)</f>
        <v/>
      </c>
      <c r="K422" s="126">
        <f>IF(I422=TRUE,J422,"")</f>
        <v/>
      </c>
      <c r="L422" s="126">
        <f>G422+730</f>
        <v/>
      </c>
      <c r="M422" s="126" t="n">
        <v>45443</v>
      </c>
      <c r="N422" s="127">
        <f>IFERROR(IF(G422&lt;&gt;"",IF(I422=TRUE,0,IF(U422=TRUE,0,L422-M422)),0),0)</f>
        <v/>
      </c>
      <c r="O422" s="127">
        <f>IF(N422&gt;0,IF(N422&lt;=180,N422,0),0)</f>
        <v/>
      </c>
      <c r="P422" s="125">
        <f>IF(AND(N422&lt;90,N422&gt;0),Q422,0)</f>
        <v/>
      </c>
      <c r="Q422" s="125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25">
        <f>IF(AND(H422=TRUE,I422=FALSE),Q422,0)</f>
        <v/>
      </c>
      <c r="S422" s="125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26">
        <f>IF(U422=TRUE,$J422,"")</f>
        <v/>
      </c>
      <c r="U422" s="124" t="b">
        <v>0</v>
      </c>
      <c r="V422" s="125">
        <f>IF(AND(H422=TRUE,OR(K422="",K422&gt;M422)),S422,0)</f>
        <v/>
      </c>
      <c r="W422" s="124" t="n">
        <v>0</v>
      </c>
      <c r="X422" s="124" t="b">
        <v>0</v>
      </c>
      <c r="Y422" s="127">
        <f>IF(H422=FALSE,VLOOKUP($C422,Sales!$C:$F,4,FALSE),1)</f>
        <v/>
      </c>
      <c r="Z422" s="124">
        <f>IF(Y422=0,"Release",IF(AND(L422&lt;J422,Y422=1,H422=FALSE,U422=FALSE,MONTH(L422)&amp;"/"&amp;YEAR(L422)&lt;&gt;MONTH(J422)&amp;"/"&amp;YEAR(J422)),"Release",""))</f>
        <v/>
      </c>
      <c r="AA422" s="128">
        <f>_xlfn.minifs($L:$L,$C:$C,$C422,$F:$F,"&lt;&gt;0")</f>
        <v/>
      </c>
      <c r="AB422" s="128">
        <f>C422&amp;"-"&amp;A422</f>
        <v/>
      </c>
      <c r="AC422" s="128">
        <f>L422</f>
        <v/>
      </c>
    </row>
    <row r="423">
      <c r="A423" s="124" t="inlineStr">
        <is>
          <t>ZINT01</t>
        </is>
      </c>
      <c r="B423" s="124" t="n">
        <v>11</v>
      </c>
      <c r="C423" s="124" t="inlineStr">
        <is>
          <t>HVK303</t>
        </is>
      </c>
      <c r="D423" s="124" t="inlineStr">
        <is>
          <t>K</t>
        </is>
      </c>
      <c r="E423" s="124" t="inlineStr">
        <is>
          <t>Lunau Marc</t>
        </is>
      </c>
      <c r="F423" s="125">
        <f>SUMIFS(Investors!$M:$M, Investors!$I:$I, "&lt;=" &amp; 'NSST Print'!$B$3, Investors!$K:$K, "&gt;" &amp; 'NSST Print'!$B$3, Investors!$A:$A, 'Investor Exit List'!A423, Investors!$E:$E, 'Investor Exit List'!C423)</f>
        <v/>
      </c>
      <c r="G423" s="126" t="n">
        <v>45008</v>
      </c>
      <c r="H423" s="124">
        <f>VLOOKUP($C423,Sales!$C:$E,2,FALSE)</f>
        <v/>
      </c>
      <c r="I423" s="124">
        <f>VLOOKUP($C423,Sales!$C:$E,3,FALSE)</f>
        <v/>
      </c>
      <c r="J423" s="126">
        <f>SUMIFS(Sales!$H:$H,Sales!$C:$C,'Investor Exit List'!$C423)</f>
        <v/>
      </c>
      <c r="K423" s="126">
        <f>IF(I423=TRUE,J423,"")</f>
        <v/>
      </c>
      <c r="L423" s="126">
        <f>G423+730</f>
        <v/>
      </c>
      <c r="M423" s="126" t="n">
        <v>45443</v>
      </c>
      <c r="N423" s="127">
        <f>IFERROR(IF(G423&lt;&gt;"",IF(I423=TRUE,0,IF(U423=TRUE,0,L423-M423)),0),0)</f>
        <v/>
      </c>
      <c r="O423" s="127">
        <f>IF(N423&gt;0,IF(N423&lt;=180,N423,0),0)</f>
        <v/>
      </c>
      <c r="P423" s="125">
        <f>IF(AND(N423&lt;90,N423&gt;0),Q423,0)</f>
        <v/>
      </c>
      <c r="Q423" s="125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25">
        <f>IF(AND(H423=TRUE,I423=FALSE),Q423,0)</f>
        <v/>
      </c>
      <c r="S423" s="125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26">
        <f>IF(U423=TRUE,$J423,"")</f>
        <v/>
      </c>
      <c r="U423" s="124" t="b">
        <v>0</v>
      </c>
      <c r="V423" s="125">
        <f>IF(AND(H423=TRUE,OR(K423="",K423&gt;M423)),S423,0)</f>
        <v/>
      </c>
      <c r="W423" s="124" t="n">
        <v>0</v>
      </c>
      <c r="X423" s="124" t="b">
        <v>0</v>
      </c>
      <c r="Y423" s="127">
        <f>IF(H423=FALSE,VLOOKUP($C423,Sales!$C:$F,4,FALSE),1)</f>
        <v/>
      </c>
      <c r="Z423" s="124">
        <f>IF(Y423=0,"Release",IF(AND(L423&lt;J423,Y423=1,H423=FALSE,U423=FALSE,MONTH(L423)&amp;"/"&amp;YEAR(L423)&lt;&gt;MONTH(J423)&amp;"/"&amp;YEAR(J423)),"Release",""))</f>
        <v/>
      </c>
      <c r="AA423" s="128">
        <f>_xlfn.minifs($L:$L,$C:$C,$C423,$F:$F,"&lt;&gt;0")</f>
        <v/>
      </c>
      <c r="AB423" s="128">
        <f>C423&amp;"-"&amp;A423</f>
        <v/>
      </c>
      <c r="AC423" s="128">
        <f>L423</f>
        <v/>
      </c>
    </row>
    <row r="424">
      <c r="A424" s="124" t="inlineStr">
        <is>
          <t>ZMEH01</t>
        </is>
      </c>
      <c r="B424" s="124" t="n">
        <v>2</v>
      </c>
      <c r="C424" s="124" t="inlineStr">
        <is>
          <t>HVK303</t>
        </is>
      </c>
      <c r="D424" s="124" t="inlineStr">
        <is>
          <t>K</t>
        </is>
      </c>
      <c r="E424" s="124" t="inlineStr">
        <is>
          <t>Mehl Ralph Graham</t>
        </is>
      </c>
      <c r="F424" s="125">
        <f>SUMIFS(Investors!$M:$M, Investors!$I:$I, "&lt;=" &amp; 'NSST Print'!$B$3, Investors!$K:$K, "&gt;" &amp; 'NSST Print'!$B$3, Investors!$A:$A, 'Investor Exit List'!A424, Investors!$E:$E, 'Investor Exit List'!C424)</f>
        <v/>
      </c>
      <c r="G424" s="126" t="n">
        <v>45016</v>
      </c>
      <c r="H424" s="124">
        <f>VLOOKUP($C424,Sales!$C:$E,2,FALSE)</f>
        <v/>
      </c>
      <c r="I424" s="124">
        <f>VLOOKUP($C424,Sales!$C:$E,3,FALSE)</f>
        <v/>
      </c>
      <c r="J424" s="126">
        <f>SUMIFS(Sales!$H:$H,Sales!$C:$C,'Investor Exit List'!$C424)</f>
        <v/>
      </c>
      <c r="K424" s="126">
        <f>IF(I424=TRUE,J424,"")</f>
        <v/>
      </c>
      <c r="L424" s="126">
        <f>G424+730</f>
        <v/>
      </c>
      <c r="M424" s="126" t="n">
        <v>45443</v>
      </c>
      <c r="N424" s="127">
        <f>IFERROR(IF(G424&lt;&gt;"",IF(I424=TRUE,0,IF(U424=TRUE,0,L424-M424)),0),0)</f>
        <v/>
      </c>
      <c r="O424" s="127">
        <f>IF(N424&gt;0,IF(N424&lt;=180,N424,0),0)</f>
        <v/>
      </c>
      <c r="P424" s="125">
        <f>IF(AND(N424&lt;90,N424&gt;0),Q424,0)</f>
        <v/>
      </c>
      <c r="Q424" s="125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25">
        <f>IF(AND(H424=TRUE,I424=FALSE),Q424,0)</f>
        <v/>
      </c>
      <c r="S424" s="125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26">
        <f>IF(U424=TRUE,$J424,"")</f>
        <v/>
      </c>
      <c r="U424" s="124" t="b">
        <v>0</v>
      </c>
      <c r="V424" s="125">
        <f>IF(AND(H424=TRUE,OR(K424="",K424&gt;M424)),S424,0)</f>
        <v/>
      </c>
      <c r="W424" s="124" t="n">
        <v>0</v>
      </c>
      <c r="X424" s="124" t="b">
        <v>0</v>
      </c>
      <c r="Y424" s="127">
        <f>IF(H424=FALSE,VLOOKUP($C424,Sales!$C:$F,4,FALSE),1)</f>
        <v/>
      </c>
      <c r="Z424" s="124">
        <f>IF(Y424=0,"Release",IF(AND(L424&lt;J424,Y424=1,H424=FALSE,U424=FALSE,MONTH(L424)&amp;"/"&amp;YEAR(L424)&lt;&gt;MONTH(J424)&amp;"/"&amp;YEAR(J424)),"Release",""))</f>
        <v/>
      </c>
      <c r="AA424" s="128">
        <f>_xlfn.minifs($L:$L,$C:$C,$C424,$F:$F,"&lt;&gt;0")</f>
        <v/>
      </c>
      <c r="AB424" s="128">
        <f>C424&amp;"-"&amp;A424</f>
        <v/>
      </c>
      <c r="AC424" s="128">
        <f>L424</f>
        <v/>
      </c>
    </row>
    <row r="425">
      <c r="A425" s="124" t="inlineStr">
        <is>
          <t>ZFOU02</t>
        </is>
      </c>
      <c r="B425" s="124" t="n">
        <v>4</v>
      </c>
      <c r="C425" s="124" t="inlineStr">
        <is>
          <t>HVK304</t>
        </is>
      </c>
      <c r="D425" s="124" t="inlineStr">
        <is>
          <t>K</t>
        </is>
      </c>
      <c r="E425" s="124" t="inlineStr">
        <is>
          <t>Fountain Clyde Michael</t>
        </is>
      </c>
      <c r="F425" s="125">
        <f>SUMIFS(Investors!$M:$M, Investors!$I:$I, "&lt;=" &amp; 'NSST Print'!$B$3, Investors!$K:$K, "&gt;" &amp; 'NSST Print'!$B$3, Investors!$A:$A, 'Investor Exit List'!A425, Investors!$E:$E, 'Investor Exit List'!C425)</f>
        <v/>
      </c>
      <c r="G425" s="126" t="n">
        <v>45471</v>
      </c>
      <c r="H425" s="124">
        <f>VLOOKUP($C425,Sales!$C:$E,2,FALSE)</f>
        <v/>
      </c>
      <c r="I425" s="124">
        <f>VLOOKUP($C425,Sales!$C:$E,3,FALSE)</f>
        <v/>
      </c>
      <c r="J425" s="126">
        <f>SUMIFS(Sales!$H:$H,Sales!$C:$C,'Investor Exit List'!$C425)</f>
        <v/>
      </c>
      <c r="K425" s="126">
        <f>IF(I425=TRUE,J425,"")</f>
        <v/>
      </c>
      <c r="L425" s="126">
        <f>G425+730</f>
        <v/>
      </c>
      <c r="M425" s="126" t="n">
        <v>45443</v>
      </c>
      <c r="N425" s="127">
        <f>IFERROR(IF(G425&lt;&gt;"",IF(I425=TRUE,0,IF(U425=TRUE,0,L425-M425)),0),0)</f>
        <v/>
      </c>
      <c r="O425" s="127">
        <f>IF(N425&gt;0,IF(N425&lt;=180,N425,0),0)</f>
        <v/>
      </c>
      <c r="P425" s="125">
        <f>IF(AND(N425&lt;90,N425&gt;0),Q425,0)</f>
        <v/>
      </c>
      <c r="Q425" s="125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25">
        <f>IF(AND(H425=TRUE,I425=FALSE),Q425,0)</f>
        <v/>
      </c>
      <c r="S425" s="125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26">
        <f>IF(U425=TRUE,$J425,"")</f>
        <v/>
      </c>
      <c r="U425" s="124" t="b">
        <v>0</v>
      </c>
      <c r="V425" s="125">
        <f>IF(AND(H425=TRUE,OR(K425="",K425&gt;M425)),S425,0)</f>
        <v/>
      </c>
      <c r="W425" s="124" t="n">
        <v>0</v>
      </c>
      <c r="X425" s="124" t="b">
        <v>0</v>
      </c>
      <c r="Y425" s="127">
        <f>IF(H425=FALSE,VLOOKUP($C425,Sales!$C:$F,4,FALSE),1)</f>
        <v/>
      </c>
      <c r="Z425" s="124">
        <f>IF(Y425=0,"Release",IF(AND(L425&lt;J425,Y425=1,H425=FALSE,U425=FALSE,MONTH(L425)&amp;"/"&amp;YEAR(L425)&lt;&gt;MONTH(J425)&amp;"/"&amp;YEAR(J425)),"Release",""))</f>
        <v/>
      </c>
      <c r="AA425" s="128">
        <f>_xlfn.minifs($L:$L,$C:$C,$C425,$F:$F,"&lt;&gt;0")</f>
        <v/>
      </c>
      <c r="AB425" s="128">
        <f>C425&amp;"-"&amp;A425</f>
        <v/>
      </c>
      <c r="AC425" s="128">
        <f>L425</f>
        <v/>
      </c>
    </row>
    <row r="426">
      <c r="A426" s="124" t="inlineStr">
        <is>
          <t>ZHAY01</t>
        </is>
      </c>
      <c r="B426" s="124" t="n">
        <v>10</v>
      </c>
      <c r="C426" s="124" t="inlineStr">
        <is>
          <t>HVK304</t>
        </is>
      </c>
      <c r="D426" s="124" t="inlineStr">
        <is>
          <t>K</t>
        </is>
      </c>
      <c r="E426" s="124" t="inlineStr">
        <is>
          <t>Haywood Johannes Wynand</t>
        </is>
      </c>
      <c r="F426" s="125">
        <f>SUMIFS(Investors!$M:$M, Investors!$I:$I, "&lt;=" &amp; 'NSST Print'!$B$3, Investors!$K:$K, "&gt;" &amp; 'NSST Print'!$B$3, Investors!$A:$A, 'Investor Exit List'!A426, Investors!$E:$E, 'Investor Exit List'!C426)</f>
        <v/>
      </c>
      <c r="G426" s="126" t="n">
        <v>45471</v>
      </c>
      <c r="H426" s="124">
        <f>VLOOKUP($C426,Sales!$C:$E,2,FALSE)</f>
        <v/>
      </c>
      <c r="I426" s="124">
        <f>VLOOKUP($C426,Sales!$C:$E,3,FALSE)</f>
        <v/>
      </c>
      <c r="J426" s="126">
        <f>SUMIFS(Sales!$H:$H,Sales!$C:$C,'Investor Exit List'!$C426)</f>
        <v/>
      </c>
      <c r="K426" s="126">
        <f>IF(I426=TRUE,J426,"")</f>
        <v/>
      </c>
      <c r="L426" s="126">
        <f>G426+730</f>
        <v/>
      </c>
      <c r="M426" s="126" t="n">
        <v>45443</v>
      </c>
      <c r="N426" s="127">
        <f>IFERROR(IF(G426&lt;&gt;"",IF(I426=TRUE,0,IF(U426=TRUE,0,L426-M426)),0),0)</f>
        <v/>
      </c>
      <c r="O426" s="127">
        <f>IF(N426&gt;0,IF(N426&lt;=180,N426,0),0)</f>
        <v/>
      </c>
      <c r="P426" s="125">
        <f>IF(AND(N426&lt;90,N426&gt;0),Q426,0)</f>
        <v/>
      </c>
      <c r="Q426" s="125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25">
        <f>IF(AND(H426=TRUE,I426=FALSE),Q426,0)</f>
        <v/>
      </c>
      <c r="S426" s="125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26">
        <f>IF(U426=TRUE,$J426,"")</f>
        <v/>
      </c>
      <c r="U426" s="124" t="b">
        <v>0</v>
      </c>
      <c r="V426" s="125">
        <f>IF(AND(H426=TRUE,OR(K426="",K426&gt;M426)),S426,0)</f>
        <v/>
      </c>
      <c r="W426" s="124" t="n">
        <v>0</v>
      </c>
      <c r="X426" s="124" t="b">
        <v>0</v>
      </c>
      <c r="Y426" s="127">
        <f>IF(H426=FALSE,VLOOKUP($C426,Sales!$C:$F,4,FALSE),1)</f>
        <v/>
      </c>
      <c r="Z426" s="124">
        <f>IF(Y426=0,"Release",IF(AND(L426&lt;J426,Y426=1,H426=FALSE,U426=FALSE,MONTH(L426)&amp;"/"&amp;YEAR(L426)&lt;&gt;MONTH(J426)&amp;"/"&amp;YEAR(J426)),"Release",""))</f>
        <v/>
      </c>
      <c r="AA426" s="128">
        <f>_xlfn.minifs($L:$L,$C:$C,$C426,$F:$F,"&lt;&gt;0")</f>
        <v/>
      </c>
      <c r="AB426" s="128">
        <f>C426&amp;"-"&amp;A426</f>
        <v/>
      </c>
      <c r="AC426" s="128">
        <f>L426</f>
        <v/>
      </c>
    </row>
    <row r="427">
      <c r="A427" s="124" t="inlineStr">
        <is>
          <t>ZMCD01</t>
        </is>
      </c>
      <c r="B427" s="124" t="n">
        <v>7</v>
      </c>
      <c r="C427" s="124" t="inlineStr">
        <is>
          <t>HVK304</t>
        </is>
      </c>
      <c r="D427" s="124" t="inlineStr">
        <is>
          <t>K</t>
        </is>
      </c>
      <c r="E427" s="124" t="inlineStr">
        <is>
          <t>McDonald Veronica Agnes</t>
        </is>
      </c>
      <c r="F427" s="125">
        <f>SUMIFS(Investors!$M:$M, Investors!$I:$I, "&lt;=" &amp; 'NSST Print'!$B$3, Investors!$K:$K, "&gt;" &amp; 'NSST Print'!$B$3, Investors!$A:$A, 'Investor Exit List'!A427, Investors!$E:$E, 'Investor Exit List'!C427)</f>
        <v/>
      </c>
      <c r="G427" s="126" t="n">
        <v>44980</v>
      </c>
      <c r="H427" s="124">
        <f>VLOOKUP($C427,Sales!$C:$E,2,FALSE)</f>
        <v/>
      </c>
      <c r="I427" s="124">
        <f>VLOOKUP($C427,Sales!$C:$E,3,FALSE)</f>
        <v/>
      </c>
      <c r="J427" s="126">
        <f>SUMIFS(Sales!$H:$H,Sales!$C:$C,'Investor Exit List'!$C427)</f>
        <v/>
      </c>
      <c r="K427" s="126">
        <f>IF(I427=TRUE,J427,"")</f>
        <v/>
      </c>
      <c r="L427" s="126">
        <f>G427+730</f>
        <v/>
      </c>
      <c r="M427" s="126" t="n">
        <v>45443</v>
      </c>
      <c r="N427" s="127">
        <f>IFERROR(IF(G427&lt;&gt;"",IF(I427=TRUE,0,IF(U427=TRUE,0,L427-M427)),0),0)</f>
        <v/>
      </c>
      <c r="O427" s="127">
        <f>IF(N427&gt;0,IF(N427&lt;=180,N427,0),0)</f>
        <v/>
      </c>
      <c r="P427" s="125">
        <f>IF(AND(N427&lt;90,N427&gt;0),Q427,0)</f>
        <v/>
      </c>
      <c r="Q427" s="125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25">
        <f>IF(AND(H427=TRUE,I427=FALSE),Q427,0)</f>
        <v/>
      </c>
      <c r="S427" s="125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26">
        <f>IF(U427=TRUE,$J427,"")</f>
        <v/>
      </c>
      <c r="U427" s="124" t="b">
        <v>1</v>
      </c>
      <c r="V427" s="125">
        <f>IF(AND(H427=TRUE,OR(K427="",K427&gt;M427)),S427,0)</f>
        <v/>
      </c>
      <c r="W427" s="124" t="n">
        <v>0</v>
      </c>
      <c r="X427" s="124" t="b">
        <v>0</v>
      </c>
      <c r="Y427" s="127">
        <f>IF(H427=FALSE,VLOOKUP($C427,Sales!$C:$F,4,FALSE),1)</f>
        <v/>
      </c>
      <c r="Z427" s="124">
        <f>IF(Y427=0,"Release",IF(AND(L427&lt;J427,Y427=1,H427=FALSE,U427=FALSE,MONTH(L427)&amp;"/"&amp;YEAR(L427)&lt;&gt;MONTH(J427)&amp;"/"&amp;YEAR(J427)),"Release",""))</f>
        <v/>
      </c>
      <c r="AA427" s="128">
        <f>_xlfn.minifs($L:$L,$C:$C,$C427,$F:$F,"&lt;&gt;0")</f>
        <v/>
      </c>
      <c r="AB427" s="128">
        <f>C427&amp;"-"&amp;A427</f>
        <v/>
      </c>
      <c r="AC427" s="128">
        <f>L427</f>
        <v/>
      </c>
    </row>
    <row r="428">
      <c r="A428" s="124" t="inlineStr">
        <is>
          <t>ZOOS01</t>
        </is>
      </c>
      <c r="B428" s="124" t="n">
        <v>2</v>
      </c>
      <c r="C428" s="124" t="inlineStr">
        <is>
          <t>HVK304</t>
        </is>
      </c>
      <c r="D428" s="124" t="inlineStr">
        <is>
          <t>K</t>
        </is>
      </c>
      <c r="E428" s="124" t="inlineStr">
        <is>
          <t>Oosthuizen Diana</t>
        </is>
      </c>
      <c r="F428" s="125">
        <f>SUMIFS(Investors!$M:$M, Investors!$I:$I, "&lt;=" &amp; 'NSST Print'!$B$3, Investors!$K:$K, "&gt;" &amp; 'NSST Print'!$B$3, Investors!$A:$A, 'Investor Exit List'!A428, Investors!$E:$E, 'Investor Exit List'!C428)</f>
        <v/>
      </c>
      <c r="G428" s="126" t="n">
        <v>45471</v>
      </c>
      <c r="H428" s="124">
        <f>VLOOKUP($C428,Sales!$C:$E,2,FALSE)</f>
        <v/>
      </c>
      <c r="I428" s="124">
        <f>VLOOKUP($C428,Sales!$C:$E,3,FALSE)</f>
        <v/>
      </c>
      <c r="J428" s="126">
        <f>SUMIFS(Sales!$H:$H,Sales!$C:$C,'Investor Exit List'!$C428)</f>
        <v/>
      </c>
      <c r="K428" s="126">
        <f>IF(I428=TRUE,J428,"")</f>
        <v/>
      </c>
      <c r="L428" s="126">
        <f>G428+730</f>
        <v/>
      </c>
      <c r="M428" s="126" t="n">
        <v>45443</v>
      </c>
      <c r="N428" s="127">
        <f>IFERROR(IF(G428&lt;&gt;"",IF(I428=TRUE,0,IF(U428=TRUE,0,L428-M428)),0),0)</f>
        <v/>
      </c>
      <c r="O428" s="127">
        <f>IF(N428&gt;0,IF(N428&lt;=180,N428,0),0)</f>
        <v/>
      </c>
      <c r="P428" s="125">
        <f>IF(AND(N428&lt;90,N428&gt;0),Q428,0)</f>
        <v/>
      </c>
      <c r="Q428" s="125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25">
        <f>IF(AND(H428=TRUE,I428=FALSE),Q428,0)</f>
        <v/>
      </c>
      <c r="S428" s="125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26">
        <f>IF(U428=TRUE,$J428,"")</f>
        <v/>
      </c>
      <c r="U428" s="124" t="b">
        <v>0</v>
      </c>
      <c r="V428" s="125">
        <f>IF(AND(H428=TRUE,OR(K428="",K428&gt;M428)),S428,0)</f>
        <v/>
      </c>
      <c r="W428" s="124" t="n">
        <v>0</v>
      </c>
      <c r="X428" s="124" t="b">
        <v>0</v>
      </c>
      <c r="Y428" s="127">
        <f>IF(H428=FALSE,VLOOKUP($C428,Sales!$C:$F,4,FALSE),1)</f>
        <v/>
      </c>
      <c r="Z428" s="124">
        <f>IF(Y428=0,"Release",IF(AND(L428&lt;J428,Y428=1,H428=FALSE,U428=FALSE,MONTH(L428)&amp;"/"&amp;YEAR(L428)&lt;&gt;MONTH(J428)&amp;"/"&amp;YEAR(J428)),"Release",""))</f>
        <v/>
      </c>
      <c r="AA428" s="128">
        <f>_xlfn.minifs($L:$L,$C:$C,$C428,$F:$F,"&lt;&gt;0")</f>
        <v/>
      </c>
      <c r="AB428" s="128">
        <f>C428&amp;"-"&amp;A428</f>
        <v/>
      </c>
      <c r="AC428" s="128">
        <f>L428</f>
        <v/>
      </c>
    </row>
    <row r="429">
      <c r="A429" s="124" t="inlineStr">
        <is>
          <t>ZSCH02</t>
        </is>
      </c>
      <c r="B429" s="124" t="n">
        <v>2</v>
      </c>
      <c r="C429" s="124" t="inlineStr">
        <is>
          <t>HVK304</t>
        </is>
      </c>
      <c r="D429" s="124" t="inlineStr">
        <is>
          <t>K</t>
        </is>
      </c>
      <c r="E429" s="124" t="inlineStr">
        <is>
          <t>van Schalkwyk Zeldre</t>
        </is>
      </c>
      <c r="F429" s="125">
        <f>SUMIFS(Investors!$M:$M, Investors!$I:$I, "&lt;=" &amp; 'NSST Print'!$B$3, Investors!$K:$K, "&gt;" &amp; 'NSST Print'!$B$3, Investors!$A:$A, 'Investor Exit List'!A429, Investors!$E:$E, 'Investor Exit List'!C429)</f>
        <v/>
      </c>
      <c r="G429" s="126" t="n">
        <v>44995</v>
      </c>
      <c r="H429" s="124">
        <f>VLOOKUP($C429,Sales!$C:$E,2,FALSE)</f>
        <v/>
      </c>
      <c r="I429" s="124">
        <f>VLOOKUP($C429,Sales!$C:$E,3,FALSE)</f>
        <v/>
      </c>
      <c r="J429" s="126">
        <f>SUMIFS(Sales!$H:$H,Sales!$C:$C,'Investor Exit List'!$C429)</f>
        <v/>
      </c>
      <c r="K429" s="126">
        <f>IF(I429=TRUE,J429,"")</f>
        <v/>
      </c>
      <c r="L429" s="126">
        <f>G429+730</f>
        <v/>
      </c>
      <c r="M429" s="126" t="n">
        <v>45443</v>
      </c>
      <c r="N429" s="127">
        <f>IFERROR(IF(G429&lt;&gt;"",IF(I429=TRUE,0,IF(U429=TRUE,0,L429-M429)),0),0)</f>
        <v/>
      </c>
      <c r="O429" s="127">
        <f>IF(N429&gt;0,IF(N429&lt;=180,N429,0),0)</f>
        <v/>
      </c>
      <c r="P429" s="125">
        <f>IF(AND(N429&lt;90,N429&gt;0),Q429,0)</f>
        <v/>
      </c>
      <c r="Q429" s="125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25">
        <f>IF(AND(H429=TRUE,I429=FALSE),Q429,0)</f>
        <v/>
      </c>
      <c r="S429" s="125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26">
        <f>IF(U429=TRUE,$J429,"")</f>
        <v/>
      </c>
      <c r="U429" s="124" t="b">
        <v>1</v>
      </c>
      <c r="V429" s="125">
        <f>IF(AND(H429=TRUE,OR(K429="",K429&gt;M429)),S429,0)</f>
        <v/>
      </c>
      <c r="W429" s="124" t="n">
        <v>0</v>
      </c>
      <c r="X429" s="124" t="b">
        <v>0</v>
      </c>
      <c r="Y429" s="127">
        <f>IF(H429=FALSE,VLOOKUP($C429,Sales!$C:$F,4,FALSE),1)</f>
        <v/>
      </c>
      <c r="Z429" s="124">
        <f>IF(Y429=0,"Release",IF(AND(L429&lt;J429,Y429=1,H429=FALSE,U429=FALSE,MONTH(L429)&amp;"/"&amp;YEAR(L429)&lt;&gt;MONTH(J429)&amp;"/"&amp;YEAR(J429)),"Release",""))</f>
        <v/>
      </c>
      <c r="AA429" s="128">
        <f>_xlfn.minifs($L:$L,$C:$C,$C429,$F:$F,"&lt;&gt;0")</f>
        <v/>
      </c>
      <c r="AB429" s="128">
        <f>C429&amp;"-"&amp;A429</f>
        <v/>
      </c>
      <c r="AC429" s="128">
        <f>L429</f>
        <v/>
      </c>
    </row>
    <row r="430">
      <c r="A430" s="124" t="inlineStr">
        <is>
          <t>ZSON01</t>
        </is>
      </c>
      <c r="B430" s="124" t="n">
        <v>18</v>
      </c>
      <c r="C430" s="124" t="inlineStr">
        <is>
          <t>HVK304</t>
        </is>
      </c>
      <c r="D430" s="124" t="inlineStr">
        <is>
          <t>K</t>
        </is>
      </c>
      <c r="E430" s="124" t="inlineStr">
        <is>
          <t>Maduna Charles</t>
        </is>
      </c>
      <c r="F430" s="125">
        <f>SUMIFS(Investors!$M:$M, Investors!$I:$I, "&lt;=" &amp; 'NSST Print'!$B$3, Investors!$K:$K, "&gt;" &amp; 'NSST Print'!$B$3, Investors!$A:$A, 'Investor Exit List'!A430, Investors!$E:$E, 'Investor Exit List'!C430)</f>
        <v/>
      </c>
      <c r="G430" s="126" t="n">
        <v>45471</v>
      </c>
      <c r="H430" s="124">
        <f>VLOOKUP($C430,Sales!$C:$E,2,FALSE)</f>
        <v/>
      </c>
      <c r="I430" s="124">
        <f>VLOOKUP($C430,Sales!$C:$E,3,FALSE)</f>
        <v/>
      </c>
      <c r="J430" s="126">
        <f>SUMIFS(Sales!$H:$H,Sales!$C:$C,'Investor Exit List'!$C430)</f>
        <v/>
      </c>
      <c r="K430" s="126">
        <f>IF(I430=TRUE,J430,"")</f>
        <v/>
      </c>
      <c r="L430" s="126">
        <f>G430+730</f>
        <v/>
      </c>
      <c r="M430" s="126" t="n">
        <v>45443</v>
      </c>
      <c r="N430" s="127">
        <f>IFERROR(IF(G430&lt;&gt;"",IF(I430=TRUE,0,IF(U430=TRUE,0,L430-M430)),0),0)</f>
        <v/>
      </c>
      <c r="O430" s="127">
        <f>IF(N430&gt;0,IF(N430&lt;=180,N430,0),0)</f>
        <v/>
      </c>
      <c r="P430" s="125">
        <f>IF(AND(N430&lt;90,N430&gt;0),Q430,0)</f>
        <v/>
      </c>
      <c r="Q430" s="125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25">
        <f>IF(AND(H430=TRUE,I430=FALSE),Q430,0)</f>
        <v/>
      </c>
      <c r="S430" s="125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26">
        <f>IF(U430=TRUE,$J430,"")</f>
        <v/>
      </c>
      <c r="U430" s="124" t="b">
        <v>0</v>
      </c>
      <c r="V430" s="125">
        <f>IF(AND(H430=TRUE,OR(K430="",K430&gt;M430)),S430,0)</f>
        <v/>
      </c>
      <c r="W430" s="124" t="n">
        <v>0</v>
      </c>
      <c r="X430" s="124" t="b">
        <v>0</v>
      </c>
      <c r="Y430" s="127">
        <f>IF(H430=FALSE,VLOOKUP($C430,Sales!$C:$F,4,FALSE),1)</f>
        <v/>
      </c>
      <c r="Z430" s="124">
        <f>IF(Y430=0,"Release",IF(AND(L430&lt;J430,Y430=1,H430=FALSE,U430=FALSE,MONTH(L430)&amp;"/"&amp;YEAR(L430)&lt;&gt;MONTH(J430)&amp;"/"&amp;YEAR(J430)),"Release",""))</f>
        <v/>
      </c>
      <c r="AA430" s="128">
        <f>_xlfn.minifs($L:$L,$C:$C,$C430,$F:$F,"&lt;&gt;0")</f>
        <v/>
      </c>
      <c r="AB430" s="128">
        <f>C430&amp;"-"&amp;A430</f>
        <v/>
      </c>
      <c r="AC430" s="128">
        <f>L430</f>
        <v/>
      </c>
    </row>
    <row r="431">
      <c r="A431" s="124" t="inlineStr">
        <is>
          <t>ZRAN01</t>
        </is>
      </c>
      <c r="B431" s="124" t="n">
        <v>25</v>
      </c>
      <c r="C431" s="124" t="inlineStr">
        <is>
          <t>HVK305</t>
        </is>
      </c>
      <c r="D431" s="124" t="inlineStr">
        <is>
          <t>K</t>
        </is>
      </c>
      <c r="E431" s="124" t="inlineStr">
        <is>
          <t>Rankin Ross Partick Gemill</t>
        </is>
      </c>
      <c r="F431" s="125">
        <f>SUMIFS(Investors!$M:$M, Investors!$I:$I, "&lt;=" &amp; 'NSST Print'!$B$3, Investors!$K:$K, "&gt;" &amp; 'NSST Print'!$B$3, Investors!$A:$A, 'Investor Exit List'!A431, Investors!$E:$E, 'Investor Exit List'!C431)</f>
        <v/>
      </c>
      <c r="G431" s="126" t="n">
        <v>45044</v>
      </c>
      <c r="H431" s="124">
        <f>VLOOKUP($C431,Sales!$C:$E,2,FALSE)</f>
        <v/>
      </c>
      <c r="I431" s="124">
        <f>VLOOKUP($C431,Sales!$C:$E,3,FALSE)</f>
        <v/>
      </c>
      <c r="J431" s="126">
        <f>SUMIFS(Sales!$H:$H,Sales!$C:$C,'Investor Exit List'!$C431)</f>
        <v/>
      </c>
      <c r="K431" s="126">
        <f>IF(I431=TRUE,J431,"")</f>
        <v/>
      </c>
      <c r="L431" s="126">
        <f>G431+730</f>
        <v/>
      </c>
      <c r="M431" s="126" t="n">
        <v>45443</v>
      </c>
      <c r="N431" s="127">
        <f>IFERROR(IF(G431&lt;&gt;"",IF(I431=TRUE,0,IF(U431=TRUE,0,L431-M431)),0),0)</f>
        <v/>
      </c>
      <c r="O431" s="127">
        <f>IF(N431&gt;0,IF(N431&lt;=180,N431,0),0)</f>
        <v/>
      </c>
      <c r="P431" s="125">
        <f>IF(AND(N431&lt;90,N431&gt;0),Q431,0)</f>
        <v/>
      </c>
      <c r="Q431" s="125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25">
        <f>IF(AND(H431=TRUE,I431=FALSE),Q431,0)</f>
        <v/>
      </c>
      <c r="S431" s="125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26">
        <f>IF(U431=TRUE,$J431,"")</f>
        <v/>
      </c>
      <c r="U431" s="124" t="b">
        <v>0</v>
      </c>
      <c r="V431" s="125">
        <f>IF(AND(H431=TRUE,OR(K431="",K431&gt;M431)),S431,0)</f>
        <v/>
      </c>
      <c r="W431" s="124" t="n">
        <v>0</v>
      </c>
      <c r="X431" s="124" t="b">
        <v>0</v>
      </c>
      <c r="Y431" s="127">
        <f>IF(H431=FALSE,VLOOKUP($C431,Sales!$C:$F,4,FALSE),1)</f>
        <v/>
      </c>
      <c r="Z431" s="124">
        <f>IF(Y431=0,"Release",IF(AND(L431&lt;J431,Y431=1,H431=FALSE,U431=FALSE,MONTH(L431)&amp;"/"&amp;YEAR(L431)&lt;&gt;MONTH(J431)&amp;"/"&amp;YEAR(J431)),"Release",""))</f>
        <v/>
      </c>
      <c r="AA431" s="128">
        <f>_xlfn.minifs($L:$L,$C:$C,$C431,$F:$F,"&lt;&gt;0")</f>
        <v/>
      </c>
      <c r="AB431" s="128">
        <f>C431&amp;"-"&amp;A431</f>
        <v/>
      </c>
      <c r="AC431" s="128">
        <f>L431</f>
        <v/>
      </c>
    </row>
    <row r="432">
      <c r="A432" s="124" t="inlineStr">
        <is>
          <t>ZSCH01</t>
        </is>
      </c>
      <c r="B432" s="124" t="n">
        <v>16</v>
      </c>
      <c r="C432" s="124" t="inlineStr">
        <is>
          <t>HVK305</t>
        </is>
      </c>
      <c r="D432" s="124" t="inlineStr">
        <is>
          <t>K</t>
        </is>
      </c>
      <c r="E432" s="124" t="inlineStr">
        <is>
          <t>Schubert Inge</t>
        </is>
      </c>
      <c r="F432" s="125">
        <f>SUMIFS(Investors!$M:$M, Investors!$I:$I, "&lt;=" &amp; 'NSST Print'!$B$3, Investors!$K:$K, "&gt;" &amp; 'NSST Print'!$B$3, Investors!$A:$A, 'Investor Exit List'!A432, Investors!$E:$E, 'Investor Exit List'!C432)</f>
        <v/>
      </c>
      <c r="G432" s="126" t="n">
        <v>45016</v>
      </c>
      <c r="H432" s="124">
        <f>VLOOKUP($C432,Sales!$C:$E,2,FALSE)</f>
        <v/>
      </c>
      <c r="I432" s="124">
        <f>VLOOKUP($C432,Sales!$C:$E,3,FALSE)</f>
        <v/>
      </c>
      <c r="J432" s="126">
        <f>SUMIFS(Sales!$H:$H,Sales!$C:$C,'Investor Exit List'!$C432)</f>
        <v/>
      </c>
      <c r="K432" s="126">
        <f>IF(I432=TRUE,J432,"")</f>
        <v/>
      </c>
      <c r="L432" s="126">
        <f>G432+730</f>
        <v/>
      </c>
      <c r="M432" s="126" t="n">
        <v>45443</v>
      </c>
      <c r="N432" s="127">
        <f>IFERROR(IF(G432&lt;&gt;"",IF(I432=TRUE,0,IF(U432=TRUE,0,L432-M432)),0),0)</f>
        <v/>
      </c>
      <c r="O432" s="127">
        <f>IF(N432&gt;0,IF(N432&lt;=180,N432,0),0)</f>
        <v/>
      </c>
      <c r="P432" s="125">
        <f>IF(AND(N432&lt;90,N432&gt;0),Q432,0)</f>
        <v/>
      </c>
      <c r="Q432" s="125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25">
        <f>IF(AND(H432=TRUE,I432=FALSE),Q432,0)</f>
        <v/>
      </c>
      <c r="S432" s="125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26">
        <f>IF(U432=TRUE,$J432,"")</f>
        <v/>
      </c>
      <c r="U432" s="124" t="b">
        <v>0</v>
      </c>
      <c r="V432" s="125">
        <f>IF(AND(H432=TRUE,OR(K432="",K432&gt;M432)),S432,0)</f>
        <v/>
      </c>
      <c r="W432" s="124" t="n">
        <v>0</v>
      </c>
      <c r="X432" s="124" t="b">
        <v>0</v>
      </c>
      <c r="Y432" s="127">
        <f>IF(H432=FALSE,VLOOKUP($C432,Sales!$C:$F,4,FALSE),1)</f>
        <v/>
      </c>
      <c r="Z432" s="124">
        <f>IF(Y432=0,"Release",IF(AND(L432&lt;J432,Y432=1,H432=FALSE,U432=FALSE,MONTH(L432)&amp;"/"&amp;YEAR(L432)&lt;&gt;MONTH(J432)&amp;"/"&amp;YEAR(J432)),"Release",""))</f>
        <v/>
      </c>
      <c r="AA432" s="128">
        <f>_xlfn.minifs($L:$L,$C:$C,$C432,$F:$F,"&lt;&gt;0")</f>
        <v/>
      </c>
      <c r="AB432" s="128">
        <f>C432&amp;"-"&amp;A432</f>
        <v/>
      </c>
      <c r="AC432" s="128">
        <f>L432</f>
        <v/>
      </c>
    </row>
    <row r="433">
      <c r="A433" s="124" t="inlineStr">
        <is>
          <t>ZTSH01</t>
        </is>
      </c>
      <c r="B433" s="124" t="n">
        <v>2</v>
      </c>
      <c r="C433" s="124" t="inlineStr">
        <is>
          <t>HVK305</t>
        </is>
      </c>
      <c r="D433" s="124" t="inlineStr">
        <is>
          <t>K</t>
        </is>
      </c>
      <c r="E433" s="124" t="inlineStr">
        <is>
          <t>Tshabalala Thandeka Patience</t>
        </is>
      </c>
      <c r="F433" s="125">
        <f>SUMIFS(Investors!$M:$M, Investors!$I:$I, "&lt;=" &amp; 'NSST Print'!$B$3, Investors!$K:$K, "&gt;" &amp; 'NSST Print'!$B$3, Investors!$A:$A, 'Investor Exit List'!A433, Investors!$E:$E, 'Investor Exit List'!C433)</f>
        <v/>
      </c>
      <c r="G433" s="126" t="n">
        <v>45016</v>
      </c>
      <c r="H433" s="124">
        <f>VLOOKUP($C433,Sales!$C:$E,2,FALSE)</f>
        <v/>
      </c>
      <c r="I433" s="124">
        <f>VLOOKUP($C433,Sales!$C:$E,3,FALSE)</f>
        <v/>
      </c>
      <c r="J433" s="126">
        <f>SUMIFS(Sales!$H:$H,Sales!$C:$C,'Investor Exit List'!$C433)</f>
        <v/>
      </c>
      <c r="K433" s="126">
        <f>IF(I433=TRUE,J433,"")</f>
        <v/>
      </c>
      <c r="L433" s="126">
        <f>G433+730</f>
        <v/>
      </c>
      <c r="M433" s="126" t="n">
        <v>45443</v>
      </c>
      <c r="N433" s="127">
        <f>IFERROR(IF(G433&lt;&gt;"",IF(I433=TRUE,0,IF(U433=TRUE,0,L433-M433)),0),0)</f>
        <v/>
      </c>
      <c r="O433" s="127">
        <f>IF(N433&gt;0,IF(N433&lt;=180,N433,0),0)</f>
        <v/>
      </c>
      <c r="P433" s="125">
        <f>IF(AND(N433&lt;90,N433&gt;0),Q433,0)</f>
        <v/>
      </c>
      <c r="Q433" s="125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25">
        <f>IF(AND(H433=TRUE,I433=FALSE),Q433,0)</f>
        <v/>
      </c>
      <c r="S433" s="125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26">
        <f>IF(U433=TRUE,$J433,"")</f>
        <v/>
      </c>
      <c r="U433" s="124" t="b">
        <v>0</v>
      </c>
      <c r="V433" s="125">
        <f>IF(AND(H433=TRUE,OR(K433="",K433&gt;M433)),S433,0)</f>
        <v/>
      </c>
      <c r="W433" s="124" t="n">
        <v>0</v>
      </c>
      <c r="X433" s="124" t="b">
        <v>0</v>
      </c>
      <c r="Y433" s="127">
        <f>IF(H433=FALSE,VLOOKUP($C433,Sales!$C:$F,4,FALSE),1)</f>
        <v/>
      </c>
      <c r="Z433" s="124">
        <f>IF(Y433=0,"Release",IF(AND(L433&lt;J433,Y433=1,H433=FALSE,U433=FALSE,MONTH(L433)&amp;"/"&amp;YEAR(L433)&lt;&gt;MONTH(J433)&amp;"/"&amp;YEAR(J433)),"Release",""))</f>
        <v/>
      </c>
      <c r="AA433" s="128">
        <f>_xlfn.minifs($L:$L,$C:$C,$C433,$F:$F,"&lt;&gt;0")</f>
        <v/>
      </c>
      <c r="AB433" s="128">
        <f>C433&amp;"-"&amp;A433</f>
        <v/>
      </c>
      <c r="AC433" s="128">
        <f>L433</f>
        <v/>
      </c>
    </row>
    <row r="434">
      <c r="A434" s="124" t="inlineStr">
        <is>
          <t>ZBUF01</t>
        </is>
      </c>
      <c r="B434" s="124" t="n">
        <v>1</v>
      </c>
      <c r="C434" s="124" t="inlineStr">
        <is>
          <t>HVK306</t>
        </is>
      </c>
      <c r="D434" s="124" t="inlineStr">
        <is>
          <t>K</t>
        </is>
      </c>
      <c r="E434" s="124" t="inlineStr">
        <is>
          <t>Buffet Tabitha Dorcas</t>
        </is>
      </c>
      <c r="F434" s="125">
        <f>SUMIFS(Investors!$M:$M, Investors!$I:$I, "&lt;=" &amp; 'NSST Print'!$B$3, Investors!$K:$K, "&gt;" &amp; 'NSST Print'!$B$3, Investors!$A:$A, 'Investor Exit List'!A434, Investors!$E:$E, 'Investor Exit List'!C434)</f>
        <v/>
      </c>
      <c r="G434" s="126" t="n">
        <v>44980</v>
      </c>
      <c r="H434" s="124">
        <f>VLOOKUP($C434,Sales!$C:$E,2,FALSE)</f>
        <v/>
      </c>
      <c r="I434" s="124">
        <f>VLOOKUP($C434,Sales!$C:$E,3,FALSE)</f>
        <v/>
      </c>
      <c r="J434" s="126">
        <f>SUMIFS(Sales!$H:$H,Sales!$C:$C,'Investor Exit List'!$C434)</f>
        <v/>
      </c>
      <c r="K434" s="126">
        <f>IF(I434=TRUE,J434,"")</f>
        <v/>
      </c>
      <c r="L434" s="126">
        <f>G434+730</f>
        <v/>
      </c>
      <c r="M434" s="126" t="n">
        <v>45443</v>
      </c>
      <c r="N434" s="127">
        <f>IFERROR(IF(G434&lt;&gt;"",IF(I434=TRUE,0,IF(U434=TRUE,0,L434-M434)),0),0)</f>
        <v/>
      </c>
      <c r="O434" s="127">
        <f>IF(N434&gt;0,IF(N434&lt;=180,N434,0),0)</f>
        <v/>
      </c>
      <c r="P434" s="125">
        <f>IF(AND(N434&lt;90,N434&gt;0),Q434,0)</f>
        <v/>
      </c>
      <c r="Q434" s="125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25">
        <f>IF(AND(H434=TRUE,I434=FALSE),Q434,0)</f>
        <v/>
      </c>
      <c r="S434" s="125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26">
        <f>IF(U434=TRUE,$J434,"")</f>
        <v/>
      </c>
      <c r="U434" s="124" t="b">
        <v>0</v>
      </c>
      <c r="V434" s="125">
        <f>IF(AND(H434=TRUE,OR(K434="",K434&gt;M434)),S434,0)</f>
        <v/>
      </c>
      <c r="W434" s="124" t="n">
        <v>0</v>
      </c>
      <c r="X434" s="124" t="b">
        <v>0</v>
      </c>
      <c r="Y434" s="127">
        <f>IF(H434=FALSE,VLOOKUP($C434,Sales!$C:$F,4,FALSE),1)</f>
        <v/>
      </c>
      <c r="Z434" s="124">
        <f>IF(Y434=0,"Release",IF(AND(L434&lt;J434,Y434=1,H434=FALSE,U434=FALSE,MONTH(L434)&amp;"/"&amp;YEAR(L434)&lt;&gt;MONTH(J434)&amp;"/"&amp;YEAR(J434)),"Release",""))</f>
        <v/>
      </c>
      <c r="AA434" s="128">
        <f>_xlfn.minifs($L:$L,$C:$C,$C434,$F:$F,"&lt;&gt;0")</f>
        <v/>
      </c>
      <c r="AB434" s="128">
        <f>C434&amp;"-"&amp;A434</f>
        <v/>
      </c>
      <c r="AC434" s="128">
        <f>L434</f>
        <v/>
      </c>
    </row>
    <row r="435">
      <c r="A435" s="124" t="inlineStr">
        <is>
          <t>ZRIT01</t>
        </is>
      </c>
      <c r="B435" s="124" t="n">
        <v>11</v>
      </c>
      <c r="C435" s="124" t="inlineStr">
        <is>
          <t>HVK306</t>
        </is>
      </c>
      <c r="D435" s="124" t="inlineStr">
        <is>
          <t>K</t>
        </is>
      </c>
      <c r="E435" s="124" t="inlineStr">
        <is>
          <t>Ritter Dennis</t>
        </is>
      </c>
      <c r="F435" s="125">
        <f>SUMIFS(Investors!$M:$M, Investors!$I:$I, "&lt;=" &amp; 'NSST Print'!$B$3, Investors!$K:$K, "&gt;" &amp; 'NSST Print'!$B$3, Investors!$A:$A, 'Investor Exit List'!A435, Investors!$E:$E, 'Investor Exit List'!C435)</f>
        <v/>
      </c>
      <c r="G435" s="126" t="n">
        <v>45072</v>
      </c>
      <c r="H435" s="124">
        <f>VLOOKUP($C435,Sales!$C:$E,2,FALSE)</f>
        <v/>
      </c>
      <c r="I435" s="124">
        <f>VLOOKUP($C435,Sales!$C:$E,3,FALSE)</f>
        <v/>
      </c>
      <c r="J435" s="126">
        <f>SUMIFS(Sales!$H:$H,Sales!$C:$C,'Investor Exit List'!$C435)</f>
        <v/>
      </c>
      <c r="K435" s="126">
        <f>IF(I435=TRUE,J435,"")</f>
        <v/>
      </c>
      <c r="L435" s="126">
        <f>G435+730</f>
        <v/>
      </c>
      <c r="M435" s="126" t="n">
        <v>45443</v>
      </c>
      <c r="N435" s="127">
        <f>IFERROR(IF(G435&lt;&gt;"",IF(I435=TRUE,0,IF(U435=TRUE,0,L435-M435)),0),0)</f>
        <v/>
      </c>
      <c r="O435" s="127">
        <f>IF(N435&gt;0,IF(N435&lt;=180,N435,0),0)</f>
        <v/>
      </c>
      <c r="P435" s="125">
        <f>IF(AND(N435&lt;90,N435&gt;0),Q435,0)</f>
        <v/>
      </c>
      <c r="Q435" s="125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25">
        <f>IF(AND(H435=TRUE,I435=FALSE),Q435,0)</f>
        <v/>
      </c>
      <c r="S435" s="125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26">
        <f>IF(U435=TRUE,$J435,"")</f>
        <v/>
      </c>
      <c r="U435" s="124" t="b">
        <v>0</v>
      </c>
      <c r="V435" s="125">
        <f>IF(AND(H435=TRUE,OR(K435="",K435&gt;M435)),S435,0)</f>
        <v/>
      </c>
      <c r="W435" s="124" t="n">
        <v>0</v>
      </c>
      <c r="X435" s="124" t="b">
        <v>0</v>
      </c>
      <c r="Y435" s="127">
        <f>IF(H435=FALSE,VLOOKUP($C435,Sales!$C:$F,4,FALSE),1)</f>
        <v/>
      </c>
      <c r="Z435" s="124">
        <f>IF(Y435=0,"Release",IF(AND(L435&lt;J435,Y435=1,H435=FALSE,U435=FALSE,MONTH(L435)&amp;"/"&amp;YEAR(L435)&lt;&gt;MONTH(J435)&amp;"/"&amp;YEAR(J435)),"Release",""))</f>
        <v/>
      </c>
      <c r="AA435" s="128">
        <f>_xlfn.minifs($L:$L,$C:$C,$C435,$F:$F,"&lt;&gt;0")</f>
        <v/>
      </c>
      <c r="AB435" s="128">
        <f>C435&amp;"-"&amp;A435</f>
        <v/>
      </c>
      <c r="AC435" s="128">
        <f>L435</f>
        <v/>
      </c>
    </row>
    <row r="436">
      <c r="A436" s="124" t="inlineStr">
        <is>
          <t>ZRAN01</t>
        </is>
      </c>
      <c r="B436" s="124" t="n">
        <v>24</v>
      </c>
      <c r="C436" s="124" t="inlineStr">
        <is>
          <t>HVK401</t>
        </is>
      </c>
      <c r="D436" s="124" t="inlineStr">
        <is>
          <t>K</t>
        </is>
      </c>
      <c r="E436" s="124" t="inlineStr">
        <is>
          <t>Rankin Ross Partick Gemill</t>
        </is>
      </c>
      <c r="F436" s="125">
        <f>SUMIFS(Investors!$M:$M, Investors!$I:$I, "&lt;=" &amp; 'NSST Print'!$B$3, Investors!$K:$K, "&gt;" &amp; 'NSST Print'!$B$3, Investors!$A:$A, 'Investor Exit List'!A436, Investors!$E:$E, 'Investor Exit List'!C436)</f>
        <v/>
      </c>
      <c r="G436" s="126" t="n">
        <v>45016</v>
      </c>
      <c r="H436" s="124">
        <f>VLOOKUP($C436,Sales!$C:$E,2,FALSE)</f>
        <v/>
      </c>
      <c r="I436" s="124">
        <f>VLOOKUP($C436,Sales!$C:$E,3,FALSE)</f>
        <v/>
      </c>
      <c r="J436" s="126">
        <f>SUMIFS(Sales!$H:$H,Sales!$C:$C,'Investor Exit List'!$C436)</f>
        <v/>
      </c>
      <c r="K436" s="126">
        <f>IF(I436=TRUE,J436,"")</f>
        <v/>
      </c>
      <c r="L436" s="126">
        <f>G436+730</f>
        <v/>
      </c>
      <c r="M436" s="126" t="n">
        <v>45443</v>
      </c>
      <c r="N436" s="127">
        <f>IFERROR(IF(G436&lt;&gt;"",IF(I436=TRUE,0,IF(U436=TRUE,0,L436-M436)),0),0)</f>
        <v/>
      </c>
      <c r="O436" s="127">
        <f>IF(N436&gt;0,IF(N436&lt;=180,N436,0),0)</f>
        <v/>
      </c>
      <c r="P436" s="125">
        <f>IF(AND(N436&lt;90,N436&gt;0),Q436,0)</f>
        <v/>
      </c>
      <c r="Q436" s="125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25">
        <f>IF(AND(H436=TRUE,I436=FALSE),Q436,0)</f>
        <v/>
      </c>
      <c r="S436" s="125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26">
        <f>IF(U436=TRUE,$J436,"")</f>
        <v/>
      </c>
      <c r="U436" s="124" t="b">
        <v>0</v>
      </c>
      <c r="V436" s="125">
        <f>IF(AND(H436=TRUE,OR(K436="",K436&gt;M436)),S436,0)</f>
        <v/>
      </c>
      <c r="W436" s="124" t="n">
        <v>0</v>
      </c>
      <c r="X436" s="124" t="b">
        <v>0</v>
      </c>
      <c r="Y436" s="127">
        <f>IF(H436=FALSE,VLOOKUP($C436,Sales!$C:$F,4,FALSE),1)</f>
        <v/>
      </c>
      <c r="Z436" s="124">
        <f>IF(Y436=0,"Release",IF(AND(L436&lt;J436,Y436=1,H436=FALSE,U436=FALSE,MONTH(L436)&amp;"/"&amp;YEAR(L436)&lt;&gt;MONTH(J436)&amp;"/"&amp;YEAR(J436)),"Release",""))</f>
        <v/>
      </c>
      <c r="AA436" s="128">
        <f>_xlfn.minifs($L:$L,$C:$C,$C436,$F:$F,"&lt;&gt;0")</f>
        <v/>
      </c>
      <c r="AB436" s="128">
        <f>C436&amp;"-"&amp;A436</f>
        <v/>
      </c>
      <c r="AC436" s="128">
        <f>L436</f>
        <v/>
      </c>
    </row>
    <row r="437">
      <c r="A437" s="124" t="inlineStr">
        <is>
          <t>ZVAN13</t>
        </is>
      </c>
      <c r="B437" s="124" t="n">
        <v>1</v>
      </c>
      <c r="C437" s="124" t="inlineStr">
        <is>
          <t>HVK401</t>
        </is>
      </c>
      <c r="D437" s="124" t="inlineStr">
        <is>
          <t>K</t>
        </is>
      </c>
      <c r="E437" s="124" t="inlineStr">
        <is>
          <t>van der Spuy Gian</t>
        </is>
      </c>
      <c r="F437" s="125">
        <f>SUMIFS(Investors!$M:$M, Investors!$I:$I, "&lt;=" &amp; 'NSST Print'!$B$3, Investors!$K:$K, "&gt;" &amp; 'NSST Print'!$B$3, Investors!$A:$A, 'Investor Exit List'!A437, Investors!$E:$E, 'Investor Exit List'!C437)</f>
        <v/>
      </c>
      <c r="G437" s="126" t="n">
        <v>44980</v>
      </c>
      <c r="H437" s="124">
        <f>VLOOKUP($C437,Sales!$C:$E,2,FALSE)</f>
        <v/>
      </c>
      <c r="I437" s="124">
        <f>VLOOKUP($C437,Sales!$C:$E,3,FALSE)</f>
        <v/>
      </c>
      <c r="J437" s="126">
        <f>SUMIFS(Sales!$H:$H,Sales!$C:$C,'Investor Exit List'!$C437)</f>
        <v/>
      </c>
      <c r="K437" s="126">
        <f>IF(I437=TRUE,J437,"")</f>
        <v/>
      </c>
      <c r="L437" s="126">
        <f>G437+730</f>
        <v/>
      </c>
      <c r="M437" s="126" t="n">
        <v>45443</v>
      </c>
      <c r="N437" s="127">
        <f>IFERROR(IF(G437&lt;&gt;"",IF(I437=TRUE,0,IF(U437=TRUE,0,L437-M437)),0),0)</f>
        <v/>
      </c>
      <c r="O437" s="127">
        <f>IF(N437&gt;0,IF(N437&lt;=180,N437,0),0)</f>
        <v/>
      </c>
      <c r="P437" s="125">
        <f>IF(AND(N437&lt;90,N437&gt;0),Q437,0)</f>
        <v/>
      </c>
      <c r="Q437" s="125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25">
        <f>IF(AND(H437=TRUE,I437=FALSE),Q437,0)</f>
        <v/>
      </c>
      <c r="S437" s="125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26">
        <f>IF(U437=TRUE,$J437,"")</f>
        <v/>
      </c>
      <c r="U437" s="124" t="b">
        <v>0</v>
      </c>
      <c r="V437" s="125">
        <f>IF(AND(H437=TRUE,OR(K437="",K437&gt;M437)),S437,0)</f>
        <v/>
      </c>
      <c r="W437" s="124" t="n">
        <v>0</v>
      </c>
      <c r="X437" s="124" t="b">
        <v>0</v>
      </c>
      <c r="Y437" s="127">
        <f>IF(H437=FALSE,VLOOKUP($C437,Sales!$C:$F,4,FALSE),1)</f>
        <v/>
      </c>
      <c r="Z437" s="124">
        <f>IF(Y437=0,"Release",IF(AND(L437&lt;J437,Y437=1,H437=FALSE,U437=FALSE,MONTH(L437)&amp;"/"&amp;YEAR(L437)&lt;&gt;MONTH(J437)&amp;"/"&amp;YEAR(J437)),"Release",""))</f>
        <v/>
      </c>
      <c r="AA437" s="128">
        <f>_xlfn.minifs($L:$L,$C:$C,$C437,$F:$F,"&lt;&gt;0")</f>
        <v/>
      </c>
      <c r="AB437" s="128">
        <f>C437&amp;"-"&amp;A437</f>
        <v/>
      </c>
      <c r="AC437" s="128">
        <f>L437</f>
        <v/>
      </c>
    </row>
    <row r="438">
      <c r="A438" s="124" t="inlineStr">
        <is>
          <t>ZVAN02</t>
        </is>
      </c>
      <c r="B438" s="124" t="n">
        <v>2</v>
      </c>
      <c r="C438" s="124" t="inlineStr">
        <is>
          <t>HVK402</t>
        </is>
      </c>
      <c r="D438" s="124" t="inlineStr">
        <is>
          <t>K</t>
        </is>
      </c>
      <c r="E438" s="124" t="inlineStr">
        <is>
          <t>van Schalkwyk Agatha Dorothea</t>
        </is>
      </c>
      <c r="F438" s="125">
        <f>SUMIFS(Investors!$M:$M, Investors!$I:$I, "&lt;=" &amp; 'NSST Print'!$B$3, Investors!$K:$K, "&gt;" &amp; 'NSST Print'!$B$3, Investors!$A:$A, 'Investor Exit List'!A438, Investors!$E:$E, 'Investor Exit List'!C438)</f>
        <v/>
      </c>
      <c r="G438" s="126" t="n">
        <v>44995</v>
      </c>
      <c r="H438" s="124">
        <f>VLOOKUP($C438,Sales!$C:$E,2,FALSE)</f>
        <v/>
      </c>
      <c r="I438" s="124">
        <f>VLOOKUP($C438,Sales!$C:$E,3,FALSE)</f>
        <v/>
      </c>
      <c r="J438" s="126">
        <f>SUMIFS(Sales!$H:$H,Sales!$C:$C,'Investor Exit List'!$C438)</f>
        <v/>
      </c>
      <c r="K438" s="126">
        <f>IF(I438=TRUE,J438,"")</f>
        <v/>
      </c>
      <c r="L438" s="126">
        <f>G438+730</f>
        <v/>
      </c>
      <c r="M438" s="126" t="n">
        <v>45443</v>
      </c>
      <c r="N438" s="127">
        <f>IFERROR(IF(G438&lt;&gt;"",IF(I438=TRUE,0,IF(U438=TRUE,0,L438-M438)),0),0)</f>
        <v/>
      </c>
      <c r="O438" s="127">
        <f>IF(N438&gt;0,IF(N438&lt;=180,N438,0),0)</f>
        <v/>
      </c>
      <c r="P438" s="125">
        <f>IF(AND(N438&lt;90,N438&gt;0),Q438,0)</f>
        <v/>
      </c>
      <c r="Q438" s="125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25">
        <f>IF(AND(H438=TRUE,I438=FALSE),Q438,0)</f>
        <v/>
      </c>
      <c r="S438" s="125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26">
        <f>IF(U438=TRUE,$J438,"")</f>
        <v/>
      </c>
      <c r="U438" s="124" t="b">
        <v>0</v>
      </c>
      <c r="V438" s="125">
        <f>IF(AND(H438=TRUE,OR(K438="",K438&gt;M438)),S438,0)</f>
        <v/>
      </c>
      <c r="W438" s="124" t="n">
        <v>0</v>
      </c>
      <c r="X438" s="124" t="b">
        <v>0</v>
      </c>
      <c r="Y438" s="127">
        <f>IF(H438=FALSE,VLOOKUP($C438,Sales!$C:$F,4,FALSE),1)</f>
        <v/>
      </c>
      <c r="Z438" s="124">
        <f>IF(Y438=0,"Release",IF(AND(L438&lt;J438,Y438=1,H438=FALSE,U438=FALSE,MONTH(L438)&amp;"/"&amp;YEAR(L438)&lt;&gt;MONTH(J438)&amp;"/"&amp;YEAR(J438)),"Release",""))</f>
        <v/>
      </c>
      <c r="AA438" s="128">
        <f>_xlfn.minifs($L:$L,$C:$C,$C438,$F:$F,"&lt;&gt;0")</f>
        <v/>
      </c>
      <c r="AB438" s="128">
        <f>C438&amp;"-"&amp;A438</f>
        <v/>
      </c>
      <c r="AC438" s="128">
        <f>L438</f>
        <v/>
      </c>
    </row>
    <row r="439">
      <c r="A439" s="124" t="inlineStr">
        <is>
          <t>ZVAN14</t>
        </is>
      </c>
      <c r="B439" s="124" t="n">
        <v>1</v>
      </c>
      <c r="C439" s="124" t="inlineStr">
        <is>
          <t>HVK402</t>
        </is>
      </c>
      <c r="D439" s="124" t="inlineStr">
        <is>
          <t>K</t>
        </is>
      </c>
      <c r="E439" s="124" t="inlineStr">
        <is>
          <t>van der Spuy Dorothy Anne</t>
        </is>
      </c>
      <c r="F439" s="125">
        <f>SUMIFS(Investors!$M:$M, Investors!$I:$I, "&lt;=" &amp; 'NSST Print'!$B$3, Investors!$K:$K, "&gt;" &amp; 'NSST Print'!$B$3, Investors!$A:$A, 'Investor Exit List'!A439, Investors!$E:$E, 'Investor Exit List'!C439)</f>
        <v/>
      </c>
      <c r="G439" s="126" t="n">
        <v>45016</v>
      </c>
      <c r="H439" s="124">
        <f>VLOOKUP($C439,Sales!$C:$E,2,FALSE)</f>
        <v/>
      </c>
      <c r="I439" s="124">
        <f>VLOOKUP($C439,Sales!$C:$E,3,FALSE)</f>
        <v/>
      </c>
      <c r="J439" s="126">
        <f>SUMIFS(Sales!$H:$H,Sales!$C:$C,'Investor Exit List'!$C439)</f>
        <v/>
      </c>
      <c r="K439" s="126">
        <f>IF(I439=TRUE,J439,"")</f>
        <v/>
      </c>
      <c r="L439" s="126">
        <f>G439+730</f>
        <v/>
      </c>
      <c r="M439" s="126" t="n">
        <v>45443</v>
      </c>
      <c r="N439" s="127">
        <f>IFERROR(IF(G439&lt;&gt;"",IF(I439=TRUE,0,IF(U439=TRUE,0,L439-M439)),0),0)</f>
        <v/>
      </c>
      <c r="O439" s="127">
        <f>IF(N439&gt;0,IF(N439&lt;=180,N439,0),0)</f>
        <v/>
      </c>
      <c r="P439" s="125">
        <f>IF(AND(N439&lt;90,N439&gt;0),Q439,0)</f>
        <v/>
      </c>
      <c r="Q439" s="125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25">
        <f>IF(AND(H439=TRUE,I439=FALSE),Q439,0)</f>
        <v/>
      </c>
      <c r="S439" s="125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26">
        <f>IF(U439=TRUE,$J439,"")</f>
        <v/>
      </c>
      <c r="U439" s="124" t="b">
        <v>0</v>
      </c>
      <c r="V439" s="125">
        <f>IF(AND(H439=TRUE,OR(K439="",K439&gt;M439)),S439,0)</f>
        <v/>
      </c>
      <c r="W439" s="124" t="n">
        <v>0</v>
      </c>
      <c r="X439" s="124" t="b">
        <v>0</v>
      </c>
      <c r="Y439" s="127">
        <f>IF(H439=FALSE,VLOOKUP($C439,Sales!$C:$F,4,FALSE),1)</f>
        <v/>
      </c>
      <c r="Z439" s="124">
        <f>IF(Y439=0,"Release",IF(AND(L439&lt;J439,Y439=1,H439=FALSE,U439=FALSE,MONTH(L439)&amp;"/"&amp;YEAR(L439)&lt;&gt;MONTH(J439)&amp;"/"&amp;YEAR(J439)),"Release",""))</f>
        <v/>
      </c>
      <c r="AA439" s="128">
        <f>_xlfn.minifs($L:$L,$C:$C,$C439,$F:$F,"&lt;&gt;0")</f>
        <v/>
      </c>
      <c r="AB439" s="128">
        <f>C439&amp;"-"&amp;A439</f>
        <v/>
      </c>
      <c r="AC439" s="128">
        <f>L439</f>
        <v/>
      </c>
    </row>
    <row r="440">
      <c r="A440" s="124" t="inlineStr">
        <is>
          <t>ZALM01</t>
        </is>
      </c>
      <c r="B440" s="124" t="n">
        <v>9</v>
      </c>
      <c r="C440" s="124" t="inlineStr">
        <is>
          <t>HVK403</t>
        </is>
      </c>
      <c r="D440" s="124" t="inlineStr">
        <is>
          <t>K</t>
        </is>
      </c>
      <c r="E440" s="124" t="inlineStr">
        <is>
          <t>Lunau Marc</t>
        </is>
      </c>
      <c r="F440" s="125">
        <f>SUMIFS(Investors!$M:$M, Investors!$I:$I, "&lt;=" &amp; 'NSST Print'!$B$3, Investors!$K:$K, "&gt;" &amp; 'NSST Print'!$B$3, Investors!$A:$A, 'Investor Exit List'!A440, Investors!$E:$E, 'Investor Exit List'!C440)</f>
        <v/>
      </c>
      <c r="G440" s="126" t="n">
        <v>45107</v>
      </c>
      <c r="H440" s="124">
        <f>VLOOKUP($C440,Sales!$C:$E,2,FALSE)</f>
        <v/>
      </c>
      <c r="I440" s="124">
        <f>VLOOKUP($C440,Sales!$C:$E,3,FALSE)</f>
        <v/>
      </c>
      <c r="J440" s="126">
        <f>SUMIFS(Sales!$H:$H,Sales!$C:$C,'Investor Exit List'!$C440)</f>
        <v/>
      </c>
      <c r="K440" s="126">
        <f>IF(I440=TRUE,J440,"")</f>
        <v/>
      </c>
      <c r="L440" s="126">
        <f>G440+730</f>
        <v/>
      </c>
      <c r="M440" s="126" t="n">
        <v>45443</v>
      </c>
      <c r="N440" s="127">
        <f>IFERROR(IF(G440&lt;&gt;"",IF(I440=TRUE,0,IF(U440=TRUE,0,L440-M440)),0),0)</f>
        <v/>
      </c>
      <c r="O440" s="127">
        <f>IF(N440&gt;0,IF(N440&lt;=180,N440,0),0)</f>
        <v/>
      </c>
      <c r="P440" s="125">
        <f>IF(AND(N440&lt;90,N440&gt;0),Q440,0)</f>
        <v/>
      </c>
      <c r="Q440" s="125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25">
        <f>IF(AND(H440=TRUE,I440=FALSE),Q440,0)</f>
        <v/>
      </c>
      <c r="S440" s="125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26">
        <f>IF(U440=TRUE,$J440,"")</f>
        <v/>
      </c>
      <c r="U440" s="124" t="b">
        <v>0</v>
      </c>
      <c r="V440" s="125">
        <f>IF(AND(H440=TRUE,OR(K440="",K440&gt;M440)),S440,0)</f>
        <v/>
      </c>
      <c r="W440" s="124" t="n">
        <v>0</v>
      </c>
      <c r="X440" s="124" t="b">
        <v>0</v>
      </c>
      <c r="Y440" s="127">
        <f>IF(H440=FALSE,VLOOKUP($C440,Sales!$C:$F,4,FALSE),1)</f>
        <v/>
      </c>
      <c r="Z440" s="124">
        <f>IF(Y440=0,"Release",IF(AND(L440&lt;J440,Y440=1,H440=FALSE,U440=FALSE,MONTH(L440)&amp;"/"&amp;YEAR(L440)&lt;&gt;MONTH(J440)&amp;"/"&amp;YEAR(J440)),"Release",""))</f>
        <v/>
      </c>
      <c r="AA440" s="128">
        <f>_xlfn.minifs($L:$L,$C:$C,$C440,$F:$F,"&lt;&gt;0")</f>
        <v/>
      </c>
      <c r="AB440" s="128">
        <f>C440&amp;"-"&amp;A440</f>
        <v/>
      </c>
      <c r="AC440" s="128">
        <f>L440</f>
        <v/>
      </c>
    </row>
    <row r="441">
      <c r="A441" s="124" t="inlineStr">
        <is>
          <t>ZGRA01</t>
        </is>
      </c>
      <c r="B441" s="124" t="n">
        <v>1</v>
      </c>
      <c r="C441" s="124" t="inlineStr">
        <is>
          <t>HVK403</t>
        </is>
      </c>
      <c r="D441" s="124" t="inlineStr">
        <is>
          <t>K</t>
        </is>
      </c>
      <c r="E441" s="124" t="inlineStr">
        <is>
          <t>Grabe Pieter</t>
        </is>
      </c>
      <c r="F441" s="125">
        <f>SUMIFS(Investors!$M:$M, Investors!$I:$I, "&lt;=" &amp; 'NSST Print'!$B$3, Investors!$K:$K, "&gt;" &amp; 'NSST Print'!$B$3, Investors!$A:$A, 'Investor Exit List'!A441, Investors!$E:$E, 'Investor Exit List'!C441)</f>
        <v/>
      </c>
      <c r="G441" s="126" t="n">
        <v>45016</v>
      </c>
      <c r="H441" s="124">
        <f>VLOOKUP($C441,Sales!$C:$E,2,FALSE)</f>
        <v/>
      </c>
      <c r="I441" s="124">
        <f>VLOOKUP($C441,Sales!$C:$E,3,FALSE)</f>
        <v/>
      </c>
      <c r="J441" s="126">
        <f>SUMIFS(Sales!$H:$H,Sales!$C:$C,'Investor Exit List'!$C441)</f>
        <v/>
      </c>
      <c r="K441" s="126">
        <f>IF(I441=TRUE,J441,"")</f>
        <v/>
      </c>
      <c r="L441" s="126">
        <f>G441+730</f>
        <v/>
      </c>
      <c r="M441" s="126" t="n">
        <v>45443</v>
      </c>
      <c r="N441" s="127">
        <f>IFERROR(IF(G441&lt;&gt;"",IF(I441=TRUE,0,IF(U441=TRUE,0,L441-M441)),0),0)</f>
        <v/>
      </c>
      <c r="O441" s="127">
        <f>IF(N441&gt;0,IF(N441&lt;=180,N441,0),0)</f>
        <v/>
      </c>
      <c r="P441" s="125">
        <f>IF(AND(N441&lt;90,N441&gt;0),Q441,0)</f>
        <v/>
      </c>
      <c r="Q441" s="125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25">
        <f>IF(AND(H441=TRUE,I441=FALSE),Q441,0)</f>
        <v/>
      </c>
      <c r="S441" s="125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26">
        <f>IF(U441=TRUE,$J441,"")</f>
        <v/>
      </c>
      <c r="U441" s="124" t="b">
        <v>0</v>
      </c>
      <c r="V441" s="125">
        <f>IF(AND(H441=TRUE,OR(K441="",K441&gt;M441)),S441,0)</f>
        <v/>
      </c>
      <c r="W441" s="124" t="n">
        <v>0</v>
      </c>
      <c r="X441" s="124" t="b">
        <v>0</v>
      </c>
      <c r="Y441" s="127">
        <f>IF(H441=FALSE,VLOOKUP($C441,Sales!$C:$F,4,FALSE),1)</f>
        <v/>
      </c>
      <c r="Z441" s="124">
        <f>IF(Y441=0,"Release",IF(AND(L441&lt;J441,Y441=1,H441=FALSE,U441=FALSE,MONTH(L441)&amp;"/"&amp;YEAR(L441)&lt;&gt;MONTH(J441)&amp;"/"&amp;YEAR(J441)),"Release",""))</f>
        <v/>
      </c>
      <c r="AA441" s="128">
        <f>_xlfn.minifs($L:$L,$C:$C,$C441,$F:$F,"&lt;&gt;0")</f>
        <v/>
      </c>
      <c r="AB441" s="128">
        <f>C441&amp;"-"&amp;A441</f>
        <v/>
      </c>
      <c r="AC441" s="128">
        <f>L441</f>
        <v/>
      </c>
    </row>
    <row r="442">
      <c r="A442" s="124" t="inlineStr">
        <is>
          <t>ZHAN06</t>
        </is>
      </c>
      <c r="B442" s="124" t="n">
        <v>1</v>
      </c>
      <c r="C442" s="124" t="inlineStr">
        <is>
          <t>HVK403</t>
        </is>
      </c>
      <c r="D442" s="124" t="inlineStr">
        <is>
          <t>K</t>
        </is>
      </c>
      <c r="E442" s="124" t="inlineStr">
        <is>
          <t>Hanekom Derick</t>
        </is>
      </c>
      <c r="F442" s="125">
        <f>SUMIFS(Investors!$M:$M, Investors!$I:$I, "&lt;=" &amp; 'NSST Print'!$B$3, Investors!$K:$K, "&gt;" &amp; 'NSST Print'!$B$3, Investors!$A:$A, 'Investor Exit List'!A442, Investors!$E:$E, 'Investor Exit List'!C442)</f>
        <v/>
      </c>
      <c r="G442" s="126" t="n">
        <v>45016</v>
      </c>
      <c r="H442" s="124">
        <f>VLOOKUP($C442,Sales!$C:$E,2,FALSE)</f>
        <v/>
      </c>
      <c r="I442" s="124">
        <f>VLOOKUP($C442,Sales!$C:$E,3,FALSE)</f>
        <v/>
      </c>
      <c r="J442" s="126">
        <f>SUMIFS(Sales!$H:$H,Sales!$C:$C,'Investor Exit List'!$C442)</f>
        <v/>
      </c>
      <c r="K442" s="126">
        <f>IF(I442=TRUE,J442,"")</f>
        <v/>
      </c>
      <c r="L442" s="126">
        <f>G442+730</f>
        <v/>
      </c>
      <c r="M442" s="126" t="n">
        <v>45443</v>
      </c>
      <c r="N442" s="127">
        <f>IFERROR(IF(G442&lt;&gt;"",IF(I442=TRUE,0,IF(U442=TRUE,0,L442-M442)),0),0)</f>
        <v/>
      </c>
      <c r="O442" s="127">
        <f>IF(N442&gt;0,IF(N442&lt;=180,N442,0),0)</f>
        <v/>
      </c>
      <c r="P442" s="125">
        <f>IF(AND(N442&lt;90,N442&gt;0),Q442,0)</f>
        <v/>
      </c>
      <c r="Q442" s="125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25">
        <f>IF(AND(H442=TRUE,I442=FALSE),Q442,0)</f>
        <v/>
      </c>
      <c r="S442" s="125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26">
        <f>IF(U442=TRUE,$J442,"")</f>
        <v/>
      </c>
      <c r="U442" s="124" t="b">
        <v>0</v>
      </c>
      <c r="V442" s="125">
        <f>IF(AND(H442=TRUE,OR(K442="",K442&gt;M442)),S442,0)</f>
        <v/>
      </c>
      <c r="W442" s="124" t="n">
        <v>0</v>
      </c>
      <c r="X442" s="124" t="b">
        <v>0</v>
      </c>
      <c r="Y442" s="127">
        <f>IF(H442=FALSE,VLOOKUP($C442,Sales!$C:$F,4,FALSE),1)</f>
        <v/>
      </c>
      <c r="Z442" s="124">
        <f>IF(Y442=0,"Release",IF(AND(L442&lt;J442,Y442=1,H442=FALSE,U442=FALSE,MONTH(L442)&amp;"/"&amp;YEAR(L442)&lt;&gt;MONTH(J442)&amp;"/"&amp;YEAR(J442)),"Release",""))</f>
        <v/>
      </c>
      <c r="AA442" s="128">
        <f>_xlfn.minifs($L:$L,$C:$C,$C442,$F:$F,"&lt;&gt;0")</f>
        <v/>
      </c>
      <c r="AB442" s="128">
        <f>C442&amp;"-"&amp;A442</f>
        <v/>
      </c>
      <c r="AC442" s="128">
        <f>L442</f>
        <v/>
      </c>
    </row>
    <row r="443">
      <c r="A443" s="124" t="inlineStr">
        <is>
          <t>ZINT01</t>
        </is>
      </c>
      <c r="B443" s="124" t="n">
        <v>12</v>
      </c>
      <c r="C443" s="124" t="inlineStr">
        <is>
          <t>HVK403</t>
        </is>
      </c>
      <c r="D443" s="124" t="inlineStr">
        <is>
          <t>K</t>
        </is>
      </c>
      <c r="E443" s="124" t="inlineStr">
        <is>
          <t>Lunau Marc</t>
        </is>
      </c>
      <c r="F443" s="125">
        <f>SUMIFS(Investors!$M:$M, Investors!$I:$I, "&lt;=" &amp; 'NSST Print'!$B$3, Investors!$K:$K, "&gt;" &amp; 'NSST Print'!$B$3, Investors!$A:$A, 'Investor Exit List'!A443, Investors!$E:$E, 'Investor Exit List'!C443)</f>
        <v/>
      </c>
      <c r="G443" s="126" t="n">
        <v>45008</v>
      </c>
      <c r="H443" s="124">
        <f>VLOOKUP($C443,Sales!$C:$E,2,FALSE)</f>
        <v/>
      </c>
      <c r="I443" s="124">
        <f>VLOOKUP($C443,Sales!$C:$E,3,FALSE)</f>
        <v/>
      </c>
      <c r="J443" s="126">
        <f>SUMIFS(Sales!$H:$H,Sales!$C:$C,'Investor Exit List'!$C443)</f>
        <v/>
      </c>
      <c r="K443" s="126">
        <f>IF(I443=TRUE,J443,"")</f>
        <v/>
      </c>
      <c r="L443" s="126">
        <f>G443+730</f>
        <v/>
      </c>
      <c r="M443" s="126" t="n">
        <v>45443</v>
      </c>
      <c r="N443" s="127">
        <f>IFERROR(IF(G443&lt;&gt;"",IF(I443=TRUE,0,IF(U443=TRUE,0,L443-M443)),0),0)</f>
        <v/>
      </c>
      <c r="O443" s="127">
        <f>IF(N443&gt;0,IF(N443&lt;=180,N443,0),0)</f>
        <v/>
      </c>
      <c r="P443" s="125">
        <f>IF(AND(N443&lt;90,N443&gt;0),Q443,0)</f>
        <v/>
      </c>
      <c r="Q443" s="125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25">
        <f>IF(AND(H443=TRUE,I443=FALSE),Q443,0)</f>
        <v/>
      </c>
      <c r="S443" s="125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26">
        <f>IF(U443=TRUE,$J443,"")</f>
        <v/>
      </c>
      <c r="U443" s="124" t="b">
        <v>0</v>
      </c>
      <c r="V443" s="125">
        <f>IF(AND(H443=TRUE,OR(K443="",K443&gt;M443)),S443,0)</f>
        <v/>
      </c>
      <c r="W443" s="124" t="n">
        <v>0</v>
      </c>
      <c r="X443" s="124" t="b">
        <v>0</v>
      </c>
      <c r="Y443" s="127">
        <f>IF(H443=FALSE,VLOOKUP($C443,Sales!$C:$F,4,FALSE),1)</f>
        <v/>
      </c>
      <c r="Z443" s="124">
        <f>IF(Y443=0,"Release",IF(AND(L443&lt;J443,Y443=1,H443=FALSE,U443=FALSE,MONTH(L443)&amp;"/"&amp;YEAR(L443)&lt;&gt;MONTH(J443)&amp;"/"&amp;YEAR(J443)),"Release",""))</f>
        <v/>
      </c>
      <c r="AA443" s="128">
        <f>_xlfn.minifs($L:$L,$C:$C,$C443,$F:$F,"&lt;&gt;0")</f>
        <v/>
      </c>
      <c r="AB443" s="128">
        <f>C443&amp;"-"&amp;A443</f>
        <v/>
      </c>
      <c r="AC443" s="128">
        <f>L443</f>
        <v/>
      </c>
    </row>
    <row r="444">
      <c r="A444" s="124" t="inlineStr">
        <is>
          <t>ZKRO01</t>
        </is>
      </c>
      <c r="B444" s="124" t="n">
        <v>4</v>
      </c>
      <c r="C444" s="124" t="inlineStr">
        <is>
          <t>HVK403</t>
        </is>
      </c>
      <c r="D444" s="124" t="inlineStr">
        <is>
          <t>K</t>
        </is>
      </c>
      <c r="E444" s="124" t="inlineStr">
        <is>
          <t>van der Merwe Frans</t>
        </is>
      </c>
      <c r="F444" s="125">
        <f>SUMIFS(Investors!$M:$M, Investors!$I:$I, "&lt;=" &amp; 'NSST Print'!$B$3, Investors!$K:$K, "&gt;" &amp; 'NSST Print'!$B$3, Investors!$A:$A, 'Investor Exit List'!A444, Investors!$E:$E, 'Investor Exit List'!C444)</f>
        <v/>
      </c>
      <c r="G444" s="126" t="n">
        <v>45072</v>
      </c>
      <c r="H444" s="124">
        <f>VLOOKUP($C444,Sales!$C:$E,2,FALSE)</f>
        <v/>
      </c>
      <c r="I444" s="124">
        <f>VLOOKUP($C444,Sales!$C:$E,3,FALSE)</f>
        <v/>
      </c>
      <c r="J444" s="126">
        <f>SUMIFS(Sales!$H:$H,Sales!$C:$C,'Investor Exit List'!$C444)</f>
        <v/>
      </c>
      <c r="K444" s="126">
        <f>IF(I444=TRUE,J444,"")</f>
        <v/>
      </c>
      <c r="L444" s="126">
        <f>G444+730</f>
        <v/>
      </c>
      <c r="M444" s="126" t="n">
        <v>45443</v>
      </c>
      <c r="N444" s="127">
        <f>IFERROR(IF(G444&lt;&gt;"",IF(I444=TRUE,0,IF(U444=TRUE,0,L444-M444)),0),0)</f>
        <v/>
      </c>
      <c r="O444" s="127">
        <f>IF(N444&gt;0,IF(N444&lt;=180,N444,0),0)</f>
        <v/>
      </c>
      <c r="P444" s="125">
        <f>IF(AND(N444&lt;90,N444&gt;0),Q444,0)</f>
        <v/>
      </c>
      <c r="Q444" s="125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25">
        <f>IF(AND(H444=TRUE,I444=FALSE),Q444,0)</f>
        <v/>
      </c>
      <c r="S444" s="125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26">
        <f>IF(U444=TRUE,$J444,"")</f>
        <v/>
      </c>
      <c r="U444" s="124" t="b">
        <v>0</v>
      </c>
      <c r="V444" s="125">
        <f>IF(AND(H444=TRUE,OR(K444="",K444&gt;M444)),S444,0)</f>
        <v/>
      </c>
      <c r="W444" s="124" t="n">
        <v>0</v>
      </c>
      <c r="X444" s="124" t="b">
        <v>0</v>
      </c>
      <c r="Y444" s="127">
        <f>IF(H444=FALSE,VLOOKUP($C444,Sales!$C:$F,4,FALSE),1)</f>
        <v/>
      </c>
      <c r="Z444" s="124">
        <f>IF(Y444=0,"Release",IF(AND(L444&lt;J444,Y444=1,H444=FALSE,U444=FALSE,MONTH(L444)&amp;"/"&amp;YEAR(L444)&lt;&gt;MONTH(J444)&amp;"/"&amp;YEAR(J444)),"Release",""))</f>
        <v/>
      </c>
      <c r="AA444" s="128">
        <f>_xlfn.minifs($L:$L,$C:$C,$C444,$F:$F,"&lt;&gt;0")</f>
        <v/>
      </c>
      <c r="AB444" s="128">
        <f>C444&amp;"-"&amp;A444</f>
        <v/>
      </c>
      <c r="AC444" s="128">
        <f>L444</f>
        <v/>
      </c>
    </row>
    <row r="445">
      <c r="A445" s="124" t="inlineStr">
        <is>
          <t>ZLUN01</t>
        </is>
      </c>
      <c r="B445" s="124" t="n">
        <v>7</v>
      </c>
      <c r="C445" s="124" t="inlineStr">
        <is>
          <t>HVK403</t>
        </is>
      </c>
      <c r="D445" s="124" t="inlineStr">
        <is>
          <t>K</t>
        </is>
      </c>
      <c r="E445" s="124" t="inlineStr">
        <is>
          <t>Lunau Marc</t>
        </is>
      </c>
      <c r="F445" s="125">
        <f>SUMIFS(Investors!$M:$M, Investors!$I:$I, "&lt;=" &amp; 'NSST Print'!$B$3, Investors!$K:$K, "&gt;" &amp; 'NSST Print'!$B$3, Investors!$A:$A, 'Investor Exit List'!A445, Investors!$E:$E, 'Investor Exit List'!C445)</f>
        <v/>
      </c>
      <c r="G445" s="126" t="n">
        <v>45107</v>
      </c>
      <c r="H445" s="124">
        <f>VLOOKUP($C445,Sales!$C:$E,2,FALSE)</f>
        <v/>
      </c>
      <c r="I445" s="124">
        <f>VLOOKUP($C445,Sales!$C:$E,3,FALSE)</f>
        <v/>
      </c>
      <c r="J445" s="126">
        <f>SUMIFS(Sales!$H:$H,Sales!$C:$C,'Investor Exit List'!$C445)</f>
        <v/>
      </c>
      <c r="K445" s="126">
        <f>IF(I445=TRUE,J445,"")</f>
        <v/>
      </c>
      <c r="L445" s="126">
        <f>G445+730</f>
        <v/>
      </c>
      <c r="M445" s="126" t="n">
        <v>45443</v>
      </c>
      <c r="N445" s="127">
        <f>IFERROR(IF(G445&lt;&gt;"",IF(I445=TRUE,0,IF(U445=TRUE,0,L445-M445)),0),0)</f>
        <v/>
      </c>
      <c r="O445" s="127">
        <f>IF(N445&gt;0,IF(N445&lt;=180,N445,0),0)</f>
        <v/>
      </c>
      <c r="P445" s="125">
        <f>IF(AND(N445&lt;90,N445&gt;0),Q445,0)</f>
        <v/>
      </c>
      <c r="Q445" s="125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25">
        <f>IF(AND(H445=TRUE,I445=FALSE),Q445,0)</f>
        <v/>
      </c>
      <c r="S445" s="125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26">
        <f>IF(U445=TRUE,$J445,"")</f>
        <v/>
      </c>
      <c r="U445" s="124" t="b">
        <v>0</v>
      </c>
      <c r="V445" s="125">
        <f>IF(AND(H445=TRUE,OR(K445="",K445&gt;M445)),S445,0)</f>
        <v/>
      </c>
      <c r="W445" s="124" t="n">
        <v>0</v>
      </c>
      <c r="X445" s="124" t="b">
        <v>0</v>
      </c>
      <c r="Y445" s="127">
        <f>IF(H445=FALSE,VLOOKUP($C445,Sales!$C:$F,4,FALSE),1)</f>
        <v/>
      </c>
      <c r="Z445" s="124">
        <f>IF(Y445=0,"Release",IF(AND(L445&lt;J445,Y445=1,H445=FALSE,U445=FALSE,MONTH(L445)&amp;"/"&amp;YEAR(L445)&lt;&gt;MONTH(J445)&amp;"/"&amp;YEAR(J445)),"Release",""))</f>
        <v/>
      </c>
      <c r="AA445" s="128">
        <f>_xlfn.minifs($L:$L,$C:$C,$C445,$F:$F,"&lt;&gt;0")</f>
        <v/>
      </c>
      <c r="AB445" s="128">
        <f>C445&amp;"-"&amp;A445</f>
        <v/>
      </c>
      <c r="AC445" s="128">
        <f>L445</f>
        <v/>
      </c>
    </row>
    <row r="446">
      <c r="A446" s="124" t="inlineStr">
        <is>
          <t>ZMCK01</t>
        </is>
      </c>
      <c r="B446" s="124" t="n">
        <v>4</v>
      </c>
      <c r="C446" s="124" t="inlineStr">
        <is>
          <t>HVK403</t>
        </is>
      </c>
      <c r="D446" s="124" t="inlineStr">
        <is>
          <t>K</t>
        </is>
      </c>
      <c r="E446" s="124" t="inlineStr">
        <is>
          <t>MacKenzie-Jones Caitlin</t>
        </is>
      </c>
      <c r="F446" s="125">
        <f>SUMIFS(Investors!$M:$M, Investors!$I:$I, "&lt;=" &amp; 'NSST Print'!$B$3, Investors!$K:$K, "&gt;" &amp; 'NSST Print'!$B$3, Investors!$A:$A, 'Investor Exit List'!A446, Investors!$E:$E, 'Investor Exit List'!C446)</f>
        <v/>
      </c>
      <c r="G446" s="126" t="n">
        <v>45072</v>
      </c>
      <c r="H446" s="124">
        <f>VLOOKUP($C446,Sales!$C:$E,2,FALSE)</f>
        <v/>
      </c>
      <c r="I446" s="124">
        <f>VLOOKUP($C446,Sales!$C:$E,3,FALSE)</f>
        <v/>
      </c>
      <c r="J446" s="126">
        <f>SUMIFS(Sales!$H:$H,Sales!$C:$C,'Investor Exit List'!$C446)</f>
        <v/>
      </c>
      <c r="K446" s="126">
        <f>IF(I446=TRUE,J446,"")</f>
        <v/>
      </c>
      <c r="L446" s="126">
        <f>G446+730</f>
        <v/>
      </c>
      <c r="M446" s="126" t="n">
        <v>45443</v>
      </c>
      <c r="N446" s="127">
        <f>IFERROR(IF(G446&lt;&gt;"",IF(I446=TRUE,0,IF(U446=TRUE,0,L446-M446)),0),0)</f>
        <v/>
      </c>
      <c r="O446" s="127">
        <f>IF(N446&gt;0,IF(N446&lt;=180,N446,0),0)</f>
        <v/>
      </c>
      <c r="P446" s="125">
        <f>IF(AND(N446&lt;90,N446&gt;0),Q446,0)</f>
        <v/>
      </c>
      <c r="Q446" s="125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25">
        <f>IF(AND(H446=TRUE,I446=FALSE),Q446,0)</f>
        <v/>
      </c>
      <c r="S446" s="125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26">
        <f>IF(U446=TRUE,$J446,"")</f>
        <v/>
      </c>
      <c r="U446" s="124" t="b">
        <v>0</v>
      </c>
      <c r="V446" s="125">
        <f>IF(AND(H446=TRUE,OR(K446="",K446&gt;M446)),S446,0)</f>
        <v/>
      </c>
      <c r="W446" s="124" t="n">
        <v>0</v>
      </c>
      <c r="X446" s="124" t="b">
        <v>0</v>
      </c>
      <c r="Y446" s="127">
        <f>IF(H446=FALSE,VLOOKUP($C446,Sales!$C:$F,4,FALSE),1)</f>
        <v/>
      </c>
      <c r="Z446" s="124">
        <f>IF(Y446=0,"Release",IF(AND(L446&lt;J446,Y446=1,H446=FALSE,U446=FALSE,MONTH(L446)&amp;"/"&amp;YEAR(L446)&lt;&gt;MONTH(J446)&amp;"/"&amp;YEAR(J446)),"Release",""))</f>
        <v/>
      </c>
      <c r="AA446" s="128">
        <f>_xlfn.minifs($L:$L,$C:$C,$C446,$F:$F,"&lt;&gt;0")</f>
        <v/>
      </c>
      <c r="AB446" s="128">
        <f>C446&amp;"-"&amp;A446</f>
        <v/>
      </c>
      <c r="AC446" s="128">
        <f>L446</f>
        <v/>
      </c>
    </row>
    <row r="447">
      <c r="A447" s="124" t="inlineStr">
        <is>
          <t>ZTHA01</t>
        </is>
      </c>
      <c r="B447" s="124" t="n">
        <v>3</v>
      </c>
      <c r="C447" s="124" t="inlineStr">
        <is>
          <t>HVK403</t>
        </is>
      </c>
      <c r="D447" s="124" t="inlineStr">
        <is>
          <t>K</t>
        </is>
      </c>
      <c r="E447" s="124" t="inlineStr">
        <is>
          <t>Matthee Gerald Adriaan Odendal</t>
        </is>
      </c>
      <c r="F447" s="125">
        <f>SUMIFS(Investors!$M:$M, Investors!$I:$I, "&lt;=" &amp; 'NSST Print'!$B$3, Investors!$K:$K, "&gt;" &amp; 'NSST Print'!$B$3, Investors!$A:$A, 'Investor Exit List'!A447, Investors!$E:$E, 'Investor Exit List'!C447)</f>
        <v/>
      </c>
      <c r="G447" s="126" t="n">
        <v>45008</v>
      </c>
      <c r="H447" s="124">
        <f>VLOOKUP($C447,Sales!$C:$E,2,FALSE)</f>
        <v/>
      </c>
      <c r="I447" s="124">
        <f>VLOOKUP($C447,Sales!$C:$E,3,FALSE)</f>
        <v/>
      </c>
      <c r="J447" s="126">
        <f>SUMIFS(Sales!$H:$H,Sales!$C:$C,'Investor Exit List'!$C447)</f>
        <v/>
      </c>
      <c r="K447" s="126">
        <f>IF(I447=TRUE,J447,"")</f>
        <v/>
      </c>
      <c r="L447" s="126">
        <f>G447+730</f>
        <v/>
      </c>
      <c r="M447" s="126" t="n">
        <v>45443</v>
      </c>
      <c r="N447" s="127">
        <f>IFERROR(IF(G447&lt;&gt;"",IF(I447=TRUE,0,IF(U447=TRUE,0,L447-M447)),0),0)</f>
        <v/>
      </c>
      <c r="O447" s="127">
        <f>IF(N447&gt;0,IF(N447&lt;=180,N447,0),0)</f>
        <v/>
      </c>
      <c r="P447" s="125">
        <f>IF(AND(N447&lt;90,N447&gt;0),Q447,0)</f>
        <v/>
      </c>
      <c r="Q447" s="125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25">
        <f>IF(AND(H447=TRUE,I447=FALSE),Q447,0)</f>
        <v/>
      </c>
      <c r="S447" s="125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26">
        <f>IF(U447=TRUE,$J447,"")</f>
        <v/>
      </c>
      <c r="U447" s="124" t="b">
        <v>0</v>
      </c>
      <c r="V447" s="125">
        <f>IF(AND(H447=TRUE,OR(K447="",K447&gt;M447)),S447,0)</f>
        <v/>
      </c>
      <c r="W447" s="124" t="n">
        <v>0</v>
      </c>
      <c r="X447" s="124" t="b">
        <v>0</v>
      </c>
      <c r="Y447" s="127">
        <f>IF(H447=FALSE,VLOOKUP($C447,Sales!$C:$F,4,FALSE),1)</f>
        <v/>
      </c>
      <c r="Z447" s="124">
        <f>IF(Y447=0,"Release",IF(AND(L447&lt;J447,Y447=1,H447=FALSE,U447=FALSE,MONTH(L447)&amp;"/"&amp;YEAR(L447)&lt;&gt;MONTH(J447)&amp;"/"&amp;YEAR(J447)),"Release",""))</f>
        <v/>
      </c>
      <c r="AA447" s="128">
        <f>_xlfn.minifs($L:$L,$C:$C,$C447,$F:$F,"&lt;&gt;0")</f>
        <v/>
      </c>
      <c r="AB447" s="128">
        <f>C447&amp;"-"&amp;A447</f>
        <v/>
      </c>
      <c r="AC447" s="128">
        <f>L447</f>
        <v/>
      </c>
    </row>
    <row r="448">
      <c r="A448" s="124" t="inlineStr">
        <is>
          <t>ZMCK01</t>
        </is>
      </c>
      <c r="B448" s="124" t="n">
        <v>5</v>
      </c>
      <c r="C448" s="124" t="inlineStr">
        <is>
          <t>HVK404</t>
        </is>
      </c>
      <c r="D448" s="124" t="inlineStr">
        <is>
          <t>K</t>
        </is>
      </c>
      <c r="E448" s="124" t="inlineStr">
        <is>
          <t>MacKenzie-Jones Caitlin</t>
        </is>
      </c>
      <c r="F448" s="125">
        <f>SUMIFS(Investors!$M:$M, Investors!$I:$I, "&lt;=" &amp; 'NSST Print'!$B$3, Investors!$K:$K, "&gt;" &amp; 'NSST Print'!$B$3, Investors!$A:$A, 'Investor Exit List'!A448, Investors!$E:$E, 'Investor Exit List'!C448)</f>
        <v/>
      </c>
      <c r="G448" s="126" t="n">
        <v>45072</v>
      </c>
      <c r="H448" s="124">
        <f>VLOOKUP($C448,Sales!$C:$E,2,FALSE)</f>
        <v/>
      </c>
      <c r="I448" s="124">
        <f>VLOOKUP($C448,Sales!$C:$E,3,FALSE)</f>
        <v/>
      </c>
      <c r="J448" s="126">
        <f>SUMIFS(Sales!$H:$H,Sales!$C:$C,'Investor Exit List'!$C448)</f>
        <v/>
      </c>
      <c r="K448" s="126">
        <f>IF(I448=TRUE,J448,"")</f>
        <v/>
      </c>
      <c r="L448" s="126">
        <f>G448+730</f>
        <v/>
      </c>
      <c r="M448" s="126" t="n">
        <v>45443</v>
      </c>
      <c r="N448" s="127">
        <f>IFERROR(IF(G448&lt;&gt;"",IF(I448=TRUE,0,IF(U448=TRUE,0,L448-M448)),0),0)</f>
        <v/>
      </c>
      <c r="O448" s="127">
        <f>IF(N448&gt;0,IF(N448&lt;=180,N448,0),0)</f>
        <v/>
      </c>
      <c r="P448" s="125">
        <f>IF(AND(N448&lt;90,N448&gt;0),Q448,0)</f>
        <v/>
      </c>
      <c r="Q448" s="125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25">
        <f>IF(AND(H448=TRUE,I448=FALSE),Q448,0)</f>
        <v/>
      </c>
      <c r="S448" s="125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26">
        <f>IF(U448=TRUE,$J448,"")</f>
        <v/>
      </c>
      <c r="U448" s="124" t="b">
        <v>0</v>
      </c>
      <c r="V448" s="125">
        <f>IF(AND(H448=TRUE,OR(K448="",K448&gt;M448)),S448,0)</f>
        <v/>
      </c>
      <c r="W448" s="124" t="n">
        <v>0</v>
      </c>
      <c r="X448" s="124" t="b">
        <v>0</v>
      </c>
      <c r="Y448" s="127">
        <f>IF(H448=FALSE,VLOOKUP($C448,Sales!$C:$F,4,FALSE),1)</f>
        <v/>
      </c>
      <c r="Z448" s="124">
        <f>IF(Y448=0,"Release",IF(AND(L448&lt;J448,Y448=1,H448=FALSE,U448=FALSE,MONTH(L448)&amp;"/"&amp;YEAR(L448)&lt;&gt;MONTH(J448)&amp;"/"&amp;YEAR(J448)),"Release",""))</f>
        <v/>
      </c>
      <c r="AA448" s="128">
        <f>_xlfn.minifs($L:$L,$C:$C,$C448,$F:$F,"&lt;&gt;0")</f>
        <v/>
      </c>
      <c r="AB448" s="128">
        <f>C448&amp;"-"&amp;A448</f>
        <v/>
      </c>
      <c r="AC448" s="128">
        <f>L448</f>
        <v/>
      </c>
    </row>
    <row r="449">
      <c r="A449" s="124" t="inlineStr">
        <is>
          <t>ZVAN15</t>
        </is>
      </c>
      <c r="B449" s="124" t="n">
        <v>1</v>
      </c>
      <c r="C449" s="124" t="inlineStr">
        <is>
          <t>HVK405</t>
        </is>
      </c>
      <c r="D449" s="124" t="inlineStr">
        <is>
          <t>K</t>
        </is>
      </c>
      <c r="E449" s="124" t="inlineStr">
        <is>
          <t>van Vuren Clifford Roy</t>
        </is>
      </c>
      <c r="F449" s="125">
        <f>SUMIFS(Investors!$M:$M, Investors!$I:$I, "&lt;=" &amp; 'NSST Print'!$B$3, Investors!$K:$K, "&gt;" &amp; 'NSST Print'!$B$3, Investors!$A:$A, 'Investor Exit List'!A449, Investors!$E:$E, 'Investor Exit List'!C449)</f>
        <v/>
      </c>
      <c r="G449" s="126" t="n">
        <v>45072</v>
      </c>
      <c r="H449" s="124">
        <f>VLOOKUP($C449,Sales!$C:$E,2,FALSE)</f>
        <v/>
      </c>
      <c r="I449" s="124">
        <f>VLOOKUP($C449,Sales!$C:$E,3,FALSE)</f>
        <v/>
      </c>
      <c r="J449" s="126">
        <f>SUMIFS(Sales!$H:$H,Sales!$C:$C,'Investor Exit List'!$C449)</f>
        <v/>
      </c>
      <c r="K449" s="126">
        <f>IF(I449=TRUE,J449,"")</f>
        <v/>
      </c>
      <c r="L449" s="126">
        <f>G449+730</f>
        <v/>
      </c>
      <c r="M449" s="126" t="n">
        <v>45443</v>
      </c>
      <c r="N449" s="127">
        <f>IFERROR(IF(G449&lt;&gt;"",IF(I449=TRUE,0,IF(U449=TRUE,0,L449-M449)),0),0)</f>
        <v/>
      </c>
      <c r="O449" s="127">
        <f>IF(N449&gt;0,IF(N449&lt;=180,N449,0),0)</f>
        <v/>
      </c>
      <c r="P449" s="125">
        <f>IF(AND(N449&lt;90,N449&gt;0),Q449,0)</f>
        <v/>
      </c>
      <c r="Q449" s="125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25">
        <f>IF(AND(H449=TRUE,I449=FALSE),Q449,0)</f>
        <v/>
      </c>
      <c r="S449" s="125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26">
        <f>IF(U449=TRUE,$J449,"")</f>
        <v/>
      </c>
      <c r="U449" s="124" t="b">
        <v>0</v>
      </c>
      <c r="V449" s="125">
        <f>IF(AND(H449=TRUE,OR(K449="",K449&gt;M449)),S449,0)</f>
        <v/>
      </c>
      <c r="W449" s="124" t="n">
        <v>0</v>
      </c>
      <c r="X449" s="124" t="b">
        <v>0</v>
      </c>
      <c r="Y449" s="127">
        <f>IF(H449=FALSE,VLOOKUP($C449,Sales!$C:$F,4,FALSE),1)</f>
        <v/>
      </c>
      <c r="Z449" s="124">
        <f>IF(Y449=0,"Release",IF(AND(L449&lt;J449,Y449=1,H449=FALSE,U449=FALSE,MONTH(L449)&amp;"/"&amp;YEAR(L449)&lt;&gt;MONTH(J449)&amp;"/"&amp;YEAR(J449)),"Release",""))</f>
        <v/>
      </c>
      <c r="AA449" s="128">
        <f>_xlfn.minifs($L:$L,$C:$C,$C449,$F:$F,"&lt;&gt;0")</f>
        <v/>
      </c>
      <c r="AB449" s="128">
        <f>C449&amp;"-"&amp;A449</f>
        <v/>
      </c>
      <c r="AC449" s="128">
        <f>L449</f>
        <v/>
      </c>
    </row>
    <row r="450">
      <c r="A450" s="124" t="inlineStr">
        <is>
          <t>ZVER02</t>
        </is>
      </c>
      <c r="B450" s="124" t="n">
        <v>5</v>
      </c>
      <c r="C450" s="124" t="inlineStr">
        <is>
          <t>HVK405</t>
        </is>
      </c>
      <c r="D450" s="124" t="inlineStr">
        <is>
          <t>K</t>
        </is>
      </c>
      <c r="E450" s="124" t="inlineStr">
        <is>
          <t>Verhaeghe Jean-Jacques EP</t>
        </is>
      </c>
      <c r="F450" s="125">
        <f>SUMIFS(Investors!$M:$M, Investors!$I:$I, "&lt;=" &amp; 'NSST Print'!$B$3, Investors!$K:$K, "&gt;" &amp; 'NSST Print'!$B$3, Investors!$A:$A, 'Investor Exit List'!A450, Investors!$E:$E, 'Investor Exit List'!C450)</f>
        <v/>
      </c>
      <c r="G450" s="126" t="n">
        <v>45072</v>
      </c>
      <c r="H450" s="124">
        <f>VLOOKUP($C450,Sales!$C:$E,2,FALSE)</f>
        <v/>
      </c>
      <c r="I450" s="124">
        <f>VLOOKUP($C450,Sales!$C:$E,3,FALSE)</f>
        <v/>
      </c>
      <c r="J450" s="126">
        <f>SUMIFS(Sales!$H:$H,Sales!$C:$C,'Investor Exit List'!$C450)</f>
        <v/>
      </c>
      <c r="K450" s="126">
        <f>IF(I450=TRUE,J450,"")</f>
        <v/>
      </c>
      <c r="L450" s="126">
        <f>G450+730</f>
        <v/>
      </c>
      <c r="M450" s="126" t="n">
        <v>45443</v>
      </c>
      <c r="N450" s="127">
        <f>IFERROR(IF(G450&lt;&gt;"",IF(I450=TRUE,0,IF(U450=TRUE,0,L450-M450)),0),0)</f>
        <v/>
      </c>
      <c r="O450" s="127">
        <f>IF(N450&gt;0,IF(N450&lt;=180,N450,0),0)</f>
        <v/>
      </c>
      <c r="P450" s="125">
        <f>IF(AND(N450&lt;90,N450&gt;0),Q450,0)</f>
        <v/>
      </c>
      <c r="Q450" s="125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25">
        <f>IF(AND(H450=TRUE,I450=FALSE),Q450,0)</f>
        <v/>
      </c>
      <c r="S450" s="125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26">
        <f>IF(U450=TRUE,$J450,"")</f>
        <v/>
      </c>
      <c r="U450" s="124" t="b">
        <v>0</v>
      </c>
      <c r="V450" s="125">
        <f>IF(AND(H450=TRUE,OR(K450="",K450&gt;M450)),S450,0)</f>
        <v/>
      </c>
      <c r="W450" s="124" t="n">
        <v>0</v>
      </c>
      <c r="X450" s="124" t="b">
        <v>0</v>
      </c>
      <c r="Y450" s="127">
        <f>IF(H450=FALSE,VLOOKUP($C450,Sales!$C:$F,4,FALSE),1)</f>
        <v/>
      </c>
      <c r="Z450" s="124">
        <f>IF(Y450=0,"Release",IF(AND(L450&lt;J450,Y450=1,H450=FALSE,U450=FALSE,MONTH(L450)&amp;"/"&amp;YEAR(L450)&lt;&gt;MONTH(J450)&amp;"/"&amp;YEAR(J450)),"Release",""))</f>
        <v/>
      </c>
      <c r="AA450" s="128">
        <f>_xlfn.minifs($L:$L,$C:$C,$C450,$F:$F,"&lt;&gt;0")</f>
        <v/>
      </c>
      <c r="AB450" s="128">
        <f>C450&amp;"-"&amp;A450</f>
        <v/>
      </c>
      <c r="AC450" s="128">
        <f>L450</f>
        <v/>
      </c>
    </row>
    <row r="451">
      <c r="A451" s="124" t="inlineStr">
        <is>
          <t>ZVAN13</t>
        </is>
      </c>
      <c r="B451" s="124" t="n">
        <v>2</v>
      </c>
      <c r="C451" s="124" t="inlineStr">
        <is>
          <t>HVK406</t>
        </is>
      </c>
      <c r="D451" s="124" t="inlineStr">
        <is>
          <t>K</t>
        </is>
      </c>
      <c r="E451" s="124" t="inlineStr">
        <is>
          <t>van der Spuy Gian</t>
        </is>
      </c>
      <c r="F451" s="125">
        <f>SUMIFS(Investors!$M:$M, Investors!$I:$I, "&lt;=" &amp; 'NSST Print'!$B$3, Investors!$K:$K, "&gt;" &amp; 'NSST Print'!$B$3, Investors!$A:$A, 'Investor Exit List'!A451, Investors!$E:$E, 'Investor Exit List'!C451)</f>
        <v/>
      </c>
      <c r="G451" s="126" t="n">
        <v>45016</v>
      </c>
      <c r="H451" s="124">
        <f>VLOOKUP($C451,Sales!$C:$E,2,FALSE)</f>
        <v/>
      </c>
      <c r="I451" s="124">
        <f>VLOOKUP($C451,Sales!$C:$E,3,FALSE)</f>
        <v/>
      </c>
      <c r="J451" s="126">
        <f>SUMIFS(Sales!$H:$H,Sales!$C:$C,'Investor Exit List'!$C451)</f>
        <v/>
      </c>
      <c r="K451" s="126">
        <f>IF(I451=TRUE,J451,"")</f>
        <v/>
      </c>
      <c r="L451" s="126">
        <f>G451+730</f>
        <v/>
      </c>
      <c r="M451" s="126" t="n">
        <v>45443</v>
      </c>
      <c r="N451" s="127">
        <f>IFERROR(IF(G451&lt;&gt;"",IF(I451=TRUE,0,IF(U451=TRUE,0,L451-M451)),0),0)</f>
        <v/>
      </c>
      <c r="O451" s="127">
        <f>IF(N451&gt;0,IF(N451&lt;=180,N451,0),0)</f>
        <v/>
      </c>
      <c r="P451" s="125">
        <f>IF(AND(N451&lt;90,N451&gt;0),Q451,0)</f>
        <v/>
      </c>
      <c r="Q451" s="125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25">
        <f>IF(AND(H451=TRUE,I451=FALSE),Q451,0)</f>
        <v/>
      </c>
      <c r="S451" s="125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26">
        <f>IF(U451=TRUE,$J451,"")</f>
        <v/>
      </c>
      <c r="U451" s="124" t="b">
        <v>0</v>
      </c>
      <c r="V451" s="125">
        <f>IF(AND(H451=TRUE,OR(K451="",K451&gt;M451)),S451,0)</f>
        <v/>
      </c>
      <c r="W451" s="124" t="n">
        <v>0</v>
      </c>
      <c r="X451" s="124" t="b">
        <v>0</v>
      </c>
      <c r="Y451" s="127">
        <f>IF(H451=FALSE,VLOOKUP($C451,Sales!$C:$F,4,FALSE),1)</f>
        <v/>
      </c>
      <c r="Z451" s="124">
        <f>IF(Y451=0,"Release",IF(AND(L451&lt;J451,Y451=1,H451=FALSE,U451=FALSE,MONTH(L451)&amp;"/"&amp;YEAR(L451)&lt;&gt;MONTH(J451)&amp;"/"&amp;YEAR(J451)),"Release",""))</f>
        <v/>
      </c>
      <c r="AA451" s="128">
        <f>_xlfn.minifs($L:$L,$C:$C,$C451,$F:$F,"&lt;&gt;0")</f>
        <v/>
      </c>
      <c r="AB451" s="128">
        <f>C451&amp;"-"&amp;A451</f>
        <v/>
      </c>
      <c r="AC451" s="128">
        <f>L451</f>
        <v/>
      </c>
    </row>
    <row r="452">
      <c r="A452" s="124" t="inlineStr">
        <is>
          <t>ZVAN14</t>
        </is>
      </c>
      <c r="B452" s="124" t="n">
        <v>2</v>
      </c>
      <c r="C452" s="124" t="inlineStr">
        <is>
          <t>HVK406</t>
        </is>
      </c>
      <c r="D452" s="124" t="inlineStr">
        <is>
          <t>K</t>
        </is>
      </c>
      <c r="E452" s="124" t="inlineStr">
        <is>
          <t>van der Spuy Dorothy Anne</t>
        </is>
      </c>
      <c r="F452" s="125">
        <f>SUMIFS(Investors!$M:$M, Investors!$I:$I, "&lt;=" &amp; 'NSST Print'!$B$3, Investors!$K:$K, "&gt;" &amp; 'NSST Print'!$B$3, Investors!$A:$A, 'Investor Exit List'!A452, Investors!$E:$E, 'Investor Exit List'!C452)</f>
        <v/>
      </c>
      <c r="G452" s="126" t="n">
        <v>45016</v>
      </c>
      <c r="H452" s="124">
        <f>VLOOKUP($C452,Sales!$C:$E,2,FALSE)</f>
        <v/>
      </c>
      <c r="I452" s="124">
        <f>VLOOKUP($C452,Sales!$C:$E,3,FALSE)</f>
        <v/>
      </c>
      <c r="J452" s="126">
        <f>SUMIFS(Sales!$H:$H,Sales!$C:$C,'Investor Exit List'!$C452)</f>
        <v/>
      </c>
      <c r="K452" s="126">
        <f>IF(I452=TRUE,J452,"")</f>
        <v/>
      </c>
      <c r="L452" s="126">
        <f>G452+730</f>
        <v/>
      </c>
      <c r="M452" s="126" t="n">
        <v>45443</v>
      </c>
      <c r="N452" s="127">
        <f>IFERROR(IF(G452&lt;&gt;"",IF(I452=TRUE,0,IF(U452=TRUE,0,L452-M452)),0),0)</f>
        <v/>
      </c>
      <c r="O452" s="127">
        <f>IF(N452&gt;0,IF(N452&lt;=180,N452,0),0)</f>
        <v/>
      </c>
      <c r="P452" s="125">
        <f>IF(AND(N452&lt;90,N452&gt;0),Q452,0)</f>
        <v/>
      </c>
      <c r="Q452" s="125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25">
        <f>IF(AND(H452=TRUE,I452=FALSE),Q452,0)</f>
        <v/>
      </c>
      <c r="S452" s="125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26">
        <f>IF(U452=TRUE,$J452,"")</f>
        <v/>
      </c>
      <c r="U452" s="124" t="b">
        <v>0</v>
      </c>
      <c r="V452" s="125">
        <f>IF(AND(H452=TRUE,OR(K452="",K452&gt;M452)),S452,0)</f>
        <v/>
      </c>
      <c r="W452" s="124" t="n">
        <v>0</v>
      </c>
      <c r="X452" s="124" t="b">
        <v>0</v>
      </c>
      <c r="Y452" s="127">
        <f>IF(H452=FALSE,VLOOKUP($C452,Sales!$C:$F,4,FALSE),1)</f>
        <v/>
      </c>
      <c r="Z452" s="124">
        <f>IF(Y452=0,"Release",IF(AND(L452&lt;J452,Y452=1,H452=FALSE,U452=FALSE,MONTH(L452)&amp;"/"&amp;YEAR(L452)&lt;&gt;MONTH(J452)&amp;"/"&amp;YEAR(J452)),"Release",""))</f>
        <v/>
      </c>
      <c r="AA452" s="128">
        <f>_xlfn.minifs($L:$L,$C:$C,$C452,$F:$F,"&lt;&gt;0")</f>
        <v/>
      </c>
      <c r="AB452" s="128">
        <f>C452&amp;"-"&amp;A452</f>
        <v/>
      </c>
      <c r="AC452" s="128">
        <f>L452</f>
        <v/>
      </c>
    </row>
    <row r="453">
      <c r="A453" s="124" t="inlineStr">
        <is>
          <t>ZVOL01</t>
        </is>
      </c>
      <c r="B453" s="124" t="n">
        <v>5</v>
      </c>
      <c r="C453" s="124" t="inlineStr">
        <is>
          <t>HVK406</t>
        </is>
      </c>
      <c r="D453" s="124" t="inlineStr">
        <is>
          <t>K</t>
        </is>
      </c>
      <c r="E453" s="124" t="inlineStr">
        <is>
          <t>Volschenk Gideon Cornelius</t>
        </is>
      </c>
      <c r="F453" s="125">
        <f>SUMIFS(Investors!$M:$M, Investors!$I:$I, "&lt;=" &amp; 'NSST Print'!$B$3, Investors!$K:$K, "&gt;" &amp; 'NSST Print'!$B$3, Investors!$A:$A, 'Investor Exit List'!A453, Investors!$E:$E, 'Investor Exit List'!C453)</f>
        <v/>
      </c>
      <c r="G453" s="126" t="n">
        <v>45016</v>
      </c>
      <c r="H453" s="124">
        <f>VLOOKUP($C453,Sales!$C:$E,2,FALSE)</f>
        <v/>
      </c>
      <c r="I453" s="124">
        <f>VLOOKUP($C453,Sales!$C:$E,3,FALSE)</f>
        <v/>
      </c>
      <c r="J453" s="126">
        <f>SUMIFS(Sales!$H:$H,Sales!$C:$C,'Investor Exit List'!$C453)</f>
        <v/>
      </c>
      <c r="K453" s="126">
        <f>IF(I453=TRUE,J453,"")</f>
        <v/>
      </c>
      <c r="L453" s="126">
        <f>G453+730</f>
        <v/>
      </c>
      <c r="M453" s="126" t="n">
        <v>45443</v>
      </c>
      <c r="N453" s="127">
        <f>IFERROR(IF(G453&lt;&gt;"",IF(I453=TRUE,0,IF(U453=TRUE,0,L453-M453)),0),0)</f>
        <v/>
      </c>
      <c r="O453" s="127">
        <f>IF(N453&gt;0,IF(N453&lt;=180,N453,0),0)</f>
        <v/>
      </c>
      <c r="P453" s="125">
        <f>IF(AND(N453&lt;90,N453&gt;0),Q453,0)</f>
        <v/>
      </c>
      <c r="Q453" s="125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25">
        <f>IF(AND(H453=TRUE,I453=FALSE),Q453,0)</f>
        <v/>
      </c>
      <c r="S453" s="125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26">
        <f>IF(U453=TRUE,$J453,"")</f>
        <v/>
      </c>
      <c r="U453" s="124" t="b">
        <v>0</v>
      </c>
      <c r="V453" s="125">
        <f>IF(AND(H453=TRUE,OR(K453="",K453&gt;M453)),S453,0)</f>
        <v/>
      </c>
      <c r="W453" s="124" t="n">
        <v>0</v>
      </c>
      <c r="X453" s="124" t="b">
        <v>0</v>
      </c>
      <c r="Y453" s="127">
        <f>IF(H453=FALSE,VLOOKUP($C453,Sales!$C:$F,4,FALSE),1)</f>
        <v/>
      </c>
      <c r="Z453" s="124">
        <f>IF(Y453=0,"Release",IF(AND(L453&lt;J453,Y453=1,H453=FALSE,U453=FALSE,MONTH(L453)&amp;"/"&amp;YEAR(L453)&lt;&gt;MONTH(J453)&amp;"/"&amp;YEAR(J453)),"Release",""))</f>
        <v/>
      </c>
      <c r="AA453" s="128">
        <f>_xlfn.minifs($L:$L,$C:$C,$C453,$F:$F,"&lt;&gt;0")</f>
        <v/>
      </c>
      <c r="AB453" s="128">
        <f>C453&amp;"-"&amp;A453</f>
        <v/>
      </c>
      <c r="AC453" s="128">
        <f>L453</f>
        <v/>
      </c>
    </row>
    <row r="454">
      <c r="A454" s="124" t="inlineStr">
        <is>
          <t>ZMYB01</t>
        </is>
      </c>
      <c r="B454" s="124" t="n">
        <v>3</v>
      </c>
      <c r="C454" s="124" t="inlineStr">
        <is>
          <t>HVL101</t>
        </is>
      </c>
      <c r="D454" s="124" t="inlineStr">
        <is>
          <t>L</t>
        </is>
      </c>
      <c r="E454" s="124" t="inlineStr">
        <is>
          <t>Myburgh Hermanus Carel</t>
        </is>
      </c>
      <c r="F454" s="125">
        <f>SUMIFS(Investors!$M:$M, Investors!$I:$I, "&lt;=" &amp; 'NSST Print'!$B$3, Investors!$K:$K, "&gt;" &amp; 'NSST Print'!$B$3, Investors!$A:$A, 'Investor Exit List'!A454, Investors!$E:$E, 'Investor Exit List'!C454)</f>
        <v/>
      </c>
      <c r="G454" s="126" t="n">
        <v>45280</v>
      </c>
      <c r="H454" s="124">
        <f>VLOOKUP($C454,Sales!$C:$E,2,FALSE)</f>
        <v/>
      </c>
      <c r="I454" s="124">
        <f>VLOOKUP($C454,Sales!$C:$E,3,FALSE)</f>
        <v/>
      </c>
      <c r="J454" s="126">
        <f>SUMIFS(Sales!$H:$H,Sales!$C:$C,'Investor Exit List'!$C454)</f>
        <v/>
      </c>
      <c r="K454" s="126">
        <f>IF(I454=TRUE,J454,"")</f>
        <v/>
      </c>
      <c r="L454" s="126">
        <f>G454+730</f>
        <v/>
      </c>
      <c r="M454" s="126" t="n">
        <v>45443</v>
      </c>
      <c r="N454" s="127">
        <f>IFERROR(IF(G454&lt;&gt;"",IF(I454=TRUE,0,IF(U454=TRUE,0,L454-M454)),0),0)</f>
        <v/>
      </c>
      <c r="O454" s="127">
        <f>IF(N454&gt;0,IF(N454&lt;=180,N454,0),0)</f>
        <v/>
      </c>
      <c r="P454" s="125">
        <f>IF(AND(N454&lt;90,N454&gt;0),Q454,0)</f>
        <v/>
      </c>
      <c r="Q454" s="125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25">
        <f>IF(AND(H454=TRUE,I454=FALSE),Q454,0)</f>
        <v/>
      </c>
      <c r="S454" s="125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26">
        <f>IF(U454=TRUE,$J454,"")</f>
        <v/>
      </c>
      <c r="U454" s="124" t="b">
        <v>0</v>
      </c>
      <c r="V454" s="125">
        <f>IF(AND(H454=TRUE,OR(K454="",K454&gt;M454)),S454,0)</f>
        <v/>
      </c>
      <c r="W454" s="124" t="n">
        <v>0</v>
      </c>
      <c r="X454" s="124" t="b">
        <v>0</v>
      </c>
      <c r="Y454" s="127">
        <f>IF(H454=FALSE,VLOOKUP($C454,Sales!$C:$F,4,FALSE),1)</f>
        <v/>
      </c>
      <c r="Z454" s="124">
        <f>IF(Y454=0,"Release",IF(AND(L454&lt;J454,Y454=1,H454=FALSE,U454=FALSE,MONTH(L454)&amp;"/"&amp;YEAR(L454)&lt;&gt;MONTH(J454)&amp;"/"&amp;YEAR(J454)),"Release",""))</f>
        <v/>
      </c>
      <c r="AA454" s="128">
        <f>_xlfn.minifs($L:$L,$C:$C,$C454,$F:$F,"&lt;&gt;0")</f>
        <v/>
      </c>
      <c r="AB454" s="128">
        <f>C454&amp;"-"&amp;A454</f>
        <v/>
      </c>
      <c r="AC454" s="128">
        <f>L454</f>
        <v/>
      </c>
    </row>
    <row r="455">
      <c r="A455" s="124" t="inlineStr">
        <is>
          <t>ZMYB01</t>
        </is>
      </c>
      <c r="B455" s="124" t="n">
        <v>4</v>
      </c>
      <c r="C455" s="124" t="inlineStr">
        <is>
          <t>HVL102</t>
        </is>
      </c>
      <c r="D455" s="124" t="inlineStr">
        <is>
          <t>L</t>
        </is>
      </c>
      <c r="E455" s="124" t="inlineStr">
        <is>
          <t>Myburgh Hermanus Carel</t>
        </is>
      </c>
      <c r="F455" s="125">
        <f>SUMIFS(Investors!$M:$M, Investors!$I:$I, "&lt;=" &amp; 'NSST Print'!$B$3, Investors!$K:$K, "&gt;" &amp; 'NSST Print'!$B$3, Investors!$A:$A, 'Investor Exit List'!A455, Investors!$E:$E, 'Investor Exit List'!C455)</f>
        <v/>
      </c>
      <c r="G455" s="126" t="n">
        <v>45280</v>
      </c>
      <c r="H455" s="124">
        <f>VLOOKUP($C455,Sales!$C:$E,2,FALSE)</f>
        <v/>
      </c>
      <c r="I455" s="124">
        <f>VLOOKUP($C455,Sales!$C:$E,3,FALSE)</f>
        <v/>
      </c>
      <c r="J455" s="126">
        <f>SUMIFS(Sales!$H:$H,Sales!$C:$C,'Investor Exit List'!$C455)</f>
        <v/>
      </c>
      <c r="K455" s="126">
        <f>IF(I455=TRUE,J455,"")</f>
        <v/>
      </c>
      <c r="L455" s="126">
        <f>G455+730</f>
        <v/>
      </c>
      <c r="M455" s="126" t="n">
        <v>45443</v>
      </c>
      <c r="N455" s="127">
        <f>IFERROR(IF(G455&lt;&gt;"",IF(I455=TRUE,0,IF(U455=TRUE,0,L455-M455)),0),0)</f>
        <v/>
      </c>
      <c r="O455" s="127">
        <f>IF(N455&gt;0,IF(N455&lt;=180,N455,0),0)</f>
        <v/>
      </c>
      <c r="P455" s="125">
        <f>IF(AND(N455&lt;90,N455&gt;0),Q455,0)</f>
        <v/>
      </c>
      <c r="Q455" s="125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25">
        <f>IF(AND(H455=TRUE,I455=FALSE),Q455,0)</f>
        <v/>
      </c>
      <c r="S455" s="125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26">
        <f>IF(U455=TRUE,$J455,"")</f>
        <v/>
      </c>
      <c r="U455" s="124" t="b">
        <v>0</v>
      </c>
      <c r="V455" s="125">
        <f>IF(AND(H455=TRUE,OR(K455="",K455&gt;M455)),S455,0)</f>
        <v/>
      </c>
      <c r="W455" s="124" t="n">
        <v>0</v>
      </c>
      <c r="X455" s="124" t="b">
        <v>0</v>
      </c>
      <c r="Y455" s="127">
        <f>IF(H455=FALSE,VLOOKUP($C455,Sales!$C:$F,4,FALSE),1)</f>
        <v/>
      </c>
      <c r="Z455" s="124">
        <f>IF(Y455=0,"Release",IF(AND(L455&lt;J455,Y455=1,H455=FALSE,U455=FALSE,MONTH(L455)&amp;"/"&amp;YEAR(L455)&lt;&gt;MONTH(J455)&amp;"/"&amp;YEAR(J455)),"Release",""))</f>
        <v/>
      </c>
      <c r="AA455" s="128">
        <f>_xlfn.minifs($L:$L,$C:$C,$C455,$F:$F,"&lt;&gt;0")</f>
        <v/>
      </c>
      <c r="AB455" s="128">
        <f>C455&amp;"-"&amp;A455</f>
        <v/>
      </c>
      <c r="AC455" s="128">
        <f>L455</f>
        <v/>
      </c>
    </row>
    <row r="456">
      <c r="A456" s="124" t="inlineStr">
        <is>
          <t>ZTUR01</t>
        </is>
      </c>
      <c r="B456" s="124" t="n">
        <v>1</v>
      </c>
      <c r="C456" s="124" t="inlineStr">
        <is>
          <t>HVL102</t>
        </is>
      </c>
      <c r="D456" s="124" t="inlineStr">
        <is>
          <t>L</t>
        </is>
      </c>
      <c r="E456" s="124" t="inlineStr">
        <is>
          <t>Turunen Janne Petteri</t>
        </is>
      </c>
      <c r="F456" s="125">
        <f>SUMIFS(Investors!$M:$M, Investors!$I:$I, "&lt;=" &amp; 'NSST Print'!$B$3, Investors!$K:$K, "&gt;" &amp; 'NSST Print'!$B$3, Investors!$A:$A, 'Investor Exit List'!A456, Investors!$E:$E, 'Investor Exit List'!C456)</f>
        <v/>
      </c>
      <c r="G456" s="126" t="n">
        <v>45259</v>
      </c>
      <c r="H456" s="124">
        <f>VLOOKUP($C456,Sales!$C:$E,2,FALSE)</f>
        <v/>
      </c>
      <c r="I456" s="124">
        <f>VLOOKUP($C456,Sales!$C:$E,3,FALSE)</f>
        <v/>
      </c>
      <c r="J456" s="126">
        <f>SUMIFS(Sales!$H:$H,Sales!$C:$C,'Investor Exit List'!$C456)</f>
        <v/>
      </c>
      <c r="K456" s="126">
        <f>IF(I456=TRUE,J456,"")</f>
        <v/>
      </c>
      <c r="L456" s="126">
        <f>G456+730</f>
        <v/>
      </c>
      <c r="M456" s="126" t="n">
        <v>45443</v>
      </c>
      <c r="N456" s="127">
        <f>IFERROR(IF(G456&lt;&gt;"",IF(I456=TRUE,0,IF(U456=TRUE,0,L456-M456)),0),0)</f>
        <v/>
      </c>
      <c r="O456" s="127">
        <f>IF(N456&gt;0,IF(N456&lt;=180,N456,0),0)</f>
        <v/>
      </c>
      <c r="P456" s="125">
        <f>IF(AND(N456&lt;90,N456&gt;0),Q456,0)</f>
        <v/>
      </c>
      <c r="Q456" s="125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25">
        <f>IF(AND(H456=TRUE,I456=FALSE),Q456,0)</f>
        <v/>
      </c>
      <c r="S456" s="125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26">
        <f>IF(U456=TRUE,$J456,"")</f>
        <v/>
      </c>
      <c r="U456" s="124" t="b">
        <v>0</v>
      </c>
      <c r="V456" s="125">
        <f>IF(AND(H456=TRUE,OR(K456="",K456&gt;M456)),S456,0)</f>
        <v/>
      </c>
      <c r="W456" s="124" t="n">
        <v>0</v>
      </c>
      <c r="X456" s="124" t="b">
        <v>0</v>
      </c>
      <c r="Y456" s="127">
        <f>IF(H456=FALSE,VLOOKUP($C456,Sales!$C:$F,4,FALSE),1)</f>
        <v/>
      </c>
      <c r="Z456" s="124">
        <f>IF(Y456=0,"Release",IF(AND(L456&lt;J456,Y456=1,H456=FALSE,U456=FALSE,MONTH(L456)&amp;"/"&amp;YEAR(L456)&lt;&gt;MONTH(J456)&amp;"/"&amp;YEAR(J456)),"Release",""))</f>
        <v/>
      </c>
      <c r="AA456" s="128">
        <f>_xlfn.minifs($L:$L,$C:$C,$C456,$F:$F,"&lt;&gt;0")</f>
        <v/>
      </c>
      <c r="AB456" s="128">
        <f>C456&amp;"-"&amp;A456</f>
        <v/>
      </c>
      <c r="AC456" s="128">
        <f>L456</f>
        <v/>
      </c>
    </row>
    <row r="457">
      <c r="A457" s="124" t="inlineStr">
        <is>
          <t>ZVOL01</t>
        </is>
      </c>
      <c r="B457" s="124" t="n">
        <v>6</v>
      </c>
      <c r="C457" s="124" t="inlineStr">
        <is>
          <t>HVL102</t>
        </is>
      </c>
      <c r="D457" s="124" t="inlineStr">
        <is>
          <t>L</t>
        </is>
      </c>
      <c r="E457" s="124" t="inlineStr">
        <is>
          <t>Volschenk Gideon Cornelius</t>
        </is>
      </c>
      <c r="F457" s="125">
        <f>SUMIFS(Investors!$M:$M, Investors!$I:$I, "&lt;=" &amp; 'NSST Print'!$B$3, Investors!$K:$K, "&gt;" &amp; 'NSST Print'!$B$3, Investors!$A:$A, 'Investor Exit List'!A457, Investors!$E:$E, 'Investor Exit List'!C457)</f>
        <v/>
      </c>
      <c r="G457" s="126" t="n">
        <v>45259</v>
      </c>
      <c r="H457" s="124">
        <f>VLOOKUP($C457,Sales!$C:$E,2,FALSE)</f>
        <v/>
      </c>
      <c r="I457" s="124">
        <f>VLOOKUP($C457,Sales!$C:$E,3,FALSE)</f>
        <v/>
      </c>
      <c r="J457" s="126">
        <f>SUMIFS(Sales!$H:$H,Sales!$C:$C,'Investor Exit List'!$C457)</f>
        <v/>
      </c>
      <c r="K457" s="126">
        <f>IF(I457=TRUE,J457,"")</f>
        <v/>
      </c>
      <c r="L457" s="126">
        <f>G457+730</f>
        <v/>
      </c>
      <c r="M457" s="126" t="n">
        <v>45443</v>
      </c>
      <c r="N457" s="127">
        <f>IFERROR(IF(G457&lt;&gt;"",IF(I457=TRUE,0,IF(U457=TRUE,0,L457-M457)),0),0)</f>
        <v/>
      </c>
      <c r="O457" s="127">
        <f>IF(N457&gt;0,IF(N457&lt;=180,N457,0),0)</f>
        <v/>
      </c>
      <c r="P457" s="125">
        <f>IF(AND(N457&lt;90,N457&gt;0),Q457,0)</f>
        <v/>
      </c>
      <c r="Q457" s="125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25">
        <f>IF(AND(H457=TRUE,I457=FALSE),Q457,0)</f>
        <v/>
      </c>
      <c r="S457" s="125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26">
        <f>IF(U457=TRUE,$J457,"")</f>
        <v/>
      </c>
      <c r="U457" s="124" t="b">
        <v>0</v>
      </c>
      <c r="V457" s="125">
        <f>IF(AND(H457=TRUE,OR(K457="",K457&gt;M457)),S457,0)</f>
        <v/>
      </c>
      <c r="W457" s="124" t="n">
        <v>0</v>
      </c>
      <c r="X457" s="124" t="b">
        <v>0</v>
      </c>
      <c r="Y457" s="127">
        <f>IF(H457=FALSE,VLOOKUP($C457,Sales!$C:$F,4,FALSE),1)</f>
        <v/>
      </c>
      <c r="Z457" s="124">
        <f>IF(Y457=0,"Release",IF(AND(L457&lt;J457,Y457=1,H457=FALSE,U457=FALSE,MONTH(L457)&amp;"/"&amp;YEAR(L457)&lt;&gt;MONTH(J457)&amp;"/"&amp;YEAR(J457)),"Release",""))</f>
        <v/>
      </c>
      <c r="AA457" s="128">
        <f>_xlfn.minifs($L:$L,$C:$C,$C457,$F:$F,"&lt;&gt;0")</f>
        <v/>
      </c>
      <c r="AB457" s="128">
        <f>C457&amp;"-"&amp;A457</f>
        <v/>
      </c>
      <c r="AC457" s="128">
        <f>L457</f>
        <v/>
      </c>
    </row>
    <row r="458">
      <c r="A458" s="124" t="inlineStr">
        <is>
          <t>ZCRO02</t>
        </is>
      </c>
      <c r="B458" s="124" t="n">
        <v>2</v>
      </c>
      <c r="C458" s="124" t="inlineStr">
        <is>
          <t>HVL103</t>
        </is>
      </c>
      <c r="D458" s="124" t="inlineStr">
        <is>
          <t>L</t>
        </is>
      </c>
      <c r="E458" s="124" t="inlineStr">
        <is>
          <t>Crouse Gregory Murray</t>
        </is>
      </c>
      <c r="F458" s="125">
        <f>SUMIFS(Investors!$M:$M, Investors!$I:$I, "&lt;=" &amp; 'NSST Print'!$B$3, Investors!$K:$K, "&gt;" &amp; 'NSST Print'!$B$3, Investors!$A:$A, 'Investor Exit List'!A458, Investors!$E:$E, 'Investor Exit List'!C458)</f>
        <v/>
      </c>
      <c r="G458" s="126" t="n">
        <v>45273</v>
      </c>
      <c r="H458" s="124">
        <f>VLOOKUP($C458,Sales!$C:$E,2,FALSE)</f>
        <v/>
      </c>
      <c r="I458" s="124">
        <f>VLOOKUP($C458,Sales!$C:$E,3,FALSE)</f>
        <v/>
      </c>
      <c r="J458" s="126">
        <f>SUMIFS(Sales!$H:$H,Sales!$C:$C,'Investor Exit List'!$C458)</f>
        <v/>
      </c>
      <c r="K458" s="126">
        <f>IF(I458=TRUE,J458,"")</f>
        <v/>
      </c>
      <c r="L458" s="126">
        <f>G458+730</f>
        <v/>
      </c>
      <c r="M458" s="126" t="n">
        <v>45443</v>
      </c>
      <c r="N458" s="127">
        <f>IFERROR(IF(G458&lt;&gt;"",IF(I458=TRUE,0,IF(U458=TRUE,0,L458-M458)),0),0)</f>
        <v/>
      </c>
      <c r="O458" s="127">
        <f>IF(N458&gt;0,IF(N458&lt;=180,N458,0),0)</f>
        <v/>
      </c>
      <c r="P458" s="125">
        <f>IF(AND(N458&lt;90,N458&gt;0),Q458,0)</f>
        <v/>
      </c>
      <c r="Q458" s="125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25">
        <f>IF(AND(H458=TRUE,I458=FALSE),Q458,0)</f>
        <v/>
      </c>
      <c r="S458" s="125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26">
        <f>IF(U458=TRUE,$J458,"")</f>
        <v/>
      </c>
      <c r="U458" s="124" t="b">
        <v>0</v>
      </c>
      <c r="V458" s="125">
        <f>IF(AND(H458=TRUE,OR(K458="",K458&gt;M458)),S458,0)</f>
        <v/>
      </c>
      <c r="W458" s="124" t="n">
        <v>0</v>
      </c>
      <c r="X458" s="124" t="b">
        <v>0</v>
      </c>
      <c r="Y458" s="127">
        <f>IF(H458=FALSE,VLOOKUP($C458,Sales!$C:$F,4,FALSE),1)</f>
        <v/>
      </c>
      <c r="Z458" s="124">
        <f>IF(Y458=0,"Release",IF(AND(L458&lt;J458,Y458=1,H458=FALSE,U458=FALSE,MONTH(L458)&amp;"/"&amp;YEAR(L458)&lt;&gt;MONTH(J458)&amp;"/"&amp;YEAR(J458)),"Release",""))</f>
        <v/>
      </c>
      <c r="AA458" s="128">
        <f>_xlfn.minifs($L:$L,$C:$C,$C458,$F:$F,"&lt;&gt;0")</f>
        <v/>
      </c>
      <c r="AB458" s="128">
        <f>C458&amp;"-"&amp;A458</f>
        <v/>
      </c>
      <c r="AC458" s="128">
        <f>L458</f>
        <v/>
      </c>
    </row>
    <row r="459">
      <c r="A459" s="124" t="inlineStr">
        <is>
          <t>ZSIP01</t>
        </is>
      </c>
      <c r="B459" s="124" t="n">
        <v>1</v>
      </c>
      <c r="C459" s="124" t="inlineStr">
        <is>
          <t>HVL103</t>
        </is>
      </c>
      <c r="D459" s="124" t="inlineStr">
        <is>
          <t>L</t>
        </is>
      </c>
      <c r="E459" s="124" t="inlineStr">
        <is>
          <t>Sipongo Elaine Christilene</t>
        </is>
      </c>
      <c r="F459" s="125">
        <f>SUMIFS(Investors!$M:$M, Investors!$I:$I, "&lt;=" &amp; 'NSST Print'!$B$3, Investors!$K:$K, "&gt;" &amp; 'NSST Print'!$B$3, Investors!$A:$A, 'Investor Exit List'!A459, Investors!$E:$E, 'Investor Exit List'!C459)</f>
        <v/>
      </c>
      <c r="G459" s="126" t="n">
        <v>45259</v>
      </c>
      <c r="H459" s="124">
        <f>VLOOKUP($C459,Sales!$C:$E,2,FALSE)</f>
        <v/>
      </c>
      <c r="I459" s="124">
        <f>VLOOKUP($C459,Sales!$C:$E,3,FALSE)</f>
        <v/>
      </c>
      <c r="J459" s="126">
        <f>SUMIFS(Sales!$H:$H,Sales!$C:$C,'Investor Exit List'!$C459)</f>
        <v/>
      </c>
      <c r="K459" s="126">
        <f>IF(I459=TRUE,J459,"")</f>
        <v/>
      </c>
      <c r="L459" s="126">
        <f>G459+730</f>
        <v/>
      </c>
      <c r="M459" s="126" t="n">
        <v>45443</v>
      </c>
      <c r="N459" s="127">
        <f>IFERROR(IF(G459&lt;&gt;"",IF(I459=TRUE,0,IF(U459=TRUE,0,L459-M459)),0),0)</f>
        <v/>
      </c>
      <c r="O459" s="127">
        <f>IF(N459&gt;0,IF(N459&lt;=180,N459,0),0)</f>
        <v/>
      </c>
      <c r="P459" s="125">
        <f>IF(AND(N459&lt;90,N459&gt;0),Q459,0)</f>
        <v/>
      </c>
      <c r="Q459" s="125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25">
        <f>IF(AND(H459=TRUE,I459=FALSE),Q459,0)</f>
        <v/>
      </c>
      <c r="S459" s="125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26">
        <f>IF(U459=TRUE,$J459,"")</f>
        <v/>
      </c>
      <c r="U459" s="124" t="b">
        <v>0</v>
      </c>
      <c r="V459" s="125">
        <f>IF(AND(H459=TRUE,OR(K459="",K459&gt;M459)),S459,0)</f>
        <v/>
      </c>
      <c r="W459" s="124" t="n">
        <v>0</v>
      </c>
      <c r="X459" s="124" t="b">
        <v>0</v>
      </c>
      <c r="Y459" s="127">
        <f>IF(H459=FALSE,VLOOKUP($C459,Sales!$C:$F,4,FALSE),1)</f>
        <v/>
      </c>
      <c r="Z459" s="124">
        <f>IF(Y459=0,"Release",IF(AND(L459&lt;J459,Y459=1,H459=FALSE,U459=FALSE,MONTH(L459)&amp;"/"&amp;YEAR(L459)&lt;&gt;MONTH(J459)&amp;"/"&amp;YEAR(J459)),"Release",""))</f>
        <v/>
      </c>
      <c r="AA459" s="128">
        <f>_xlfn.minifs($L:$L,$C:$C,$C459,$F:$F,"&lt;&gt;0")</f>
        <v/>
      </c>
      <c r="AB459" s="128">
        <f>C459&amp;"-"&amp;A459</f>
        <v/>
      </c>
      <c r="AC459" s="128">
        <f>L459</f>
        <v/>
      </c>
    </row>
    <row r="460">
      <c r="A460" s="124" t="inlineStr">
        <is>
          <t>ZMYB01</t>
        </is>
      </c>
      <c r="B460" s="124" t="n">
        <v>5</v>
      </c>
      <c r="C460" s="124" t="inlineStr">
        <is>
          <t>HVL104</t>
        </is>
      </c>
      <c r="D460" s="124" t="inlineStr">
        <is>
          <t>L</t>
        </is>
      </c>
      <c r="E460" s="124" t="inlineStr">
        <is>
          <t>Myburgh Hermanus Carel</t>
        </is>
      </c>
      <c r="F460" s="125">
        <f>SUMIFS(Investors!$M:$M, Investors!$I:$I, "&lt;=" &amp; 'NSST Print'!$B$3, Investors!$K:$K, "&gt;" &amp; 'NSST Print'!$B$3, Investors!$A:$A, 'Investor Exit List'!A460, Investors!$E:$E, 'Investor Exit List'!C460)</f>
        <v/>
      </c>
      <c r="G460" s="126" t="n">
        <v>45280</v>
      </c>
      <c r="H460" s="124">
        <f>VLOOKUP($C460,Sales!$C:$E,2,FALSE)</f>
        <v/>
      </c>
      <c r="I460" s="124">
        <f>VLOOKUP($C460,Sales!$C:$E,3,FALSE)</f>
        <v/>
      </c>
      <c r="J460" s="126">
        <f>SUMIFS(Sales!$H:$H,Sales!$C:$C,'Investor Exit List'!$C460)</f>
        <v/>
      </c>
      <c r="K460" s="126">
        <f>IF(I460=TRUE,J460,"")</f>
        <v/>
      </c>
      <c r="L460" s="126">
        <f>G460+730</f>
        <v/>
      </c>
      <c r="M460" s="126" t="n">
        <v>45443</v>
      </c>
      <c r="N460" s="127">
        <f>IFERROR(IF(G460&lt;&gt;"",IF(I460=TRUE,0,IF(U460=TRUE,0,L460-M460)),0),0)</f>
        <v/>
      </c>
      <c r="O460" s="127">
        <f>IF(N460&gt;0,IF(N460&lt;=180,N460,0),0)</f>
        <v/>
      </c>
      <c r="P460" s="125">
        <f>IF(AND(N460&lt;90,N460&gt;0),Q460,0)</f>
        <v/>
      </c>
      <c r="Q460" s="125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25">
        <f>IF(AND(H460=TRUE,I460=FALSE),Q460,0)</f>
        <v/>
      </c>
      <c r="S460" s="125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26">
        <f>IF(U460=TRUE,$J460,"")</f>
        <v/>
      </c>
      <c r="U460" s="124" t="b">
        <v>0</v>
      </c>
      <c r="V460" s="125">
        <f>IF(AND(H460=TRUE,OR(K460="",K460&gt;M460)),S460,0)</f>
        <v/>
      </c>
      <c r="W460" s="124" t="n">
        <v>0</v>
      </c>
      <c r="X460" s="124" t="b">
        <v>0</v>
      </c>
      <c r="Y460" s="127">
        <f>IF(H460=FALSE,VLOOKUP($C460,Sales!$C:$F,4,FALSE),1)</f>
        <v/>
      </c>
      <c r="Z460" s="124">
        <f>IF(Y460=0,"Release",IF(AND(L460&lt;J460,Y460=1,H460=FALSE,U460=FALSE,MONTH(L460)&amp;"/"&amp;YEAR(L460)&lt;&gt;MONTH(J460)&amp;"/"&amp;YEAR(J460)),"Release",""))</f>
        <v/>
      </c>
      <c r="AA460" s="128">
        <f>_xlfn.minifs($L:$L,$C:$C,$C460,$F:$F,"&lt;&gt;0")</f>
        <v/>
      </c>
      <c r="AB460" s="128">
        <f>C460&amp;"-"&amp;A460</f>
        <v/>
      </c>
      <c r="AC460" s="128">
        <f>L460</f>
        <v/>
      </c>
    </row>
    <row r="461">
      <c r="A461" s="124" t="inlineStr">
        <is>
          <t>ZHAL03</t>
        </is>
      </c>
      <c r="B461" s="124" t="n">
        <v>2</v>
      </c>
      <c r="C461" s="124" t="inlineStr">
        <is>
          <t>HVL201</t>
        </is>
      </c>
      <c r="D461" s="124" t="inlineStr">
        <is>
          <t>L</t>
        </is>
      </c>
      <c r="E461" s="124" t="inlineStr">
        <is>
          <t>Hall Graeme Haffenden</t>
        </is>
      </c>
      <c r="F461" s="125">
        <f>SUMIFS(Investors!$M:$M, Investors!$I:$I, "&lt;=" &amp; 'NSST Print'!$B$3, Investors!$K:$K, "&gt;" &amp; 'NSST Print'!$B$3, Investors!$A:$A, 'Investor Exit List'!A461, Investors!$E:$E, 'Investor Exit List'!C461)</f>
        <v/>
      </c>
      <c r="G461" s="126" t="n">
        <v>45363</v>
      </c>
      <c r="H461" s="124">
        <f>VLOOKUP($C461,Sales!$C:$E,2,FALSE)</f>
        <v/>
      </c>
      <c r="I461" s="124">
        <f>VLOOKUP($C461,Sales!$C:$E,3,FALSE)</f>
        <v/>
      </c>
      <c r="J461" s="126">
        <f>SUMIFS(Sales!$H:$H,Sales!$C:$C,'Investor Exit List'!$C461)</f>
        <v/>
      </c>
      <c r="K461" s="126">
        <f>IF(I461=TRUE,J461,"")</f>
        <v/>
      </c>
      <c r="L461" s="126">
        <f>G461+730</f>
        <v/>
      </c>
      <c r="M461" s="126" t="n">
        <v>45443</v>
      </c>
      <c r="N461" s="127">
        <f>IFERROR(IF(G461&lt;&gt;"",IF(I461=TRUE,0,IF(U461=TRUE,0,L461-M461)),0),0)</f>
        <v/>
      </c>
      <c r="O461" s="127">
        <f>IF(N461&gt;0,IF(N461&lt;=180,N461,0),0)</f>
        <v/>
      </c>
      <c r="P461" s="125">
        <f>IF(AND(N461&lt;90,N461&gt;0),Q461,0)</f>
        <v/>
      </c>
      <c r="Q461" s="125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25">
        <f>IF(AND(H461=TRUE,I461=FALSE),Q461,0)</f>
        <v/>
      </c>
      <c r="S461" s="125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26">
        <f>IF(U461=TRUE,$J461,"")</f>
        <v/>
      </c>
      <c r="U461" s="124" t="b">
        <v>0</v>
      </c>
      <c r="V461" s="125">
        <f>IF(AND(H461=TRUE,OR(K461="",K461&gt;M461)),S461,0)</f>
        <v/>
      </c>
      <c r="W461" s="124" t="n">
        <v>0</v>
      </c>
      <c r="X461" s="124" t="b">
        <v>0</v>
      </c>
      <c r="Y461" s="127">
        <f>IF(H461=FALSE,VLOOKUP($C461,Sales!$C:$F,4,FALSE),1)</f>
        <v/>
      </c>
      <c r="Z461" s="124">
        <f>IF(Y461=0,"Release",IF(AND(L461&lt;J461,Y461=1,H461=FALSE,U461=FALSE,MONTH(L461)&amp;"/"&amp;YEAR(L461)&lt;&gt;MONTH(J461)&amp;"/"&amp;YEAR(J461)),"Release",""))</f>
        <v/>
      </c>
      <c r="AA461" s="128">
        <f>_xlfn.minifs($L:$L,$C:$C,$C461,$F:$F,"&lt;&gt;0")</f>
        <v/>
      </c>
      <c r="AB461" s="128">
        <f>C461&amp;"-"&amp;A461</f>
        <v/>
      </c>
      <c r="AC461" s="128">
        <f>L461</f>
        <v/>
      </c>
    </row>
    <row r="462">
      <c r="A462" s="124" t="inlineStr">
        <is>
          <t>ZHEN01</t>
        </is>
      </c>
      <c r="B462" s="124" t="n">
        <v>4</v>
      </c>
      <c r="C462" s="124" t="inlineStr">
        <is>
          <t>HVL201</t>
        </is>
      </c>
      <c r="D462" s="124" t="inlineStr">
        <is>
          <t>L</t>
        </is>
      </c>
      <c r="E462" s="124" t="inlineStr">
        <is>
          <t>Hendricks Theodore Shane</t>
        </is>
      </c>
      <c r="F462" s="125">
        <f>SUMIFS(Investors!$M:$M, Investors!$I:$I, "&lt;=" &amp; 'NSST Print'!$B$3, Investors!$K:$K, "&gt;" &amp; 'NSST Print'!$B$3, Investors!$A:$A, 'Investor Exit List'!A462, Investors!$E:$E, 'Investor Exit List'!C462)</f>
        <v/>
      </c>
      <c r="G462" s="126" t="n">
        <v>45259</v>
      </c>
      <c r="H462" s="124">
        <f>VLOOKUP($C462,Sales!$C:$E,2,FALSE)</f>
        <v/>
      </c>
      <c r="I462" s="124">
        <f>VLOOKUP($C462,Sales!$C:$E,3,FALSE)</f>
        <v/>
      </c>
      <c r="J462" s="126">
        <f>SUMIFS(Sales!$H:$H,Sales!$C:$C,'Investor Exit List'!$C462)</f>
        <v/>
      </c>
      <c r="K462" s="126">
        <f>IF(I462=TRUE,J462,"")</f>
        <v/>
      </c>
      <c r="L462" s="126">
        <f>G462+730</f>
        <v/>
      </c>
      <c r="M462" s="126" t="n">
        <v>45443</v>
      </c>
      <c r="N462" s="127">
        <f>IFERROR(IF(G462&lt;&gt;"",IF(I462=TRUE,0,IF(U462=TRUE,0,L462-M462)),0),0)</f>
        <v/>
      </c>
      <c r="O462" s="127">
        <f>IF(N462&gt;0,IF(N462&lt;=180,N462,0),0)</f>
        <v/>
      </c>
      <c r="P462" s="125">
        <f>IF(AND(N462&lt;90,N462&gt;0),Q462,0)</f>
        <v/>
      </c>
      <c r="Q462" s="125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25">
        <f>IF(AND(H462=TRUE,I462=FALSE),Q462,0)</f>
        <v/>
      </c>
      <c r="S462" s="125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26">
        <f>IF(U462=TRUE,$J462,"")</f>
        <v/>
      </c>
      <c r="U462" s="124" t="b">
        <v>0</v>
      </c>
      <c r="V462" s="125">
        <f>IF(AND(H462=TRUE,OR(K462="",K462&gt;M462)),S462,0)</f>
        <v/>
      </c>
      <c r="W462" s="124" t="n">
        <v>0</v>
      </c>
      <c r="X462" s="124" t="b">
        <v>0</v>
      </c>
      <c r="Y462" s="127">
        <f>IF(H462=FALSE,VLOOKUP($C462,Sales!$C:$F,4,FALSE),1)</f>
        <v/>
      </c>
      <c r="Z462" s="124">
        <f>IF(Y462=0,"Release",IF(AND(L462&lt;J462,Y462=1,H462=FALSE,U462=FALSE,MONTH(L462)&amp;"/"&amp;YEAR(L462)&lt;&gt;MONTH(J462)&amp;"/"&amp;YEAR(J462)),"Release",""))</f>
        <v/>
      </c>
      <c r="AA462" s="128">
        <f>_xlfn.minifs($L:$L,$C:$C,$C462,$F:$F,"&lt;&gt;0")</f>
        <v/>
      </c>
      <c r="AB462" s="128">
        <f>C462&amp;"-"&amp;A462</f>
        <v/>
      </c>
      <c r="AC462" s="128">
        <f>L462</f>
        <v/>
      </c>
    </row>
    <row r="463">
      <c r="A463" s="124" t="inlineStr">
        <is>
          <t>ZINT01</t>
        </is>
      </c>
      <c r="B463" s="124" t="n">
        <v>18</v>
      </c>
      <c r="C463" s="124" t="inlineStr">
        <is>
          <t>HVL201</t>
        </is>
      </c>
      <c r="D463" s="124" t="inlineStr">
        <is>
          <t>L</t>
        </is>
      </c>
      <c r="E463" s="124" t="inlineStr">
        <is>
          <t>Lunau Marc</t>
        </is>
      </c>
      <c r="F463" s="125">
        <f>SUMIFS(Investors!$M:$M, Investors!$I:$I, "&lt;=" &amp; 'NSST Print'!$B$3, Investors!$K:$K, "&gt;" &amp; 'NSST Print'!$B$3, Investors!$A:$A, 'Investor Exit List'!A463, Investors!$E:$E, 'Investor Exit List'!C463)</f>
        <v/>
      </c>
      <c r="G463" s="126" t="n">
        <v>45371</v>
      </c>
      <c r="H463" s="124">
        <f>VLOOKUP($C463,Sales!$C:$E,2,FALSE)</f>
        <v/>
      </c>
      <c r="I463" s="124">
        <f>VLOOKUP($C463,Sales!$C:$E,3,FALSE)</f>
        <v/>
      </c>
      <c r="J463" s="126">
        <f>SUMIFS(Sales!$H:$H,Sales!$C:$C,'Investor Exit List'!$C463)</f>
        <v/>
      </c>
      <c r="K463" s="126">
        <f>IF(I463=TRUE,J463,"")</f>
        <v/>
      </c>
      <c r="L463" s="126">
        <f>G463+730</f>
        <v/>
      </c>
      <c r="M463" s="126" t="n">
        <v>45443</v>
      </c>
      <c r="N463" s="127">
        <f>IFERROR(IF(G463&lt;&gt;"",IF(I463=TRUE,0,IF(U463=TRUE,0,L463-M463)),0),0)</f>
        <v/>
      </c>
      <c r="O463" s="127">
        <f>IF(N463&gt;0,IF(N463&lt;=180,N463,0),0)</f>
        <v/>
      </c>
      <c r="P463" s="125">
        <f>IF(AND(N463&lt;90,N463&gt;0),Q463,0)</f>
        <v/>
      </c>
      <c r="Q463" s="125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25">
        <f>IF(AND(H463=TRUE,I463=FALSE),Q463,0)</f>
        <v/>
      </c>
      <c r="S463" s="125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26">
        <f>IF(U463=TRUE,$J463,"")</f>
        <v/>
      </c>
      <c r="U463" s="124" t="b">
        <v>0</v>
      </c>
      <c r="V463" s="125">
        <f>IF(AND(H463=TRUE,OR(K463="",K463&gt;M463)),S463,0)</f>
        <v/>
      </c>
      <c r="W463" s="124" t="n">
        <v>0</v>
      </c>
      <c r="X463" s="124" t="b">
        <v>0</v>
      </c>
      <c r="Y463" s="127">
        <f>IF(H463=FALSE,VLOOKUP($C463,Sales!$C:$F,4,FALSE),1)</f>
        <v/>
      </c>
      <c r="Z463" s="124">
        <f>IF(Y463=0,"Release",IF(AND(L463&lt;J463,Y463=1,H463=FALSE,U463=FALSE,MONTH(L463)&amp;"/"&amp;YEAR(L463)&lt;&gt;MONTH(J463)&amp;"/"&amp;YEAR(J463)),"Release",""))</f>
        <v/>
      </c>
      <c r="AA463" s="128">
        <f>_xlfn.minifs($L:$L,$C:$C,$C463,$F:$F,"&lt;&gt;0")</f>
        <v/>
      </c>
      <c r="AB463" s="128">
        <f>C463&amp;"-"&amp;A463</f>
        <v/>
      </c>
      <c r="AC463" s="128">
        <f>L463</f>
        <v/>
      </c>
    </row>
    <row r="464">
      <c r="A464" s="124" t="inlineStr">
        <is>
          <t>ZKUS03</t>
        </is>
      </c>
      <c r="B464" s="124" t="n">
        <v>5</v>
      </c>
      <c r="C464" s="124" t="inlineStr">
        <is>
          <t>HVL201</t>
        </is>
      </c>
      <c r="D464" s="124" t="inlineStr">
        <is>
          <t>L</t>
        </is>
      </c>
      <c r="E464" s="124" t="inlineStr">
        <is>
          <t>Kuster Joanne Tracy</t>
        </is>
      </c>
      <c r="F464" s="125">
        <f>SUMIFS(Investors!$M:$M, Investors!$I:$I, "&lt;=" &amp; 'NSST Print'!$B$3, Investors!$K:$K, "&gt;" &amp; 'NSST Print'!$B$3, Investors!$A:$A, 'Investor Exit List'!A464, Investors!$E:$E, 'Investor Exit List'!C464)</f>
        <v/>
      </c>
      <c r="G464" s="126" t="n">
        <v>45273</v>
      </c>
      <c r="H464" s="124">
        <f>VLOOKUP($C464,Sales!$C:$E,2,FALSE)</f>
        <v/>
      </c>
      <c r="I464" s="124">
        <f>VLOOKUP($C464,Sales!$C:$E,3,FALSE)</f>
        <v/>
      </c>
      <c r="J464" s="126">
        <f>SUMIFS(Sales!$H:$H,Sales!$C:$C,'Investor Exit List'!$C464)</f>
        <v/>
      </c>
      <c r="K464" s="126">
        <f>IF(I464=TRUE,J464,"")</f>
        <v/>
      </c>
      <c r="L464" s="126">
        <f>G464+730</f>
        <v/>
      </c>
      <c r="M464" s="126" t="n">
        <v>45443</v>
      </c>
      <c r="N464" s="127">
        <f>IFERROR(IF(G464&lt;&gt;"",IF(I464=TRUE,0,IF(U464=TRUE,0,L464-M464)),0),0)</f>
        <v/>
      </c>
      <c r="O464" s="127">
        <f>IF(N464&gt;0,IF(N464&lt;=180,N464,0),0)</f>
        <v/>
      </c>
      <c r="P464" s="125">
        <f>IF(AND(N464&lt;90,N464&gt;0),Q464,0)</f>
        <v/>
      </c>
      <c r="Q464" s="125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25">
        <f>IF(AND(H464=TRUE,I464=FALSE),Q464,0)</f>
        <v/>
      </c>
      <c r="S464" s="125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26">
        <f>IF(U464=TRUE,$J464,"")</f>
        <v/>
      </c>
      <c r="U464" s="124" t="b">
        <v>0</v>
      </c>
      <c r="V464" s="125">
        <f>IF(AND(H464=TRUE,OR(K464="",K464&gt;M464)),S464,0)</f>
        <v/>
      </c>
      <c r="W464" s="124" t="n">
        <v>0</v>
      </c>
      <c r="X464" s="124" t="b">
        <v>0</v>
      </c>
      <c r="Y464" s="127">
        <f>IF(H464=FALSE,VLOOKUP($C464,Sales!$C:$F,4,FALSE),1)</f>
        <v/>
      </c>
      <c r="Z464" s="124">
        <f>IF(Y464=0,"Release",IF(AND(L464&lt;J464,Y464=1,H464=FALSE,U464=FALSE,MONTH(L464)&amp;"/"&amp;YEAR(L464)&lt;&gt;MONTH(J464)&amp;"/"&amp;YEAR(J464)),"Release",""))</f>
        <v/>
      </c>
      <c r="AA464" s="128">
        <f>_xlfn.minifs($L:$L,$C:$C,$C464,$F:$F,"&lt;&gt;0")</f>
        <v/>
      </c>
      <c r="AB464" s="128">
        <f>C464&amp;"-"&amp;A464</f>
        <v/>
      </c>
      <c r="AC464" s="128">
        <f>L464</f>
        <v/>
      </c>
    </row>
    <row r="465">
      <c r="A465" s="124" t="inlineStr">
        <is>
          <t>ZDEL01</t>
        </is>
      </c>
      <c r="B465" s="124" t="n">
        <v>12</v>
      </c>
      <c r="C465" s="124" t="inlineStr">
        <is>
          <t>HVL202</t>
        </is>
      </c>
      <c r="D465" s="124" t="inlineStr">
        <is>
          <t>L</t>
        </is>
      </c>
      <c r="E465" s="124" t="inlineStr">
        <is>
          <t>Jansen van Vuuren Pieter</t>
        </is>
      </c>
      <c r="F465" s="125">
        <f>SUMIFS(Investors!$M:$M, Investors!$I:$I, "&lt;=" &amp; 'NSST Print'!$B$3, Investors!$K:$K, "&gt;" &amp; 'NSST Print'!$B$3, Investors!$A:$A, 'Investor Exit List'!A465, Investors!$E:$E, 'Investor Exit List'!C465)</f>
        <v/>
      </c>
      <c r="G465" s="126" t="n">
        <v>45321</v>
      </c>
      <c r="H465" s="124">
        <f>VLOOKUP($C465,Sales!$C:$E,2,FALSE)</f>
        <v/>
      </c>
      <c r="I465" s="124">
        <f>VLOOKUP($C465,Sales!$C:$E,3,FALSE)</f>
        <v/>
      </c>
      <c r="J465" s="126">
        <f>SUMIFS(Sales!$H:$H,Sales!$C:$C,'Investor Exit List'!$C465)</f>
        <v/>
      </c>
      <c r="K465" s="126">
        <f>IF(I465=TRUE,J465,"")</f>
        <v/>
      </c>
      <c r="L465" s="126">
        <f>G465+730</f>
        <v/>
      </c>
      <c r="M465" s="126" t="n">
        <v>45443</v>
      </c>
      <c r="N465" s="127">
        <f>IFERROR(IF(G465&lt;&gt;"",IF(I465=TRUE,0,IF(U465=TRUE,0,L465-M465)),0),0)</f>
        <v/>
      </c>
      <c r="O465" s="127">
        <f>IF(N465&gt;0,IF(N465&lt;=180,N465,0),0)</f>
        <v/>
      </c>
      <c r="P465" s="125">
        <f>IF(AND(N465&lt;90,N465&gt;0),Q465,0)</f>
        <v/>
      </c>
      <c r="Q465" s="125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25">
        <f>IF(AND(H465=TRUE,I465=FALSE),Q465,0)</f>
        <v/>
      </c>
      <c r="S465" s="125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26">
        <f>IF(U465=TRUE,$J465,"")</f>
        <v/>
      </c>
      <c r="U465" s="124" t="b">
        <v>0</v>
      </c>
      <c r="V465" s="125">
        <f>IF(AND(H465=TRUE,OR(K465="",K465&gt;M465)),S465,0)</f>
        <v/>
      </c>
      <c r="W465" s="124" t="n">
        <v>0</v>
      </c>
      <c r="X465" s="124" t="b">
        <v>0</v>
      </c>
      <c r="Y465" s="127">
        <f>IF(H465=FALSE,VLOOKUP($C465,Sales!$C:$F,4,FALSE),1)</f>
        <v/>
      </c>
      <c r="Z465" s="124">
        <f>IF(Y465=0,"Release",IF(AND(L465&lt;J465,Y465=1,H465=FALSE,U465=FALSE,MONTH(L465)&amp;"/"&amp;YEAR(L465)&lt;&gt;MONTH(J465)&amp;"/"&amp;YEAR(J465)),"Release",""))</f>
        <v/>
      </c>
      <c r="AA465" s="128">
        <f>_xlfn.minifs($L:$L,$C:$C,$C465,$F:$F,"&lt;&gt;0")</f>
        <v/>
      </c>
      <c r="AB465" s="128">
        <f>C465&amp;"-"&amp;A465</f>
        <v/>
      </c>
      <c r="AC465" s="128">
        <f>L465</f>
        <v/>
      </c>
    </row>
    <row r="466">
      <c r="A466" s="124" t="inlineStr">
        <is>
          <t>ZBUM01</t>
        </is>
      </c>
      <c r="B466" s="124" t="n">
        <v>3</v>
      </c>
      <c r="C466" s="124" t="inlineStr">
        <is>
          <t>HVL203</t>
        </is>
      </c>
      <c r="D466" s="124" t="inlineStr">
        <is>
          <t>L</t>
        </is>
      </c>
      <c r="E466" s="124" t="inlineStr">
        <is>
          <t>Brummer Andre Gottfried</t>
        </is>
      </c>
      <c r="F466" s="125">
        <f>SUMIFS(Investors!$M:$M, Investors!$I:$I, "&lt;=" &amp; 'NSST Print'!$B$3, Investors!$K:$K, "&gt;" &amp; 'NSST Print'!$B$3, Investors!$A:$A, 'Investor Exit List'!A466, Investors!$E:$E, 'Investor Exit List'!C466)</f>
        <v/>
      </c>
      <c r="G466" s="126" t="n">
        <v>45273</v>
      </c>
      <c r="H466" s="124">
        <f>VLOOKUP($C466,Sales!$C:$E,2,FALSE)</f>
        <v/>
      </c>
      <c r="I466" s="124">
        <f>VLOOKUP($C466,Sales!$C:$E,3,FALSE)</f>
        <v/>
      </c>
      <c r="J466" s="126">
        <f>SUMIFS(Sales!$H:$H,Sales!$C:$C,'Investor Exit List'!$C466)</f>
        <v/>
      </c>
      <c r="K466" s="126">
        <f>IF(I466=TRUE,J466,"")</f>
        <v/>
      </c>
      <c r="L466" s="126">
        <f>G466+730</f>
        <v/>
      </c>
      <c r="M466" s="126" t="n">
        <v>45443</v>
      </c>
      <c r="N466" s="127">
        <f>IFERROR(IF(G466&lt;&gt;"",IF(I466=TRUE,0,IF(U466=TRUE,0,L466-M466)),0),0)</f>
        <v/>
      </c>
      <c r="O466" s="127">
        <f>IF(N466&gt;0,IF(N466&lt;=180,N466,0),0)</f>
        <v/>
      </c>
      <c r="P466" s="125">
        <f>IF(AND(N466&lt;90,N466&gt;0),Q466,0)</f>
        <v/>
      </c>
      <c r="Q466" s="125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25">
        <f>IF(AND(H466=TRUE,I466=FALSE),Q466,0)</f>
        <v/>
      </c>
      <c r="S466" s="125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26">
        <f>IF(U466=TRUE,$J466,"")</f>
        <v/>
      </c>
      <c r="U466" s="124" t="b">
        <v>0</v>
      </c>
      <c r="V466" s="125">
        <f>IF(AND(H466=TRUE,OR(K466="",K466&gt;M466)),S466,0)</f>
        <v/>
      </c>
      <c r="W466" s="124" t="n">
        <v>0</v>
      </c>
      <c r="X466" s="124" t="b">
        <v>0</v>
      </c>
      <c r="Y466" s="127">
        <f>IF(H466=FALSE,VLOOKUP($C466,Sales!$C:$F,4,FALSE),1)</f>
        <v/>
      </c>
      <c r="Z466" s="124">
        <f>IF(Y466=0,"Release",IF(AND(L466&lt;J466,Y466=1,H466=FALSE,U466=FALSE,MONTH(L466)&amp;"/"&amp;YEAR(L466)&lt;&gt;MONTH(J466)&amp;"/"&amp;YEAR(J466)),"Release",""))</f>
        <v/>
      </c>
      <c r="AA466" s="128">
        <f>_xlfn.minifs($L:$L,$C:$C,$C466,$F:$F,"&lt;&gt;0")</f>
        <v/>
      </c>
      <c r="AB466" s="128">
        <f>C466&amp;"-"&amp;A466</f>
        <v/>
      </c>
      <c r="AC466" s="128">
        <f>L466</f>
        <v/>
      </c>
    </row>
    <row r="467">
      <c r="A467" s="124" t="inlineStr">
        <is>
          <t>ZDEL01</t>
        </is>
      </c>
      <c r="B467" s="124" t="n">
        <v>13</v>
      </c>
      <c r="C467" s="124" t="inlineStr">
        <is>
          <t>HVL203</t>
        </is>
      </c>
      <c r="D467" s="124" t="inlineStr">
        <is>
          <t>L</t>
        </is>
      </c>
      <c r="E467" s="124" t="inlineStr">
        <is>
          <t>Jansen van Vuuren Pieter</t>
        </is>
      </c>
      <c r="F467" s="125">
        <f>SUMIFS(Investors!$M:$M, Investors!$I:$I, "&lt;=" &amp; 'NSST Print'!$B$3, Investors!$K:$K, "&gt;" &amp; 'NSST Print'!$B$3, Investors!$A:$A, 'Investor Exit List'!A467, Investors!$E:$E, 'Investor Exit List'!C467)</f>
        <v/>
      </c>
      <c r="G467" s="126" t="n">
        <v>45273</v>
      </c>
      <c r="H467" s="124">
        <f>VLOOKUP($C467,Sales!$C:$E,2,FALSE)</f>
        <v/>
      </c>
      <c r="I467" s="124">
        <f>VLOOKUP($C467,Sales!$C:$E,3,FALSE)</f>
        <v/>
      </c>
      <c r="J467" s="126">
        <f>SUMIFS(Sales!$H:$H,Sales!$C:$C,'Investor Exit List'!$C467)</f>
        <v/>
      </c>
      <c r="K467" s="126">
        <f>IF(I467=TRUE,J467,"")</f>
        <v/>
      </c>
      <c r="L467" s="126">
        <f>G467+730</f>
        <v/>
      </c>
      <c r="M467" s="126" t="n">
        <v>45443</v>
      </c>
      <c r="N467" s="127">
        <f>IFERROR(IF(G467&lt;&gt;"",IF(I467=TRUE,0,IF(U467=TRUE,0,L467-M467)),0),0)</f>
        <v/>
      </c>
      <c r="O467" s="127">
        <f>IF(N467&gt;0,IF(N467&lt;=180,N467,0),0)</f>
        <v/>
      </c>
      <c r="P467" s="125">
        <f>IF(AND(N467&lt;90,N467&gt;0),Q467,0)</f>
        <v/>
      </c>
      <c r="Q467" s="125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25">
        <f>IF(AND(H467=TRUE,I467=FALSE),Q467,0)</f>
        <v/>
      </c>
      <c r="S467" s="125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26">
        <f>IF(U467=TRUE,$J467,"")</f>
        <v/>
      </c>
      <c r="U467" s="124" t="b">
        <v>0</v>
      </c>
      <c r="V467" s="125">
        <f>IF(AND(H467=TRUE,OR(K467="",K467&gt;M467)),S467,0)</f>
        <v/>
      </c>
      <c r="W467" s="124" t="n">
        <v>0</v>
      </c>
      <c r="X467" s="124" t="b">
        <v>0</v>
      </c>
      <c r="Y467" s="127">
        <f>IF(H467=FALSE,VLOOKUP($C467,Sales!$C:$F,4,FALSE),1)</f>
        <v/>
      </c>
      <c r="Z467" s="124">
        <f>IF(Y467=0,"Release",IF(AND(L467&lt;J467,Y467=1,H467=FALSE,U467=FALSE,MONTH(L467)&amp;"/"&amp;YEAR(L467)&lt;&gt;MONTH(J467)&amp;"/"&amp;YEAR(J467)),"Release",""))</f>
        <v/>
      </c>
      <c r="AA467" s="128">
        <f>_xlfn.minifs($L:$L,$C:$C,$C467,$F:$F,"&lt;&gt;0")</f>
        <v/>
      </c>
      <c r="AB467" s="128">
        <f>C467&amp;"-"&amp;A467</f>
        <v/>
      </c>
      <c r="AC467" s="128">
        <f>L467</f>
        <v/>
      </c>
    </row>
    <row r="468">
      <c r="A468" s="124" t="inlineStr">
        <is>
          <t>ZERA02</t>
        </is>
      </c>
      <c r="B468" s="124" t="n">
        <v>3</v>
      </c>
      <c r="C468" s="124" t="inlineStr">
        <is>
          <t>HVL203</t>
        </is>
      </c>
      <c r="D468" s="124" t="inlineStr">
        <is>
          <t>L</t>
        </is>
      </c>
      <c r="E468" s="124" t="inlineStr">
        <is>
          <t>Erasmus Chantal Celeste Jafthaleen</t>
        </is>
      </c>
      <c r="F468" s="125">
        <f>SUMIFS(Investors!$M:$M, Investors!$I:$I, "&lt;=" &amp; 'NSST Print'!$B$3, Investors!$K:$K, "&gt;" &amp; 'NSST Print'!$B$3, Investors!$A:$A, 'Investor Exit List'!A468, Investors!$E:$E, 'Investor Exit List'!C468)</f>
        <v/>
      </c>
      <c r="G468" s="126" t="n">
        <v>45273</v>
      </c>
      <c r="H468" s="124">
        <f>VLOOKUP($C468,Sales!$C:$E,2,FALSE)</f>
        <v/>
      </c>
      <c r="I468" s="124">
        <f>VLOOKUP($C468,Sales!$C:$E,3,FALSE)</f>
        <v/>
      </c>
      <c r="J468" s="126">
        <f>SUMIFS(Sales!$H:$H,Sales!$C:$C,'Investor Exit List'!$C468)</f>
        <v/>
      </c>
      <c r="K468" s="126">
        <f>IF(I468=TRUE,J468,"")</f>
        <v/>
      </c>
      <c r="L468" s="126">
        <f>G468+730</f>
        <v/>
      </c>
      <c r="M468" s="126" t="n">
        <v>45443</v>
      </c>
      <c r="N468" s="127">
        <f>IFERROR(IF(G468&lt;&gt;"",IF(I468=TRUE,0,IF(U468=TRUE,0,L468-M468)),0),0)</f>
        <v/>
      </c>
      <c r="O468" s="127">
        <f>IF(N468&gt;0,IF(N468&lt;=180,N468,0),0)</f>
        <v/>
      </c>
      <c r="P468" s="125">
        <f>IF(AND(N468&lt;90,N468&gt;0),Q468,0)</f>
        <v/>
      </c>
      <c r="Q468" s="125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25">
        <f>IF(AND(H468=TRUE,I468=FALSE),Q468,0)</f>
        <v/>
      </c>
      <c r="S468" s="125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26">
        <f>IF(U468=TRUE,$J468,"")</f>
        <v/>
      </c>
      <c r="U468" s="124" t="b">
        <v>0</v>
      </c>
      <c r="V468" s="125">
        <f>IF(AND(H468=TRUE,OR(K468="",K468&gt;M468)),S468,0)</f>
        <v/>
      </c>
      <c r="W468" s="124" t="n">
        <v>0</v>
      </c>
      <c r="X468" s="124" t="b">
        <v>0</v>
      </c>
      <c r="Y468" s="127">
        <f>IF(H468=FALSE,VLOOKUP($C468,Sales!$C:$F,4,FALSE),1)</f>
        <v/>
      </c>
      <c r="Z468" s="124">
        <f>IF(Y468=0,"Release",IF(AND(L468&lt;J468,Y468=1,H468=FALSE,U468=FALSE,MONTH(L468)&amp;"/"&amp;YEAR(L468)&lt;&gt;MONTH(J468)&amp;"/"&amp;YEAR(J468)),"Release",""))</f>
        <v/>
      </c>
      <c r="AA468" s="128">
        <f>_xlfn.minifs($L:$L,$C:$C,$C468,$F:$F,"&lt;&gt;0")</f>
        <v/>
      </c>
      <c r="AB468" s="128">
        <f>C468&amp;"-"&amp;A468</f>
        <v/>
      </c>
      <c r="AC468" s="128">
        <f>L468</f>
        <v/>
      </c>
    </row>
    <row r="469">
      <c r="A469" s="124" t="inlineStr">
        <is>
          <t>ZHEN01</t>
        </is>
      </c>
      <c r="B469" s="124" t="n">
        <v>5</v>
      </c>
      <c r="C469" s="124" t="inlineStr">
        <is>
          <t>HVL203</t>
        </is>
      </c>
      <c r="D469" s="124" t="inlineStr">
        <is>
          <t>L</t>
        </is>
      </c>
      <c r="E469" s="124" t="inlineStr">
        <is>
          <t>Hendricks Theodore Shane</t>
        </is>
      </c>
      <c r="F469" s="125">
        <f>SUMIFS(Investors!$M:$M, Investors!$I:$I, "&lt;=" &amp; 'NSST Print'!$B$3, Investors!$K:$K, "&gt;" &amp; 'NSST Print'!$B$3, Investors!$A:$A, 'Investor Exit List'!A469, Investors!$E:$E, 'Investor Exit List'!C469)</f>
        <v/>
      </c>
      <c r="G469" s="126" t="n">
        <v>45363</v>
      </c>
      <c r="H469" s="124">
        <f>VLOOKUP($C469,Sales!$C:$E,2,FALSE)</f>
        <v/>
      </c>
      <c r="I469" s="124">
        <f>VLOOKUP($C469,Sales!$C:$E,3,FALSE)</f>
        <v/>
      </c>
      <c r="J469" s="126">
        <f>SUMIFS(Sales!$H:$H,Sales!$C:$C,'Investor Exit List'!$C469)</f>
        <v/>
      </c>
      <c r="K469" s="126">
        <f>IF(I469=TRUE,J469,"")</f>
        <v/>
      </c>
      <c r="L469" s="126">
        <f>G469+730</f>
        <v/>
      </c>
      <c r="M469" s="126" t="n">
        <v>45443</v>
      </c>
      <c r="N469" s="127">
        <f>IFERROR(IF(G469&lt;&gt;"",IF(I469=TRUE,0,IF(U469=TRUE,0,L469-M469)),0),0)</f>
        <v/>
      </c>
      <c r="O469" s="127">
        <f>IF(N469&gt;0,IF(N469&lt;=180,N469,0),0)</f>
        <v/>
      </c>
      <c r="P469" s="125">
        <f>IF(AND(N469&lt;90,N469&gt;0),Q469,0)</f>
        <v/>
      </c>
      <c r="Q469" s="125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25">
        <f>IF(AND(H469=TRUE,I469=FALSE),Q469,0)</f>
        <v/>
      </c>
      <c r="S469" s="125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26">
        <f>IF(U469=TRUE,$J469,"")</f>
        <v/>
      </c>
      <c r="U469" s="124" t="b">
        <v>0</v>
      </c>
      <c r="V469" s="125">
        <f>IF(AND(H469=TRUE,OR(K469="",K469&gt;M469)),S469,0)</f>
        <v/>
      </c>
      <c r="W469" s="124" t="n">
        <v>0</v>
      </c>
      <c r="X469" s="124" t="b">
        <v>0</v>
      </c>
      <c r="Y469" s="127">
        <f>IF(H469=FALSE,VLOOKUP($C469,Sales!$C:$F,4,FALSE),1)</f>
        <v/>
      </c>
      <c r="Z469" s="124">
        <f>IF(Y469=0,"Release",IF(AND(L469&lt;J469,Y469=1,H469=FALSE,U469=FALSE,MONTH(L469)&amp;"/"&amp;YEAR(L469)&lt;&gt;MONTH(J469)&amp;"/"&amp;YEAR(J469)),"Release",""))</f>
        <v/>
      </c>
      <c r="AA469" s="128">
        <f>_xlfn.minifs($L:$L,$C:$C,$C469,$F:$F,"&lt;&gt;0")</f>
        <v/>
      </c>
      <c r="AB469" s="128">
        <f>C469&amp;"-"&amp;A469</f>
        <v/>
      </c>
      <c r="AC469" s="128">
        <f>L469</f>
        <v/>
      </c>
    </row>
    <row r="470">
      <c r="A470" s="124" t="inlineStr">
        <is>
          <t>ZHUT01</t>
        </is>
      </c>
      <c r="B470" s="124" t="n">
        <v>9</v>
      </c>
      <c r="C470" s="124" t="inlineStr">
        <is>
          <t>HVL203</t>
        </is>
      </c>
      <c r="D470" s="124" t="inlineStr">
        <is>
          <t>L</t>
        </is>
      </c>
      <c r="E470" s="124" t="inlineStr">
        <is>
          <t>Hutchings Tracy Jane</t>
        </is>
      </c>
      <c r="F470" s="125">
        <f>SUMIFS(Investors!$M:$M, Investors!$I:$I, "&lt;=" &amp; 'NSST Print'!$B$3, Investors!$K:$K, "&gt;" &amp; 'NSST Print'!$B$3, Investors!$A:$A, 'Investor Exit List'!A470, Investors!$E:$E, 'Investor Exit List'!C470)</f>
        <v/>
      </c>
      <c r="G470" s="126" t="n">
        <v>45371</v>
      </c>
      <c r="H470" s="124">
        <f>VLOOKUP($C470,Sales!$C:$E,2,FALSE)</f>
        <v/>
      </c>
      <c r="I470" s="124">
        <f>VLOOKUP($C470,Sales!$C:$E,3,FALSE)</f>
        <v/>
      </c>
      <c r="J470" s="126">
        <f>SUMIFS(Sales!$H:$H,Sales!$C:$C,'Investor Exit List'!$C470)</f>
        <v/>
      </c>
      <c r="K470" s="126">
        <f>IF(I470=TRUE,J470,"")</f>
        <v/>
      </c>
      <c r="L470" s="126">
        <f>G470+730</f>
        <v/>
      </c>
      <c r="M470" s="126" t="n">
        <v>45443</v>
      </c>
      <c r="N470" s="127">
        <f>IFERROR(IF(G470&lt;&gt;"",IF(I470=TRUE,0,IF(U470=TRUE,0,L470-M470)),0),0)</f>
        <v/>
      </c>
      <c r="O470" s="127">
        <f>IF(N470&gt;0,IF(N470&lt;=180,N470,0),0)</f>
        <v/>
      </c>
      <c r="P470" s="125">
        <f>IF(AND(N470&lt;90,N470&gt;0),Q470,0)</f>
        <v/>
      </c>
      <c r="Q470" s="125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25">
        <f>IF(AND(H470=TRUE,I470=FALSE),Q470,0)</f>
        <v/>
      </c>
      <c r="S470" s="125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26">
        <f>IF(U470=TRUE,$J470,"")</f>
        <v/>
      </c>
      <c r="U470" s="124" t="b">
        <v>0</v>
      </c>
      <c r="V470" s="125">
        <f>IF(AND(H470=TRUE,OR(K470="",K470&gt;M470)),S470,0)</f>
        <v/>
      </c>
      <c r="W470" s="124" t="n">
        <v>0</v>
      </c>
      <c r="X470" s="124" t="b">
        <v>0</v>
      </c>
      <c r="Y470" s="127">
        <f>IF(H470=FALSE,VLOOKUP($C470,Sales!$C:$F,4,FALSE),1)</f>
        <v/>
      </c>
      <c r="Z470" s="124">
        <f>IF(Y470=0,"Release",IF(AND(L470&lt;J470,Y470=1,H470=FALSE,U470=FALSE,MONTH(L470)&amp;"/"&amp;YEAR(L470)&lt;&gt;MONTH(J470)&amp;"/"&amp;YEAR(J470)),"Release",""))</f>
        <v/>
      </c>
      <c r="AA470" s="128">
        <f>_xlfn.minifs($L:$L,$C:$C,$C470,$F:$F,"&lt;&gt;0")</f>
        <v/>
      </c>
      <c r="AB470" s="128">
        <f>C470&amp;"-"&amp;A470</f>
        <v/>
      </c>
      <c r="AC470" s="128">
        <f>L470</f>
        <v/>
      </c>
    </row>
    <row r="471">
      <c r="A471" s="124" t="inlineStr">
        <is>
          <t>ZROD01</t>
        </is>
      </c>
      <c r="B471" s="124" t="n">
        <v>3</v>
      </c>
      <c r="C471" s="124" t="inlineStr">
        <is>
          <t>HVL203</t>
        </is>
      </c>
      <c r="D471" s="124" t="inlineStr">
        <is>
          <t>L</t>
        </is>
      </c>
      <c r="E471" s="124" t="inlineStr">
        <is>
          <t>Rodolo Vuyisile Eustace</t>
        </is>
      </c>
      <c r="F471" s="125">
        <f>SUMIFS(Investors!$M:$M, Investors!$I:$I, "&lt;=" &amp; 'NSST Print'!$B$3, Investors!$K:$K, "&gt;" &amp; 'NSST Print'!$B$3, Investors!$A:$A, 'Investor Exit List'!A471, Investors!$E:$E, 'Investor Exit List'!C471)</f>
        <v/>
      </c>
      <c r="G471" s="126" t="n">
        <v>45363</v>
      </c>
      <c r="H471" s="124">
        <f>VLOOKUP($C471,Sales!$C:$E,2,FALSE)</f>
        <v/>
      </c>
      <c r="I471" s="124">
        <f>VLOOKUP($C471,Sales!$C:$E,3,FALSE)</f>
        <v/>
      </c>
      <c r="J471" s="126">
        <f>SUMIFS(Sales!$H:$H,Sales!$C:$C,'Investor Exit List'!$C471)</f>
        <v/>
      </c>
      <c r="K471" s="126">
        <f>IF(I471=TRUE,J471,"")</f>
        <v/>
      </c>
      <c r="L471" s="126">
        <f>G471+730</f>
        <v/>
      </c>
      <c r="M471" s="126" t="n">
        <v>45443</v>
      </c>
      <c r="N471" s="127">
        <f>IFERROR(IF(G471&lt;&gt;"",IF(I471=TRUE,0,IF(U471=TRUE,0,L471-M471)),0),0)</f>
        <v/>
      </c>
      <c r="O471" s="127">
        <f>IF(N471&gt;0,IF(N471&lt;=180,N471,0),0)</f>
        <v/>
      </c>
      <c r="P471" s="125">
        <f>IF(AND(N471&lt;90,N471&gt;0),Q471,0)</f>
        <v/>
      </c>
      <c r="Q471" s="125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25">
        <f>IF(AND(H471=TRUE,I471=FALSE),Q471,0)</f>
        <v/>
      </c>
      <c r="S471" s="125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26">
        <f>IF(U471=TRUE,$J471,"")</f>
        <v/>
      </c>
      <c r="U471" s="124" t="b">
        <v>0</v>
      </c>
      <c r="V471" s="125">
        <f>IF(AND(H471=TRUE,OR(K471="",K471&gt;M471)),S471,0)</f>
        <v/>
      </c>
      <c r="W471" s="124" t="n">
        <v>0</v>
      </c>
      <c r="X471" s="124" t="b">
        <v>0</v>
      </c>
      <c r="Y471" s="127">
        <f>IF(H471=FALSE,VLOOKUP($C471,Sales!$C:$F,4,FALSE),1)</f>
        <v/>
      </c>
      <c r="Z471" s="124">
        <f>IF(Y471=0,"Release",IF(AND(L471&lt;J471,Y471=1,H471=FALSE,U471=FALSE,MONTH(L471)&amp;"/"&amp;YEAR(L471)&lt;&gt;MONTH(J471)&amp;"/"&amp;YEAR(J471)),"Release",""))</f>
        <v/>
      </c>
      <c r="AA471" s="128">
        <f>_xlfn.minifs($L:$L,$C:$C,$C471,$F:$F,"&lt;&gt;0")</f>
        <v/>
      </c>
      <c r="AB471" s="128">
        <f>C471&amp;"-"&amp;A471</f>
        <v/>
      </c>
      <c r="AC471" s="128">
        <f>L471</f>
        <v/>
      </c>
    </row>
    <row r="472">
      <c r="A472" s="124" t="inlineStr">
        <is>
          <t>ZHEI01</t>
        </is>
      </c>
      <c r="B472" s="124" t="n">
        <v>12</v>
      </c>
      <c r="C472" s="124" t="inlineStr">
        <is>
          <t>HVL204</t>
        </is>
      </c>
      <c r="D472" s="124" t="inlineStr">
        <is>
          <t>L</t>
        </is>
      </c>
      <c r="E472" s="124" t="inlineStr">
        <is>
          <t>Heinze Dieter Raimund</t>
        </is>
      </c>
      <c r="F472" s="125">
        <f>SUMIFS(Investors!$M:$M, Investors!$I:$I, "&lt;=" &amp; 'NSST Print'!$B$3, Investors!$K:$K, "&gt;" &amp; 'NSST Print'!$B$3, Investors!$A:$A, 'Investor Exit List'!A472, Investors!$E:$E, 'Investor Exit List'!C472)</f>
        <v/>
      </c>
      <c r="G472" s="126" t="n">
        <v>45371</v>
      </c>
      <c r="H472" s="124">
        <f>VLOOKUP($C472,Sales!$C:$E,2,FALSE)</f>
        <v/>
      </c>
      <c r="I472" s="124">
        <f>VLOOKUP($C472,Sales!$C:$E,3,FALSE)</f>
        <v/>
      </c>
      <c r="J472" s="126">
        <f>SUMIFS(Sales!$H:$H,Sales!$C:$C,'Investor Exit List'!$C472)</f>
        <v/>
      </c>
      <c r="K472" s="126">
        <f>IF(I472=TRUE,J472,"")</f>
        <v/>
      </c>
      <c r="L472" s="126">
        <f>G472+730</f>
        <v/>
      </c>
      <c r="M472" s="126" t="n">
        <v>45443</v>
      </c>
      <c r="N472" s="127">
        <f>IFERROR(IF(G472&lt;&gt;"",IF(I472=TRUE,0,IF(U472=TRUE,0,L472-M472)),0),0)</f>
        <v/>
      </c>
      <c r="O472" s="127">
        <f>IF(N472&gt;0,IF(N472&lt;=180,N472,0),0)</f>
        <v/>
      </c>
      <c r="P472" s="125">
        <f>IF(AND(N472&lt;90,N472&gt;0),Q472,0)</f>
        <v/>
      </c>
      <c r="Q472" s="125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25">
        <f>IF(AND(H472=TRUE,I472=FALSE),Q472,0)</f>
        <v/>
      </c>
      <c r="S472" s="125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26">
        <f>IF(U472=TRUE,$J472,"")</f>
        <v/>
      </c>
      <c r="U472" s="124" t="b">
        <v>0</v>
      </c>
      <c r="V472" s="125">
        <f>IF(AND(H472=TRUE,OR(K472="",K472&gt;M472)),S472,0)</f>
        <v/>
      </c>
      <c r="W472" s="124" t="n">
        <v>0</v>
      </c>
      <c r="X472" s="124" t="b">
        <v>0</v>
      </c>
      <c r="Y472" s="127">
        <f>IF(H472=FALSE,VLOOKUP($C472,Sales!$C:$F,4,FALSE),1)</f>
        <v/>
      </c>
      <c r="Z472" s="124">
        <f>IF(Y472=0,"Release",IF(AND(L472&lt;J472,Y472=1,H472=FALSE,U472=FALSE,MONTH(L472)&amp;"/"&amp;YEAR(L472)&lt;&gt;MONTH(J472)&amp;"/"&amp;YEAR(J472)),"Release",""))</f>
        <v/>
      </c>
      <c r="AA472" s="128">
        <f>_xlfn.minifs($L:$L,$C:$C,$C472,$F:$F,"&lt;&gt;0")</f>
        <v/>
      </c>
      <c r="AB472" s="128">
        <f>C472&amp;"-"&amp;A472</f>
        <v/>
      </c>
      <c r="AC472" s="128">
        <f>L472</f>
        <v/>
      </c>
    </row>
    <row r="473">
      <c r="A473" s="124" t="inlineStr">
        <is>
          <t>ZINT01</t>
        </is>
      </c>
      <c r="B473" s="124" t="n">
        <v>17</v>
      </c>
      <c r="C473" s="124" t="inlineStr">
        <is>
          <t>HVL204</t>
        </is>
      </c>
      <c r="D473" s="124" t="inlineStr">
        <is>
          <t>L</t>
        </is>
      </c>
      <c r="E473" s="124" t="inlineStr">
        <is>
          <t>Lunau Marc</t>
        </is>
      </c>
      <c r="F473" s="125">
        <f>SUMIFS(Investors!$M:$M, Investors!$I:$I, "&lt;=" &amp; 'NSST Print'!$B$3, Investors!$K:$K, "&gt;" &amp; 'NSST Print'!$B$3, Investors!$A:$A, 'Investor Exit List'!A473, Investors!$E:$E, 'Investor Exit List'!C473)</f>
        <v/>
      </c>
      <c r="G473" s="126" t="n">
        <v>45161</v>
      </c>
      <c r="H473" s="124">
        <f>VLOOKUP($C473,Sales!$C:$E,2,FALSE)</f>
        <v/>
      </c>
      <c r="I473" s="124">
        <f>VLOOKUP($C473,Sales!$C:$E,3,FALSE)</f>
        <v/>
      </c>
      <c r="J473" s="126">
        <f>SUMIFS(Sales!$H:$H,Sales!$C:$C,'Investor Exit List'!$C473)</f>
        <v/>
      </c>
      <c r="K473" s="126">
        <f>IF(I473=TRUE,J473,"")</f>
        <v/>
      </c>
      <c r="L473" s="126">
        <f>G473+730</f>
        <v/>
      </c>
      <c r="M473" s="126" t="n">
        <v>45443</v>
      </c>
      <c r="N473" s="127">
        <f>IFERROR(IF(G473&lt;&gt;"",IF(I473=TRUE,0,IF(U473=TRUE,0,L473-M473)),0),0)</f>
        <v/>
      </c>
      <c r="O473" s="127">
        <f>IF(N473&gt;0,IF(N473&lt;=180,N473,0),0)</f>
        <v/>
      </c>
      <c r="P473" s="125">
        <f>IF(AND(N473&lt;90,N473&gt;0),Q473,0)</f>
        <v/>
      </c>
      <c r="Q473" s="125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25">
        <f>IF(AND(H473=TRUE,I473=FALSE),Q473,0)</f>
        <v/>
      </c>
      <c r="S473" s="125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26">
        <f>IF(U473=TRUE,$J473,"")</f>
        <v/>
      </c>
      <c r="U473" s="124" t="b">
        <v>0</v>
      </c>
      <c r="V473" s="125">
        <f>IF(AND(H473=TRUE,OR(K473="",K473&gt;M473)),S473,0)</f>
        <v/>
      </c>
      <c r="W473" s="124" t="n">
        <v>0</v>
      </c>
      <c r="X473" s="124" t="b">
        <v>0</v>
      </c>
      <c r="Y473" s="127">
        <f>IF(H473=FALSE,VLOOKUP($C473,Sales!$C:$F,4,FALSE),1)</f>
        <v/>
      </c>
      <c r="Z473" s="124">
        <f>IF(Y473=0,"Release",IF(AND(L473&lt;J473,Y473=1,H473=FALSE,U473=FALSE,MONTH(L473)&amp;"/"&amp;YEAR(L473)&lt;&gt;MONTH(J473)&amp;"/"&amp;YEAR(J473)),"Release",""))</f>
        <v/>
      </c>
      <c r="AA473" s="128">
        <f>_xlfn.minifs($L:$L,$C:$C,$C473,$F:$F,"&lt;&gt;0")</f>
        <v/>
      </c>
      <c r="AB473" s="128">
        <f>C473&amp;"-"&amp;A473</f>
        <v/>
      </c>
      <c r="AC473" s="128">
        <f>L473</f>
        <v/>
      </c>
    </row>
    <row r="474">
      <c r="A474" s="124" t="inlineStr">
        <is>
          <t>ZNIE02</t>
        </is>
      </c>
      <c r="B474" s="124" t="n">
        <v>3</v>
      </c>
      <c r="C474" s="124" t="inlineStr">
        <is>
          <t>HVL204</t>
        </is>
      </c>
      <c r="D474" s="124" t="inlineStr">
        <is>
          <t>L</t>
        </is>
      </c>
      <c r="E474" s="124" t="inlineStr">
        <is>
          <t>van Niekerk Linda Kathleen</t>
        </is>
      </c>
      <c r="F474" s="125">
        <f>SUMIFS(Investors!$M:$M, Investors!$I:$I, "&lt;=" &amp; 'NSST Print'!$B$3, Investors!$K:$K, "&gt;" &amp; 'NSST Print'!$B$3, Investors!$A:$A, 'Investor Exit List'!A474, Investors!$E:$E, 'Investor Exit List'!C474)</f>
        <v/>
      </c>
      <c r="G474" s="126" t="n">
        <v>45273</v>
      </c>
      <c r="H474" s="124">
        <f>VLOOKUP($C474,Sales!$C:$E,2,FALSE)</f>
        <v/>
      </c>
      <c r="I474" s="124">
        <f>VLOOKUP($C474,Sales!$C:$E,3,FALSE)</f>
        <v/>
      </c>
      <c r="J474" s="126">
        <f>SUMIFS(Sales!$H:$H,Sales!$C:$C,'Investor Exit List'!$C474)</f>
        <v/>
      </c>
      <c r="K474" s="126">
        <f>IF(I474=TRUE,J474,"")</f>
        <v/>
      </c>
      <c r="L474" s="126">
        <f>G474+730</f>
        <v/>
      </c>
      <c r="M474" s="126" t="n">
        <v>45443</v>
      </c>
      <c r="N474" s="127">
        <f>IFERROR(IF(G474&lt;&gt;"",IF(I474=TRUE,0,IF(U474=TRUE,0,L474-M474)),0),0)</f>
        <v/>
      </c>
      <c r="O474" s="127">
        <f>IF(N474&gt;0,IF(N474&lt;=180,N474,0),0)</f>
        <v/>
      </c>
      <c r="P474" s="125">
        <f>IF(AND(N474&lt;90,N474&gt;0),Q474,0)</f>
        <v/>
      </c>
      <c r="Q474" s="125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25">
        <f>IF(AND(H474=TRUE,I474=FALSE),Q474,0)</f>
        <v/>
      </c>
      <c r="S474" s="125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26">
        <f>IF(U474=TRUE,$J474,"")</f>
        <v/>
      </c>
      <c r="U474" s="124" t="b">
        <v>0</v>
      </c>
      <c r="V474" s="125">
        <f>IF(AND(H474=TRUE,OR(K474="",K474&gt;M474)),S474,0)</f>
        <v/>
      </c>
      <c r="W474" s="124" t="n">
        <v>0</v>
      </c>
      <c r="X474" s="124" t="b">
        <v>0</v>
      </c>
      <c r="Y474" s="127">
        <f>IF(H474=FALSE,VLOOKUP($C474,Sales!$C:$F,4,FALSE),1)</f>
        <v/>
      </c>
      <c r="Z474" s="124">
        <f>IF(Y474=0,"Release",IF(AND(L474&lt;J474,Y474=1,H474=FALSE,U474=FALSE,MONTH(L474)&amp;"/"&amp;YEAR(L474)&lt;&gt;MONTH(J474)&amp;"/"&amp;YEAR(J474)),"Release",""))</f>
        <v/>
      </c>
      <c r="AA474" s="128">
        <f>_xlfn.minifs($L:$L,$C:$C,$C474,$F:$F,"&lt;&gt;0")</f>
        <v/>
      </c>
      <c r="AB474" s="128">
        <f>C474&amp;"-"&amp;A474</f>
        <v/>
      </c>
      <c r="AC474" s="128">
        <f>L474</f>
        <v/>
      </c>
    </row>
    <row r="475">
      <c r="A475" s="124" t="inlineStr">
        <is>
          <t>ZAFR01</t>
        </is>
      </c>
      <c r="B475" s="124" t="n">
        <v>4</v>
      </c>
      <c r="C475" s="124" t="inlineStr">
        <is>
          <t>HVM101</t>
        </is>
      </c>
      <c r="D475" s="124" t="inlineStr">
        <is>
          <t>M</t>
        </is>
      </c>
      <c r="E475" s="124" t="inlineStr">
        <is>
          <t>Zylstra John Robert</t>
        </is>
      </c>
      <c r="F475" s="125">
        <f>SUMIFS(Investors!$M:$M, Investors!$I:$I, "&lt;=" &amp; 'NSST Print'!$B$3, Investors!$K:$K, "&gt;" &amp; 'NSST Print'!$B$3, Investors!$A:$A, 'Investor Exit List'!A475, Investors!$E:$E, 'Investor Exit List'!C475)</f>
        <v/>
      </c>
      <c r="G475" s="126" t="n">
        <v>45129</v>
      </c>
      <c r="H475" s="124">
        <f>VLOOKUP($C475,Sales!$C:$E,2,FALSE)</f>
        <v/>
      </c>
      <c r="I475" s="124">
        <f>VLOOKUP($C475,Sales!$C:$E,3,FALSE)</f>
        <v/>
      </c>
      <c r="J475" s="126">
        <f>SUMIFS(Sales!$H:$H,Sales!$C:$C,'Investor Exit List'!$C475)</f>
        <v/>
      </c>
      <c r="K475" s="126">
        <f>IF(I475=TRUE,J475,"")</f>
        <v/>
      </c>
      <c r="L475" s="126">
        <f>G475+730</f>
        <v/>
      </c>
      <c r="M475" s="126" t="n">
        <v>45443</v>
      </c>
      <c r="N475" s="127">
        <f>IFERROR(IF(G475&lt;&gt;"",IF(I475=TRUE,0,IF(U475=TRUE,0,L475-M475)),0),0)</f>
        <v/>
      </c>
      <c r="O475" s="127">
        <f>IF(N475&gt;0,IF(N475&lt;=180,N475,0),0)</f>
        <v/>
      </c>
      <c r="P475" s="125">
        <f>IF(AND(N475&lt;90,N475&gt;0),Q475,0)</f>
        <v/>
      </c>
      <c r="Q475" s="125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25">
        <f>IF(AND(H475=TRUE,I475=FALSE),Q475,0)</f>
        <v/>
      </c>
      <c r="S475" s="125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26">
        <f>IF(U475=TRUE,$J475,"")</f>
        <v/>
      </c>
      <c r="U475" s="124" t="b">
        <v>0</v>
      </c>
      <c r="V475" s="125">
        <f>IF(AND(H475=TRUE,OR(K475="",K475&gt;M475)),S475,0)</f>
        <v/>
      </c>
      <c r="W475" s="124" t="n">
        <v>0</v>
      </c>
      <c r="X475" s="124" t="b">
        <v>0</v>
      </c>
      <c r="Y475" s="127">
        <f>IF(H475=FALSE,VLOOKUP($C475,Sales!$C:$F,4,FALSE),1)</f>
        <v/>
      </c>
      <c r="Z475" s="124">
        <f>IF(Y475=0,"Release",IF(AND(L475&lt;J475,Y475=1,H475=FALSE,U475=FALSE,MONTH(L475)&amp;"/"&amp;YEAR(L475)&lt;&gt;MONTH(J475)&amp;"/"&amp;YEAR(J475)),"Release",""))</f>
        <v/>
      </c>
      <c r="AA475" s="128">
        <f>_xlfn.minifs($L:$L,$C:$C,$C475,$F:$F,"&lt;&gt;0")</f>
        <v/>
      </c>
      <c r="AB475" s="128">
        <f>C475&amp;"-"&amp;A475</f>
        <v/>
      </c>
      <c r="AC475" s="128">
        <f>L475</f>
        <v/>
      </c>
    </row>
    <row r="476">
      <c r="A476" s="124" t="inlineStr">
        <is>
          <t>ZKOO01</t>
        </is>
      </c>
      <c r="B476" s="124" t="n">
        <v>3</v>
      </c>
      <c r="C476" s="124" t="inlineStr">
        <is>
          <t>HVM101</t>
        </is>
      </c>
      <c r="D476" s="124" t="inlineStr">
        <is>
          <t>M</t>
        </is>
      </c>
      <c r="E476" s="124" t="inlineStr">
        <is>
          <t>Koovarjee Jayprakash Brijbukhandas</t>
        </is>
      </c>
      <c r="F476" s="125">
        <f>SUMIFS(Investors!$M:$M, Investors!$I:$I, "&lt;=" &amp; 'NSST Print'!$B$3, Investors!$K:$K, "&gt;" &amp; 'NSST Print'!$B$3, Investors!$A:$A, 'Investor Exit List'!A476, Investors!$E:$E, 'Investor Exit List'!C476)</f>
        <v/>
      </c>
      <c r="G476" s="126" t="n">
        <v>45161</v>
      </c>
      <c r="H476" s="124">
        <f>VLOOKUP($C476,Sales!$C:$E,2,FALSE)</f>
        <v/>
      </c>
      <c r="I476" s="124">
        <f>VLOOKUP($C476,Sales!$C:$E,3,FALSE)</f>
        <v/>
      </c>
      <c r="J476" s="126">
        <f>SUMIFS(Sales!$H:$H,Sales!$C:$C,'Investor Exit List'!$C476)</f>
        <v/>
      </c>
      <c r="K476" s="126">
        <f>IF(I476=TRUE,J476,"")</f>
        <v/>
      </c>
      <c r="L476" s="126">
        <f>G476+730</f>
        <v/>
      </c>
      <c r="M476" s="126" t="n">
        <v>45443</v>
      </c>
      <c r="N476" s="127">
        <f>IFERROR(IF(G476&lt;&gt;"",IF(I476=TRUE,0,IF(U476=TRUE,0,L476-M476)),0),0)</f>
        <v/>
      </c>
      <c r="O476" s="127">
        <f>IF(N476&gt;0,IF(N476&lt;=180,N476,0),0)</f>
        <v/>
      </c>
      <c r="P476" s="125">
        <f>IF(AND(N476&lt;90,N476&gt;0),Q476,0)</f>
        <v/>
      </c>
      <c r="Q476" s="125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25">
        <f>IF(AND(H476=TRUE,I476=FALSE),Q476,0)</f>
        <v/>
      </c>
      <c r="S476" s="125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26">
        <f>IF(U476=TRUE,$J476,"")</f>
        <v/>
      </c>
      <c r="U476" s="124" t="b">
        <v>0</v>
      </c>
      <c r="V476" s="125">
        <f>IF(AND(H476=TRUE,OR(K476="",K476&gt;M476)),S476,0)</f>
        <v/>
      </c>
      <c r="W476" s="124" t="n">
        <v>0</v>
      </c>
      <c r="X476" s="124" t="b">
        <v>0</v>
      </c>
      <c r="Y476" s="127">
        <f>IF(H476=FALSE,VLOOKUP($C476,Sales!$C:$F,4,FALSE),1)</f>
        <v/>
      </c>
      <c r="Z476" s="124">
        <f>IF(Y476=0,"Release",IF(AND(L476&lt;J476,Y476=1,H476=FALSE,U476=FALSE,MONTH(L476)&amp;"/"&amp;YEAR(L476)&lt;&gt;MONTH(J476)&amp;"/"&amp;YEAR(J476)),"Release",""))</f>
        <v/>
      </c>
      <c r="AA476" s="128">
        <f>_xlfn.minifs($L:$L,$C:$C,$C476,$F:$F,"&lt;&gt;0")</f>
        <v/>
      </c>
      <c r="AB476" s="128">
        <f>C476&amp;"-"&amp;A476</f>
        <v/>
      </c>
      <c r="AC476" s="128">
        <f>L476</f>
        <v/>
      </c>
    </row>
    <row r="477">
      <c r="A477" s="124" t="inlineStr">
        <is>
          <t>ZRIT01</t>
        </is>
      </c>
      <c r="B477" s="124" t="n">
        <v>12</v>
      </c>
      <c r="C477" s="124" t="inlineStr">
        <is>
          <t>HVM101</t>
        </is>
      </c>
      <c r="D477" s="124" t="inlineStr">
        <is>
          <t>M</t>
        </is>
      </c>
      <c r="E477" s="124" t="inlineStr">
        <is>
          <t>Ritter Dennis</t>
        </is>
      </c>
      <c r="F477" s="125">
        <f>SUMIFS(Investors!$M:$M, Investors!$I:$I, "&lt;=" &amp; 'NSST Print'!$B$3, Investors!$K:$K, "&gt;" &amp; 'NSST Print'!$B$3, Investors!$A:$A, 'Investor Exit List'!A477, Investors!$E:$E, 'Investor Exit List'!C477)</f>
        <v/>
      </c>
      <c r="G477" s="126" t="n">
        <v>45161</v>
      </c>
      <c r="H477" s="124">
        <f>VLOOKUP($C477,Sales!$C:$E,2,FALSE)</f>
        <v/>
      </c>
      <c r="I477" s="124">
        <f>VLOOKUP($C477,Sales!$C:$E,3,FALSE)</f>
        <v/>
      </c>
      <c r="J477" s="126">
        <f>SUMIFS(Sales!$H:$H,Sales!$C:$C,'Investor Exit List'!$C477)</f>
        <v/>
      </c>
      <c r="K477" s="126">
        <f>IF(I477=TRUE,J477,"")</f>
        <v/>
      </c>
      <c r="L477" s="126">
        <f>G477+730</f>
        <v/>
      </c>
      <c r="M477" s="126" t="n">
        <v>45443</v>
      </c>
      <c r="N477" s="127">
        <f>IFERROR(IF(G477&lt;&gt;"",IF(I477=TRUE,0,IF(U477=TRUE,0,L477-M477)),0),0)</f>
        <v/>
      </c>
      <c r="O477" s="127">
        <f>IF(N477&gt;0,IF(N477&lt;=180,N477,0),0)</f>
        <v/>
      </c>
      <c r="P477" s="125">
        <f>IF(AND(N477&lt;90,N477&gt;0),Q477,0)</f>
        <v/>
      </c>
      <c r="Q477" s="125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25">
        <f>IF(AND(H477=TRUE,I477=FALSE),Q477,0)</f>
        <v/>
      </c>
      <c r="S477" s="125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26">
        <f>IF(U477=TRUE,$J477,"")</f>
        <v/>
      </c>
      <c r="U477" s="124" t="b">
        <v>0</v>
      </c>
      <c r="V477" s="125">
        <f>IF(AND(H477=TRUE,OR(K477="",K477&gt;M477)),S477,0)</f>
        <v/>
      </c>
      <c r="W477" s="124" t="n">
        <v>0</v>
      </c>
      <c r="X477" s="124" t="b">
        <v>0</v>
      </c>
      <c r="Y477" s="127">
        <f>IF(H477=FALSE,VLOOKUP($C477,Sales!$C:$F,4,FALSE),1)</f>
        <v/>
      </c>
      <c r="Z477" s="124">
        <f>IF(Y477=0,"Release",IF(AND(L477&lt;J477,Y477=1,H477=FALSE,U477=FALSE,MONTH(L477)&amp;"/"&amp;YEAR(L477)&lt;&gt;MONTH(J477)&amp;"/"&amp;YEAR(J477)),"Release",""))</f>
        <v/>
      </c>
      <c r="AA477" s="128">
        <f>_xlfn.minifs($L:$L,$C:$C,$C477,$F:$F,"&lt;&gt;0")</f>
        <v/>
      </c>
      <c r="AB477" s="128">
        <f>C477&amp;"-"&amp;A477</f>
        <v/>
      </c>
      <c r="AC477" s="128">
        <f>L477</f>
        <v/>
      </c>
    </row>
    <row r="478">
      <c r="A478" s="124" t="inlineStr">
        <is>
          <t>ZNUN01</t>
        </is>
      </c>
      <c r="B478" s="124" t="n">
        <v>9</v>
      </c>
      <c r="C478" s="124" t="inlineStr">
        <is>
          <t>HVM102</t>
        </is>
      </c>
      <c r="D478" s="124" t="inlineStr">
        <is>
          <t>M</t>
        </is>
      </c>
      <c r="E478" s="124" t="inlineStr">
        <is>
          <t>Nunes Francisco Antonio</t>
        </is>
      </c>
      <c r="F478" s="125">
        <f>SUMIFS(Investors!$M:$M, Investors!$I:$I, "&lt;=" &amp; 'NSST Print'!$B$3, Investors!$K:$K, "&gt;" &amp; 'NSST Print'!$B$3, Investors!$A:$A, 'Investor Exit List'!A478, Investors!$E:$E, 'Investor Exit List'!C478)</f>
        <v/>
      </c>
      <c r="G478" s="126" t="n">
        <v>45129</v>
      </c>
      <c r="H478" s="124">
        <f>VLOOKUP($C478,Sales!$C:$E,2,FALSE)</f>
        <v/>
      </c>
      <c r="I478" s="124">
        <f>VLOOKUP($C478,Sales!$C:$E,3,FALSE)</f>
        <v/>
      </c>
      <c r="J478" s="126">
        <f>SUMIFS(Sales!$H:$H,Sales!$C:$C,'Investor Exit List'!$C478)</f>
        <v/>
      </c>
      <c r="K478" s="126">
        <f>IF(I478=TRUE,J478,"")</f>
        <v/>
      </c>
      <c r="L478" s="126">
        <f>G478+730</f>
        <v/>
      </c>
      <c r="M478" s="126" t="n">
        <v>45443</v>
      </c>
      <c r="N478" s="127">
        <f>IFERROR(IF(G478&lt;&gt;"",IF(I478=TRUE,0,IF(U478=TRUE,0,L478-M478)),0),0)</f>
        <v/>
      </c>
      <c r="O478" s="127">
        <f>IF(N478&gt;0,IF(N478&lt;=180,N478,0),0)</f>
        <v/>
      </c>
      <c r="P478" s="125">
        <f>IF(AND(N478&lt;90,N478&gt;0),Q478,0)</f>
        <v/>
      </c>
      <c r="Q478" s="125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25">
        <f>IF(AND(H478=TRUE,I478=FALSE),Q478,0)</f>
        <v/>
      </c>
      <c r="S478" s="125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26">
        <f>IF(U478=TRUE,$J478,"")</f>
        <v/>
      </c>
      <c r="U478" s="124" t="b">
        <v>0</v>
      </c>
      <c r="V478" s="125">
        <f>IF(AND(H478=TRUE,OR(K478="",K478&gt;M478)),S478,0)</f>
        <v/>
      </c>
      <c r="W478" s="124" t="n">
        <v>0</v>
      </c>
      <c r="X478" s="124" t="b">
        <v>0</v>
      </c>
      <c r="Y478" s="127">
        <f>IF(H478=FALSE,VLOOKUP($C478,Sales!$C:$F,4,FALSE),1)</f>
        <v/>
      </c>
      <c r="Z478" s="124">
        <f>IF(Y478=0,"Release",IF(AND(L478&lt;J478,Y478=1,H478=FALSE,U478=FALSE,MONTH(L478)&amp;"/"&amp;YEAR(L478)&lt;&gt;MONTH(J478)&amp;"/"&amp;YEAR(J478)),"Release",""))</f>
        <v/>
      </c>
      <c r="AA478" s="128">
        <f>_xlfn.minifs($L:$L,$C:$C,$C478,$F:$F,"&lt;&gt;0")</f>
        <v/>
      </c>
      <c r="AB478" s="128">
        <f>C478&amp;"-"&amp;A478</f>
        <v/>
      </c>
      <c r="AC478" s="128">
        <f>L478</f>
        <v/>
      </c>
    </row>
    <row r="479">
      <c r="A479" s="124" t="inlineStr">
        <is>
          <t>ZRIT01</t>
        </is>
      </c>
      <c r="B479" s="124" t="n">
        <v>13</v>
      </c>
      <c r="C479" s="124" t="inlineStr">
        <is>
          <t>HVM102</t>
        </is>
      </c>
      <c r="D479" s="124" t="inlineStr">
        <is>
          <t>M</t>
        </is>
      </c>
      <c r="E479" s="124" t="inlineStr">
        <is>
          <t>Ritter Dennis</t>
        </is>
      </c>
      <c r="F479" s="125">
        <f>SUMIFS(Investors!$M:$M, Investors!$I:$I, "&lt;=" &amp; 'NSST Print'!$B$3, Investors!$K:$K, "&gt;" &amp; 'NSST Print'!$B$3, Investors!$A:$A, 'Investor Exit List'!A479, Investors!$E:$E, 'Investor Exit List'!C479)</f>
        <v/>
      </c>
      <c r="G479" s="126" t="n">
        <v>45161</v>
      </c>
      <c r="H479" s="124">
        <f>VLOOKUP($C479,Sales!$C:$E,2,FALSE)</f>
        <v/>
      </c>
      <c r="I479" s="124">
        <f>VLOOKUP($C479,Sales!$C:$E,3,FALSE)</f>
        <v/>
      </c>
      <c r="J479" s="126">
        <f>SUMIFS(Sales!$H:$H,Sales!$C:$C,'Investor Exit List'!$C479)</f>
        <v/>
      </c>
      <c r="K479" s="126">
        <f>IF(I479=TRUE,J479,"")</f>
        <v/>
      </c>
      <c r="L479" s="126">
        <f>G479+730</f>
        <v/>
      </c>
      <c r="M479" s="126" t="n">
        <v>45443</v>
      </c>
      <c r="N479" s="127">
        <f>IFERROR(IF(G479&lt;&gt;"",IF(I479=TRUE,0,IF(U479=TRUE,0,L479-M479)),0),0)</f>
        <v/>
      </c>
      <c r="O479" s="127">
        <f>IF(N479&gt;0,IF(N479&lt;=180,N479,0),0)</f>
        <v/>
      </c>
      <c r="P479" s="125">
        <f>IF(AND(N479&lt;90,N479&gt;0),Q479,0)</f>
        <v/>
      </c>
      <c r="Q479" s="125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25">
        <f>IF(AND(H479=TRUE,I479=FALSE),Q479,0)</f>
        <v/>
      </c>
      <c r="S479" s="125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26">
        <f>IF(U479=TRUE,$J479,"")</f>
        <v/>
      </c>
      <c r="U479" s="124" t="b">
        <v>0</v>
      </c>
      <c r="V479" s="125">
        <f>IF(AND(H479=TRUE,OR(K479="",K479&gt;M479)),S479,0)</f>
        <v/>
      </c>
      <c r="W479" s="124" t="n">
        <v>0</v>
      </c>
      <c r="X479" s="124" t="b">
        <v>0</v>
      </c>
      <c r="Y479" s="127">
        <f>IF(H479=FALSE,VLOOKUP($C479,Sales!$C:$F,4,FALSE),1)</f>
        <v/>
      </c>
      <c r="Z479" s="124">
        <f>IF(Y479=0,"Release",IF(AND(L479&lt;J479,Y479=1,H479=FALSE,U479=FALSE,MONTH(L479)&amp;"/"&amp;YEAR(L479)&lt;&gt;MONTH(J479)&amp;"/"&amp;YEAR(J479)),"Release",""))</f>
        <v/>
      </c>
      <c r="AA479" s="128">
        <f>_xlfn.minifs($L:$L,$C:$C,$C479,$F:$F,"&lt;&gt;0")</f>
        <v/>
      </c>
      <c r="AB479" s="128">
        <f>C479&amp;"-"&amp;A479</f>
        <v/>
      </c>
      <c r="AC479" s="128">
        <f>L479</f>
        <v/>
      </c>
    </row>
    <row r="480">
      <c r="A480" s="124" t="inlineStr">
        <is>
          <t>ZSCH04</t>
        </is>
      </c>
      <c r="B480" s="124" t="n">
        <v>2</v>
      </c>
      <c r="C480" s="124" t="inlineStr">
        <is>
          <t>HVM102</t>
        </is>
      </c>
      <c r="D480" s="124" t="inlineStr">
        <is>
          <t>M</t>
        </is>
      </c>
      <c r="E480" s="124" t="inlineStr">
        <is>
          <t>Schroder Christiaan</t>
        </is>
      </c>
      <c r="F480" s="125">
        <f>SUMIFS(Investors!$M:$M, Investors!$I:$I, "&lt;=" &amp; 'NSST Print'!$B$3, Investors!$K:$K, "&gt;" &amp; 'NSST Print'!$B$3, Investors!$A:$A, 'Investor Exit List'!A480, Investors!$E:$E, 'Investor Exit List'!C480)</f>
        <v/>
      </c>
      <c r="G480" s="126" t="n">
        <v>45129</v>
      </c>
      <c r="H480" s="124">
        <f>VLOOKUP($C480,Sales!$C:$E,2,FALSE)</f>
        <v/>
      </c>
      <c r="I480" s="124">
        <f>VLOOKUP($C480,Sales!$C:$E,3,FALSE)</f>
        <v/>
      </c>
      <c r="J480" s="126">
        <f>SUMIFS(Sales!$H:$H,Sales!$C:$C,'Investor Exit List'!$C480)</f>
        <v/>
      </c>
      <c r="K480" s="126">
        <f>IF(I480=TRUE,J480,"")</f>
        <v/>
      </c>
      <c r="L480" s="126">
        <f>G480+730</f>
        <v/>
      </c>
      <c r="M480" s="126" t="n">
        <v>45443</v>
      </c>
      <c r="N480" s="127">
        <f>IFERROR(IF(G480&lt;&gt;"",IF(I480=TRUE,0,IF(U480=TRUE,0,L480-M480)),0),0)</f>
        <v/>
      </c>
      <c r="O480" s="127">
        <f>IF(N480&gt;0,IF(N480&lt;=180,N480,0),0)</f>
        <v/>
      </c>
      <c r="P480" s="125">
        <f>IF(AND(N480&lt;90,N480&gt;0),Q480,0)</f>
        <v/>
      </c>
      <c r="Q480" s="125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25">
        <f>IF(AND(H480=TRUE,I480=FALSE),Q480,0)</f>
        <v/>
      </c>
      <c r="S480" s="125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26">
        <f>IF(U480=TRUE,$J480,"")</f>
        <v/>
      </c>
      <c r="U480" s="124" t="b">
        <v>0</v>
      </c>
      <c r="V480" s="125">
        <f>IF(AND(H480=TRUE,OR(K480="",K480&gt;M480)),S480,0)</f>
        <v/>
      </c>
      <c r="W480" s="124" t="n">
        <v>0</v>
      </c>
      <c r="X480" s="124" t="b">
        <v>0</v>
      </c>
      <c r="Y480" s="127">
        <f>IF(H480=FALSE,VLOOKUP($C480,Sales!$C:$F,4,FALSE),1)</f>
        <v/>
      </c>
      <c r="Z480" s="124">
        <f>IF(Y480=0,"Release",IF(AND(L480&lt;J480,Y480=1,H480=FALSE,U480=FALSE,MONTH(L480)&amp;"/"&amp;YEAR(L480)&lt;&gt;MONTH(J480)&amp;"/"&amp;YEAR(J480)),"Release",""))</f>
        <v/>
      </c>
      <c r="AA480" s="128">
        <f>_xlfn.minifs($L:$L,$C:$C,$C480,$F:$F,"&lt;&gt;0")</f>
        <v/>
      </c>
      <c r="AB480" s="128">
        <f>C480&amp;"-"&amp;A480</f>
        <v/>
      </c>
      <c r="AC480" s="128">
        <f>L480</f>
        <v/>
      </c>
    </row>
    <row r="481">
      <c r="A481" s="124" t="inlineStr">
        <is>
          <t>ZRIT01</t>
        </is>
      </c>
      <c r="B481" s="124" t="n">
        <v>14</v>
      </c>
      <c r="C481" s="124" t="inlineStr">
        <is>
          <t>HVM103</t>
        </is>
      </c>
      <c r="D481" s="124" t="inlineStr">
        <is>
          <t>M</t>
        </is>
      </c>
      <c r="E481" s="124" t="inlineStr">
        <is>
          <t>Ritter Dennis</t>
        </is>
      </c>
      <c r="F481" s="125">
        <f>SUMIFS(Investors!$M:$M, Investors!$I:$I, "&lt;=" &amp; 'NSST Print'!$B$3, Investors!$K:$K, "&gt;" &amp; 'NSST Print'!$B$3, Investors!$A:$A, 'Investor Exit List'!A481, Investors!$E:$E, 'Investor Exit List'!C481)</f>
        <v/>
      </c>
      <c r="G481" s="126" t="n">
        <v>45161</v>
      </c>
      <c r="H481" s="124">
        <f>VLOOKUP($C481,Sales!$C:$E,2,FALSE)</f>
        <v/>
      </c>
      <c r="I481" s="124">
        <f>VLOOKUP($C481,Sales!$C:$E,3,FALSE)</f>
        <v/>
      </c>
      <c r="J481" s="126">
        <f>SUMIFS(Sales!$H:$H,Sales!$C:$C,'Investor Exit List'!$C481)</f>
        <v/>
      </c>
      <c r="K481" s="126">
        <f>IF(I481=TRUE,J481,"")</f>
        <v/>
      </c>
      <c r="L481" s="126">
        <f>G481+730</f>
        <v/>
      </c>
      <c r="M481" s="126" t="n">
        <v>45443</v>
      </c>
      <c r="N481" s="127">
        <f>IFERROR(IF(G481&lt;&gt;"",IF(I481=TRUE,0,IF(U481=TRUE,0,L481-M481)),0),0)</f>
        <v/>
      </c>
      <c r="O481" s="127">
        <f>IF(N481&gt;0,IF(N481&lt;=180,N481,0),0)</f>
        <v/>
      </c>
      <c r="P481" s="125">
        <f>IF(AND(N481&lt;90,N481&gt;0),Q481,0)</f>
        <v/>
      </c>
      <c r="Q481" s="125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25">
        <f>IF(AND(H481=TRUE,I481=FALSE),Q481,0)</f>
        <v/>
      </c>
      <c r="S481" s="125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26">
        <f>IF(U481=TRUE,$J481,"")</f>
        <v/>
      </c>
      <c r="U481" s="124" t="b">
        <v>0</v>
      </c>
      <c r="V481" s="125">
        <f>IF(AND(H481=TRUE,OR(K481="",K481&gt;M481)),S481,0)</f>
        <v/>
      </c>
      <c r="W481" s="124" t="n">
        <v>0</v>
      </c>
      <c r="X481" s="124" t="b">
        <v>0</v>
      </c>
      <c r="Y481" s="127">
        <f>IF(H481=FALSE,VLOOKUP($C481,Sales!$C:$F,4,FALSE),1)</f>
        <v/>
      </c>
      <c r="Z481" s="124">
        <f>IF(Y481=0,"Release",IF(AND(L481&lt;J481,Y481=1,H481=FALSE,U481=FALSE,MONTH(L481)&amp;"/"&amp;YEAR(L481)&lt;&gt;MONTH(J481)&amp;"/"&amp;YEAR(J481)),"Release",""))</f>
        <v/>
      </c>
      <c r="AA481" s="128">
        <f>_xlfn.minifs($L:$L,$C:$C,$C481,$F:$F,"&lt;&gt;0")</f>
        <v/>
      </c>
      <c r="AB481" s="128">
        <f>C481&amp;"-"&amp;A481</f>
        <v/>
      </c>
      <c r="AC481" s="128">
        <f>L481</f>
        <v/>
      </c>
    </row>
    <row r="482">
      <c r="A482" s="124" t="inlineStr">
        <is>
          <t>ZROU01</t>
        </is>
      </c>
      <c r="B482" s="124" t="n">
        <v>2</v>
      </c>
      <c r="C482" s="124" t="inlineStr">
        <is>
          <t>HVM103</t>
        </is>
      </c>
      <c r="D482" s="124" t="inlineStr">
        <is>
          <t>M</t>
        </is>
      </c>
      <c r="E482" s="124" t="inlineStr">
        <is>
          <t>Roux Laura</t>
        </is>
      </c>
      <c r="F482" s="125">
        <f>SUMIFS(Investors!$M:$M, Investors!$I:$I, "&lt;=" &amp; 'NSST Print'!$B$3, Investors!$K:$K, "&gt;" &amp; 'NSST Print'!$B$3, Investors!$A:$A, 'Investor Exit List'!A482, Investors!$E:$E, 'Investor Exit List'!C482)</f>
        <v/>
      </c>
      <c r="G482" s="126" t="n">
        <v>45129</v>
      </c>
      <c r="H482" s="124">
        <f>VLOOKUP($C482,Sales!$C:$E,2,FALSE)</f>
        <v/>
      </c>
      <c r="I482" s="124">
        <f>VLOOKUP($C482,Sales!$C:$E,3,FALSE)</f>
        <v/>
      </c>
      <c r="J482" s="126">
        <f>SUMIFS(Sales!$H:$H,Sales!$C:$C,'Investor Exit List'!$C482)</f>
        <v/>
      </c>
      <c r="K482" s="126">
        <f>IF(I482=TRUE,J482,"")</f>
        <v/>
      </c>
      <c r="L482" s="126">
        <f>G482+730</f>
        <v/>
      </c>
      <c r="M482" s="126" t="n">
        <v>45443</v>
      </c>
      <c r="N482" s="127">
        <f>IFERROR(IF(G482&lt;&gt;"",IF(I482=TRUE,0,IF(U482=TRUE,0,L482-M482)),0),0)</f>
        <v/>
      </c>
      <c r="O482" s="127">
        <f>IF(N482&gt;0,IF(N482&lt;=180,N482,0),0)</f>
        <v/>
      </c>
      <c r="P482" s="125">
        <f>IF(AND(N482&lt;90,N482&gt;0),Q482,0)</f>
        <v/>
      </c>
      <c r="Q482" s="125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25">
        <f>IF(AND(H482=TRUE,I482=FALSE),Q482,0)</f>
        <v/>
      </c>
      <c r="S482" s="125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26">
        <f>IF(U482=TRUE,$J482,"")</f>
        <v/>
      </c>
      <c r="U482" s="124" t="b">
        <v>0</v>
      </c>
      <c r="V482" s="125">
        <f>IF(AND(H482=TRUE,OR(K482="",K482&gt;M482)),S482,0)</f>
        <v/>
      </c>
      <c r="W482" s="124" t="n">
        <v>0</v>
      </c>
      <c r="X482" s="124" t="b">
        <v>0</v>
      </c>
      <c r="Y482" s="127">
        <f>IF(H482=FALSE,VLOOKUP($C482,Sales!$C:$F,4,FALSE),1)</f>
        <v/>
      </c>
      <c r="Z482" s="124">
        <f>IF(Y482=0,"Release",IF(AND(L482&lt;J482,Y482=1,H482=FALSE,U482=FALSE,MONTH(L482)&amp;"/"&amp;YEAR(L482)&lt;&gt;MONTH(J482)&amp;"/"&amp;YEAR(J482)),"Release",""))</f>
        <v/>
      </c>
      <c r="AA482" s="128">
        <f>_xlfn.minifs($L:$L,$C:$C,$C482,$F:$F,"&lt;&gt;0")</f>
        <v/>
      </c>
      <c r="AB482" s="128">
        <f>C482&amp;"-"&amp;A482</f>
        <v/>
      </c>
      <c r="AC482" s="128">
        <f>L482</f>
        <v/>
      </c>
    </row>
    <row r="483">
      <c r="A483" s="124" t="inlineStr">
        <is>
          <t>ZSCH04</t>
        </is>
      </c>
      <c r="B483" s="124" t="n">
        <v>3</v>
      </c>
      <c r="C483" s="124" t="inlineStr">
        <is>
          <t>HVM103</t>
        </is>
      </c>
      <c r="D483" s="124" t="inlineStr">
        <is>
          <t>M</t>
        </is>
      </c>
      <c r="E483" s="124" t="inlineStr">
        <is>
          <t>Schroder Christiaan</t>
        </is>
      </c>
      <c r="F483" s="125">
        <f>SUMIFS(Investors!$M:$M, Investors!$I:$I, "&lt;=" &amp; 'NSST Print'!$B$3, Investors!$K:$K, "&gt;" &amp; 'NSST Print'!$B$3, Investors!$A:$A, 'Investor Exit List'!A483, Investors!$E:$E, 'Investor Exit List'!C483)</f>
        <v/>
      </c>
      <c r="G483" s="126" t="n">
        <v>45161</v>
      </c>
      <c r="H483" s="124">
        <f>VLOOKUP($C483,Sales!$C:$E,2,FALSE)</f>
        <v/>
      </c>
      <c r="I483" s="124">
        <f>VLOOKUP($C483,Sales!$C:$E,3,FALSE)</f>
        <v/>
      </c>
      <c r="J483" s="126">
        <f>SUMIFS(Sales!$H:$H,Sales!$C:$C,'Investor Exit List'!$C483)</f>
        <v/>
      </c>
      <c r="K483" s="126">
        <f>IF(I483=TRUE,J483,"")</f>
        <v/>
      </c>
      <c r="L483" s="126">
        <f>G483+730</f>
        <v/>
      </c>
      <c r="M483" s="126" t="n">
        <v>45443</v>
      </c>
      <c r="N483" s="127">
        <f>IFERROR(IF(G483&lt;&gt;"",IF(I483=TRUE,0,IF(U483=TRUE,0,L483-M483)),0),0)</f>
        <v/>
      </c>
      <c r="O483" s="127">
        <f>IF(N483&gt;0,IF(N483&lt;=180,N483,0),0)</f>
        <v/>
      </c>
      <c r="P483" s="125">
        <f>IF(AND(N483&lt;90,N483&gt;0),Q483,0)</f>
        <v/>
      </c>
      <c r="Q483" s="125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25">
        <f>IF(AND(H483=TRUE,I483=FALSE),Q483,0)</f>
        <v/>
      </c>
      <c r="S483" s="125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26">
        <f>IF(U483=TRUE,$J483,"")</f>
        <v/>
      </c>
      <c r="U483" s="124" t="b">
        <v>0</v>
      </c>
      <c r="V483" s="125">
        <f>IF(AND(H483=TRUE,OR(K483="",K483&gt;M483)),S483,0)</f>
        <v/>
      </c>
      <c r="W483" s="124" t="n">
        <v>0</v>
      </c>
      <c r="X483" s="124" t="b">
        <v>0</v>
      </c>
      <c r="Y483" s="127">
        <f>IF(H483=FALSE,VLOOKUP($C483,Sales!$C:$F,4,FALSE),1)</f>
        <v/>
      </c>
      <c r="Z483" s="124">
        <f>IF(Y483=0,"Release",IF(AND(L483&lt;J483,Y483=1,H483=FALSE,U483=FALSE,MONTH(L483)&amp;"/"&amp;YEAR(L483)&lt;&gt;MONTH(J483)&amp;"/"&amp;YEAR(J483)),"Release",""))</f>
        <v/>
      </c>
      <c r="AA483" s="128">
        <f>_xlfn.minifs($L:$L,$C:$C,$C483,$F:$F,"&lt;&gt;0")</f>
        <v/>
      </c>
      <c r="AB483" s="128">
        <f>C483&amp;"-"&amp;A483</f>
        <v/>
      </c>
      <c r="AC483" s="128">
        <f>L483</f>
        <v/>
      </c>
    </row>
    <row r="484">
      <c r="A484" s="124" t="inlineStr">
        <is>
          <t>ZDEB01</t>
        </is>
      </c>
      <c r="B484" s="124" t="n">
        <v>8</v>
      </c>
      <c r="C484" s="124" t="inlineStr">
        <is>
          <t>HVM104</t>
        </is>
      </c>
      <c r="D484" s="124" t="inlineStr">
        <is>
          <t>M</t>
        </is>
      </c>
      <c r="E484" s="124" t="inlineStr">
        <is>
          <t>De Beer William Henry</t>
        </is>
      </c>
      <c r="F484" s="125">
        <f>SUMIFS(Investors!$M:$M, Investors!$I:$I, "&lt;=" &amp; 'NSST Print'!$B$3, Investors!$K:$K, "&gt;" &amp; 'NSST Print'!$B$3, Investors!$A:$A, 'Investor Exit List'!A484, Investors!$E:$E, 'Investor Exit List'!C484)</f>
        <v/>
      </c>
      <c r="G484" s="126" t="n">
        <v>45107</v>
      </c>
      <c r="H484" s="124">
        <f>VLOOKUP($C484,Sales!$C:$E,2,FALSE)</f>
        <v/>
      </c>
      <c r="I484" s="124">
        <f>VLOOKUP($C484,Sales!$C:$E,3,FALSE)</f>
        <v/>
      </c>
      <c r="J484" s="126">
        <f>SUMIFS(Sales!$H:$H,Sales!$C:$C,'Investor Exit List'!$C484)</f>
        <v/>
      </c>
      <c r="K484" s="126">
        <f>IF(I484=TRUE,J484,"")</f>
        <v/>
      </c>
      <c r="L484" s="126">
        <f>G484+730</f>
        <v/>
      </c>
      <c r="M484" s="126" t="n">
        <v>45443</v>
      </c>
      <c r="N484" s="127">
        <f>IFERROR(IF(G484&lt;&gt;"",IF(I484=TRUE,0,IF(U484=TRUE,0,L484-M484)),0),0)</f>
        <v/>
      </c>
      <c r="O484" s="127">
        <f>IF(N484&gt;0,IF(N484&lt;=180,N484,0),0)</f>
        <v/>
      </c>
      <c r="P484" s="125">
        <f>IF(AND(N484&lt;90,N484&gt;0),Q484,0)</f>
        <v/>
      </c>
      <c r="Q484" s="125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25">
        <f>IF(AND(H484=TRUE,I484=FALSE),Q484,0)</f>
        <v/>
      </c>
      <c r="S484" s="125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26">
        <f>IF(U484=TRUE,$J484,"")</f>
        <v/>
      </c>
      <c r="U484" s="124" t="b">
        <v>0</v>
      </c>
      <c r="V484" s="125">
        <f>IF(AND(H484=TRUE,OR(K484="",K484&gt;M484)),S484,0)</f>
        <v/>
      </c>
      <c r="W484" s="124" t="n">
        <v>0</v>
      </c>
      <c r="X484" s="124" t="b">
        <v>0</v>
      </c>
      <c r="Y484" s="127">
        <f>IF(H484=FALSE,VLOOKUP($C484,Sales!$C:$F,4,FALSE),1)</f>
        <v/>
      </c>
      <c r="Z484" s="124">
        <f>IF(Y484=0,"Release",IF(AND(L484&lt;J484,Y484=1,H484=FALSE,U484=FALSE,MONTH(L484)&amp;"/"&amp;YEAR(L484)&lt;&gt;MONTH(J484)&amp;"/"&amp;YEAR(J484)),"Release",""))</f>
        <v/>
      </c>
      <c r="AA484" s="128">
        <f>_xlfn.minifs($L:$L,$C:$C,$C484,$F:$F,"&lt;&gt;0")</f>
        <v/>
      </c>
      <c r="AB484" s="128">
        <f>C484&amp;"-"&amp;A484</f>
        <v/>
      </c>
      <c r="AC484" s="128">
        <f>L484</f>
        <v/>
      </c>
    </row>
    <row r="485">
      <c r="A485" s="124" t="inlineStr">
        <is>
          <t>ZGOF01</t>
        </is>
      </c>
      <c r="B485" s="124" t="n">
        <v>2</v>
      </c>
      <c r="C485" s="124" t="inlineStr">
        <is>
          <t>HVM201</t>
        </is>
      </c>
      <c r="D485" s="124" t="inlineStr">
        <is>
          <t>M</t>
        </is>
      </c>
      <c r="E485" s="124" t="inlineStr">
        <is>
          <t>Goff Angela</t>
        </is>
      </c>
      <c r="F485" s="125">
        <f>SUMIFS(Investors!$M:$M, Investors!$I:$I, "&lt;=" &amp; 'NSST Print'!$B$3, Investors!$K:$K, "&gt;" &amp; 'NSST Print'!$B$3, Investors!$A:$A, 'Investor Exit List'!A485, Investors!$E:$E, 'Investor Exit List'!C485)</f>
        <v/>
      </c>
      <c r="G485" s="126" t="n">
        <v>45129</v>
      </c>
      <c r="H485" s="124">
        <f>VLOOKUP($C485,Sales!$C:$E,2,FALSE)</f>
        <v/>
      </c>
      <c r="I485" s="124">
        <f>VLOOKUP($C485,Sales!$C:$E,3,FALSE)</f>
        <v/>
      </c>
      <c r="J485" s="126">
        <f>SUMIFS(Sales!$H:$H,Sales!$C:$C,'Investor Exit List'!$C485)</f>
        <v/>
      </c>
      <c r="K485" s="126">
        <f>IF(I485=TRUE,J485,"")</f>
        <v/>
      </c>
      <c r="L485" s="126">
        <f>G485+730</f>
        <v/>
      </c>
      <c r="M485" s="126" t="n">
        <v>45443</v>
      </c>
      <c r="N485" s="127">
        <f>IFERROR(IF(G485&lt;&gt;"",IF(I485=TRUE,0,IF(U485=TRUE,0,L485-M485)),0),0)</f>
        <v/>
      </c>
      <c r="O485" s="127">
        <f>IF(N485&gt;0,IF(N485&lt;=180,N485,0),0)</f>
        <v/>
      </c>
      <c r="P485" s="125">
        <f>IF(AND(N485&lt;90,N485&gt;0),Q485,0)</f>
        <v/>
      </c>
      <c r="Q485" s="125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25">
        <f>IF(AND(H485=TRUE,I485=FALSE),Q485,0)</f>
        <v/>
      </c>
      <c r="S485" s="125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26">
        <f>IF(U485=TRUE,$J485,"")</f>
        <v/>
      </c>
      <c r="U485" s="124" t="b">
        <v>0</v>
      </c>
      <c r="V485" s="125">
        <f>IF(AND(H485=TRUE,OR(K485="",K485&gt;M485)),S485,0)</f>
        <v/>
      </c>
      <c r="W485" s="124" t="n">
        <v>0</v>
      </c>
      <c r="X485" s="124" t="b">
        <v>0</v>
      </c>
      <c r="Y485" s="127">
        <f>IF(H485=FALSE,VLOOKUP($C485,Sales!$C:$F,4,FALSE),1)</f>
        <v/>
      </c>
      <c r="Z485" s="124">
        <f>IF(Y485=0,"Release",IF(AND(L485&lt;J485,Y485=1,H485=FALSE,U485=FALSE,MONTH(L485)&amp;"/"&amp;YEAR(L485)&lt;&gt;MONTH(J485)&amp;"/"&amp;YEAR(J485)),"Release",""))</f>
        <v/>
      </c>
      <c r="AA485" s="128">
        <f>_xlfn.minifs($L:$L,$C:$C,$C485,$F:$F,"&lt;&gt;0")</f>
        <v/>
      </c>
      <c r="AB485" s="128">
        <f>C485&amp;"-"&amp;A485</f>
        <v/>
      </c>
      <c r="AC485" s="128">
        <f>L485</f>
        <v/>
      </c>
    </row>
    <row r="486">
      <c r="A486" s="124" t="inlineStr">
        <is>
          <t>ZAFR01</t>
        </is>
      </c>
      <c r="B486" s="124" t="n">
        <v>5</v>
      </c>
      <c r="C486" s="124" t="inlineStr">
        <is>
          <t>HVM202</t>
        </is>
      </c>
      <c r="D486" s="124" t="inlineStr">
        <is>
          <t>M</t>
        </is>
      </c>
      <c r="E486" s="124" t="inlineStr">
        <is>
          <t>Zylstra John Robert</t>
        </is>
      </c>
      <c r="F486" s="125">
        <f>SUMIFS(Investors!$M:$M, Investors!$I:$I, "&lt;=" &amp; 'NSST Print'!$B$3, Investors!$K:$K, "&gt;" &amp; 'NSST Print'!$B$3, Investors!$A:$A, 'Investor Exit List'!A486, Investors!$E:$E, 'Investor Exit List'!C486)</f>
        <v/>
      </c>
      <c r="G486" s="126" t="n">
        <v>45129</v>
      </c>
      <c r="H486" s="124">
        <f>VLOOKUP($C486,Sales!$C:$E,2,FALSE)</f>
        <v/>
      </c>
      <c r="I486" s="124">
        <f>VLOOKUP($C486,Sales!$C:$E,3,FALSE)</f>
        <v/>
      </c>
      <c r="J486" s="126">
        <f>SUMIFS(Sales!$H:$H,Sales!$C:$C,'Investor Exit List'!$C486)</f>
        <v/>
      </c>
      <c r="K486" s="126">
        <f>IF(I486=TRUE,J486,"")</f>
        <v/>
      </c>
      <c r="L486" s="126">
        <f>G486+730</f>
        <v/>
      </c>
      <c r="M486" s="126" t="n">
        <v>45443</v>
      </c>
      <c r="N486" s="127">
        <f>IFERROR(IF(G486&lt;&gt;"",IF(I486=TRUE,0,IF(U486=TRUE,0,L486-M486)),0),0)</f>
        <v/>
      </c>
      <c r="O486" s="127">
        <f>IF(N486&gt;0,IF(N486&lt;=180,N486,0),0)</f>
        <v/>
      </c>
      <c r="P486" s="125">
        <f>IF(AND(N486&lt;90,N486&gt;0),Q486,0)</f>
        <v/>
      </c>
      <c r="Q486" s="125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25">
        <f>IF(AND(H486=TRUE,I486=FALSE),Q486,0)</f>
        <v/>
      </c>
      <c r="S486" s="125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26">
        <f>IF(U486=TRUE,$J486,"")</f>
        <v/>
      </c>
      <c r="U486" s="124" t="b">
        <v>0</v>
      </c>
      <c r="V486" s="125">
        <f>IF(AND(H486=TRUE,OR(K486="",K486&gt;M486)),S486,0)</f>
        <v/>
      </c>
      <c r="W486" s="124" t="n">
        <v>0</v>
      </c>
      <c r="X486" s="124" t="b">
        <v>0</v>
      </c>
      <c r="Y486" s="127">
        <f>IF(H486=FALSE,VLOOKUP($C486,Sales!$C:$F,4,FALSE),1)</f>
        <v/>
      </c>
      <c r="Z486" s="124">
        <f>IF(Y486=0,"Release",IF(AND(L486&lt;J486,Y486=1,H486=FALSE,U486=FALSE,MONTH(L486)&amp;"/"&amp;YEAR(L486)&lt;&gt;MONTH(J486)&amp;"/"&amp;YEAR(J486)),"Release",""))</f>
        <v/>
      </c>
      <c r="AA486" s="128">
        <f>_xlfn.minifs($L:$L,$C:$C,$C486,$F:$F,"&lt;&gt;0")</f>
        <v/>
      </c>
      <c r="AB486" s="128">
        <f>C486&amp;"-"&amp;A486</f>
        <v/>
      </c>
      <c r="AC486" s="128">
        <f>L486</f>
        <v/>
      </c>
    </row>
    <row r="487">
      <c r="A487" s="124" t="inlineStr">
        <is>
          <t>ZPED01</t>
        </is>
      </c>
      <c r="B487" s="124" t="n">
        <v>4</v>
      </c>
      <c r="C487" s="124" t="inlineStr">
        <is>
          <t>HVM203</t>
        </is>
      </c>
      <c r="D487" s="124" t="inlineStr">
        <is>
          <t>M</t>
        </is>
      </c>
      <c r="E487" s="124" t="inlineStr">
        <is>
          <t>Pedersen Wendy</t>
        </is>
      </c>
      <c r="F487" s="125">
        <f>SUMIFS(Investors!$M:$M, Investors!$I:$I, "&lt;=" &amp; 'NSST Print'!$B$3, Investors!$K:$K, "&gt;" &amp; 'NSST Print'!$B$3, Investors!$A:$A, 'Investor Exit List'!A487, Investors!$E:$E, 'Investor Exit List'!C487)</f>
        <v/>
      </c>
      <c r="G487" s="126" t="n">
        <v>45129</v>
      </c>
      <c r="H487" s="124">
        <f>VLOOKUP($C487,Sales!$C:$E,2,FALSE)</f>
        <v/>
      </c>
      <c r="I487" s="124">
        <f>VLOOKUP($C487,Sales!$C:$E,3,FALSE)</f>
        <v/>
      </c>
      <c r="J487" s="126">
        <f>SUMIFS(Sales!$H:$H,Sales!$C:$C,'Investor Exit List'!$C487)</f>
        <v/>
      </c>
      <c r="K487" s="126">
        <f>IF(I487=TRUE,J487,"")</f>
        <v/>
      </c>
      <c r="L487" s="126">
        <f>G487+730</f>
        <v/>
      </c>
      <c r="M487" s="126" t="n">
        <v>45443</v>
      </c>
      <c r="N487" s="127">
        <f>IFERROR(IF(G487&lt;&gt;"",IF(I487=TRUE,0,IF(U487=TRUE,0,L487-M487)),0),0)</f>
        <v/>
      </c>
      <c r="O487" s="127">
        <f>IF(N487&gt;0,IF(N487&lt;=180,N487,0),0)</f>
        <v/>
      </c>
      <c r="P487" s="125">
        <f>IF(AND(N487&lt;90,N487&gt;0),Q487,0)</f>
        <v/>
      </c>
      <c r="Q487" s="125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25">
        <f>IF(AND(H487=TRUE,I487=FALSE),Q487,0)</f>
        <v/>
      </c>
      <c r="S487" s="125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26">
        <f>IF(U487=TRUE,$J487,"")</f>
        <v/>
      </c>
      <c r="U487" s="124" t="b">
        <v>0</v>
      </c>
      <c r="V487" s="125">
        <f>IF(AND(H487=TRUE,OR(K487="",K487&gt;M487)),S487,0)</f>
        <v/>
      </c>
      <c r="W487" s="124" t="n">
        <v>0</v>
      </c>
      <c r="X487" s="124" t="b">
        <v>0</v>
      </c>
      <c r="Y487" s="127">
        <f>IF(H487=FALSE,VLOOKUP($C487,Sales!$C:$F,4,FALSE),1)</f>
        <v/>
      </c>
      <c r="Z487" s="124">
        <f>IF(Y487=0,"Release",IF(AND(L487&lt;J487,Y487=1,H487=FALSE,U487=FALSE,MONTH(L487)&amp;"/"&amp;YEAR(L487)&lt;&gt;MONTH(J487)&amp;"/"&amp;YEAR(J487)),"Release",""))</f>
        <v/>
      </c>
      <c r="AA487" s="128">
        <f>_xlfn.minifs($L:$L,$C:$C,$C487,$F:$F,"&lt;&gt;0")</f>
        <v/>
      </c>
      <c r="AB487" s="128">
        <f>C487&amp;"-"&amp;A487</f>
        <v/>
      </c>
      <c r="AC487" s="128">
        <f>L487</f>
        <v/>
      </c>
    </row>
    <row r="488">
      <c r="A488" s="124" t="inlineStr">
        <is>
          <t>ZDAD01</t>
        </is>
      </c>
      <c r="B488" s="124" t="n">
        <v>5</v>
      </c>
      <c r="C488" s="124" t="inlineStr">
        <is>
          <t>HVM204</t>
        </is>
      </c>
      <c r="D488" s="124" t="inlineStr">
        <is>
          <t>M</t>
        </is>
      </c>
      <c r="E488" s="124" t="inlineStr">
        <is>
          <t>Dadoo Feroz</t>
        </is>
      </c>
      <c r="F488" s="125">
        <f>SUMIFS(Investors!$M:$M, Investors!$I:$I, "&lt;=" &amp; 'NSST Print'!$B$3, Investors!$K:$K, "&gt;" &amp; 'NSST Print'!$B$3, Investors!$A:$A, 'Investor Exit List'!A488, Investors!$E:$E, 'Investor Exit List'!C488)</f>
        <v/>
      </c>
      <c r="G488" s="126" t="n">
        <v>45129</v>
      </c>
      <c r="H488" s="124">
        <f>VLOOKUP($C488,Sales!$C:$E,2,FALSE)</f>
        <v/>
      </c>
      <c r="I488" s="124">
        <f>VLOOKUP($C488,Sales!$C:$E,3,FALSE)</f>
        <v/>
      </c>
      <c r="J488" s="126">
        <f>SUMIFS(Sales!$H:$H,Sales!$C:$C,'Investor Exit List'!$C488)</f>
        <v/>
      </c>
      <c r="K488" s="126">
        <f>IF(I488=TRUE,J488,"")</f>
        <v/>
      </c>
      <c r="L488" s="126">
        <f>G488+730</f>
        <v/>
      </c>
      <c r="M488" s="126" t="n">
        <v>45443</v>
      </c>
      <c r="N488" s="127">
        <f>IFERROR(IF(G488&lt;&gt;"",IF(I488=TRUE,0,IF(U488=TRUE,0,L488-M488)),0),0)</f>
        <v/>
      </c>
      <c r="O488" s="127">
        <f>IF(N488&gt;0,IF(N488&lt;=180,N488,0),0)</f>
        <v/>
      </c>
      <c r="P488" s="125">
        <f>IF(AND(N488&lt;90,N488&gt;0),Q488,0)</f>
        <v/>
      </c>
      <c r="Q488" s="125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25">
        <f>IF(AND(H488=TRUE,I488=FALSE),Q488,0)</f>
        <v/>
      </c>
      <c r="S488" s="125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26">
        <f>IF(U488=TRUE,$J488,"")</f>
        <v/>
      </c>
      <c r="U488" s="124" t="b">
        <v>0</v>
      </c>
      <c r="V488" s="125">
        <f>IF(AND(H488=TRUE,OR(K488="",K488&gt;M488)),S488,0)</f>
        <v/>
      </c>
      <c r="W488" s="124" t="n">
        <v>0</v>
      </c>
      <c r="X488" s="124" t="b">
        <v>0</v>
      </c>
      <c r="Y488" s="127">
        <f>IF(H488=FALSE,VLOOKUP($C488,Sales!$C:$F,4,FALSE),1)</f>
        <v/>
      </c>
      <c r="Z488" s="124">
        <f>IF(Y488=0,"Release",IF(AND(L488&lt;J488,Y488=1,H488=FALSE,U488=FALSE,MONTH(L488)&amp;"/"&amp;YEAR(L488)&lt;&gt;MONTH(J488)&amp;"/"&amp;YEAR(J488)),"Release",""))</f>
        <v/>
      </c>
      <c r="AA488" s="128">
        <f>_xlfn.minifs($L:$L,$C:$C,$C488,$F:$F,"&lt;&gt;0")</f>
        <v/>
      </c>
      <c r="AB488" s="128">
        <f>C488&amp;"-"&amp;A488</f>
        <v/>
      </c>
      <c r="AC488" s="128">
        <f>L488</f>
        <v/>
      </c>
    </row>
    <row r="489">
      <c r="A489" s="124" t="inlineStr">
        <is>
          <t>ZKRI03</t>
        </is>
      </c>
      <c r="B489" s="124" t="n">
        <v>2</v>
      </c>
      <c r="C489" s="124" t="inlineStr">
        <is>
          <t>HVM204</t>
        </is>
      </c>
      <c r="D489" s="124" t="inlineStr">
        <is>
          <t>M</t>
        </is>
      </c>
      <c r="E489" s="124" t="inlineStr">
        <is>
          <t>Kriel Helena Jacoba</t>
        </is>
      </c>
      <c r="F489" s="125">
        <f>SUMIFS(Investors!$M:$M, Investors!$I:$I, "&lt;=" &amp; 'NSST Print'!$B$3, Investors!$K:$K, "&gt;" &amp; 'NSST Print'!$B$3, Investors!$A:$A, 'Investor Exit List'!A489, Investors!$E:$E, 'Investor Exit List'!C489)</f>
        <v/>
      </c>
      <c r="G489" s="126" t="n">
        <v>45168</v>
      </c>
      <c r="H489" s="124">
        <f>VLOOKUP($C489,Sales!$C:$E,2,FALSE)</f>
        <v/>
      </c>
      <c r="I489" s="124">
        <f>VLOOKUP($C489,Sales!$C:$E,3,FALSE)</f>
        <v/>
      </c>
      <c r="J489" s="126">
        <f>SUMIFS(Sales!$H:$H,Sales!$C:$C,'Investor Exit List'!$C489)</f>
        <v/>
      </c>
      <c r="K489" s="126">
        <f>IF(I489=TRUE,J489,"")</f>
        <v/>
      </c>
      <c r="L489" s="126">
        <f>G489+730</f>
        <v/>
      </c>
      <c r="M489" s="126" t="n">
        <v>45443</v>
      </c>
      <c r="N489" s="127">
        <f>IFERROR(IF(G489&lt;&gt;"",IF(I489=TRUE,0,IF(U489=TRUE,0,L489-M489)),0),0)</f>
        <v/>
      </c>
      <c r="O489" s="127">
        <f>IF(N489&gt;0,IF(N489&lt;=180,N489,0),0)</f>
        <v/>
      </c>
      <c r="P489" s="125">
        <f>IF(AND(N489&lt;90,N489&gt;0),Q489,0)</f>
        <v/>
      </c>
      <c r="Q489" s="125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25">
        <f>IF(AND(H489=TRUE,I489=FALSE),Q489,0)</f>
        <v/>
      </c>
      <c r="S489" s="125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26">
        <f>IF(U489=TRUE,$J489,"")</f>
        <v/>
      </c>
      <c r="U489" s="124" t="b">
        <v>0</v>
      </c>
      <c r="V489" s="125">
        <f>IF(AND(H489=TRUE,OR(K489="",K489&gt;M489)),S489,0)</f>
        <v/>
      </c>
      <c r="W489" s="124" t="n">
        <v>0</v>
      </c>
      <c r="X489" s="124" t="b">
        <v>0</v>
      </c>
      <c r="Y489" s="127">
        <f>IF(H489=FALSE,VLOOKUP($C489,Sales!$C:$F,4,FALSE),1)</f>
        <v/>
      </c>
      <c r="Z489" s="124">
        <f>IF(Y489=0,"Release",IF(AND(L489&lt;J489,Y489=1,H489=FALSE,U489=FALSE,MONTH(L489)&amp;"/"&amp;YEAR(L489)&lt;&gt;MONTH(J489)&amp;"/"&amp;YEAR(J489)),"Release",""))</f>
        <v/>
      </c>
      <c r="AA489" s="128">
        <f>_xlfn.minifs($L:$L,$C:$C,$C489,$F:$F,"&lt;&gt;0")</f>
        <v/>
      </c>
      <c r="AB489" s="128">
        <f>C489&amp;"-"&amp;A489</f>
        <v/>
      </c>
      <c r="AC489" s="128">
        <f>L489</f>
        <v/>
      </c>
    </row>
    <row r="490">
      <c r="A490" s="124" t="inlineStr">
        <is>
          <t>ZFER01</t>
        </is>
      </c>
      <c r="B490" s="124" t="n">
        <v>1</v>
      </c>
      <c r="C490" s="124" t="inlineStr">
        <is>
          <t>HVN101</t>
        </is>
      </c>
      <c r="D490" s="124" t="inlineStr">
        <is>
          <t>N</t>
        </is>
      </c>
      <c r="E490" s="124" t="inlineStr">
        <is>
          <t>Ferreira Leon</t>
        </is>
      </c>
      <c r="F490" s="125">
        <f>SUMIFS(Investors!$M:$M, Investors!$I:$I, "&lt;=" &amp; 'NSST Print'!$B$3, Investors!$K:$K, "&gt;" &amp; 'NSST Print'!$B$3, Investors!$A:$A, 'Investor Exit List'!A490, Investors!$E:$E, 'Investor Exit List'!C490)</f>
        <v/>
      </c>
      <c r="G490" s="126" t="n">
        <v>44783</v>
      </c>
      <c r="H490" s="124">
        <f>VLOOKUP($C490,Sales!$C:$E,2,FALSE)</f>
        <v/>
      </c>
      <c r="I490" s="124">
        <f>VLOOKUP($C490,Sales!$C:$E,3,FALSE)</f>
        <v/>
      </c>
      <c r="J490" s="126">
        <f>SUMIFS(Sales!$H:$H,Sales!$C:$C,'Investor Exit List'!$C490)</f>
        <v/>
      </c>
      <c r="K490" s="126">
        <f>IF(I490=TRUE,J490,"")</f>
        <v/>
      </c>
      <c r="L490" s="126">
        <f>G490+730</f>
        <v/>
      </c>
      <c r="M490" s="126" t="n">
        <v>45443</v>
      </c>
      <c r="N490" s="127">
        <f>IFERROR(IF(G490&lt;&gt;"",IF(I490=TRUE,0,IF(U490=TRUE,0,L490-M490)),0),0)</f>
        <v/>
      </c>
      <c r="O490" s="127">
        <f>IF(N490&gt;0,IF(N490&lt;=180,N490,0),0)</f>
        <v/>
      </c>
      <c r="P490" s="125">
        <f>IF(AND(N490&lt;90,N490&gt;0),Q490,0)</f>
        <v/>
      </c>
      <c r="Q490" s="125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25">
        <f>IF(AND(H490=TRUE,I490=FALSE),Q490,0)</f>
        <v/>
      </c>
      <c r="S490" s="125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26">
        <f>IF(U490=TRUE,$J490,"")</f>
        <v/>
      </c>
      <c r="U490" s="124" t="b">
        <v>0</v>
      </c>
      <c r="V490" s="125">
        <f>IF(AND(H490=TRUE,OR(K490="",K490&gt;M490)),S490,0)</f>
        <v/>
      </c>
      <c r="W490" s="124" t="n">
        <v>0</v>
      </c>
      <c r="X490" s="124" t="b">
        <v>0</v>
      </c>
      <c r="Y490" s="127">
        <f>IF(H490=FALSE,VLOOKUP($C490,Sales!$C:$F,4,FALSE),1)</f>
        <v/>
      </c>
      <c r="Z490" s="124">
        <f>IF(Y490=0,"Release",IF(AND(L490&lt;J490,Y490=1,H490=FALSE,U490=FALSE,MONTH(L490)&amp;"/"&amp;YEAR(L490)&lt;&gt;MONTH(J490)&amp;"/"&amp;YEAR(J490)),"Release",""))</f>
        <v/>
      </c>
      <c r="AA490" s="128">
        <f>_xlfn.minifs($L:$L,$C:$C,$C490,$F:$F,"&lt;&gt;0")</f>
        <v/>
      </c>
      <c r="AB490" s="128">
        <f>C490&amp;"-"&amp;A490</f>
        <v/>
      </c>
      <c r="AC490" s="128">
        <f>L490</f>
        <v/>
      </c>
    </row>
    <row r="491">
      <c r="A491" s="124" t="inlineStr">
        <is>
          <t>ZMAQ01</t>
        </is>
      </c>
      <c r="B491" s="124" t="n">
        <v>1</v>
      </c>
      <c r="C491" s="124" t="inlineStr">
        <is>
          <t>HVN101</t>
        </is>
      </c>
      <c r="D491" s="124" t="inlineStr">
        <is>
          <t>N</t>
        </is>
      </c>
      <c r="E491" s="124" t="inlineStr">
        <is>
          <t>Maqubela Stanley Tamsanqa</t>
        </is>
      </c>
      <c r="F491" s="125">
        <f>SUMIFS(Investors!$M:$M, Investors!$I:$I, "&lt;=" &amp; 'NSST Print'!$B$3, Investors!$K:$K, "&gt;" &amp; 'NSST Print'!$B$3, Investors!$A:$A, 'Investor Exit List'!A491, Investors!$E:$E, 'Investor Exit List'!C491)</f>
        <v/>
      </c>
      <c r="G491" s="126" t="n">
        <v>44783</v>
      </c>
      <c r="H491" s="124">
        <f>VLOOKUP($C491,Sales!$C:$E,2,FALSE)</f>
        <v/>
      </c>
      <c r="I491" s="124">
        <f>VLOOKUP($C491,Sales!$C:$E,3,FALSE)</f>
        <v/>
      </c>
      <c r="J491" s="126">
        <f>SUMIFS(Sales!$H:$H,Sales!$C:$C,'Investor Exit List'!$C491)</f>
        <v/>
      </c>
      <c r="K491" s="126">
        <f>IF(I491=TRUE,J491,"")</f>
        <v/>
      </c>
      <c r="L491" s="126">
        <f>G491+730</f>
        <v/>
      </c>
      <c r="M491" s="126" t="n">
        <v>45443</v>
      </c>
      <c r="N491" s="127">
        <f>IFERROR(IF(G491&lt;&gt;"",IF(I491=TRUE,0,IF(U491=TRUE,0,L491-M491)),0),0)</f>
        <v/>
      </c>
      <c r="O491" s="127">
        <f>IF(N491&gt;0,IF(N491&lt;=180,N491,0),0)</f>
        <v/>
      </c>
      <c r="P491" s="125">
        <f>IF(AND(N491&lt;90,N491&gt;0),Q491,0)</f>
        <v/>
      </c>
      <c r="Q491" s="125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25">
        <f>IF(AND(H491=TRUE,I491=FALSE),Q491,0)</f>
        <v/>
      </c>
      <c r="S491" s="125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26">
        <f>IF(U491=TRUE,$J491,"")</f>
        <v/>
      </c>
      <c r="U491" s="124" t="b">
        <v>0</v>
      </c>
      <c r="V491" s="125">
        <f>IF(AND(H491=TRUE,OR(K491="",K491&gt;M491)),S491,0)</f>
        <v/>
      </c>
      <c r="W491" s="124" t="n">
        <v>0</v>
      </c>
      <c r="X491" s="124" t="b">
        <v>0</v>
      </c>
      <c r="Y491" s="127">
        <f>IF(H491=FALSE,VLOOKUP($C491,Sales!$C:$F,4,FALSE),1)</f>
        <v/>
      </c>
      <c r="Z491" s="124">
        <f>IF(Y491=0,"Release",IF(AND(L491&lt;J491,Y491=1,H491=FALSE,U491=FALSE,MONTH(L491)&amp;"/"&amp;YEAR(L491)&lt;&gt;MONTH(J491)&amp;"/"&amp;YEAR(J491)),"Release",""))</f>
        <v/>
      </c>
      <c r="AA491" s="128">
        <f>_xlfn.minifs($L:$L,$C:$C,$C491,$F:$F,"&lt;&gt;0")</f>
        <v/>
      </c>
      <c r="AB491" s="128">
        <f>C491&amp;"-"&amp;A491</f>
        <v/>
      </c>
      <c r="AC491" s="128">
        <f>L491</f>
        <v/>
      </c>
    </row>
    <row r="492">
      <c r="A492" s="124" t="inlineStr">
        <is>
          <t>ZMAT01</t>
        </is>
      </c>
      <c r="B492" s="124" t="n">
        <v>5</v>
      </c>
      <c r="C492" s="124" t="inlineStr">
        <is>
          <t>HVN101</t>
        </is>
      </c>
      <c r="D492" s="124" t="inlineStr">
        <is>
          <t>N</t>
        </is>
      </c>
      <c r="E492" s="124" t="inlineStr">
        <is>
          <t>Matthews Natalie</t>
        </is>
      </c>
      <c r="F492" s="125">
        <f>SUMIFS(Investors!$M:$M, Investors!$I:$I, "&lt;=" &amp; 'NSST Print'!$B$3, Investors!$K:$K, "&gt;" &amp; 'NSST Print'!$B$3, Investors!$A:$A, 'Investor Exit List'!A492, Investors!$E:$E, 'Investor Exit List'!C492)</f>
        <v/>
      </c>
      <c r="G492" s="126" t="n">
        <v>44777</v>
      </c>
      <c r="H492" s="124">
        <f>VLOOKUP($C492,Sales!$C:$E,2,FALSE)</f>
        <v/>
      </c>
      <c r="I492" s="124">
        <f>VLOOKUP($C492,Sales!$C:$E,3,FALSE)</f>
        <v/>
      </c>
      <c r="J492" s="126">
        <f>SUMIFS(Sales!$H:$H,Sales!$C:$C,'Investor Exit List'!$C492)</f>
        <v/>
      </c>
      <c r="K492" s="126">
        <f>IF(I492=TRUE,J492,"")</f>
        <v/>
      </c>
      <c r="L492" s="126">
        <f>G492+730</f>
        <v/>
      </c>
      <c r="M492" s="126" t="n">
        <v>45443</v>
      </c>
      <c r="N492" s="127">
        <f>IFERROR(IF(G492&lt;&gt;"",IF(I492=TRUE,0,IF(U492=TRUE,0,L492-M492)),0),0)</f>
        <v/>
      </c>
      <c r="O492" s="127">
        <f>IF(N492&gt;0,IF(N492&lt;=180,N492,0),0)</f>
        <v/>
      </c>
      <c r="P492" s="125">
        <f>IF(AND(N492&lt;90,N492&gt;0),Q492,0)</f>
        <v/>
      </c>
      <c r="Q492" s="125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25">
        <f>IF(AND(H492=TRUE,I492=FALSE),Q492,0)</f>
        <v/>
      </c>
      <c r="S492" s="125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26">
        <f>IF(U492=TRUE,$J492,"")</f>
        <v/>
      </c>
      <c r="U492" s="124" t="b">
        <v>0</v>
      </c>
      <c r="V492" s="125">
        <f>IF(AND(H492=TRUE,OR(K492="",K492&gt;M492)),S492,0)</f>
        <v/>
      </c>
      <c r="W492" s="124" t="n">
        <v>0</v>
      </c>
      <c r="X492" s="124" t="b">
        <v>0</v>
      </c>
      <c r="Y492" s="127">
        <f>IF(H492=FALSE,VLOOKUP($C492,Sales!$C:$F,4,FALSE),1)</f>
        <v/>
      </c>
      <c r="Z492" s="124">
        <f>IF(Y492=0,"Release",IF(AND(L492&lt;J492,Y492=1,H492=FALSE,U492=FALSE,MONTH(L492)&amp;"/"&amp;YEAR(L492)&lt;&gt;MONTH(J492)&amp;"/"&amp;YEAR(J492)),"Release",""))</f>
        <v/>
      </c>
      <c r="AA492" s="128">
        <f>_xlfn.minifs($L:$L,$C:$C,$C492,$F:$F,"&lt;&gt;0")</f>
        <v/>
      </c>
      <c r="AB492" s="128">
        <f>C492&amp;"-"&amp;A492</f>
        <v/>
      </c>
      <c r="AC492" s="128">
        <f>L492</f>
        <v/>
      </c>
    </row>
    <row r="493">
      <c r="A493" s="124" t="inlineStr">
        <is>
          <t>ZVAN03</t>
        </is>
      </c>
      <c r="B493" s="124" t="n">
        <v>2</v>
      </c>
      <c r="C493" s="124" t="inlineStr">
        <is>
          <t>HVN101</t>
        </is>
      </c>
      <c r="D493" s="124" t="inlineStr">
        <is>
          <t>N</t>
        </is>
      </c>
      <c r="E493" s="124" t="inlineStr">
        <is>
          <t>van der Westhuizen Johan George</t>
        </is>
      </c>
      <c r="F493" s="125">
        <f>SUMIFS(Investors!$M:$M, Investors!$I:$I, "&lt;=" &amp; 'NSST Print'!$B$3, Investors!$K:$K, "&gt;" &amp; 'NSST Print'!$B$3, Investors!$A:$A, 'Investor Exit List'!A493, Investors!$E:$E, 'Investor Exit List'!C493)</f>
        <v/>
      </c>
      <c r="G493" s="126" t="n">
        <v>44743</v>
      </c>
      <c r="H493" s="124">
        <f>VLOOKUP($C493,Sales!$C:$E,2,FALSE)</f>
        <v/>
      </c>
      <c r="I493" s="124">
        <f>VLOOKUP($C493,Sales!$C:$E,3,FALSE)</f>
        <v/>
      </c>
      <c r="J493" s="126">
        <f>SUMIFS(Sales!$H:$H,Sales!$C:$C,'Investor Exit List'!$C493)</f>
        <v/>
      </c>
      <c r="K493" s="126">
        <f>IF(I493=TRUE,J493,"")</f>
        <v/>
      </c>
      <c r="L493" s="126">
        <f>G493+730</f>
        <v/>
      </c>
      <c r="M493" s="126" t="n">
        <v>45443</v>
      </c>
      <c r="N493" s="127">
        <f>IFERROR(IF(G493&lt;&gt;"",IF(I493=TRUE,0,IF(U493=TRUE,0,L493-M493)),0),0)</f>
        <v/>
      </c>
      <c r="O493" s="127">
        <f>IF(N493&gt;0,IF(N493&lt;=180,N493,0),0)</f>
        <v/>
      </c>
      <c r="P493" s="125">
        <f>IF(AND(N493&lt;90,N493&gt;0),Q493,0)</f>
        <v/>
      </c>
      <c r="Q493" s="125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25">
        <f>IF(AND(H493=TRUE,I493=FALSE),Q493,0)</f>
        <v/>
      </c>
      <c r="S493" s="125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26">
        <f>IF(U493=TRUE,$J493,"")</f>
        <v/>
      </c>
      <c r="U493" s="124" t="b">
        <v>0</v>
      </c>
      <c r="V493" s="125">
        <f>IF(AND(H493=TRUE,OR(K493="",K493&gt;M493)),S493,0)</f>
        <v/>
      </c>
      <c r="W493" s="124" t="n">
        <v>0</v>
      </c>
      <c r="X493" s="124" t="b">
        <v>0</v>
      </c>
      <c r="Y493" s="127">
        <f>IF(H493=FALSE,VLOOKUP($C493,Sales!$C:$F,4,FALSE),1)</f>
        <v/>
      </c>
      <c r="Z493" s="124">
        <f>IF(Y493=0,"Release",IF(AND(L493&lt;J493,Y493=1,H493=FALSE,U493=FALSE,MONTH(L493)&amp;"/"&amp;YEAR(L493)&lt;&gt;MONTH(J493)&amp;"/"&amp;YEAR(J493)),"Release",""))</f>
        <v/>
      </c>
      <c r="AA493" s="128">
        <f>_xlfn.minifs($L:$L,$C:$C,$C493,$F:$F,"&lt;&gt;0")</f>
        <v/>
      </c>
      <c r="AB493" s="128">
        <f>C493&amp;"-"&amp;A493</f>
        <v/>
      </c>
      <c r="AC493" s="128">
        <f>L493</f>
        <v/>
      </c>
    </row>
    <row r="494">
      <c r="A494" s="124" t="inlineStr">
        <is>
          <t>ZZYL01</t>
        </is>
      </c>
      <c r="B494" s="124" t="n">
        <v>4</v>
      </c>
      <c r="C494" s="124" t="inlineStr">
        <is>
          <t>HVN101</t>
        </is>
      </c>
      <c r="D494" s="124" t="inlineStr">
        <is>
          <t>N</t>
        </is>
      </c>
      <c r="E494" s="124" t="inlineStr">
        <is>
          <t>Zylstra John Robert</t>
        </is>
      </c>
      <c r="F494" s="125">
        <f>SUMIFS(Investors!$M:$M, Investors!$I:$I, "&lt;=" &amp; 'NSST Print'!$B$3, Investors!$K:$K, "&gt;" &amp; 'NSST Print'!$B$3, Investors!$A:$A, 'Investor Exit List'!A494, Investors!$E:$E, 'Investor Exit List'!C494)</f>
        <v/>
      </c>
      <c r="G494" s="126" t="n">
        <v>44763</v>
      </c>
      <c r="H494" s="124">
        <f>VLOOKUP($C494,Sales!$C:$E,2,FALSE)</f>
        <v/>
      </c>
      <c r="I494" s="124">
        <f>VLOOKUP($C494,Sales!$C:$E,3,FALSE)</f>
        <v/>
      </c>
      <c r="J494" s="126">
        <f>SUMIFS(Sales!$H:$H,Sales!$C:$C,'Investor Exit List'!$C494)</f>
        <v/>
      </c>
      <c r="K494" s="126">
        <f>IF(I494=TRUE,J494,"")</f>
        <v/>
      </c>
      <c r="L494" s="126">
        <f>G494+730</f>
        <v/>
      </c>
      <c r="M494" s="126" t="n">
        <v>45443</v>
      </c>
      <c r="N494" s="127">
        <f>IFERROR(IF(G494&lt;&gt;"",IF(I494=TRUE,0,IF(U494=TRUE,0,L494-M494)),0),0)</f>
        <v/>
      </c>
      <c r="O494" s="127">
        <f>IF(N494&gt;0,IF(N494&lt;=180,N494,0),0)</f>
        <v/>
      </c>
      <c r="P494" s="125">
        <f>IF(AND(N494&lt;90,N494&gt;0),Q494,0)</f>
        <v/>
      </c>
      <c r="Q494" s="125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25">
        <f>IF(AND(H494=TRUE,I494=FALSE),Q494,0)</f>
        <v/>
      </c>
      <c r="S494" s="125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26">
        <f>IF(U494=TRUE,$J494,"")</f>
        <v/>
      </c>
      <c r="U494" s="124" t="b">
        <v>0</v>
      </c>
      <c r="V494" s="125">
        <f>IF(AND(H494=TRUE,OR(K494="",K494&gt;M494)),S494,0)</f>
        <v/>
      </c>
      <c r="W494" s="124" t="n">
        <v>0</v>
      </c>
      <c r="X494" s="124" t="b">
        <v>0</v>
      </c>
      <c r="Y494" s="127">
        <f>IF(H494=FALSE,VLOOKUP($C494,Sales!$C:$F,4,FALSE),1)</f>
        <v/>
      </c>
      <c r="Z494" s="124">
        <f>IF(Y494=0,"Release",IF(AND(L494&lt;J494,Y494=1,H494=FALSE,U494=FALSE,MONTH(L494)&amp;"/"&amp;YEAR(L494)&lt;&gt;MONTH(J494)&amp;"/"&amp;YEAR(J494)),"Release",""))</f>
        <v/>
      </c>
      <c r="AA494" s="128">
        <f>_xlfn.minifs($L:$L,$C:$C,$C494,$F:$F,"&lt;&gt;0")</f>
        <v/>
      </c>
      <c r="AB494" s="128">
        <f>C494&amp;"-"&amp;A494</f>
        <v/>
      </c>
      <c r="AC494" s="128">
        <f>L494</f>
        <v/>
      </c>
    </row>
    <row r="495">
      <c r="A495" s="124" t="inlineStr">
        <is>
          <t>ZZYL01</t>
        </is>
      </c>
      <c r="B495" s="124" t="n">
        <v>5</v>
      </c>
      <c r="C495" s="124" t="inlineStr">
        <is>
          <t>HVN102</t>
        </is>
      </c>
      <c r="D495" s="124" t="inlineStr">
        <is>
          <t>N</t>
        </is>
      </c>
      <c r="E495" s="124" t="inlineStr">
        <is>
          <t>Zylstra John Robert</t>
        </is>
      </c>
      <c r="F495" s="125">
        <f>SUMIFS(Investors!$M:$M, Investors!$I:$I, "&lt;=" &amp; 'NSST Print'!$B$3, Investors!$K:$K, "&gt;" &amp; 'NSST Print'!$B$3, Investors!$A:$A, 'Investor Exit List'!A495, Investors!$E:$E, 'Investor Exit List'!C495)</f>
        <v/>
      </c>
      <c r="G495" s="126" t="n">
        <v>44770</v>
      </c>
      <c r="H495" s="124">
        <f>VLOOKUP($C495,Sales!$C:$E,2,FALSE)</f>
        <v/>
      </c>
      <c r="I495" s="124">
        <f>VLOOKUP($C495,Sales!$C:$E,3,FALSE)</f>
        <v/>
      </c>
      <c r="J495" s="126">
        <f>SUMIFS(Sales!$H:$H,Sales!$C:$C,'Investor Exit List'!$C495)</f>
        <v/>
      </c>
      <c r="K495" s="126">
        <f>IF(I495=TRUE,J495,"")</f>
        <v/>
      </c>
      <c r="L495" s="126">
        <f>G495+730</f>
        <v/>
      </c>
      <c r="M495" s="126" t="n">
        <v>45443</v>
      </c>
      <c r="N495" s="127">
        <f>IFERROR(IF(G495&lt;&gt;"",IF(I495=TRUE,0,IF(U495=TRUE,0,L495-M495)),0),0)</f>
        <v/>
      </c>
      <c r="O495" s="127">
        <f>IF(N495&gt;0,IF(N495&lt;=180,N495,0),0)</f>
        <v/>
      </c>
      <c r="P495" s="125">
        <f>IF(AND(N495&lt;90,N495&gt;0),Q495,0)</f>
        <v/>
      </c>
      <c r="Q495" s="125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25">
        <f>IF(AND(H495=TRUE,I495=FALSE),Q495,0)</f>
        <v/>
      </c>
      <c r="S495" s="125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26">
        <f>IF(U495=TRUE,$J495,"")</f>
        <v/>
      </c>
      <c r="U495" s="124" t="b">
        <v>0</v>
      </c>
      <c r="V495" s="125">
        <f>IF(AND(H495=TRUE,OR(K495="",K495&gt;M495)),S495,0)</f>
        <v/>
      </c>
      <c r="W495" s="124" t="n">
        <v>0</v>
      </c>
      <c r="X495" s="124" t="b">
        <v>0</v>
      </c>
      <c r="Y495" s="127">
        <f>IF(H495=FALSE,VLOOKUP($C495,Sales!$C:$F,4,FALSE),1)</f>
        <v/>
      </c>
      <c r="Z495" s="124">
        <f>IF(Y495=0,"Release",IF(AND(L495&lt;J495,Y495=1,H495=FALSE,U495=FALSE,MONTH(L495)&amp;"/"&amp;YEAR(L495)&lt;&gt;MONTH(J495)&amp;"/"&amp;YEAR(J495)),"Release",""))</f>
        <v/>
      </c>
      <c r="AA495" s="128">
        <f>_xlfn.minifs($L:$L,$C:$C,$C495,$F:$F,"&lt;&gt;0")</f>
        <v/>
      </c>
      <c r="AB495" s="128">
        <f>C495&amp;"-"&amp;A495</f>
        <v/>
      </c>
      <c r="AC495" s="128">
        <f>L495</f>
        <v/>
      </c>
    </row>
    <row r="496">
      <c r="A496" s="124" t="inlineStr">
        <is>
          <t>ZLER01</t>
        </is>
      </c>
      <c r="B496" s="124" t="n">
        <v>1</v>
      </c>
      <c r="C496" s="124" t="inlineStr">
        <is>
          <t>HVN103</t>
        </is>
      </c>
      <c r="D496" s="124" t="inlineStr">
        <is>
          <t>N</t>
        </is>
      </c>
      <c r="E496" s="124" t="inlineStr">
        <is>
          <t>Kloppers Lydia</t>
        </is>
      </c>
      <c r="F496" s="125">
        <f>SUMIFS(Investors!$M:$M, Investors!$I:$I, "&lt;=" &amp; 'NSST Print'!$B$3, Investors!$K:$K, "&gt;" &amp; 'NSST Print'!$B$3, Investors!$A:$A, 'Investor Exit List'!A496, Investors!$E:$E, 'Investor Exit List'!C496)</f>
        <v/>
      </c>
      <c r="G496" s="126" t="n">
        <v>44763</v>
      </c>
      <c r="H496" s="124">
        <f>VLOOKUP($C496,Sales!$C:$E,2,FALSE)</f>
        <v/>
      </c>
      <c r="I496" s="124">
        <f>VLOOKUP($C496,Sales!$C:$E,3,FALSE)</f>
        <v/>
      </c>
      <c r="J496" s="126">
        <f>SUMIFS(Sales!$H:$H,Sales!$C:$C,'Investor Exit List'!$C496)</f>
        <v/>
      </c>
      <c r="K496" s="126">
        <f>IF(I496=TRUE,J496,"")</f>
        <v/>
      </c>
      <c r="L496" s="126">
        <f>G496+730</f>
        <v/>
      </c>
      <c r="M496" s="126" t="n">
        <v>45443</v>
      </c>
      <c r="N496" s="127">
        <f>IFERROR(IF(G496&lt;&gt;"",IF(I496=TRUE,0,IF(U496=TRUE,0,L496-M496)),0),0)</f>
        <v/>
      </c>
      <c r="O496" s="127">
        <f>IF(N496&gt;0,IF(N496&lt;=180,N496,0),0)</f>
        <v/>
      </c>
      <c r="P496" s="125">
        <f>IF(AND(N496&lt;90,N496&gt;0),Q496,0)</f>
        <v/>
      </c>
      <c r="Q496" s="125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25">
        <f>IF(AND(H496=TRUE,I496=FALSE),Q496,0)</f>
        <v/>
      </c>
      <c r="S496" s="125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26">
        <f>IF(U496=TRUE,$J496,"")</f>
        <v/>
      </c>
      <c r="U496" s="124" t="b">
        <v>0</v>
      </c>
      <c r="V496" s="125">
        <f>IF(AND(H496=TRUE,OR(K496="",K496&gt;M496)),S496,0)</f>
        <v/>
      </c>
      <c r="W496" s="124" t="n">
        <v>0</v>
      </c>
      <c r="X496" s="124" t="b">
        <v>0</v>
      </c>
      <c r="Y496" s="127">
        <f>IF(H496=FALSE,VLOOKUP($C496,Sales!$C:$F,4,FALSE),1)</f>
        <v/>
      </c>
      <c r="Z496" s="124">
        <f>IF(Y496=0,"Release",IF(AND(L496&lt;J496,Y496=1,H496=FALSE,U496=FALSE,MONTH(L496)&amp;"/"&amp;YEAR(L496)&lt;&gt;MONTH(J496)&amp;"/"&amp;YEAR(J496)),"Release",""))</f>
        <v/>
      </c>
      <c r="AA496" s="128">
        <f>_xlfn.minifs($L:$L,$C:$C,$C496,$F:$F,"&lt;&gt;0")</f>
        <v/>
      </c>
      <c r="AB496" s="128">
        <f>C496&amp;"-"&amp;A496</f>
        <v/>
      </c>
      <c r="AC496" s="128">
        <f>L496</f>
        <v/>
      </c>
    </row>
    <row r="497">
      <c r="A497" s="124" t="inlineStr">
        <is>
          <t>ZWAT01</t>
        </is>
      </c>
      <c r="B497" s="124" t="n">
        <v>12</v>
      </c>
      <c r="C497" s="124" t="inlineStr">
        <is>
          <t>HVN103</t>
        </is>
      </c>
      <c r="D497" s="124" t="inlineStr">
        <is>
          <t>N</t>
        </is>
      </c>
      <c r="E497" s="124" t="inlineStr">
        <is>
          <t>Watts Peter Gregory</t>
        </is>
      </c>
      <c r="F497" s="125">
        <f>SUMIFS(Investors!$M:$M, Investors!$I:$I, "&lt;=" &amp; 'NSST Print'!$B$3, Investors!$K:$K, "&gt;" &amp; 'NSST Print'!$B$3, Investors!$A:$A, 'Investor Exit List'!A497, Investors!$E:$E, 'Investor Exit List'!C497)</f>
        <v/>
      </c>
      <c r="G497" s="126" t="n">
        <v>44743</v>
      </c>
      <c r="H497" s="124">
        <f>VLOOKUP($C497,Sales!$C:$E,2,FALSE)</f>
        <v/>
      </c>
      <c r="I497" s="124">
        <f>VLOOKUP($C497,Sales!$C:$E,3,FALSE)</f>
        <v/>
      </c>
      <c r="J497" s="126">
        <f>SUMIFS(Sales!$H:$H,Sales!$C:$C,'Investor Exit List'!$C497)</f>
        <v/>
      </c>
      <c r="K497" s="126">
        <f>IF(I497=TRUE,J497,"")</f>
        <v/>
      </c>
      <c r="L497" s="126">
        <f>G497+730</f>
        <v/>
      </c>
      <c r="M497" s="126" t="n">
        <v>45443</v>
      </c>
      <c r="N497" s="127">
        <f>IFERROR(IF(G497&lt;&gt;"",IF(I497=TRUE,0,IF(U497=TRUE,0,L497-M497)),0),0)</f>
        <v/>
      </c>
      <c r="O497" s="127">
        <f>IF(N497&gt;0,IF(N497&lt;=180,N497,0),0)</f>
        <v/>
      </c>
      <c r="P497" s="125">
        <f>IF(AND(N497&lt;90,N497&gt;0),Q497,0)</f>
        <v/>
      </c>
      <c r="Q497" s="125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25">
        <f>IF(AND(H497=TRUE,I497=FALSE),Q497,0)</f>
        <v/>
      </c>
      <c r="S497" s="125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26">
        <f>IF(U497=TRUE,$J497,"")</f>
        <v/>
      </c>
      <c r="U497" s="124" t="b">
        <v>1</v>
      </c>
      <c r="V497" s="125">
        <f>IF(AND(H497=TRUE,OR(K497="",K497&gt;M497)),S497,0)</f>
        <v/>
      </c>
      <c r="W497" s="124" t="n">
        <v>0</v>
      </c>
      <c r="X497" s="124" t="b">
        <v>0</v>
      </c>
      <c r="Y497" s="127">
        <f>IF(H497=FALSE,VLOOKUP($C497,Sales!$C:$F,4,FALSE),1)</f>
        <v/>
      </c>
      <c r="Z497" s="124">
        <f>IF(Y497=0,"Release",IF(AND(L497&lt;J497,Y497=1,H497=FALSE,U497=FALSE,MONTH(L497)&amp;"/"&amp;YEAR(L497)&lt;&gt;MONTH(J497)&amp;"/"&amp;YEAR(J497)),"Release",""))</f>
        <v/>
      </c>
      <c r="AA497" s="128">
        <f>_xlfn.minifs($L:$L,$C:$C,$C497,$F:$F,"&lt;&gt;0")</f>
        <v/>
      </c>
      <c r="AB497" s="128">
        <f>C497&amp;"-"&amp;A497</f>
        <v/>
      </c>
      <c r="AC497" s="128">
        <f>L497</f>
        <v/>
      </c>
    </row>
    <row r="498">
      <c r="A498" s="124" t="inlineStr">
        <is>
          <t>ZDEL01</t>
        </is>
      </c>
      <c r="B498" s="124" t="n">
        <v>4</v>
      </c>
      <c r="C498" s="124" t="inlineStr">
        <is>
          <t>HVN104</t>
        </is>
      </c>
      <c r="D498" s="124" t="inlineStr">
        <is>
          <t>N</t>
        </is>
      </c>
      <c r="E498" s="124" t="inlineStr">
        <is>
          <t>Jansen van Vuuren Pieter</t>
        </is>
      </c>
      <c r="F498" s="125">
        <f>SUMIFS(Investors!$M:$M, Investors!$I:$I, "&lt;=" &amp; 'NSST Print'!$B$3, Investors!$K:$K, "&gt;" &amp; 'NSST Print'!$B$3, Investors!$A:$A, 'Investor Exit List'!A498, Investors!$E:$E, 'Investor Exit List'!C498)</f>
        <v/>
      </c>
      <c r="G498" s="126" t="n">
        <v>44743</v>
      </c>
      <c r="H498" s="124">
        <f>VLOOKUP($C498,Sales!$C:$E,2,FALSE)</f>
        <v/>
      </c>
      <c r="I498" s="124">
        <f>VLOOKUP($C498,Sales!$C:$E,3,FALSE)</f>
        <v/>
      </c>
      <c r="J498" s="126">
        <f>SUMIFS(Sales!$H:$H,Sales!$C:$C,'Investor Exit List'!$C498)</f>
        <v/>
      </c>
      <c r="K498" s="126">
        <f>IF(I498=TRUE,J498,"")</f>
        <v/>
      </c>
      <c r="L498" s="126">
        <f>G498+730</f>
        <v/>
      </c>
      <c r="M498" s="126" t="n">
        <v>45443</v>
      </c>
      <c r="N498" s="127">
        <f>IFERROR(IF(G498&lt;&gt;"",IF(I498=TRUE,0,IF(U498=TRUE,0,L498-M498)),0),0)</f>
        <v/>
      </c>
      <c r="O498" s="127">
        <f>IF(N498&gt;0,IF(N498&lt;=180,N498,0),0)</f>
        <v/>
      </c>
      <c r="P498" s="125">
        <f>IF(AND(N498&lt;90,N498&gt;0),Q498,0)</f>
        <v/>
      </c>
      <c r="Q498" s="125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25">
        <f>IF(AND(H498=TRUE,I498=FALSE),Q498,0)</f>
        <v/>
      </c>
      <c r="S498" s="125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26">
        <f>IF(U498=TRUE,$J498,"")</f>
        <v/>
      </c>
      <c r="U498" s="124" t="b">
        <v>0</v>
      </c>
      <c r="V498" s="125">
        <f>IF(AND(H498=TRUE,OR(K498="",K498&gt;M498)),S498,0)</f>
        <v/>
      </c>
      <c r="W498" s="124" t="n">
        <v>0</v>
      </c>
      <c r="X498" s="124" t="b">
        <v>0</v>
      </c>
      <c r="Y498" s="127">
        <f>IF(H498=FALSE,VLOOKUP($C498,Sales!$C:$F,4,FALSE),1)</f>
        <v/>
      </c>
      <c r="Z498" s="124">
        <f>IF(Y498=0,"Release",IF(AND(L498&lt;J498,Y498=1,H498=FALSE,U498=FALSE,MONTH(L498)&amp;"/"&amp;YEAR(L498)&lt;&gt;MONTH(J498)&amp;"/"&amp;YEAR(J498)),"Release",""))</f>
        <v/>
      </c>
      <c r="AA498" s="128">
        <f>_xlfn.minifs($L:$L,$C:$C,$C498,$F:$F,"&lt;&gt;0")</f>
        <v/>
      </c>
      <c r="AB498" s="128">
        <f>C498&amp;"-"&amp;A498</f>
        <v/>
      </c>
      <c r="AC498" s="128">
        <f>L498</f>
        <v/>
      </c>
    </row>
    <row r="499">
      <c r="A499" s="124" t="inlineStr">
        <is>
          <t>ZLEB01</t>
        </is>
      </c>
      <c r="B499" s="124" t="n">
        <v>12</v>
      </c>
      <c r="C499" s="124" t="inlineStr">
        <is>
          <t>HVN104</t>
        </is>
      </c>
      <c r="D499" s="124" t="inlineStr">
        <is>
          <t>N</t>
        </is>
      </c>
      <c r="E499" s="124" t="inlineStr">
        <is>
          <t>Lebusa Hopolang</t>
        </is>
      </c>
      <c r="F499" s="125">
        <f>SUMIFS(Investors!$M:$M, Investors!$I:$I, "&lt;=" &amp; 'NSST Print'!$B$3, Investors!$K:$K, "&gt;" &amp; 'NSST Print'!$B$3, Investors!$A:$A, 'Investor Exit List'!A499, Investors!$E:$E, 'Investor Exit List'!C499)</f>
        <v/>
      </c>
      <c r="G499" s="126" t="n">
        <v>44743</v>
      </c>
      <c r="H499" s="124">
        <f>VLOOKUP($C499,Sales!$C:$E,2,FALSE)</f>
        <v/>
      </c>
      <c r="I499" s="124">
        <f>VLOOKUP($C499,Sales!$C:$E,3,FALSE)</f>
        <v/>
      </c>
      <c r="J499" s="126">
        <f>SUMIFS(Sales!$H:$H,Sales!$C:$C,'Investor Exit List'!$C499)</f>
        <v/>
      </c>
      <c r="K499" s="126">
        <f>IF(I499=TRUE,J499,"")</f>
        <v/>
      </c>
      <c r="L499" s="126">
        <f>G499+730</f>
        <v/>
      </c>
      <c r="M499" s="126" t="n">
        <v>45443</v>
      </c>
      <c r="N499" s="127">
        <f>IFERROR(IF(G499&lt;&gt;"",IF(I499=TRUE,0,IF(U499=TRUE,0,L499-M499)),0),0)</f>
        <v/>
      </c>
      <c r="O499" s="127">
        <f>IF(N499&gt;0,IF(N499&lt;=180,N499,0),0)</f>
        <v/>
      </c>
      <c r="P499" s="125">
        <f>IF(AND(N499&lt;90,N499&gt;0),Q499,0)</f>
        <v/>
      </c>
      <c r="Q499" s="125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25">
        <f>IF(AND(H499=TRUE,I499=FALSE),Q499,0)</f>
        <v/>
      </c>
      <c r="S499" s="125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26">
        <f>IF(U499=TRUE,$J499,"")</f>
        <v/>
      </c>
      <c r="U499" s="124" t="b">
        <v>0</v>
      </c>
      <c r="V499" s="125">
        <f>IF(AND(H499=TRUE,OR(K499="",K499&gt;M499)),S499,0)</f>
        <v/>
      </c>
      <c r="W499" s="124" t="n">
        <v>0</v>
      </c>
      <c r="X499" s="124" t="b">
        <v>0</v>
      </c>
      <c r="Y499" s="127">
        <f>IF(H499=FALSE,VLOOKUP($C499,Sales!$C:$F,4,FALSE),1)</f>
        <v/>
      </c>
      <c r="Z499" s="124">
        <f>IF(Y499=0,"Release",IF(AND(L499&lt;J499,Y499=1,H499=FALSE,U499=FALSE,MONTH(L499)&amp;"/"&amp;YEAR(L499)&lt;&gt;MONTH(J499)&amp;"/"&amp;YEAR(J499)),"Release",""))</f>
        <v/>
      </c>
      <c r="AA499" s="128">
        <f>_xlfn.minifs($L:$L,$C:$C,$C499,$F:$F,"&lt;&gt;0")</f>
        <v/>
      </c>
      <c r="AB499" s="128">
        <f>C499&amp;"-"&amp;A499</f>
        <v/>
      </c>
      <c r="AC499" s="128">
        <f>L499</f>
        <v/>
      </c>
    </row>
    <row r="500">
      <c r="A500" s="124" t="inlineStr">
        <is>
          <t>ZDEL01</t>
        </is>
      </c>
      <c r="B500" s="124" t="n">
        <v>5</v>
      </c>
      <c r="C500" s="124" t="inlineStr">
        <is>
          <t>HVN201</t>
        </is>
      </c>
      <c r="D500" s="124" t="inlineStr">
        <is>
          <t>N</t>
        </is>
      </c>
      <c r="E500" s="124" t="inlineStr">
        <is>
          <t>Jansen van Vuuren Pieter</t>
        </is>
      </c>
      <c r="F500" s="125">
        <f>SUMIFS(Investors!$M:$M, Investors!$I:$I, "&lt;=" &amp; 'NSST Print'!$B$3, Investors!$K:$K, "&gt;" &amp; 'NSST Print'!$B$3, Investors!$A:$A, 'Investor Exit List'!A500, Investors!$E:$E, 'Investor Exit List'!C500)</f>
        <v/>
      </c>
      <c r="G500" s="126" t="n">
        <v>44743</v>
      </c>
      <c r="H500" s="124">
        <f>VLOOKUP($C500,Sales!$C:$E,2,FALSE)</f>
        <v/>
      </c>
      <c r="I500" s="124">
        <f>VLOOKUP($C500,Sales!$C:$E,3,FALSE)</f>
        <v/>
      </c>
      <c r="J500" s="126">
        <f>SUMIFS(Sales!$H:$H,Sales!$C:$C,'Investor Exit List'!$C500)</f>
        <v/>
      </c>
      <c r="K500" s="126">
        <f>IF(I500=TRUE,J500,"")</f>
        <v/>
      </c>
      <c r="L500" s="126">
        <f>G500+730</f>
        <v/>
      </c>
      <c r="M500" s="126" t="n">
        <v>45443</v>
      </c>
      <c r="N500" s="127">
        <f>IFERROR(IF(G500&lt;&gt;"",IF(I500=TRUE,0,IF(U500=TRUE,0,L500-M500)),0),0)</f>
        <v/>
      </c>
      <c r="O500" s="127">
        <f>IF(N500&gt;0,IF(N500&lt;=180,N500,0),0)</f>
        <v/>
      </c>
      <c r="P500" s="125">
        <f>IF(AND(N500&lt;90,N500&gt;0),Q500,0)</f>
        <v/>
      </c>
      <c r="Q500" s="125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25">
        <f>IF(AND(H500=TRUE,I500=FALSE),Q500,0)</f>
        <v/>
      </c>
      <c r="S500" s="125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26">
        <f>IF(U500=TRUE,$J500,"")</f>
        <v/>
      </c>
      <c r="U500" s="124" t="b">
        <v>0</v>
      </c>
      <c r="V500" s="125">
        <f>IF(AND(H500=TRUE,OR(K500="",K500&gt;M500)),S500,0)</f>
        <v/>
      </c>
      <c r="W500" s="124" t="n">
        <v>0</v>
      </c>
      <c r="X500" s="124" t="b">
        <v>0</v>
      </c>
      <c r="Y500" s="127">
        <f>IF(H500=FALSE,VLOOKUP($C500,Sales!$C:$F,4,FALSE),1)</f>
        <v/>
      </c>
      <c r="Z500" s="124">
        <f>IF(Y500=0,"Release",IF(AND(L500&lt;J500,Y500=1,H500=FALSE,U500=FALSE,MONTH(L500)&amp;"/"&amp;YEAR(L500)&lt;&gt;MONTH(J500)&amp;"/"&amp;YEAR(J500)),"Release",""))</f>
        <v/>
      </c>
      <c r="AA500" s="128">
        <f>_xlfn.minifs($L:$L,$C:$C,$C500,$F:$F,"&lt;&gt;0")</f>
        <v/>
      </c>
      <c r="AB500" s="128">
        <f>C500&amp;"-"&amp;A500</f>
        <v/>
      </c>
      <c r="AC500" s="128">
        <f>L500</f>
        <v/>
      </c>
    </row>
    <row r="501">
      <c r="A501" s="124" t="inlineStr">
        <is>
          <t>ZERF01</t>
        </is>
      </c>
      <c r="B501" s="124" t="n">
        <v>1</v>
      </c>
      <c r="C501" s="124" t="inlineStr">
        <is>
          <t>HVN202</t>
        </is>
      </c>
      <c r="D501" s="124" t="inlineStr">
        <is>
          <t>N</t>
        </is>
      </c>
      <c r="E501" s="124" t="inlineStr">
        <is>
          <t>Jansen van Vuuren Hermanus Gerhardus (Gerhard)</t>
        </is>
      </c>
      <c r="F501" s="125">
        <f>SUMIFS(Investors!$M:$M, Investors!$I:$I, "&lt;=" &amp; 'NSST Print'!$B$3, Investors!$K:$K, "&gt;" &amp; 'NSST Print'!$B$3, Investors!$A:$A, 'Investor Exit List'!A501, Investors!$E:$E, 'Investor Exit List'!C501)</f>
        <v/>
      </c>
      <c r="G501" s="126" t="n">
        <v>44770</v>
      </c>
      <c r="H501" s="124">
        <f>VLOOKUP($C501,Sales!$C:$E,2,FALSE)</f>
        <v/>
      </c>
      <c r="I501" s="124">
        <f>VLOOKUP($C501,Sales!$C:$E,3,FALSE)</f>
        <v/>
      </c>
      <c r="J501" s="126">
        <f>SUMIFS(Sales!$H:$H,Sales!$C:$C,'Investor Exit List'!$C501)</f>
        <v/>
      </c>
      <c r="K501" s="126">
        <f>IF(I501=TRUE,J501,"")</f>
        <v/>
      </c>
      <c r="L501" s="126">
        <f>G501+730</f>
        <v/>
      </c>
      <c r="M501" s="126" t="n">
        <v>45443</v>
      </c>
      <c r="N501" s="127">
        <f>IFERROR(IF(G501&lt;&gt;"",IF(I501=TRUE,0,IF(U501=TRUE,0,L501-M501)),0),0)</f>
        <v/>
      </c>
      <c r="O501" s="127">
        <f>IF(N501&gt;0,IF(N501&lt;=180,N501,0),0)</f>
        <v/>
      </c>
      <c r="P501" s="125">
        <f>IF(AND(N501&lt;90,N501&gt;0),Q501,0)</f>
        <v/>
      </c>
      <c r="Q501" s="125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25">
        <f>IF(AND(H501=TRUE,I501=FALSE),Q501,0)</f>
        <v/>
      </c>
      <c r="S501" s="125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26">
        <f>IF(U501=TRUE,$J501,"")</f>
        <v/>
      </c>
      <c r="U501" s="124" t="b">
        <v>0</v>
      </c>
      <c r="V501" s="125">
        <f>IF(AND(H501=TRUE,OR(K501="",K501&gt;M501)),S501,0)</f>
        <v/>
      </c>
      <c r="W501" s="124" t="n">
        <v>0</v>
      </c>
      <c r="X501" s="124" t="b">
        <v>0</v>
      </c>
      <c r="Y501" s="127">
        <f>IF(H501=FALSE,VLOOKUP($C501,Sales!$C:$F,4,FALSE),1)</f>
        <v/>
      </c>
      <c r="Z501" s="124">
        <f>IF(Y501=0,"Release",IF(AND(L501&lt;J501,Y501=1,H501=FALSE,U501=FALSE,MONTH(L501)&amp;"/"&amp;YEAR(L501)&lt;&gt;MONTH(J501)&amp;"/"&amp;YEAR(J501)),"Release",""))</f>
        <v/>
      </c>
      <c r="AA501" s="128">
        <f>_xlfn.minifs($L:$L,$C:$C,$C501,$F:$F,"&lt;&gt;0")</f>
        <v/>
      </c>
      <c r="AB501" s="128">
        <f>C501&amp;"-"&amp;A501</f>
        <v/>
      </c>
      <c r="AC501" s="128">
        <f>L501</f>
        <v/>
      </c>
    </row>
    <row r="502">
      <c r="A502" s="124" t="inlineStr">
        <is>
          <t>ZDEL01</t>
        </is>
      </c>
      <c r="B502" s="124" t="n">
        <v>6</v>
      </c>
      <c r="C502" s="124" t="inlineStr">
        <is>
          <t>HVN203</t>
        </is>
      </c>
      <c r="D502" s="124" t="inlineStr">
        <is>
          <t>N</t>
        </is>
      </c>
      <c r="E502" s="124" t="inlineStr">
        <is>
          <t>Jansen van Vuuren Pieter</t>
        </is>
      </c>
      <c r="F502" s="125">
        <f>SUMIFS(Investors!$M:$M, Investors!$I:$I, "&lt;=" &amp; 'NSST Print'!$B$3, Investors!$K:$K, "&gt;" &amp; 'NSST Print'!$B$3, Investors!$A:$A, 'Investor Exit List'!A502, Investors!$E:$E, 'Investor Exit List'!C502)</f>
        <v/>
      </c>
      <c r="G502" s="126" t="n">
        <v>44743</v>
      </c>
      <c r="H502" s="124">
        <f>VLOOKUP($C502,Sales!$C:$E,2,FALSE)</f>
        <v/>
      </c>
      <c r="I502" s="124">
        <f>VLOOKUP($C502,Sales!$C:$E,3,FALSE)</f>
        <v/>
      </c>
      <c r="J502" s="126">
        <f>SUMIFS(Sales!$H:$H,Sales!$C:$C,'Investor Exit List'!$C502)</f>
        <v/>
      </c>
      <c r="K502" s="126">
        <f>IF(I502=TRUE,J502,"")</f>
        <v/>
      </c>
      <c r="L502" s="126">
        <f>G502+730</f>
        <v/>
      </c>
      <c r="M502" s="126" t="n">
        <v>45443</v>
      </c>
      <c r="N502" s="127">
        <f>IFERROR(IF(G502&lt;&gt;"",IF(I502=TRUE,0,IF(U502=TRUE,0,L502-M502)),0),0)</f>
        <v/>
      </c>
      <c r="O502" s="127">
        <f>IF(N502&gt;0,IF(N502&lt;=180,N502,0),0)</f>
        <v/>
      </c>
      <c r="P502" s="125">
        <f>IF(AND(N502&lt;90,N502&gt;0),Q502,0)</f>
        <v/>
      </c>
      <c r="Q502" s="125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25">
        <f>IF(AND(H502=TRUE,I502=FALSE),Q502,0)</f>
        <v/>
      </c>
      <c r="S502" s="125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26">
        <f>IF(U502=TRUE,$J502,"")</f>
        <v/>
      </c>
      <c r="U502" s="124" t="b">
        <v>1</v>
      </c>
      <c r="V502" s="125">
        <f>IF(AND(H502=TRUE,OR(K502="",K502&gt;M502)),S502,0)</f>
        <v/>
      </c>
      <c r="W502" s="124" t="n">
        <v>0</v>
      </c>
      <c r="X502" s="124" t="b">
        <v>0</v>
      </c>
      <c r="Y502" s="127">
        <f>IF(H502=FALSE,VLOOKUP($C502,Sales!$C:$F,4,FALSE),1)</f>
        <v/>
      </c>
      <c r="Z502" s="124">
        <f>IF(Y502=0,"Release",IF(AND(L502&lt;J502,Y502=1,H502=FALSE,U502=FALSE,MONTH(L502)&amp;"/"&amp;YEAR(L502)&lt;&gt;MONTH(J502)&amp;"/"&amp;YEAR(J502)),"Release",""))</f>
        <v/>
      </c>
      <c r="AA502" s="128">
        <f>_xlfn.minifs($L:$L,$C:$C,$C502,$F:$F,"&lt;&gt;0")</f>
        <v/>
      </c>
      <c r="AB502" s="128">
        <f>C502&amp;"-"&amp;A502</f>
        <v/>
      </c>
      <c r="AC502" s="128">
        <f>L502</f>
        <v/>
      </c>
    </row>
    <row r="503">
      <c r="A503" s="124" t="inlineStr">
        <is>
          <t>ZLER01</t>
        </is>
      </c>
      <c r="B503" s="124" t="n">
        <v>2</v>
      </c>
      <c r="C503" s="124" t="inlineStr">
        <is>
          <t>HVN203</t>
        </is>
      </c>
      <c r="D503" s="124" t="inlineStr">
        <is>
          <t>N</t>
        </is>
      </c>
      <c r="E503" s="124" t="inlineStr">
        <is>
          <t>Kloppers Lydia</t>
        </is>
      </c>
      <c r="F503" s="125">
        <f>SUMIFS(Investors!$M:$M, Investors!$I:$I, "&lt;=" &amp; 'NSST Print'!$B$3, Investors!$K:$K, "&gt;" &amp; 'NSST Print'!$B$3, Investors!$A:$A, 'Investor Exit List'!A503, Investors!$E:$E, 'Investor Exit List'!C503)</f>
        <v/>
      </c>
      <c r="G503" s="126" t="n">
        <v>44757</v>
      </c>
      <c r="H503" s="124">
        <f>VLOOKUP($C503,Sales!$C:$E,2,FALSE)</f>
        <v/>
      </c>
      <c r="I503" s="124">
        <f>VLOOKUP($C503,Sales!$C:$E,3,FALSE)</f>
        <v/>
      </c>
      <c r="J503" s="126">
        <f>SUMIFS(Sales!$H:$H,Sales!$C:$C,'Investor Exit List'!$C503)</f>
        <v/>
      </c>
      <c r="K503" s="126">
        <f>IF(I503=TRUE,J503,"")</f>
        <v/>
      </c>
      <c r="L503" s="126">
        <f>G503+730</f>
        <v/>
      </c>
      <c r="M503" s="126" t="n">
        <v>45443</v>
      </c>
      <c r="N503" s="127">
        <f>IFERROR(IF(G503&lt;&gt;"",IF(I503=TRUE,0,IF(U503=TRUE,0,L503-M503)),0),0)</f>
        <v/>
      </c>
      <c r="O503" s="127">
        <f>IF(N503&gt;0,IF(N503&lt;=180,N503,0),0)</f>
        <v/>
      </c>
      <c r="P503" s="125">
        <f>IF(AND(N503&lt;90,N503&gt;0),Q503,0)</f>
        <v/>
      </c>
      <c r="Q503" s="125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25">
        <f>IF(AND(H503=TRUE,I503=FALSE),Q503,0)</f>
        <v/>
      </c>
      <c r="S503" s="125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26">
        <f>IF(U503=TRUE,$J503,"")</f>
        <v/>
      </c>
      <c r="U503" s="124" t="b">
        <v>0</v>
      </c>
      <c r="V503" s="125">
        <f>IF(AND(H503=TRUE,OR(K503="",K503&gt;M503)),S503,0)</f>
        <v/>
      </c>
      <c r="W503" s="124" t="n">
        <v>0</v>
      </c>
      <c r="X503" s="124" t="b">
        <v>0</v>
      </c>
      <c r="Y503" s="127">
        <f>IF(H503=FALSE,VLOOKUP($C503,Sales!$C:$F,4,FALSE),1)</f>
        <v/>
      </c>
      <c r="Z503" s="124">
        <f>IF(Y503=0,"Release",IF(AND(L503&lt;J503,Y503=1,H503=FALSE,U503=FALSE,MONTH(L503)&amp;"/"&amp;YEAR(L503)&lt;&gt;MONTH(J503)&amp;"/"&amp;YEAR(J503)),"Release",""))</f>
        <v/>
      </c>
      <c r="AA503" s="128">
        <f>_xlfn.minifs($L:$L,$C:$C,$C503,$F:$F,"&lt;&gt;0")</f>
        <v/>
      </c>
      <c r="AB503" s="128">
        <f>C503&amp;"-"&amp;A503</f>
        <v/>
      </c>
      <c r="AC503" s="128">
        <f>L503</f>
        <v/>
      </c>
    </row>
    <row r="504">
      <c r="A504" s="124" t="inlineStr">
        <is>
          <t>ZVAL03</t>
        </is>
      </c>
      <c r="B504" s="124" t="n">
        <v>1</v>
      </c>
      <c r="C504" s="124" t="inlineStr">
        <is>
          <t>HVN204</t>
        </is>
      </c>
      <c r="D504" s="124" t="inlineStr">
        <is>
          <t>N</t>
        </is>
      </c>
      <c r="E504" s="124" t="inlineStr">
        <is>
          <t>Valentin Marinda</t>
        </is>
      </c>
      <c r="F504" s="125">
        <f>SUMIFS(Investors!$M:$M, Investors!$I:$I, "&lt;=" &amp; 'NSST Print'!$B$3, Investors!$K:$K, "&gt;" &amp; 'NSST Print'!$B$3, Investors!$A:$A, 'Investor Exit List'!A504, Investors!$E:$E, 'Investor Exit List'!C504)</f>
        <v/>
      </c>
      <c r="G504" s="126" t="n">
        <v>44763</v>
      </c>
      <c r="H504" s="124">
        <f>VLOOKUP($C504,Sales!$C:$E,2,FALSE)</f>
        <v/>
      </c>
      <c r="I504" s="124">
        <f>VLOOKUP($C504,Sales!$C:$E,3,FALSE)</f>
        <v/>
      </c>
      <c r="J504" s="126">
        <f>SUMIFS(Sales!$H:$H,Sales!$C:$C,'Investor Exit List'!$C504)</f>
        <v/>
      </c>
      <c r="K504" s="126">
        <f>IF(I504=TRUE,J504,"")</f>
        <v/>
      </c>
      <c r="L504" s="126">
        <f>G504+730</f>
        <v/>
      </c>
      <c r="M504" s="126" t="n">
        <v>45443</v>
      </c>
      <c r="N504" s="127">
        <f>IFERROR(IF(G504&lt;&gt;"",IF(I504=TRUE,0,IF(U504=TRUE,0,L504-M504)),0),0)</f>
        <v/>
      </c>
      <c r="O504" s="127">
        <f>IF(N504&gt;0,IF(N504&lt;=180,N504,0),0)</f>
        <v/>
      </c>
      <c r="P504" s="125">
        <f>IF(AND(N504&lt;90,N504&gt;0),Q504,0)</f>
        <v/>
      </c>
      <c r="Q504" s="125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25">
        <f>IF(AND(H504=TRUE,I504=FALSE),Q504,0)</f>
        <v/>
      </c>
      <c r="S504" s="125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26">
        <f>IF(U504=TRUE,$J504,"")</f>
        <v/>
      </c>
      <c r="U504" s="124" t="b">
        <v>0</v>
      </c>
      <c r="V504" s="125">
        <f>IF(AND(H504=TRUE,OR(K504="",K504&gt;M504)),S504,0)</f>
        <v/>
      </c>
      <c r="W504" s="124" t="n">
        <v>0</v>
      </c>
      <c r="X504" s="124" t="b">
        <v>0</v>
      </c>
      <c r="Y504" s="127">
        <f>IF(H504=FALSE,VLOOKUP($C504,Sales!$C:$F,4,FALSE),1)</f>
        <v/>
      </c>
      <c r="Z504" s="124">
        <f>IF(Y504=0,"Release",IF(AND(L504&lt;J504,Y504=1,H504=FALSE,U504=FALSE,MONTH(L504)&amp;"/"&amp;YEAR(L504)&lt;&gt;MONTH(J504)&amp;"/"&amp;YEAR(J504)),"Release",""))</f>
        <v/>
      </c>
      <c r="AA504" s="128">
        <f>_xlfn.minifs($L:$L,$C:$C,$C504,$F:$F,"&lt;&gt;0")</f>
        <v/>
      </c>
      <c r="AB504" s="128">
        <f>C504&amp;"-"&amp;A504</f>
        <v/>
      </c>
      <c r="AC504" s="128">
        <f>L504</f>
        <v/>
      </c>
    </row>
    <row r="505">
      <c r="A505" s="124" t="inlineStr">
        <is>
          <t>ZDEL01</t>
        </is>
      </c>
      <c r="B505" s="124" t="n">
        <v>7</v>
      </c>
      <c r="C505" s="124" t="inlineStr">
        <is>
          <t>HVN301</t>
        </is>
      </c>
      <c r="D505" s="124" t="inlineStr">
        <is>
          <t>N</t>
        </is>
      </c>
      <c r="E505" s="124" t="inlineStr">
        <is>
          <t>Jansen van Vuuren Pieter</t>
        </is>
      </c>
      <c r="F505" s="125">
        <f>SUMIFS(Investors!$M:$M, Investors!$I:$I, "&lt;=" &amp; 'NSST Print'!$B$3, Investors!$K:$K, "&gt;" &amp; 'NSST Print'!$B$3, Investors!$A:$A, 'Investor Exit List'!A505, Investors!$E:$E, 'Investor Exit List'!C505)</f>
        <v/>
      </c>
      <c r="G505" s="126" t="n">
        <v>44743</v>
      </c>
      <c r="H505" s="124">
        <f>VLOOKUP($C505,Sales!$C:$E,2,FALSE)</f>
        <v/>
      </c>
      <c r="I505" s="124">
        <f>VLOOKUP($C505,Sales!$C:$E,3,FALSE)</f>
        <v/>
      </c>
      <c r="J505" s="126">
        <f>SUMIFS(Sales!$H:$H,Sales!$C:$C,'Investor Exit List'!$C505)</f>
        <v/>
      </c>
      <c r="K505" s="126">
        <f>IF(I505=TRUE,J505,"")</f>
        <v/>
      </c>
      <c r="L505" s="126">
        <f>G505+730</f>
        <v/>
      </c>
      <c r="M505" s="126" t="n">
        <v>45443</v>
      </c>
      <c r="N505" s="127">
        <f>IFERROR(IF(G505&lt;&gt;"",IF(I505=TRUE,0,IF(U505=TRUE,0,L505-M505)),0),0)</f>
        <v/>
      </c>
      <c r="O505" s="127">
        <f>IF(N505&gt;0,IF(N505&lt;=180,N505,0),0)</f>
        <v/>
      </c>
      <c r="P505" s="125">
        <f>IF(AND(N505&lt;90,N505&gt;0),Q505,0)</f>
        <v/>
      </c>
      <c r="Q505" s="125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25">
        <f>IF(AND(H505=TRUE,I505=FALSE),Q505,0)</f>
        <v/>
      </c>
      <c r="S505" s="125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26">
        <f>IF(U505=TRUE,$J505,"")</f>
        <v/>
      </c>
      <c r="U505" s="124" t="b">
        <v>0</v>
      </c>
      <c r="V505" s="125">
        <f>IF(AND(H505=TRUE,OR(K505="",K505&gt;M505)),S505,0)</f>
        <v/>
      </c>
      <c r="W505" s="124" t="n">
        <v>0</v>
      </c>
      <c r="X505" s="124" t="b">
        <v>0</v>
      </c>
      <c r="Y505" s="127">
        <f>IF(H505=FALSE,VLOOKUP($C505,Sales!$C:$F,4,FALSE),1)</f>
        <v/>
      </c>
      <c r="Z505" s="124">
        <f>IF(Y505=0,"Release",IF(AND(L505&lt;J505,Y505=1,H505=FALSE,U505=FALSE,MONTH(L505)&amp;"/"&amp;YEAR(L505)&lt;&gt;MONTH(J505)&amp;"/"&amp;YEAR(J505)),"Release",""))</f>
        <v/>
      </c>
      <c r="AA505" s="128">
        <f>_xlfn.minifs($L:$L,$C:$C,$C505,$F:$F,"&lt;&gt;0")</f>
        <v/>
      </c>
      <c r="AB505" s="128">
        <f>C505&amp;"-"&amp;A505</f>
        <v/>
      </c>
      <c r="AC505" s="128">
        <f>L505</f>
        <v/>
      </c>
    </row>
    <row r="506">
      <c r="A506" s="124" t="inlineStr">
        <is>
          <t>ZAMP01</t>
        </is>
      </c>
      <c r="B506" s="124" t="n">
        <v>1</v>
      </c>
      <c r="C506" s="124" t="inlineStr">
        <is>
          <t>HVN302</t>
        </is>
      </c>
      <c r="D506" s="124" t="inlineStr">
        <is>
          <t>N</t>
        </is>
      </c>
      <c r="E506" s="124" t="inlineStr">
        <is>
          <t>De Villiers Andre</t>
        </is>
      </c>
      <c r="F506" s="125">
        <f>SUMIFS(Investors!$M:$M, Investors!$I:$I, "&lt;=" &amp; 'NSST Print'!$B$3, Investors!$K:$K, "&gt;" &amp; 'NSST Print'!$B$3, Investors!$A:$A, 'Investor Exit List'!A506, Investors!$E:$E, 'Investor Exit List'!C506)</f>
        <v/>
      </c>
      <c r="G506" s="126" t="n">
        <v>44763</v>
      </c>
      <c r="H506" s="124">
        <f>VLOOKUP($C506,Sales!$C:$E,2,FALSE)</f>
        <v/>
      </c>
      <c r="I506" s="124">
        <f>VLOOKUP($C506,Sales!$C:$E,3,FALSE)</f>
        <v/>
      </c>
      <c r="J506" s="126">
        <f>SUMIFS(Sales!$H:$H,Sales!$C:$C,'Investor Exit List'!$C506)</f>
        <v/>
      </c>
      <c r="K506" s="126">
        <f>IF(I506=TRUE,J506,"")</f>
        <v/>
      </c>
      <c r="L506" s="126">
        <f>G506+730</f>
        <v/>
      </c>
      <c r="M506" s="126" t="n">
        <v>45443</v>
      </c>
      <c r="N506" s="127">
        <f>IFERROR(IF(G506&lt;&gt;"",IF(I506=TRUE,0,IF(U506=TRUE,0,L506-M506)),0),0)</f>
        <v/>
      </c>
      <c r="O506" s="127">
        <f>IF(N506&gt;0,IF(N506&lt;=180,N506,0),0)</f>
        <v/>
      </c>
      <c r="P506" s="125">
        <f>IF(AND(N506&lt;90,N506&gt;0),Q506,0)</f>
        <v/>
      </c>
      <c r="Q506" s="125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25">
        <f>IF(AND(H506=TRUE,I506=FALSE),Q506,0)</f>
        <v/>
      </c>
      <c r="S506" s="125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26">
        <f>IF(U506=TRUE,$J506,"")</f>
        <v/>
      </c>
      <c r="U506" s="124" t="b">
        <v>0</v>
      </c>
      <c r="V506" s="125">
        <f>IF(AND(H506=TRUE,OR(K506="",K506&gt;M506)),S506,0)</f>
        <v/>
      </c>
      <c r="W506" s="124" t="n">
        <v>0</v>
      </c>
      <c r="X506" s="124" t="b">
        <v>0</v>
      </c>
      <c r="Y506" s="127">
        <f>IF(H506=FALSE,VLOOKUP($C506,Sales!$C:$F,4,FALSE),1)</f>
        <v/>
      </c>
      <c r="Z506" s="124">
        <f>IF(Y506=0,"Release",IF(AND(L506&lt;J506,Y506=1,H506=FALSE,U506=FALSE,MONTH(L506)&amp;"/"&amp;YEAR(L506)&lt;&gt;MONTH(J506)&amp;"/"&amp;YEAR(J506)),"Release",""))</f>
        <v/>
      </c>
      <c r="AA506" s="128">
        <f>_xlfn.minifs($L:$L,$C:$C,$C506,$F:$F,"&lt;&gt;0")</f>
        <v/>
      </c>
      <c r="AB506" s="128">
        <f>C506&amp;"-"&amp;A506</f>
        <v/>
      </c>
      <c r="AC506" s="128">
        <f>L506</f>
        <v/>
      </c>
    </row>
    <row r="507">
      <c r="A507" s="124" t="inlineStr">
        <is>
          <t>ZERF01</t>
        </is>
      </c>
      <c r="B507" s="124" t="n">
        <v>2</v>
      </c>
      <c r="C507" s="124" t="inlineStr">
        <is>
          <t>HVN303</t>
        </is>
      </c>
      <c r="D507" s="124" t="inlineStr">
        <is>
          <t>N</t>
        </is>
      </c>
      <c r="E507" s="124" t="inlineStr">
        <is>
          <t>Jansen van Vuuren Hermanus Gerhardus (Gerhard)</t>
        </is>
      </c>
      <c r="F507" s="125">
        <f>SUMIFS(Investors!$M:$M, Investors!$I:$I, "&lt;=" &amp; 'NSST Print'!$B$3, Investors!$K:$K, "&gt;" &amp; 'NSST Print'!$B$3, Investors!$A:$A, 'Investor Exit List'!A507, Investors!$E:$E, 'Investor Exit List'!C507)</f>
        <v/>
      </c>
      <c r="G507" s="126" t="n">
        <v>44777</v>
      </c>
      <c r="H507" s="124">
        <f>VLOOKUP($C507,Sales!$C:$E,2,FALSE)</f>
        <v/>
      </c>
      <c r="I507" s="124">
        <f>VLOOKUP($C507,Sales!$C:$E,3,FALSE)</f>
        <v/>
      </c>
      <c r="J507" s="126">
        <f>SUMIFS(Sales!$H:$H,Sales!$C:$C,'Investor Exit List'!$C507)</f>
        <v/>
      </c>
      <c r="K507" s="126">
        <f>IF(I507=TRUE,J507,"")</f>
        <v/>
      </c>
      <c r="L507" s="126">
        <f>G507+730</f>
        <v/>
      </c>
      <c r="M507" s="126" t="n">
        <v>45443</v>
      </c>
      <c r="N507" s="127">
        <f>IFERROR(IF(G507&lt;&gt;"",IF(I507=TRUE,0,IF(U507=TRUE,0,L507-M507)),0),0)</f>
        <v/>
      </c>
      <c r="O507" s="127">
        <f>IF(N507&gt;0,IF(N507&lt;=180,N507,0),0)</f>
        <v/>
      </c>
      <c r="P507" s="125">
        <f>IF(AND(N507&lt;90,N507&gt;0),Q507,0)</f>
        <v/>
      </c>
      <c r="Q507" s="125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25">
        <f>IF(AND(H507=TRUE,I507=FALSE),Q507,0)</f>
        <v/>
      </c>
      <c r="S507" s="125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26">
        <f>IF(U507=TRUE,$J507,"")</f>
        <v/>
      </c>
      <c r="U507" s="124" t="b">
        <v>0</v>
      </c>
      <c r="V507" s="125">
        <f>IF(AND(H507=TRUE,OR(K507="",K507&gt;M507)),S507,0)</f>
        <v/>
      </c>
      <c r="W507" s="124" t="n">
        <v>0</v>
      </c>
      <c r="X507" s="124" t="b">
        <v>0</v>
      </c>
      <c r="Y507" s="127">
        <f>IF(H507=FALSE,VLOOKUP($C507,Sales!$C:$F,4,FALSE),1)</f>
        <v/>
      </c>
      <c r="Z507" s="124">
        <f>IF(Y507=0,"Release",IF(AND(L507&lt;J507,Y507=1,H507=FALSE,U507=FALSE,MONTH(L507)&amp;"/"&amp;YEAR(L507)&lt;&gt;MONTH(J507)&amp;"/"&amp;YEAR(J507)),"Release",""))</f>
        <v/>
      </c>
      <c r="AA507" s="128">
        <f>_xlfn.minifs($L:$L,$C:$C,$C507,$F:$F,"&lt;&gt;0")</f>
        <v/>
      </c>
      <c r="AB507" s="128">
        <f>C507&amp;"-"&amp;A507</f>
        <v/>
      </c>
      <c r="AC507" s="128">
        <f>L507</f>
        <v/>
      </c>
    </row>
    <row r="508">
      <c r="A508" s="124" t="inlineStr">
        <is>
          <t>ZBLO01</t>
        </is>
      </c>
      <c r="B508" s="124" t="n">
        <v>4</v>
      </c>
      <c r="C508" s="124" t="inlineStr">
        <is>
          <t>HVN304</t>
        </is>
      </c>
      <c r="D508" s="124" t="inlineStr">
        <is>
          <t>N</t>
        </is>
      </c>
      <c r="E508" s="124" t="inlineStr">
        <is>
          <t>Blows Robert Errol</t>
        </is>
      </c>
      <c r="F508" s="125">
        <f>SUMIFS(Investors!$M:$M, Investors!$I:$I, "&lt;=" &amp; 'NSST Print'!$B$3, Investors!$K:$K, "&gt;" &amp; 'NSST Print'!$B$3, Investors!$A:$A, 'Investor Exit List'!A508, Investors!$E:$E, 'Investor Exit List'!C508)</f>
        <v/>
      </c>
      <c r="G508" s="126" t="n">
        <v>45016</v>
      </c>
      <c r="H508" s="124">
        <f>VLOOKUP($C508,Sales!$C:$E,2,FALSE)</f>
        <v/>
      </c>
      <c r="I508" s="124">
        <f>VLOOKUP($C508,Sales!$C:$E,3,FALSE)</f>
        <v/>
      </c>
      <c r="J508" s="126">
        <f>SUMIFS(Sales!$H:$H,Sales!$C:$C,'Investor Exit List'!$C508)</f>
        <v/>
      </c>
      <c r="K508" s="126">
        <f>IF(I508=TRUE,J508,"")</f>
        <v/>
      </c>
      <c r="L508" s="126">
        <f>G508+730</f>
        <v/>
      </c>
      <c r="M508" s="126" t="n">
        <v>45443</v>
      </c>
      <c r="N508" s="127">
        <f>IFERROR(IF(G508&lt;&gt;"",IF(I508=TRUE,0,IF(U508=TRUE,0,L508-M508)),0),0)</f>
        <v/>
      </c>
      <c r="O508" s="127">
        <f>IF(N508&gt;0,IF(N508&lt;=180,N508,0),0)</f>
        <v/>
      </c>
      <c r="P508" s="125">
        <f>IF(AND(N508&lt;90,N508&gt;0),Q508,0)</f>
        <v/>
      </c>
      <c r="Q508" s="125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25">
        <f>IF(AND(H508=TRUE,I508=FALSE),Q508,0)</f>
        <v/>
      </c>
      <c r="S508" s="125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26">
        <f>IF(U508=TRUE,$J508,"")</f>
        <v/>
      </c>
      <c r="U508" s="124" t="b">
        <v>0</v>
      </c>
      <c r="V508" s="125">
        <f>IF(AND(H508=TRUE,OR(K508="",K508&gt;M508)),S508,0)</f>
        <v/>
      </c>
      <c r="W508" s="124" t="n">
        <v>0</v>
      </c>
      <c r="X508" s="124" t="b">
        <v>0</v>
      </c>
      <c r="Y508" s="127">
        <f>IF(H508=FALSE,VLOOKUP($C508,Sales!$C:$F,4,FALSE),1)</f>
        <v/>
      </c>
      <c r="Z508" s="124">
        <f>IF(Y508=0,"Release",IF(AND(L508&lt;J508,Y508=1,H508=FALSE,U508=FALSE,MONTH(L508)&amp;"/"&amp;YEAR(L508)&lt;&gt;MONTH(J508)&amp;"/"&amp;YEAR(J508)),"Release",""))</f>
        <v/>
      </c>
      <c r="AA508" s="128">
        <f>_xlfn.minifs($L:$L,$C:$C,$C508,$F:$F,"&lt;&gt;0")</f>
        <v/>
      </c>
      <c r="AB508" s="128">
        <f>C508&amp;"-"&amp;A508</f>
        <v/>
      </c>
      <c r="AC508" s="128">
        <f>L508</f>
        <v/>
      </c>
    </row>
    <row r="509">
      <c r="A509" s="124" t="inlineStr">
        <is>
          <t>ZDEL01</t>
        </is>
      </c>
      <c r="B509" s="124" t="n">
        <v>8</v>
      </c>
      <c r="C509" s="124" t="inlineStr">
        <is>
          <t>HVN304</t>
        </is>
      </c>
      <c r="D509" s="124" t="inlineStr">
        <is>
          <t>N</t>
        </is>
      </c>
      <c r="E509" s="124" t="inlineStr">
        <is>
          <t>Jansen van Vuuren Pieter</t>
        </is>
      </c>
      <c r="F509" s="125">
        <f>SUMIFS(Investors!$M:$M, Investors!$I:$I, "&lt;=" &amp; 'NSST Print'!$B$3, Investors!$K:$K, "&gt;" &amp; 'NSST Print'!$B$3, Investors!$A:$A, 'Investor Exit List'!A509, Investors!$E:$E, 'Investor Exit List'!C509)</f>
        <v/>
      </c>
      <c r="G509" s="126" t="n">
        <v>44743</v>
      </c>
      <c r="H509" s="124">
        <f>VLOOKUP($C509,Sales!$C:$E,2,FALSE)</f>
        <v/>
      </c>
      <c r="I509" s="124">
        <f>VLOOKUP($C509,Sales!$C:$E,3,FALSE)</f>
        <v/>
      </c>
      <c r="J509" s="126">
        <f>SUMIFS(Sales!$H:$H,Sales!$C:$C,'Investor Exit List'!$C509)</f>
        <v/>
      </c>
      <c r="K509" s="126">
        <f>IF(I509=TRUE,J509,"")</f>
        <v/>
      </c>
      <c r="L509" s="126">
        <f>G509+730</f>
        <v/>
      </c>
      <c r="M509" s="126" t="n">
        <v>45443</v>
      </c>
      <c r="N509" s="127">
        <f>IFERROR(IF(G509&lt;&gt;"",IF(I509=TRUE,0,IF(U509=TRUE,0,L509-M509)),0),0)</f>
        <v/>
      </c>
      <c r="O509" s="127">
        <f>IF(N509&gt;0,IF(N509&lt;=180,N509,0),0)</f>
        <v/>
      </c>
      <c r="P509" s="125">
        <f>IF(AND(N509&lt;90,N509&gt;0),Q509,0)</f>
        <v/>
      </c>
      <c r="Q509" s="125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25">
        <f>IF(AND(H509=TRUE,I509=FALSE),Q509,0)</f>
        <v/>
      </c>
      <c r="S509" s="125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26">
        <f>IF(U509=TRUE,$J509,"")</f>
        <v/>
      </c>
      <c r="U509" s="124" t="b">
        <v>0</v>
      </c>
      <c r="V509" s="125">
        <f>IF(AND(H509=TRUE,OR(K509="",K509&gt;M509)),S509,0)</f>
        <v/>
      </c>
      <c r="W509" s="124" t="n">
        <v>0</v>
      </c>
      <c r="X509" s="124" t="b">
        <v>0</v>
      </c>
      <c r="Y509" s="127">
        <f>IF(H509=FALSE,VLOOKUP($C509,Sales!$C:$F,4,FALSE),1)</f>
        <v/>
      </c>
      <c r="Z509" s="124">
        <f>IF(Y509=0,"Release",IF(AND(L509&lt;J509,Y509=1,H509=FALSE,U509=FALSE,MONTH(L509)&amp;"/"&amp;YEAR(L509)&lt;&gt;MONTH(J509)&amp;"/"&amp;YEAR(J509)),"Release",""))</f>
        <v/>
      </c>
      <c r="AA509" s="128">
        <f>_xlfn.minifs($L:$L,$C:$C,$C509,$F:$F,"&lt;&gt;0")</f>
        <v/>
      </c>
      <c r="AB509" s="128">
        <f>C509&amp;"-"&amp;A509</f>
        <v/>
      </c>
      <c r="AC509" s="128">
        <f>L509</f>
        <v/>
      </c>
    </row>
    <row r="510">
      <c r="A510" s="124" t="inlineStr">
        <is>
          <t>ZMAD01</t>
        </is>
      </c>
      <c r="B510" s="124" t="n">
        <v>2</v>
      </c>
      <c r="C510" s="124" t="inlineStr">
        <is>
          <t>HVN304</t>
        </is>
      </c>
      <c r="D510" s="124" t="inlineStr">
        <is>
          <t>N</t>
        </is>
      </c>
      <c r="E510" s="124" t="inlineStr">
        <is>
          <t>Maduna Esther</t>
        </is>
      </c>
      <c r="F510" s="125">
        <f>SUMIFS(Investors!$M:$M, Investors!$I:$I, "&lt;=" &amp; 'NSST Print'!$B$3, Investors!$K:$K, "&gt;" &amp; 'NSST Print'!$B$3, Investors!$A:$A, 'Investor Exit List'!A510, Investors!$E:$E, 'Investor Exit List'!C510)</f>
        <v/>
      </c>
      <c r="G510" s="126" t="n">
        <v>44743</v>
      </c>
      <c r="H510" s="124">
        <f>VLOOKUP($C510,Sales!$C:$E,2,FALSE)</f>
        <v/>
      </c>
      <c r="I510" s="124">
        <f>VLOOKUP($C510,Sales!$C:$E,3,FALSE)</f>
        <v/>
      </c>
      <c r="J510" s="126">
        <f>SUMIFS(Sales!$H:$H,Sales!$C:$C,'Investor Exit List'!$C510)</f>
        <v/>
      </c>
      <c r="K510" s="126">
        <f>IF(I510=TRUE,J510,"")</f>
        <v/>
      </c>
      <c r="L510" s="126">
        <f>G510+730</f>
        <v/>
      </c>
      <c r="M510" s="126" t="n">
        <v>45443</v>
      </c>
      <c r="N510" s="127">
        <f>IFERROR(IF(G510&lt;&gt;"",IF(I510=TRUE,0,IF(U510=TRUE,0,L510-M510)),0),0)</f>
        <v/>
      </c>
      <c r="O510" s="127">
        <f>IF(N510&gt;0,IF(N510&lt;=180,N510,0),0)</f>
        <v/>
      </c>
      <c r="P510" s="125">
        <f>IF(AND(N510&lt;90,N510&gt;0),Q510,0)</f>
        <v/>
      </c>
      <c r="Q510" s="125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25">
        <f>IF(AND(H510=TRUE,I510=FALSE),Q510,0)</f>
        <v/>
      </c>
      <c r="S510" s="125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26">
        <f>IF(U510=TRUE,$J510,"")</f>
        <v/>
      </c>
      <c r="U510" s="124" t="b">
        <v>0</v>
      </c>
      <c r="V510" s="125">
        <f>IF(AND(H510=TRUE,OR(K510="",K510&gt;M510)),S510,0)</f>
        <v/>
      </c>
      <c r="W510" s="124" t="n">
        <v>0</v>
      </c>
      <c r="X510" s="124" t="b">
        <v>0</v>
      </c>
      <c r="Y510" s="127">
        <f>IF(H510=FALSE,VLOOKUP($C510,Sales!$C:$F,4,FALSE),1)</f>
        <v/>
      </c>
      <c r="Z510" s="124">
        <f>IF(Y510=0,"Release",IF(AND(L510&lt;J510,Y510=1,H510=FALSE,U510=FALSE,MONTH(L510)&amp;"/"&amp;YEAR(L510)&lt;&gt;MONTH(J510)&amp;"/"&amp;YEAR(J510)),"Release",""))</f>
        <v/>
      </c>
      <c r="AA510" s="128">
        <f>_xlfn.minifs($L:$L,$C:$C,$C510,$F:$F,"&lt;&gt;0")</f>
        <v/>
      </c>
      <c r="AB510" s="128">
        <f>C510&amp;"-"&amp;A510</f>
        <v/>
      </c>
      <c r="AC510" s="128">
        <f>L510</f>
        <v/>
      </c>
    </row>
    <row r="511">
      <c r="A511" s="124" t="inlineStr">
        <is>
          <t>ZSCH01</t>
        </is>
      </c>
      <c r="B511" s="124" t="n">
        <v>15</v>
      </c>
      <c r="C511" s="124" t="inlineStr">
        <is>
          <t>HVN304</t>
        </is>
      </c>
      <c r="D511" s="124" t="inlineStr">
        <is>
          <t>N</t>
        </is>
      </c>
      <c r="E511" s="124" t="inlineStr">
        <is>
          <t>Schubert Inge</t>
        </is>
      </c>
      <c r="F511" s="125">
        <f>SUMIFS(Investors!$M:$M, Investors!$I:$I, "&lt;=" &amp; 'NSST Print'!$B$3, Investors!$K:$K, "&gt;" &amp; 'NSST Print'!$B$3, Investors!$A:$A, 'Investor Exit List'!A511, Investors!$E:$E, 'Investor Exit List'!C511)</f>
        <v/>
      </c>
      <c r="G511" s="126" t="n">
        <v>44763</v>
      </c>
      <c r="H511" s="124">
        <f>VLOOKUP($C511,Sales!$C:$E,2,FALSE)</f>
        <v/>
      </c>
      <c r="I511" s="124">
        <f>VLOOKUP($C511,Sales!$C:$E,3,FALSE)</f>
        <v/>
      </c>
      <c r="J511" s="126">
        <f>SUMIFS(Sales!$H:$H,Sales!$C:$C,'Investor Exit List'!$C511)</f>
        <v/>
      </c>
      <c r="K511" s="126">
        <f>IF(I511=TRUE,J511,"")</f>
        <v/>
      </c>
      <c r="L511" s="126">
        <f>G511+730</f>
        <v/>
      </c>
      <c r="M511" s="126" t="n">
        <v>45443</v>
      </c>
      <c r="N511" s="127">
        <f>IFERROR(IF(G511&lt;&gt;"",IF(I511=TRUE,0,IF(U511=TRUE,0,L511-M511)),0),0)</f>
        <v/>
      </c>
      <c r="O511" s="127">
        <f>IF(N511&gt;0,IF(N511&lt;=180,N511,0),0)</f>
        <v/>
      </c>
      <c r="P511" s="125">
        <f>IF(AND(N511&lt;90,N511&gt;0),Q511,0)</f>
        <v/>
      </c>
      <c r="Q511" s="125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25">
        <f>IF(AND(H511=TRUE,I511=FALSE),Q511,0)</f>
        <v/>
      </c>
      <c r="S511" s="125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26">
        <f>IF(U511=TRUE,$J511,"")</f>
        <v/>
      </c>
      <c r="U511" s="124" t="b">
        <v>0</v>
      </c>
      <c r="V511" s="125">
        <f>IF(AND(H511=TRUE,OR(K511="",K511&gt;M511)),S511,0)</f>
        <v/>
      </c>
      <c r="W511" s="124" t="n">
        <v>0</v>
      </c>
      <c r="X511" s="124" t="b">
        <v>0</v>
      </c>
      <c r="Y511" s="127">
        <f>IF(H511=FALSE,VLOOKUP($C511,Sales!$C:$F,4,FALSE),1)</f>
        <v/>
      </c>
      <c r="Z511" s="124">
        <f>IF(Y511=0,"Release",IF(AND(L511&lt;J511,Y511=1,H511=FALSE,U511=FALSE,MONTH(L511)&amp;"/"&amp;YEAR(L511)&lt;&gt;MONTH(J511)&amp;"/"&amp;YEAR(J511)),"Release",""))</f>
        <v/>
      </c>
      <c r="AA511" s="128">
        <f>_xlfn.minifs($L:$L,$C:$C,$C511,$F:$F,"&lt;&gt;0")</f>
        <v/>
      </c>
      <c r="AB511" s="128">
        <f>C511&amp;"-"&amp;A511</f>
        <v/>
      </c>
      <c r="AC511" s="128">
        <f>L511</f>
        <v/>
      </c>
    </row>
    <row r="512">
      <c r="A512" s="124" t="inlineStr">
        <is>
          <t>ZVDM01</t>
        </is>
      </c>
      <c r="B512" s="124" t="n">
        <v>4</v>
      </c>
      <c r="C512" s="124" t="inlineStr">
        <is>
          <t>HVN304</t>
        </is>
      </c>
      <c r="D512" s="124" t="inlineStr">
        <is>
          <t>N</t>
        </is>
      </c>
      <c r="E512" s="124" t="inlineStr">
        <is>
          <t>van der Mescht Paula</t>
        </is>
      </c>
      <c r="F512" s="125">
        <f>SUMIFS(Investors!$M:$M, Investors!$I:$I, "&lt;=" &amp; 'NSST Print'!$B$3, Investors!$K:$K, "&gt;" &amp; 'NSST Print'!$B$3, Investors!$A:$A, 'Investor Exit List'!A512, Investors!$E:$E, 'Investor Exit List'!C512)</f>
        <v/>
      </c>
      <c r="G512" s="126" t="n">
        <v>44743</v>
      </c>
      <c r="H512" s="124">
        <f>VLOOKUP($C512,Sales!$C:$E,2,FALSE)</f>
        <v/>
      </c>
      <c r="I512" s="124">
        <f>VLOOKUP($C512,Sales!$C:$E,3,FALSE)</f>
        <v/>
      </c>
      <c r="J512" s="126">
        <f>SUMIFS(Sales!$H:$H,Sales!$C:$C,'Investor Exit List'!$C512)</f>
        <v/>
      </c>
      <c r="K512" s="126">
        <f>IF(I512=TRUE,J512,"")</f>
        <v/>
      </c>
      <c r="L512" s="126">
        <f>G512+730</f>
        <v/>
      </c>
      <c r="M512" s="126" t="n">
        <v>45443</v>
      </c>
      <c r="N512" s="127">
        <f>IFERROR(IF(G512&lt;&gt;"",IF(I512=TRUE,0,IF(U512=TRUE,0,L512-M512)),0),0)</f>
        <v/>
      </c>
      <c r="O512" s="127">
        <f>IF(N512&gt;0,IF(N512&lt;=180,N512,0),0)</f>
        <v/>
      </c>
      <c r="P512" s="125">
        <f>IF(AND(N512&lt;90,N512&gt;0),Q512,0)</f>
        <v/>
      </c>
      <c r="Q512" s="125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25">
        <f>IF(AND(H512=TRUE,I512=FALSE),Q512,0)</f>
        <v/>
      </c>
      <c r="S512" s="125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26">
        <f>IF(U512=TRUE,$J512,"")</f>
        <v/>
      </c>
      <c r="U512" s="124" t="b">
        <v>0</v>
      </c>
      <c r="V512" s="125">
        <f>IF(AND(H512=TRUE,OR(K512="",K512&gt;M512)),S512,0)</f>
        <v/>
      </c>
      <c r="W512" s="124" t="n">
        <v>0</v>
      </c>
      <c r="X512" s="124" t="b">
        <v>0</v>
      </c>
      <c r="Y512" s="127">
        <f>IF(H512=FALSE,VLOOKUP($C512,Sales!$C:$F,4,FALSE),1)</f>
        <v/>
      </c>
      <c r="Z512" s="124">
        <f>IF(Y512=0,"Release",IF(AND(L512&lt;J512,Y512=1,H512=FALSE,U512=FALSE,MONTH(L512)&amp;"/"&amp;YEAR(L512)&lt;&gt;MONTH(J512)&amp;"/"&amp;YEAR(J512)),"Release",""))</f>
        <v/>
      </c>
      <c r="AA512" s="128">
        <f>_xlfn.minifs($L:$L,$C:$C,$C512,$F:$F,"&lt;&gt;0")</f>
        <v/>
      </c>
      <c r="AB512" s="128">
        <f>C512&amp;"-"&amp;A512</f>
        <v/>
      </c>
      <c r="AC512" s="128">
        <f>L512</f>
        <v/>
      </c>
    </row>
    <row r="513">
      <c r="A513" s="124" t="inlineStr">
        <is>
          <t>ZALM01</t>
        </is>
      </c>
      <c r="B513" s="124" t="n">
        <v>7</v>
      </c>
      <c r="C513" s="124" t="inlineStr">
        <is>
          <t>HVO101</t>
        </is>
      </c>
      <c r="D513" s="124" t="inlineStr">
        <is>
          <t>O</t>
        </is>
      </c>
      <c r="E513" s="124" t="inlineStr">
        <is>
          <t>Lunau Marc</t>
        </is>
      </c>
      <c r="F513" s="125">
        <f>SUMIFS(Investors!$M:$M, Investors!$I:$I, "&lt;=" &amp; 'NSST Print'!$B$3, Investors!$K:$K, "&gt;" &amp; 'NSST Print'!$B$3, Investors!$A:$A, 'Investor Exit List'!A513, Investors!$E:$E, 'Investor Exit List'!C513)</f>
        <v/>
      </c>
      <c r="G513" s="126" t="n">
        <v>44980</v>
      </c>
      <c r="H513" s="124">
        <f>VLOOKUP($C513,Sales!$C:$E,2,FALSE)</f>
        <v/>
      </c>
      <c r="I513" s="124">
        <f>VLOOKUP($C513,Sales!$C:$E,3,FALSE)</f>
        <v/>
      </c>
      <c r="J513" s="126">
        <f>SUMIFS(Sales!$H:$H,Sales!$C:$C,'Investor Exit List'!$C513)</f>
        <v/>
      </c>
      <c r="K513" s="126">
        <f>IF(I513=TRUE,J513,"")</f>
        <v/>
      </c>
      <c r="L513" s="126">
        <f>G513+730</f>
        <v/>
      </c>
      <c r="M513" s="126" t="n">
        <v>45443</v>
      </c>
      <c r="N513" s="127">
        <f>IFERROR(IF(G513&lt;&gt;"",IF(I513=TRUE,0,IF(U513=TRUE,0,L513-M513)),0),0)</f>
        <v/>
      </c>
      <c r="O513" s="127">
        <f>IF(N513&gt;0,IF(N513&lt;=180,N513,0),0)</f>
        <v/>
      </c>
      <c r="P513" s="125">
        <f>IF(AND(N513&lt;90,N513&gt;0),Q513,0)</f>
        <v/>
      </c>
      <c r="Q513" s="125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25">
        <f>IF(AND(H513=TRUE,I513=FALSE),Q513,0)</f>
        <v/>
      </c>
      <c r="S513" s="125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26">
        <f>IF(U513=TRUE,$J513,"")</f>
        <v/>
      </c>
      <c r="U513" s="124" t="b">
        <v>0</v>
      </c>
      <c r="V513" s="125">
        <f>IF(AND(H513=TRUE,OR(K513="",K513&gt;M513)),S513,0)</f>
        <v/>
      </c>
      <c r="W513" s="124" t="n">
        <v>0</v>
      </c>
      <c r="X513" s="124" t="b">
        <v>0</v>
      </c>
      <c r="Y513" s="127">
        <f>IF(H513=FALSE,VLOOKUP($C513,Sales!$C:$F,4,FALSE),1)</f>
        <v/>
      </c>
      <c r="Z513" s="124">
        <f>IF(Y513=0,"Release",IF(AND(L513&lt;J513,Y513=1,H513=FALSE,U513=FALSE,MONTH(L513)&amp;"/"&amp;YEAR(L513)&lt;&gt;MONTH(J513)&amp;"/"&amp;YEAR(J513)),"Release",""))</f>
        <v/>
      </c>
      <c r="AA513" s="128">
        <f>_xlfn.minifs($L:$L,$C:$C,$C513,$F:$F,"&lt;&gt;0")</f>
        <v/>
      </c>
      <c r="AB513" s="128">
        <f>C513&amp;"-"&amp;A513</f>
        <v/>
      </c>
      <c r="AC513" s="128">
        <f>L513</f>
        <v/>
      </c>
    </row>
    <row r="514">
      <c r="A514" s="124" t="inlineStr">
        <is>
          <t>ZCRO01</t>
        </is>
      </c>
      <c r="B514" s="124" t="n">
        <v>12</v>
      </c>
      <c r="C514" s="124" t="inlineStr">
        <is>
          <t>HVO101</t>
        </is>
      </c>
      <c r="D514" s="124" t="inlineStr">
        <is>
          <t>O</t>
        </is>
      </c>
      <c r="E514" s="124" t="inlineStr">
        <is>
          <t>Lunau Marc</t>
        </is>
      </c>
      <c r="F514" s="125">
        <f>SUMIFS(Investors!$M:$M, Investors!$I:$I, "&lt;=" &amp; 'NSST Print'!$B$3, Investors!$K:$K, "&gt;" &amp; 'NSST Print'!$B$3, Investors!$A:$A, 'Investor Exit List'!A514, Investors!$E:$E, 'Investor Exit List'!C514)</f>
        <v/>
      </c>
      <c r="G514" s="126" t="n">
        <v>45072</v>
      </c>
      <c r="H514" s="124">
        <f>VLOOKUP($C514,Sales!$C:$E,2,FALSE)</f>
        <v/>
      </c>
      <c r="I514" s="124">
        <f>VLOOKUP($C514,Sales!$C:$E,3,FALSE)</f>
        <v/>
      </c>
      <c r="J514" s="126">
        <f>SUMIFS(Sales!$H:$H,Sales!$C:$C,'Investor Exit List'!$C514)</f>
        <v/>
      </c>
      <c r="K514" s="126">
        <f>IF(I514=TRUE,J514,"")</f>
        <v/>
      </c>
      <c r="L514" s="126">
        <f>G514+730</f>
        <v/>
      </c>
      <c r="M514" s="126" t="n">
        <v>45443</v>
      </c>
      <c r="N514" s="127">
        <f>IFERROR(IF(G514&lt;&gt;"",IF(I514=TRUE,0,IF(U514=TRUE,0,L514-M514)),0),0)</f>
        <v/>
      </c>
      <c r="O514" s="127">
        <f>IF(N514&gt;0,IF(N514&lt;=180,N514,0),0)</f>
        <v/>
      </c>
      <c r="P514" s="125">
        <f>IF(AND(N514&lt;90,N514&gt;0),Q514,0)</f>
        <v/>
      </c>
      <c r="Q514" s="125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25">
        <f>IF(AND(H514=TRUE,I514=FALSE),Q514,0)</f>
        <v/>
      </c>
      <c r="S514" s="125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26">
        <f>IF(U514=TRUE,$J514,"")</f>
        <v/>
      </c>
      <c r="U514" s="124" t="b">
        <v>0</v>
      </c>
      <c r="V514" s="125">
        <f>IF(AND(H514=TRUE,OR(K514="",K514&gt;M514)),S514,0)</f>
        <v/>
      </c>
      <c r="W514" s="124" t="n">
        <v>0</v>
      </c>
      <c r="X514" s="124" t="b">
        <v>0</v>
      </c>
      <c r="Y514" s="127">
        <f>IF(H514=FALSE,VLOOKUP($C514,Sales!$C:$F,4,FALSE),1)</f>
        <v/>
      </c>
      <c r="Z514" s="124">
        <f>IF(Y514=0,"Release",IF(AND(L514&lt;J514,Y514=1,H514=FALSE,U514=FALSE,MONTH(L514)&amp;"/"&amp;YEAR(L514)&lt;&gt;MONTH(J514)&amp;"/"&amp;YEAR(J514)),"Release",""))</f>
        <v/>
      </c>
      <c r="AA514" s="128">
        <f>_xlfn.minifs($L:$L,$C:$C,$C514,$F:$F,"&lt;&gt;0")</f>
        <v/>
      </c>
      <c r="AB514" s="128">
        <f>C514&amp;"-"&amp;A514</f>
        <v/>
      </c>
      <c r="AC514" s="128">
        <f>L514</f>
        <v/>
      </c>
    </row>
    <row r="515">
      <c r="A515" s="124" t="inlineStr">
        <is>
          <t>ZINT01</t>
        </is>
      </c>
      <c r="B515" s="124" t="n">
        <v>13</v>
      </c>
      <c r="C515" s="124" t="inlineStr">
        <is>
          <t>HVO101</t>
        </is>
      </c>
      <c r="D515" s="124" t="inlineStr">
        <is>
          <t>O</t>
        </is>
      </c>
      <c r="E515" s="124" t="inlineStr">
        <is>
          <t>Lunau Marc</t>
        </is>
      </c>
      <c r="F515" s="125">
        <f>SUMIFS(Investors!$M:$M, Investors!$I:$I, "&lt;=" &amp; 'NSST Print'!$B$3, Investors!$K:$K, "&gt;" &amp; 'NSST Print'!$B$3, Investors!$A:$A, 'Investor Exit List'!A515, Investors!$E:$E, 'Investor Exit List'!C515)</f>
        <v/>
      </c>
      <c r="G515" s="126" t="n">
        <v>45072</v>
      </c>
      <c r="H515" s="124">
        <f>VLOOKUP($C515,Sales!$C:$E,2,FALSE)</f>
        <v/>
      </c>
      <c r="I515" s="124">
        <f>VLOOKUP($C515,Sales!$C:$E,3,FALSE)</f>
        <v/>
      </c>
      <c r="J515" s="126">
        <f>SUMIFS(Sales!$H:$H,Sales!$C:$C,'Investor Exit List'!$C515)</f>
        <v/>
      </c>
      <c r="K515" s="126">
        <f>IF(I515=TRUE,J515,"")</f>
        <v/>
      </c>
      <c r="L515" s="126">
        <f>G515+730</f>
        <v/>
      </c>
      <c r="M515" s="126" t="n">
        <v>45443</v>
      </c>
      <c r="N515" s="127">
        <f>IFERROR(IF(G515&lt;&gt;"",IF(I515=TRUE,0,IF(U515=TRUE,0,L515-M515)),0),0)</f>
        <v/>
      </c>
      <c r="O515" s="127">
        <f>IF(N515&gt;0,IF(N515&lt;=180,N515,0),0)</f>
        <v/>
      </c>
      <c r="P515" s="125">
        <f>IF(AND(N515&lt;90,N515&gt;0),Q515,0)</f>
        <v/>
      </c>
      <c r="Q515" s="125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25">
        <f>IF(AND(H515=TRUE,I515=FALSE),Q515,0)</f>
        <v/>
      </c>
      <c r="S515" s="125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26">
        <f>IF(U515=TRUE,$J515,"")</f>
        <v/>
      </c>
      <c r="U515" s="124" t="b">
        <v>0</v>
      </c>
      <c r="V515" s="125">
        <f>IF(AND(H515=TRUE,OR(K515="",K515&gt;M515)),S515,0)</f>
        <v/>
      </c>
      <c r="W515" s="124" t="n">
        <v>0</v>
      </c>
      <c r="X515" s="124" t="b">
        <v>0</v>
      </c>
      <c r="Y515" s="127">
        <f>IF(H515=FALSE,VLOOKUP($C515,Sales!$C:$F,4,FALSE),1)</f>
        <v/>
      </c>
      <c r="Z515" s="124">
        <f>IF(Y515=0,"Release",IF(AND(L515&lt;J515,Y515=1,H515=FALSE,U515=FALSE,MONTH(L515)&amp;"/"&amp;YEAR(L515)&lt;&gt;MONTH(J515)&amp;"/"&amp;YEAR(J515)),"Release",""))</f>
        <v/>
      </c>
      <c r="AA515" s="128">
        <f>_xlfn.minifs($L:$L,$C:$C,$C515,$F:$F,"&lt;&gt;0")</f>
        <v/>
      </c>
      <c r="AB515" s="128">
        <f>C515&amp;"-"&amp;A515</f>
        <v/>
      </c>
      <c r="AC515" s="128">
        <f>L515</f>
        <v/>
      </c>
    </row>
    <row r="516">
      <c r="A516" s="124" t="inlineStr">
        <is>
          <t>ZJOH01</t>
        </is>
      </c>
      <c r="B516" s="124" t="n">
        <v>7</v>
      </c>
      <c r="C516" s="124" t="inlineStr">
        <is>
          <t>HVO101</t>
        </is>
      </c>
      <c r="D516" s="124" t="inlineStr">
        <is>
          <t>O</t>
        </is>
      </c>
      <c r="E516" s="124" t="inlineStr">
        <is>
          <t>Johns Lisa-Marie Natalie</t>
        </is>
      </c>
      <c r="F516" s="125">
        <f>SUMIFS(Investors!$M:$M, Investors!$I:$I, "&lt;=" &amp; 'NSST Print'!$B$3, Investors!$K:$K, "&gt;" &amp; 'NSST Print'!$B$3, Investors!$A:$A, 'Investor Exit List'!A516, Investors!$E:$E, 'Investor Exit List'!C516)</f>
        <v/>
      </c>
      <c r="G516" s="126" t="n">
        <v>45072</v>
      </c>
      <c r="H516" s="124">
        <f>VLOOKUP($C516,Sales!$C:$E,2,FALSE)</f>
        <v/>
      </c>
      <c r="I516" s="124">
        <f>VLOOKUP($C516,Sales!$C:$E,3,FALSE)</f>
        <v/>
      </c>
      <c r="J516" s="126">
        <f>SUMIFS(Sales!$H:$H,Sales!$C:$C,'Investor Exit List'!$C516)</f>
        <v/>
      </c>
      <c r="K516" s="126">
        <f>IF(I516=TRUE,J516,"")</f>
        <v/>
      </c>
      <c r="L516" s="126">
        <f>G516+730</f>
        <v/>
      </c>
      <c r="M516" s="126" t="n">
        <v>45443</v>
      </c>
      <c r="N516" s="127">
        <f>IFERROR(IF(G516&lt;&gt;"",IF(I516=TRUE,0,IF(U516=TRUE,0,L516-M516)),0),0)</f>
        <v/>
      </c>
      <c r="O516" s="127">
        <f>IF(N516&gt;0,IF(N516&lt;=180,N516,0),0)</f>
        <v/>
      </c>
      <c r="P516" s="125">
        <f>IF(AND(N516&lt;90,N516&gt;0),Q516,0)</f>
        <v/>
      </c>
      <c r="Q516" s="125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25">
        <f>IF(AND(H516=TRUE,I516=FALSE),Q516,0)</f>
        <v/>
      </c>
      <c r="S516" s="125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26">
        <f>IF(U516=TRUE,$J516,"")</f>
        <v/>
      </c>
      <c r="U516" s="124" t="b">
        <v>0</v>
      </c>
      <c r="V516" s="125">
        <f>IF(AND(H516=TRUE,OR(K516="",K516&gt;M516)),S516,0)</f>
        <v/>
      </c>
      <c r="W516" s="124" t="n">
        <v>0</v>
      </c>
      <c r="X516" s="124" t="b">
        <v>0</v>
      </c>
      <c r="Y516" s="127">
        <f>IF(H516=FALSE,VLOOKUP($C516,Sales!$C:$F,4,FALSE),1)</f>
        <v/>
      </c>
      <c r="Z516" s="124">
        <f>IF(Y516=0,"Release",IF(AND(L516&lt;J516,Y516=1,H516=FALSE,U516=FALSE,MONTH(L516)&amp;"/"&amp;YEAR(L516)&lt;&gt;MONTH(J516)&amp;"/"&amp;YEAR(J516)),"Release",""))</f>
        <v/>
      </c>
      <c r="AA516" s="128">
        <f>_xlfn.minifs($L:$L,$C:$C,$C516,$F:$F,"&lt;&gt;0")</f>
        <v/>
      </c>
      <c r="AB516" s="128">
        <f>C516&amp;"-"&amp;A516</f>
        <v/>
      </c>
      <c r="AC516" s="128">
        <f>L516</f>
        <v/>
      </c>
    </row>
    <row r="517">
      <c r="A517" s="124" t="inlineStr">
        <is>
          <t>ZVOR01</t>
        </is>
      </c>
      <c r="B517" s="124" t="n">
        <v>5</v>
      </c>
      <c r="C517" s="124" t="inlineStr">
        <is>
          <t>HVO101</t>
        </is>
      </c>
      <c r="D517" s="124" t="inlineStr">
        <is>
          <t>O</t>
        </is>
      </c>
      <c r="E517" s="124" t="inlineStr">
        <is>
          <t xml:space="preserve">Vorster Sophia Maria Catharina </t>
        </is>
      </c>
      <c r="F517" s="125">
        <f>SUMIFS(Investors!$M:$M, Investors!$I:$I, "&lt;=" &amp; 'NSST Print'!$B$3, Investors!$K:$K, "&gt;" &amp; 'NSST Print'!$B$3, Investors!$A:$A, 'Investor Exit List'!A517, Investors!$E:$E, 'Investor Exit List'!C517)</f>
        <v/>
      </c>
      <c r="G517" s="126" t="n">
        <v>45129</v>
      </c>
      <c r="H517" s="124">
        <f>VLOOKUP($C517,Sales!$C:$E,2,FALSE)</f>
        <v/>
      </c>
      <c r="I517" s="124">
        <f>VLOOKUP($C517,Sales!$C:$E,3,FALSE)</f>
        <v/>
      </c>
      <c r="J517" s="126">
        <f>SUMIFS(Sales!$H:$H,Sales!$C:$C,'Investor Exit List'!$C517)</f>
        <v/>
      </c>
      <c r="K517" s="126">
        <f>IF(I517=TRUE,J517,"")</f>
        <v/>
      </c>
      <c r="L517" s="126">
        <f>G517+730</f>
        <v/>
      </c>
      <c r="M517" s="126" t="n">
        <v>45443</v>
      </c>
      <c r="N517" s="127">
        <f>IFERROR(IF(G517&lt;&gt;"",IF(I517=TRUE,0,IF(U517=TRUE,0,L517-M517)),0),0)</f>
        <v/>
      </c>
      <c r="O517" s="127">
        <f>IF(N517&gt;0,IF(N517&lt;=180,N517,0),0)</f>
        <v/>
      </c>
      <c r="P517" s="125">
        <f>IF(AND(N517&lt;90,N517&gt;0),Q517,0)</f>
        <v/>
      </c>
      <c r="Q517" s="125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25">
        <f>IF(AND(H517=TRUE,I517=FALSE),Q517,0)</f>
        <v/>
      </c>
      <c r="S517" s="125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26">
        <f>IF(U517=TRUE,$J517,"")</f>
        <v/>
      </c>
      <c r="U517" s="124" t="b">
        <v>0</v>
      </c>
      <c r="V517" s="125">
        <f>IF(AND(H517=TRUE,OR(K517="",K517&gt;M517)),S517,0)</f>
        <v/>
      </c>
      <c r="W517" s="124" t="n">
        <v>0</v>
      </c>
      <c r="X517" s="124" t="b">
        <v>0</v>
      </c>
      <c r="Y517" s="127">
        <f>IF(H517=FALSE,VLOOKUP($C517,Sales!$C:$F,4,FALSE),1)</f>
        <v/>
      </c>
      <c r="Z517" s="124">
        <f>IF(Y517=0,"Release",IF(AND(L517&lt;J517,Y517=1,H517=FALSE,U517=FALSE,MONTH(L517)&amp;"/"&amp;YEAR(L517)&lt;&gt;MONTH(J517)&amp;"/"&amp;YEAR(J517)),"Release",""))</f>
        <v/>
      </c>
      <c r="AA517" s="128">
        <f>_xlfn.minifs($L:$L,$C:$C,$C517,$F:$F,"&lt;&gt;0")</f>
        <v/>
      </c>
      <c r="AB517" s="128">
        <f>C517&amp;"-"&amp;A517</f>
        <v/>
      </c>
      <c r="AC517" s="128">
        <f>L517</f>
        <v/>
      </c>
    </row>
    <row r="518">
      <c r="A518" s="124" t="inlineStr">
        <is>
          <t>ZWAT01</t>
        </is>
      </c>
      <c r="B518" s="124" t="n">
        <v>13</v>
      </c>
      <c r="C518" s="124" t="inlineStr">
        <is>
          <t>HVO101</t>
        </is>
      </c>
      <c r="D518" s="124" t="inlineStr">
        <is>
          <t>O</t>
        </is>
      </c>
      <c r="E518" s="124" t="inlineStr">
        <is>
          <t>Watts Peter Gregory</t>
        </is>
      </c>
      <c r="F518" s="125">
        <f>SUMIFS(Investors!$M:$M, Investors!$I:$I, "&lt;=" &amp; 'NSST Print'!$B$3, Investors!$K:$K, "&gt;" &amp; 'NSST Print'!$B$3, Investors!$A:$A, 'Investor Exit List'!A518, Investors!$E:$E, 'Investor Exit List'!C518)</f>
        <v/>
      </c>
      <c r="G518" s="126" t="n">
        <v>45044</v>
      </c>
      <c r="H518" s="124">
        <f>VLOOKUP($C518,Sales!$C:$E,2,FALSE)</f>
        <v/>
      </c>
      <c r="I518" s="124">
        <f>VLOOKUP($C518,Sales!$C:$E,3,FALSE)</f>
        <v/>
      </c>
      <c r="J518" s="126">
        <f>SUMIFS(Sales!$H:$H,Sales!$C:$C,'Investor Exit List'!$C518)</f>
        <v/>
      </c>
      <c r="K518" s="126">
        <f>IF(I518=TRUE,J518,"")</f>
        <v/>
      </c>
      <c r="L518" s="126">
        <f>G518+730</f>
        <v/>
      </c>
      <c r="M518" s="126" t="n">
        <v>45443</v>
      </c>
      <c r="N518" s="127">
        <f>IFERROR(IF(G518&lt;&gt;"",IF(I518=TRUE,0,IF(U518=TRUE,0,L518-M518)),0),0)</f>
        <v/>
      </c>
      <c r="O518" s="127">
        <f>IF(N518&gt;0,IF(N518&lt;=180,N518,0),0)</f>
        <v/>
      </c>
      <c r="P518" s="125">
        <f>IF(AND(N518&lt;90,N518&gt;0),Q518,0)</f>
        <v/>
      </c>
      <c r="Q518" s="125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25">
        <f>IF(AND(H518=TRUE,I518=FALSE),Q518,0)</f>
        <v/>
      </c>
      <c r="S518" s="125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26">
        <f>IF(U518=TRUE,$J518,"")</f>
        <v/>
      </c>
      <c r="U518" s="124" t="b">
        <v>0</v>
      </c>
      <c r="V518" s="125">
        <f>IF(AND(H518=TRUE,OR(K518="",K518&gt;M518)),S518,0)</f>
        <v/>
      </c>
      <c r="W518" s="124" t="n">
        <v>0</v>
      </c>
      <c r="X518" s="124" t="b">
        <v>0</v>
      </c>
      <c r="Y518" s="127">
        <f>IF(H518=FALSE,VLOOKUP($C518,Sales!$C:$F,4,FALSE),1)</f>
        <v/>
      </c>
      <c r="Z518" s="124">
        <f>IF(Y518=0,"Release",IF(AND(L518&lt;J518,Y518=1,H518=FALSE,U518=FALSE,MONTH(L518)&amp;"/"&amp;YEAR(L518)&lt;&gt;MONTH(J518)&amp;"/"&amp;YEAR(J518)),"Release",""))</f>
        <v/>
      </c>
      <c r="AA518" s="128">
        <f>_xlfn.minifs($L:$L,$C:$C,$C518,$F:$F,"&lt;&gt;0")</f>
        <v/>
      </c>
      <c r="AB518" s="128">
        <f>C518&amp;"-"&amp;A518</f>
        <v/>
      </c>
      <c r="AC518" s="128">
        <f>L518</f>
        <v/>
      </c>
    </row>
    <row r="519">
      <c r="A519" s="124" t="inlineStr">
        <is>
          <t>ZALM01</t>
        </is>
      </c>
      <c r="B519" s="124" t="n">
        <v>8</v>
      </c>
      <c r="C519" s="124" t="inlineStr">
        <is>
          <t>HVO102</t>
        </is>
      </c>
      <c r="D519" s="124" t="inlineStr">
        <is>
          <t>O</t>
        </is>
      </c>
      <c r="E519" s="124" t="inlineStr">
        <is>
          <t>Lunau Marc</t>
        </is>
      </c>
      <c r="F519" s="125">
        <f>SUMIFS(Investors!$M:$M, Investors!$I:$I, "&lt;=" &amp; 'NSST Print'!$B$3, Investors!$K:$K, "&gt;" &amp; 'NSST Print'!$B$3, Investors!$A:$A, 'Investor Exit List'!A519, Investors!$E:$E, 'Investor Exit List'!C519)</f>
        <v/>
      </c>
      <c r="G519" s="126" t="n">
        <v>44980</v>
      </c>
      <c r="H519" s="124">
        <f>VLOOKUP($C519,Sales!$C:$E,2,FALSE)</f>
        <v/>
      </c>
      <c r="I519" s="124">
        <f>VLOOKUP($C519,Sales!$C:$E,3,FALSE)</f>
        <v/>
      </c>
      <c r="J519" s="126">
        <f>SUMIFS(Sales!$H:$H,Sales!$C:$C,'Investor Exit List'!$C519)</f>
        <v/>
      </c>
      <c r="K519" s="126">
        <f>IF(I519=TRUE,J519,"")</f>
        <v/>
      </c>
      <c r="L519" s="126">
        <f>G519+730</f>
        <v/>
      </c>
      <c r="M519" s="126" t="n">
        <v>45443</v>
      </c>
      <c r="N519" s="127">
        <f>IFERROR(IF(G519&lt;&gt;"",IF(I519=TRUE,0,IF(U519=TRUE,0,L519-M519)),0),0)</f>
        <v/>
      </c>
      <c r="O519" s="127">
        <f>IF(N519&gt;0,IF(N519&lt;=180,N519,0),0)</f>
        <v/>
      </c>
      <c r="P519" s="125">
        <f>IF(AND(N519&lt;90,N519&gt;0),Q519,0)</f>
        <v/>
      </c>
      <c r="Q519" s="125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25">
        <f>IF(AND(H519=TRUE,I519=FALSE),Q519,0)</f>
        <v/>
      </c>
      <c r="S519" s="125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26">
        <f>IF(U519=TRUE,$J519,"")</f>
        <v/>
      </c>
      <c r="U519" s="124" t="b">
        <v>0</v>
      </c>
      <c r="V519" s="125">
        <f>IF(AND(H519=TRUE,OR(K519="",K519&gt;M519)),S519,0)</f>
        <v/>
      </c>
      <c r="W519" s="124" t="n">
        <v>0</v>
      </c>
      <c r="X519" s="124" t="b">
        <v>0</v>
      </c>
      <c r="Y519" s="127">
        <f>IF(H519=FALSE,VLOOKUP($C519,Sales!$C:$F,4,FALSE),1)</f>
        <v/>
      </c>
      <c r="Z519" s="124">
        <f>IF(Y519=0,"Release",IF(AND(L519&lt;J519,Y519=1,H519=FALSE,U519=FALSE,MONTH(L519)&amp;"/"&amp;YEAR(L519)&lt;&gt;MONTH(J519)&amp;"/"&amp;YEAR(J519)),"Release",""))</f>
        <v/>
      </c>
      <c r="AA519" s="128">
        <f>_xlfn.minifs($L:$L,$C:$C,$C519,$F:$F,"&lt;&gt;0")</f>
        <v/>
      </c>
      <c r="AB519" s="128">
        <f>C519&amp;"-"&amp;A519</f>
        <v/>
      </c>
      <c r="AC519" s="128">
        <f>L519</f>
        <v/>
      </c>
    </row>
    <row r="520">
      <c r="A520" s="124" t="inlineStr">
        <is>
          <t>ZKFT01</t>
        </is>
      </c>
      <c r="B520" s="124" t="n">
        <v>2</v>
      </c>
      <c r="C520" s="124" t="inlineStr">
        <is>
          <t>HVO102</t>
        </is>
      </c>
      <c r="D520" s="124" t="inlineStr">
        <is>
          <t>O</t>
        </is>
      </c>
      <c r="E520" s="124" t="inlineStr">
        <is>
          <t>Koovarjee Koovarjee Family Trust</t>
        </is>
      </c>
      <c r="F520" s="125">
        <f>SUMIFS(Investors!$M:$M, Investors!$I:$I, "&lt;=" &amp; 'NSST Print'!$B$3, Investors!$K:$K, "&gt;" &amp; 'NSST Print'!$B$3, Investors!$A:$A, 'Investor Exit List'!A520, Investors!$E:$E, 'Investor Exit List'!C520)</f>
        <v/>
      </c>
      <c r="G520" s="126" t="n">
        <v>45016</v>
      </c>
      <c r="H520" s="124">
        <f>VLOOKUP($C520,Sales!$C:$E,2,FALSE)</f>
        <v/>
      </c>
      <c r="I520" s="124">
        <f>VLOOKUP($C520,Sales!$C:$E,3,FALSE)</f>
        <v/>
      </c>
      <c r="J520" s="126">
        <f>SUMIFS(Sales!$H:$H,Sales!$C:$C,'Investor Exit List'!$C520)</f>
        <v/>
      </c>
      <c r="K520" s="126">
        <f>IF(I520=TRUE,J520,"")</f>
        <v/>
      </c>
      <c r="L520" s="126">
        <f>G520+730</f>
        <v/>
      </c>
      <c r="M520" s="126" t="n">
        <v>45443</v>
      </c>
      <c r="N520" s="127">
        <f>IFERROR(IF(G520&lt;&gt;"",IF(I520=TRUE,0,IF(U520=TRUE,0,L520-M520)),0),0)</f>
        <v/>
      </c>
      <c r="O520" s="127">
        <f>IF(N520&gt;0,IF(N520&lt;=180,N520,0),0)</f>
        <v/>
      </c>
      <c r="P520" s="125">
        <f>IF(AND(N520&lt;90,N520&gt;0),Q520,0)</f>
        <v/>
      </c>
      <c r="Q520" s="125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25">
        <f>IF(AND(H520=TRUE,I520=FALSE),Q520,0)</f>
        <v/>
      </c>
      <c r="S520" s="125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26">
        <f>IF(U520=TRUE,$J520,"")</f>
        <v/>
      </c>
      <c r="U520" s="124" t="b">
        <v>0</v>
      </c>
      <c r="V520" s="125">
        <f>IF(AND(H520=TRUE,OR(K520="",K520&gt;M520)),S520,0)</f>
        <v/>
      </c>
      <c r="W520" s="124" t="n">
        <v>0</v>
      </c>
      <c r="X520" s="124" t="b">
        <v>0</v>
      </c>
      <c r="Y520" s="127">
        <f>IF(H520=FALSE,VLOOKUP($C520,Sales!$C:$F,4,FALSE),1)</f>
        <v/>
      </c>
      <c r="Z520" s="124">
        <f>IF(Y520=0,"Release",IF(AND(L520&lt;J520,Y520=1,H520=FALSE,U520=FALSE,MONTH(L520)&amp;"/"&amp;YEAR(L520)&lt;&gt;MONTH(J520)&amp;"/"&amp;YEAR(J520)),"Release",""))</f>
        <v/>
      </c>
      <c r="AA520" s="128">
        <f>_xlfn.minifs($L:$L,$C:$C,$C520,$F:$F,"&lt;&gt;0")</f>
        <v/>
      </c>
      <c r="AB520" s="128">
        <f>C520&amp;"-"&amp;A520</f>
        <v/>
      </c>
      <c r="AC520" s="128">
        <f>L520</f>
        <v/>
      </c>
    </row>
    <row r="521">
      <c r="A521" s="124" t="inlineStr">
        <is>
          <t>ZPED01</t>
        </is>
      </c>
      <c r="B521" s="124" t="n">
        <v>3</v>
      </c>
      <c r="C521" s="124" t="inlineStr">
        <is>
          <t>HVO102</t>
        </is>
      </c>
      <c r="D521" s="124" t="inlineStr">
        <is>
          <t>O</t>
        </is>
      </c>
      <c r="E521" s="124" t="inlineStr">
        <is>
          <t>Pedersen Wendy</t>
        </is>
      </c>
      <c r="F521" s="125">
        <f>SUMIFS(Investors!$M:$M, Investors!$I:$I, "&lt;=" &amp; 'NSST Print'!$B$3, Investors!$K:$K, "&gt;" &amp; 'NSST Print'!$B$3, Investors!$A:$A, 'Investor Exit List'!A521, Investors!$E:$E, 'Investor Exit List'!C521)</f>
        <v/>
      </c>
      <c r="G521" s="126" t="n">
        <v>45072</v>
      </c>
      <c r="H521" s="124">
        <f>VLOOKUP($C521,Sales!$C:$E,2,FALSE)</f>
        <v/>
      </c>
      <c r="I521" s="124">
        <f>VLOOKUP($C521,Sales!$C:$E,3,FALSE)</f>
        <v/>
      </c>
      <c r="J521" s="126">
        <f>SUMIFS(Sales!$H:$H,Sales!$C:$C,'Investor Exit List'!$C521)</f>
        <v/>
      </c>
      <c r="K521" s="126">
        <f>IF(I521=TRUE,J521,"")</f>
        <v/>
      </c>
      <c r="L521" s="126">
        <f>G521+730</f>
        <v/>
      </c>
      <c r="M521" s="126" t="n">
        <v>45443</v>
      </c>
      <c r="N521" s="127">
        <f>IFERROR(IF(G521&lt;&gt;"",IF(I521=TRUE,0,IF(U521=TRUE,0,L521-M521)),0),0)</f>
        <v/>
      </c>
      <c r="O521" s="127">
        <f>IF(N521&gt;0,IF(N521&lt;=180,N521,0),0)</f>
        <v/>
      </c>
      <c r="P521" s="125">
        <f>IF(AND(N521&lt;90,N521&gt;0),Q521,0)</f>
        <v/>
      </c>
      <c r="Q521" s="125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25">
        <f>IF(AND(H521=TRUE,I521=FALSE),Q521,0)</f>
        <v/>
      </c>
      <c r="S521" s="125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26">
        <f>IF(U521=TRUE,$J521,"")</f>
        <v/>
      </c>
      <c r="U521" s="124" t="b">
        <v>0</v>
      </c>
      <c r="V521" s="125">
        <f>IF(AND(H521=TRUE,OR(K521="",K521&gt;M521)),S521,0)</f>
        <v/>
      </c>
      <c r="W521" s="124" t="n">
        <v>0</v>
      </c>
      <c r="X521" s="124" t="b">
        <v>0</v>
      </c>
      <c r="Y521" s="127">
        <f>IF(H521=FALSE,VLOOKUP($C521,Sales!$C:$F,4,FALSE),1)</f>
        <v/>
      </c>
      <c r="Z521" s="124">
        <f>IF(Y521=0,"Release",IF(AND(L521&lt;J521,Y521=1,H521=FALSE,U521=FALSE,MONTH(L521)&amp;"/"&amp;YEAR(L521)&lt;&gt;MONTH(J521)&amp;"/"&amp;YEAR(J521)),"Release",""))</f>
        <v/>
      </c>
      <c r="AA521" s="128">
        <f>_xlfn.minifs($L:$L,$C:$C,$C521,$F:$F,"&lt;&gt;0")</f>
        <v/>
      </c>
      <c r="AB521" s="128">
        <f>C521&amp;"-"&amp;A521</f>
        <v/>
      </c>
      <c r="AC521" s="128">
        <f>L521</f>
        <v/>
      </c>
    </row>
    <row r="522">
      <c r="A522" s="124" t="inlineStr">
        <is>
          <t>ZRIB01</t>
        </is>
      </c>
      <c r="B522" s="124" t="n">
        <v>2</v>
      </c>
      <c r="C522" s="124" t="inlineStr">
        <is>
          <t>HVO102</t>
        </is>
      </c>
      <c r="D522" s="124" t="inlineStr">
        <is>
          <t>O</t>
        </is>
      </c>
      <c r="E522" s="124" t="inlineStr">
        <is>
          <t>Ribeiro Paulo Sergio Da Silva</t>
        </is>
      </c>
      <c r="F522" s="125">
        <f>SUMIFS(Investors!$M:$M, Investors!$I:$I, "&lt;=" &amp; 'NSST Print'!$B$3, Investors!$K:$K, "&gt;" &amp; 'NSST Print'!$B$3, Investors!$A:$A, 'Investor Exit List'!A522, Investors!$E:$E, 'Investor Exit List'!C522)</f>
        <v/>
      </c>
      <c r="G522" s="126" t="n">
        <v>45008</v>
      </c>
      <c r="H522" s="124">
        <f>VLOOKUP($C522,Sales!$C:$E,2,FALSE)</f>
        <v/>
      </c>
      <c r="I522" s="124">
        <f>VLOOKUP($C522,Sales!$C:$E,3,FALSE)</f>
        <v/>
      </c>
      <c r="J522" s="126">
        <f>SUMIFS(Sales!$H:$H,Sales!$C:$C,'Investor Exit List'!$C522)</f>
        <v/>
      </c>
      <c r="K522" s="126">
        <f>IF(I522=TRUE,J522,"")</f>
        <v/>
      </c>
      <c r="L522" s="126">
        <f>G522+730</f>
        <v/>
      </c>
      <c r="M522" s="126" t="n">
        <v>45443</v>
      </c>
      <c r="N522" s="127">
        <f>IFERROR(IF(G522&lt;&gt;"",IF(I522=TRUE,0,IF(U522=TRUE,0,L522-M522)),0),0)</f>
        <v/>
      </c>
      <c r="O522" s="127">
        <f>IF(N522&gt;0,IF(N522&lt;=180,N522,0),0)</f>
        <v/>
      </c>
      <c r="P522" s="125">
        <f>IF(AND(N522&lt;90,N522&gt;0),Q522,0)</f>
        <v/>
      </c>
      <c r="Q522" s="125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25">
        <f>IF(AND(H522=TRUE,I522=FALSE),Q522,0)</f>
        <v/>
      </c>
      <c r="S522" s="125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26">
        <f>IF(U522=TRUE,$J522,"")</f>
        <v/>
      </c>
      <c r="U522" s="124" t="b">
        <v>0</v>
      </c>
      <c r="V522" s="125">
        <f>IF(AND(H522=TRUE,OR(K522="",K522&gt;M522)),S522,0)</f>
        <v/>
      </c>
      <c r="W522" s="124" t="n">
        <v>0</v>
      </c>
      <c r="X522" s="124" t="b">
        <v>0</v>
      </c>
      <c r="Y522" s="127">
        <f>IF(H522=FALSE,VLOOKUP($C522,Sales!$C:$F,4,FALSE),1)</f>
        <v/>
      </c>
      <c r="Z522" s="124">
        <f>IF(Y522=0,"Release",IF(AND(L522&lt;J522,Y522=1,H522=FALSE,U522=FALSE,MONTH(L522)&amp;"/"&amp;YEAR(L522)&lt;&gt;MONTH(J522)&amp;"/"&amp;YEAR(J522)),"Release",""))</f>
        <v/>
      </c>
      <c r="AA522" s="128">
        <f>_xlfn.minifs($L:$L,$C:$C,$C522,$F:$F,"&lt;&gt;0")</f>
        <v/>
      </c>
      <c r="AB522" s="128">
        <f>C522&amp;"-"&amp;A522</f>
        <v/>
      </c>
      <c r="AC522" s="128">
        <f>L522</f>
        <v/>
      </c>
    </row>
    <row r="523">
      <c r="A523" s="124" t="inlineStr">
        <is>
          <t>ZRIT01</t>
        </is>
      </c>
      <c r="B523" s="124" t="n">
        <v>9</v>
      </c>
      <c r="C523" s="124" t="inlineStr">
        <is>
          <t>HVO102</t>
        </is>
      </c>
      <c r="D523" s="124" t="inlineStr">
        <is>
          <t>O</t>
        </is>
      </c>
      <c r="E523" s="124" t="inlineStr">
        <is>
          <t>Ritter Dennis</t>
        </is>
      </c>
      <c r="F523" s="125">
        <f>SUMIFS(Investors!$M:$M, Investors!$I:$I, "&lt;=" &amp; 'NSST Print'!$B$3, Investors!$K:$K, "&gt;" &amp; 'NSST Print'!$B$3, Investors!$A:$A, 'Investor Exit List'!A523, Investors!$E:$E, 'Investor Exit List'!C523)</f>
        <v/>
      </c>
      <c r="G523" s="126" t="n">
        <v>45016</v>
      </c>
      <c r="H523" s="124">
        <f>VLOOKUP($C523,Sales!$C:$E,2,FALSE)</f>
        <v/>
      </c>
      <c r="I523" s="124">
        <f>VLOOKUP($C523,Sales!$C:$E,3,FALSE)</f>
        <v/>
      </c>
      <c r="J523" s="126">
        <f>SUMIFS(Sales!$H:$H,Sales!$C:$C,'Investor Exit List'!$C523)</f>
        <v/>
      </c>
      <c r="K523" s="126">
        <f>IF(I523=TRUE,J523,"")</f>
        <v/>
      </c>
      <c r="L523" s="126">
        <f>G523+730</f>
        <v/>
      </c>
      <c r="M523" s="126" t="n">
        <v>45443</v>
      </c>
      <c r="N523" s="127">
        <f>IFERROR(IF(G523&lt;&gt;"",IF(I523=TRUE,0,IF(U523=TRUE,0,L523-M523)),0),0)</f>
        <v/>
      </c>
      <c r="O523" s="127">
        <f>IF(N523&gt;0,IF(N523&lt;=180,N523,0),0)</f>
        <v/>
      </c>
      <c r="P523" s="125">
        <f>IF(AND(N523&lt;90,N523&gt;0),Q523,0)</f>
        <v/>
      </c>
      <c r="Q523" s="125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25">
        <f>IF(AND(H523=TRUE,I523=FALSE),Q523,0)</f>
        <v/>
      </c>
      <c r="S523" s="125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26">
        <f>IF(U523=TRUE,$J523,"")</f>
        <v/>
      </c>
      <c r="U523" s="124" t="b">
        <v>0</v>
      </c>
      <c r="V523" s="125">
        <f>IF(AND(H523=TRUE,OR(K523="",K523&gt;M523)),S523,0)</f>
        <v/>
      </c>
      <c r="W523" s="124" t="n">
        <v>0</v>
      </c>
      <c r="X523" s="124" t="b">
        <v>0</v>
      </c>
      <c r="Y523" s="127">
        <f>IF(H523=FALSE,VLOOKUP($C523,Sales!$C:$F,4,FALSE),1)</f>
        <v/>
      </c>
      <c r="Z523" s="124">
        <f>IF(Y523=0,"Release",IF(AND(L523&lt;J523,Y523=1,H523=FALSE,U523=FALSE,MONTH(L523)&amp;"/"&amp;YEAR(L523)&lt;&gt;MONTH(J523)&amp;"/"&amp;YEAR(J523)),"Release",""))</f>
        <v/>
      </c>
      <c r="AA523" s="128">
        <f>_xlfn.minifs($L:$L,$C:$C,$C523,$F:$F,"&lt;&gt;0")</f>
        <v/>
      </c>
      <c r="AB523" s="128">
        <f>C523&amp;"-"&amp;A523</f>
        <v/>
      </c>
      <c r="AC523" s="128">
        <f>L523</f>
        <v/>
      </c>
    </row>
    <row r="524">
      <c r="A524" s="124" t="inlineStr">
        <is>
          <t>ZMOO02</t>
        </is>
      </c>
      <c r="B524" s="124" t="n">
        <v>3</v>
      </c>
      <c r="C524" s="124" t="inlineStr">
        <is>
          <t>HVO103</t>
        </is>
      </c>
      <c r="D524" s="124" t="inlineStr">
        <is>
          <t>O</t>
        </is>
      </c>
      <c r="E524" s="124" t="inlineStr">
        <is>
          <t>Moodley Chreeson Loganathan</t>
        </is>
      </c>
      <c r="F524" s="125">
        <f>SUMIFS(Investors!$M:$M, Investors!$I:$I, "&lt;=" &amp; 'NSST Print'!$B$3, Investors!$K:$K, "&gt;" &amp; 'NSST Print'!$B$3, Investors!$A:$A, 'Investor Exit List'!A524, Investors!$E:$E, 'Investor Exit List'!C524)</f>
        <v/>
      </c>
      <c r="G524" s="126" t="n">
        <v>45016</v>
      </c>
      <c r="H524" s="124">
        <f>VLOOKUP($C524,Sales!$C:$E,2,FALSE)</f>
        <v/>
      </c>
      <c r="I524" s="124">
        <f>VLOOKUP($C524,Sales!$C:$E,3,FALSE)</f>
        <v/>
      </c>
      <c r="J524" s="126">
        <f>SUMIFS(Sales!$H:$H,Sales!$C:$C,'Investor Exit List'!$C524)</f>
        <v/>
      </c>
      <c r="K524" s="126">
        <f>IF(I524=TRUE,J524,"")</f>
        <v/>
      </c>
      <c r="L524" s="126">
        <f>G524+730</f>
        <v/>
      </c>
      <c r="M524" s="126" t="n">
        <v>45443</v>
      </c>
      <c r="N524" s="127">
        <f>IFERROR(IF(G524&lt;&gt;"",IF(I524=TRUE,0,IF(U524=TRUE,0,L524-M524)),0),0)</f>
        <v/>
      </c>
      <c r="O524" s="127">
        <f>IF(N524&gt;0,IF(N524&lt;=180,N524,0),0)</f>
        <v/>
      </c>
      <c r="P524" s="125">
        <f>IF(AND(N524&lt;90,N524&gt;0),Q524,0)</f>
        <v/>
      </c>
      <c r="Q524" s="125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25">
        <f>IF(AND(H524=TRUE,I524=FALSE),Q524,0)</f>
        <v/>
      </c>
      <c r="S524" s="125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26">
        <f>IF(U524=TRUE,$J524,"")</f>
        <v/>
      </c>
      <c r="U524" s="124" t="b">
        <v>0</v>
      </c>
      <c r="V524" s="125">
        <f>IF(AND(H524=TRUE,OR(K524="",K524&gt;M524)),S524,0)</f>
        <v/>
      </c>
      <c r="W524" s="124" t="n">
        <v>0</v>
      </c>
      <c r="X524" s="124" t="b">
        <v>0</v>
      </c>
      <c r="Y524" s="127">
        <f>IF(H524=FALSE,VLOOKUP($C524,Sales!$C:$F,4,FALSE),1)</f>
        <v/>
      </c>
      <c r="Z524" s="124">
        <f>IF(Y524=0,"Release",IF(AND(L524&lt;J524,Y524=1,H524=FALSE,U524=FALSE,MONTH(L524)&amp;"/"&amp;YEAR(L524)&lt;&gt;MONTH(J524)&amp;"/"&amp;YEAR(J524)),"Release",""))</f>
        <v/>
      </c>
      <c r="AA524" s="128">
        <f>_xlfn.minifs($L:$L,$C:$C,$C524,$F:$F,"&lt;&gt;0")</f>
        <v/>
      </c>
      <c r="AB524" s="128">
        <f>C524&amp;"-"&amp;A524</f>
        <v/>
      </c>
      <c r="AC524" s="128">
        <f>L524</f>
        <v/>
      </c>
    </row>
    <row r="525">
      <c r="A525" s="124" t="inlineStr">
        <is>
          <t>ZNUN01</t>
        </is>
      </c>
      <c r="B525" s="124" t="n">
        <v>8</v>
      </c>
      <c r="C525" s="124" t="inlineStr">
        <is>
          <t>HVO103</t>
        </is>
      </c>
      <c r="D525" s="124" t="inlineStr">
        <is>
          <t>O</t>
        </is>
      </c>
      <c r="E525" s="124" t="inlineStr">
        <is>
          <t>Nunes Francisco Antonio</t>
        </is>
      </c>
      <c r="F525" s="125">
        <f>SUMIFS(Investors!$M:$M, Investors!$I:$I, "&lt;=" &amp; 'NSST Print'!$B$3, Investors!$K:$K, "&gt;" &amp; 'NSST Print'!$B$3, Investors!$A:$A, 'Investor Exit List'!A525, Investors!$E:$E, 'Investor Exit List'!C525)</f>
        <v/>
      </c>
      <c r="G525" s="126" t="n">
        <v>45044</v>
      </c>
      <c r="H525" s="124">
        <f>VLOOKUP($C525,Sales!$C:$E,2,FALSE)</f>
        <v/>
      </c>
      <c r="I525" s="124">
        <f>VLOOKUP($C525,Sales!$C:$E,3,FALSE)</f>
        <v/>
      </c>
      <c r="J525" s="126">
        <f>SUMIFS(Sales!$H:$H,Sales!$C:$C,'Investor Exit List'!$C525)</f>
        <v/>
      </c>
      <c r="K525" s="126">
        <f>IF(I525=TRUE,J525,"")</f>
        <v/>
      </c>
      <c r="L525" s="126">
        <f>G525+730</f>
        <v/>
      </c>
      <c r="M525" s="126" t="n">
        <v>45443</v>
      </c>
      <c r="N525" s="127">
        <f>IFERROR(IF(G525&lt;&gt;"",IF(I525=TRUE,0,IF(U525=TRUE,0,L525-M525)),0),0)</f>
        <v/>
      </c>
      <c r="O525" s="127">
        <f>IF(N525&gt;0,IF(N525&lt;=180,N525,0),0)</f>
        <v/>
      </c>
      <c r="P525" s="125">
        <f>IF(AND(N525&lt;90,N525&gt;0),Q525,0)</f>
        <v/>
      </c>
      <c r="Q525" s="125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25">
        <f>IF(AND(H525=TRUE,I525=FALSE),Q525,0)</f>
        <v/>
      </c>
      <c r="S525" s="125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26">
        <f>IF(U525=TRUE,$J525,"")</f>
        <v/>
      </c>
      <c r="U525" s="124" t="b">
        <v>0</v>
      </c>
      <c r="V525" s="125">
        <f>IF(AND(H525=TRUE,OR(K525="",K525&gt;M525)),S525,0)</f>
        <v/>
      </c>
      <c r="W525" s="124" t="n">
        <v>0</v>
      </c>
      <c r="X525" s="124" t="b">
        <v>0</v>
      </c>
      <c r="Y525" s="127">
        <f>IF(H525=FALSE,VLOOKUP($C525,Sales!$C:$F,4,FALSE),1)</f>
        <v/>
      </c>
      <c r="Z525" s="124">
        <f>IF(Y525=0,"Release",IF(AND(L525&lt;J525,Y525=1,H525=FALSE,U525=FALSE,MONTH(L525)&amp;"/"&amp;YEAR(L525)&lt;&gt;MONTH(J525)&amp;"/"&amp;YEAR(J525)),"Release",""))</f>
        <v/>
      </c>
      <c r="AA525" s="128">
        <f>_xlfn.minifs($L:$L,$C:$C,$C525,$F:$F,"&lt;&gt;0")</f>
        <v/>
      </c>
      <c r="AB525" s="128">
        <f>C525&amp;"-"&amp;A525</f>
        <v/>
      </c>
      <c r="AC525" s="128">
        <f>L525</f>
        <v/>
      </c>
    </row>
    <row r="526">
      <c r="A526" s="124" t="inlineStr">
        <is>
          <t>ZRIT01</t>
        </is>
      </c>
      <c r="B526" s="124" t="n">
        <v>10</v>
      </c>
      <c r="C526" s="124" t="inlineStr">
        <is>
          <t>HVO103</t>
        </is>
      </c>
      <c r="D526" s="124" t="inlineStr">
        <is>
          <t>O</t>
        </is>
      </c>
      <c r="E526" s="124" t="inlineStr">
        <is>
          <t>Ritter Dennis</t>
        </is>
      </c>
      <c r="F526" s="125">
        <f>SUMIFS(Investors!$M:$M, Investors!$I:$I, "&lt;=" &amp; 'NSST Print'!$B$3, Investors!$K:$K, "&gt;" &amp; 'NSST Print'!$B$3, Investors!$A:$A, 'Investor Exit List'!A526, Investors!$E:$E, 'Investor Exit List'!C526)</f>
        <v/>
      </c>
      <c r="G526" s="126" t="n">
        <v>45016</v>
      </c>
      <c r="H526" s="124">
        <f>VLOOKUP($C526,Sales!$C:$E,2,FALSE)</f>
        <v/>
      </c>
      <c r="I526" s="124">
        <f>VLOOKUP($C526,Sales!$C:$E,3,FALSE)</f>
        <v/>
      </c>
      <c r="J526" s="126">
        <f>SUMIFS(Sales!$H:$H,Sales!$C:$C,'Investor Exit List'!$C526)</f>
        <v/>
      </c>
      <c r="K526" s="126">
        <f>IF(I526=TRUE,J526,"")</f>
        <v/>
      </c>
      <c r="L526" s="126">
        <f>G526+730</f>
        <v/>
      </c>
      <c r="M526" s="126" t="n">
        <v>45443</v>
      </c>
      <c r="N526" s="127">
        <f>IFERROR(IF(G526&lt;&gt;"",IF(I526=TRUE,0,IF(U526=TRUE,0,L526-M526)),0),0)</f>
        <v/>
      </c>
      <c r="O526" s="127">
        <f>IF(N526&gt;0,IF(N526&lt;=180,N526,0),0)</f>
        <v/>
      </c>
      <c r="P526" s="125">
        <f>IF(AND(N526&lt;90,N526&gt;0),Q526,0)</f>
        <v/>
      </c>
      <c r="Q526" s="125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25">
        <f>IF(AND(H526=TRUE,I526=FALSE),Q526,0)</f>
        <v/>
      </c>
      <c r="S526" s="125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26">
        <f>IF(U526=TRUE,$J526,"")</f>
        <v/>
      </c>
      <c r="U526" s="124" t="b">
        <v>0</v>
      </c>
      <c r="V526" s="125">
        <f>IF(AND(H526=TRUE,OR(K526="",K526&gt;M526)),S526,0)</f>
        <v/>
      </c>
      <c r="W526" s="124" t="n">
        <v>0</v>
      </c>
      <c r="X526" s="124" t="b">
        <v>0</v>
      </c>
      <c r="Y526" s="127">
        <f>IF(H526=FALSE,VLOOKUP($C526,Sales!$C:$F,4,FALSE),1)</f>
        <v/>
      </c>
      <c r="Z526" s="124">
        <f>IF(Y526=0,"Release",IF(AND(L526&lt;J526,Y526=1,H526=FALSE,U526=FALSE,MONTH(L526)&amp;"/"&amp;YEAR(L526)&lt;&gt;MONTH(J526)&amp;"/"&amp;YEAR(J526)),"Release",""))</f>
        <v/>
      </c>
      <c r="AA526" s="128">
        <f>_xlfn.minifs($L:$L,$C:$C,$C526,$F:$F,"&lt;&gt;0")</f>
        <v/>
      </c>
      <c r="AB526" s="128">
        <f>C526&amp;"-"&amp;A526</f>
        <v/>
      </c>
      <c r="AC526" s="128">
        <f>L526</f>
        <v/>
      </c>
    </row>
    <row r="527">
      <c r="A527" s="124" t="inlineStr">
        <is>
          <t>ZLEW01</t>
        </is>
      </c>
      <c r="B527" s="124" t="n">
        <v>10</v>
      </c>
      <c r="C527" s="124" t="inlineStr">
        <is>
          <t>HVO104</t>
        </is>
      </c>
      <c r="D527" s="124" t="inlineStr">
        <is>
          <t>O</t>
        </is>
      </c>
      <c r="E527" s="124" t="inlineStr">
        <is>
          <t>Lewis Martina Christina</t>
        </is>
      </c>
      <c r="F527" s="125">
        <f>SUMIFS(Investors!$M:$M, Investors!$I:$I, "&lt;=" &amp; 'NSST Print'!$B$3, Investors!$K:$K, "&gt;" &amp; 'NSST Print'!$B$3, Investors!$A:$A, 'Investor Exit List'!A527, Investors!$E:$E, 'Investor Exit List'!C527)</f>
        <v/>
      </c>
      <c r="G527" s="126" t="n">
        <v>45016</v>
      </c>
      <c r="H527" s="124">
        <f>VLOOKUP($C527,Sales!$C:$E,2,FALSE)</f>
        <v/>
      </c>
      <c r="I527" s="124">
        <f>VLOOKUP($C527,Sales!$C:$E,3,FALSE)</f>
        <v/>
      </c>
      <c r="J527" s="126">
        <f>SUMIFS(Sales!$H:$H,Sales!$C:$C,'Investor Exit List'!$C527)</f>
        <v/>
      </c>
      <c r="K527" s="126">
        <f>IF(I527=TRUE,J527,"")</f>
        <v/>
      </c>
      <c r="L527" s="126">
        <f>G527+730</f>
        <v/>
      </c>
      <c r="M527" s="126" t="n">
        <v>45443</v>
      </c>
      <c r="N527" s="127">
        <f>IFERROR(IF(G527&lt;&gt;"",IF(I527=TRUE,0,IF(U527=TRUE,0,L527-M527)),0),0)</f>
        <v/>
      </c>
      <c r="O527" s="127">
        <f>IF(N527&gt;0,IF(N527&lt;=180,N527,0),0)</f>
        <v/>
      </c>
      <c r="P527" s="125">
        <f>IF(AND(N527&lt;90,N527&gt;0),Q527,0)</f>
        <v/>
      </c>
      <c r="Q527" s="125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25">
        <f>IF(AND(H527=TRUE,I527=FALSE),Q527,0)</f>
        <v/>
      </c>
      <c r="S527" s="125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26">
        <f>IF(U527=TRUE,$J527,"")</f>
        <v/>
      </c>
      <c r="U527" s="124" t="b">
        <v>0</v>
      </c>
      <c r="V527" s="125">
        <f>IF(AND(H527=TRUE,OR(K527="",K527&gt;M527)),S527,0)</f>
        <v/>
      </c>
      <c r="W527" s="124" t="n">
        <v>0</v>
      </c>
      <c r="X527" s="124" t="b">
        <v>0</v>
      </c>
      <c r="Y527" s="127">
        <f>IF(H527=FALSE,VLOOKUP($C527,Sales!$C:$F,4,FALSE),1)</f>
        <v/>
      </c>
      <c r="Z527" s="124">
        <f>IF(Y527=0,"Release",IF(AND(L527&lt;J527,Y527=1,H527=FALSE,U527=FALSE,MONTH(L527)&amp;"/"&amp;YEAR(L527)&lt;&gt;MONTH(J527)&amp;"/"&amp;YEAR(J527)),"Release",""))</f>
        <v/>
      </c>
      <c r="AA527" s="128">
        <f>_xlfn.minifs($L:$L,$C:$C,$C527,$F:$F,"&lt;&gt;0")</f>
        <v/>
      </c>
      <c r="AB527" s="128">
        <f>C527&amp;"-"&amp;A527</f>
        <v/>
      </c>
      <c r="AC527" s="128">
        <f>L527</f>
        <v/>
      </c>
    </row>
    <row r="528">
      <c r="A528" s="124" t="inlineStr">
        <is>
          <t>ZDEL01</t>
        </is>
      </c>
      <c r="B528" s="124" t="n">
        <v>9</v>
      </c>
      <c r="C528" s="124" t="inlineStr">
        <is>
          <t>HVO105</t>
        </is>
      </c>
      <c r="D528" s="124" t="inlineStr">
        <is>
          <t>O</t>
        </is>
      </c>
      <c r="E528" s="124" t="inlineStr">
        <is>
          <t>Jansen van Vuuren Pieter</t>
        </is>
      </c>
      <c r="F528" s="125">
        <f>SUMIFS(Investors!$M:$M, Investors!$I:$I, "&lt;=" &amp; 'NSST Print'!$B$3, Investors!$K:$K, "&gt;" &amp; 'NSST Print'!$B$3, Investors!$A:$A, 'Investor Exit List'!A528, Investors!$E:$E, 'Investor Exit List'!C528)</f>
        <v/>
      </c>
      <c r="G528" s="126" t="n">
        <v>45016</v>
      </c>
      <c r="H528" s="124">
        <f>VLOOKUP($C528,Sales!$C:$E,2,FALSE)</f>
        <v/>
      </c>
      <c r="I528" s="124">
        <f>VLOOKUP($C528,Sales!$C:$E,3,FALSE)</f>
        <v/>
      </c>
      <c r="J528" s="126">
        <f>SUMIFS(Sales!$H:$H,Sales!$C:$C,'Investor Exit List'!$C528)</f>
        <v/>
      </c>
      <c r="K528" s="126">
        <f>IF(I528=TRUE,J528,"")</f>
        <v/>
      </c>
      <c r="L528" s="126">
        <f>G528+730</f>
        <v/>
      </c>
      <c r="M528" s="126" t="n">
        <v>45443</v>
      </c>
      <c r="N528" s="127">
        <f>IFERROR(IF(G528&lt;&gt;"",IF(I528=TRUE,0,IF(U528=TRUE,0,L528-M528)),0),0)</f>
        <v/>
      </c>
      <c r="O528" s="127">
        <f>IF(N528&gt;0,IF(N528&lt;=180,N528,0),0)</f>
        <v/>
      </c>
      <c r="P528" s="125">
        <f>IF(AND(N528&lt;90,N528&gt;0),Q528,0)</f>
        <v/>
      </c>
      <c r="Q528" s="125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25">
        <f>IF(AND(H528=TRUE,I528=FALSE),Q528,0)</f>
        <v/>
      </c>
      <c r="S528" s="125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26">
        <f>IF(U528=TRUE,$J528,"")</f>
        <v/>
      </c>
      <c r="U528" s="124" t="b">
        <v>0</v>
      </c>
      <c r="V528" s="125">
        <f>IF(AND(H528=TRUE,OR(K528="",K528&gt;M528)),S528,0)</f>
        <v/>
      </c>
      <c r="W528" s="124" t="n">
        <v>0</v>
      </c>
      <c r="X528" s="124" t="b">
        <v>0</v>
      </c>
      <c r="Y528" s="127">
        <f>IF(H528=FALSE,VLOOKUP($C528,Sales!$C:$F,4,FALSE),1)</f>
        <v/>
      </c>
      <c r="Z528" s="124">
        <f>IF(Y528=0,"Release",IF(AND(L528&lt;J528,Y528=1,H528=FALSE,U528=FALSE,MONTH(L528)&amp;"/"&amp;YEAR(L528)&lt;&gt;MONTH(J528)&amp;"/"&amp;YEAR(J528)),"Release",""))</f>
        <v/>
      </c>
      <c r="AA528" s="128">
        <f>_xlfn.minifs($L:$L,$C:$C,$C528,$F:$F,"&lt;&gt;0")</f>
        <v/>
      </c>
      <c r="AB528" s="128">
        <f>C528&amp;"-"&amp;A528</f>
        <v/>
      </c>
      <c r="AC528" s="128">
        <f>L528</f>
        <v/>
      </c>
    </row>
    <row r="529">
      <c r="A529" s="124" t="inlineStr">
        <is>
          <t>ZDIC01</t>
        </is>
      </c>
      <c r="B529" s="124" t="n">
        <v>12</v>
      </c>
      <c r="C529" s="124" t="inlineStr">
        <is>
          <t>HVO105</t>
        </is>
      </c>
      <c r="D529" s="124" t="inlineStr">
        <is>
          <t>O</t>
        </is>
      </c>
      <c r="E529" s="124" t="inlineStr">
        <is>
          <t>Dickinson Grant Allan</t>
        </is>
      </c>
      <c r="F529" s="125">
        <f>SUMIFS(Investors!$M:$M, Investors!$I:$I, "&lt;=" &amp; 'NSST Print'!$B$3, Investors!$K:$K, "&gt;" &amp; 'NSST Print'!$B$3, Investors!$A:$A, 'Investor Exit List'!A529, Investors!$E:$E, 'Investor Exit List'!C529)</f>
        <v/>
      </c>
      <c r="G529" s="126" t="n">
        <v>45044</v>
      </c>
      <c r="H529" s="124">
        <f>VLOOKUP($C529,Sales!$C:$E,2,FALSE)</f>
        <v/>
      </c>
      <c r="I529" s="124">
        <f>VLOOKUP($C529,Sales!$C:$E,3,FALSE)</f>
        <v/>
      </c>
      <c r="J529" s="126">
        <f>SUMIFS(Sales!$H:$H,Sales!$C:$C,'Investor Exit List'!$C529)</f>
        <v/>
      </c>
      <c r="K529" s="126">
        <f>IF(I529=TRUE,J529,"")</f>
        <v/>
      </c>
      <c r="L529" s="126">
        <f>G529+730</f>
        <v/>
      </c>
      <c r="M529" s="126" t="n">
        <v>45443</v>
      </c>
      <c r="N529" s="127">
        <f>IFERROR(IF(G529&lt;&gt;"",IF(I529=TRUE,0,IF(U529=TRUE,0,L529-M529)),0),0)</f>
        <v/>
      </c>
      <c r="O529" s="127">
        <f>IF(N529&gt;0,IF(N529&lt;=180,N529,0),0)</f>
        <v/>
      </c>
      <c r="P529" s="125">
        <f>IF(AND(N529&lt;90,N529&gt;0),Q529,0)</f>
        <v/>
      </c>
      <c r="Q529" s="125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25">
        <f>IF(AND(H529=TRUE,I529=FALSE),Q529,0)</f>
        <v/>
      </c>
      <c r="S529" s="125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26">
        <f>IF(U529=TRUE,$J529,"")</f>
        <v/>
      </c>
      <c r="U529" s="124" t="b">
        <v>0</v>
      </c>
      <c r="V529" s="125">
        <f>IF(AND(H529=TRUE,OR(K529="",K529&gt;M529)),S529,0)</f>
        <v/>
      </c>
      <c r="W529" s="124" t="n">
        <v>0</v>
      </c>
      <c r="X529" s="124" t="b">
        <v>0</v>
      </c>
      <c r="Y529" s="127">
        <f>IF(H529=FALSE,VLOOKUP($C529,Sales!$C:$F,4,FALSE),1)</f>
        <v/>
      </c>
      <c r="Z529" s="124">
        <f>IF(Y529=0,"Release",IF(AND(L529&lt;J529,Y529=1,H529=FALSE,U529=FALSE,MONTH(L529)&amp;"/"&amp;YEAR(L529)&lt;&gt;MONTH(J529)&amp;"/"&amp;YEAR(J529)),"Release",""))</f>
        <v/>
      </c>
      <c r="AA529" s="128">
        <f>_xlfn.minifs($L:$L,$C:$C,$C529,$F:$F,"&lt;&gt;0")</f>
        <v/>
      </c>
      <c r="AB529" s="128">
        <f>C529&amp;"-"&amp;A529</f>
        <v/>
      </c>
      <c r="AC529" s="128">
        <f>L529</f>
        <v/>
      </c>
    </row>
    <row r="530">
      <c r="A530" s="124" t="inlineStr">
        <is>
          <t>ZHUT01</t>
        </is>
      </c>
      <c r="B530" s="124" t="n">
        <v>8</v>
      </c>
      <c r="C530" s="124" t="inlineStr">
        <is>
          <t>HVO105</t>
        </is>
      </c>
      <c r="D530" s="124" t="inlineStr">
        <is>
          <t>O</t>
        </is>
      </c>
      <c r="E530" s="124" t="inlineStr">
        <is>
          <t>Hutchings Tracy Jane</t>
        </is>
      </c>
      <c r="F530" s="125">
        <f>SUMIFS(Investors!$M:$M, Investors!$I:$I, "&lt;=" &amp; 'NSST Print'!$B$3, Investors!$K:$K, "&gt;" &amp; 'NSST Print'!$B$3, Investors!$A:$A, 'Investor Exit List'!A530, Investors!$E:$E, 'Investor Exit List'!C530)</f>
        <v/>
      </c>
      <c r="G530" s="126" t="n">
        <v>45008</v>
      </c>
      <c r="H530" s="124">
        <f>VLOOKUP($C530,Sales!$C:$E,2,FALSE)</f>
        <v/>
      </c>
      <c r="I530" s="124">
        <f>VLOOKUP($C530,Sales!$C:$E,3,FALSE)</f>
        <v/>
      </c>
      <c r="J530" s="126">
        <f>SUMIFS(Sales!$H:$H,Sales!$C:$C,'Investor Exit List'!$C530)</f>
        <v/>
      </c>
      <c r="K530" s="126">
        <f>IF(I530=TRUE,J530,"")</f>
        <v/>
      </c>
      <c r="L530" s="126">
        <f>G530+730</f>
        <v/>
      </c>
      <c r="M530" s="126" t="n">
        <v>45443</v>
      </c>
      <c r="N530" s="127">
        <f>IFERROR(IF(G530&lt;&gt;"",IF(I530=TRUE,0,IF(U530=TRUE,0,L530-M530)),0),0)</f>
        <v/>
      </c>
      <c r="O530" s="127">
        <f>IF(N530&gt;0,IF(N530&lt;=180,N530,0),0)</f>
        <v/>
      </c>
      <c r="P530" s="125">
        <f>IF(AND(N530&lt;90,N530&gt;0),Q530,0)</f>
        <v/>
      </c>
      <c r="Q530" s="125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25">
        <f>IF(AND(H530=TRUE,I530=FALSE),Q530,0)</f>
        <v/>
      </c>
      <c r="S530" s="125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26">
        <f>IF(U530=TRUE,$J530,"")</f>
        <v/>
      </c>
      <c r="U530" s="124" t="b">
        <v>0</v>
      </c>
      <c r="V530" s="125">
        <f>IF(AND(H530=TRUE,OR(K530="",K530&gt;M530)),S530,0)</f>
        <v/>
      </c>
      <c r="W530" s="124" t="n">
        <v>0</v>
      </c>
      <c r="X530" s="124" t="b">
        <v>0</v>
      </c>
      <c r="Y530" s="127">
        <f>IF(H530=FALSE,VLOOKUP($C530,Sales!$C:$F,4,FALSE),1)</f>
        <v/>
      </c>
      <c r="Z530" s="124">
        <f>IF(Y530=0,"Release",IF(AND(L530&lt;J530,Y530=1,H530=FALSE,U530=FALSE,MONTH(L530)&amp;"/"&amp;YEAR(L530)&lt;&gt;MONTH(J530)&amp;"/"&amp;YEAR(J530)),"Release",""))</f>
        <v/>
      </c>
      <c r="AA530" s="128">
        <f>_xlfn.minifs($L:$L,$C:$C,$C530,$F:$F,"&lt;&gt;0")</f>
        <v/>
      </c>
      <c r="AB530" s="128">
        <f>C530&amp;"-"&amp;A530</f>
        <v/>
      </c>
      <c r="AC530" s="128">
        <f>L530</f>
        <v/>
      </c>
    </row>
    <row r="531">
      <c r="A531" s="124" t="inlineStr">
        <is>
          <t>ZCRO01</t>
        </is>
      </c>
      <c r="B531" s="124" t="n">
        <v>10</v>
      </c>
      <c r="C531" s="124" t="inlineStr">
        <is>
          <t>HVO201</t>
        </is>
      </c>
      <c r="D531" s="124" t="inlineStr">
        <is>
          <t>O</t>
        </is>
      </c>
      <c r="E531" s="124" t="inlineStr">
        <is>
          <t>Lunau Marc</t>
        </is>
      </c>
      <c r="F531" s="125">
        <f>SUMIFS(Investors!$M:$M, Investors!$I:$I, "&lt;=" &amp; 'NSST Print'!$B$3, Investors!$K:$K, "&gt;" &amp; 'NSST Print'!$B$3, Investors!$A:$A, 'Investor Exit List'!A531, Investors!$E:$E, 'Investor Exit List'!C531)</f>
        <v/>
      </c>
      <c r="G531" s="126" t="n">
        <v>45044</v>
      </c>
      <c r="H531" s="124">
        <f>VLOOKUP($C531,Sales!$C:$E,2,FALSE)</f>
        <v/>
      </c>
      <c r="I531" s="124">
        <f>VLOOKUP($C531,Sales!$C:$E,3,FALSE)</f>
        <v/>
      </c>
      <c r="J531" s="126">
        <f>SUMIFS(Sales!$H:$H,Sales!$C:$C,'Investor Exit List'!$C531)</f>
        <v/>
      </c>
      <c r="K531" s="126">
        <f>IF(I531=TRUE,J531,"")</f>
        <v/>
      </c>
      <c r="L531" s="126">
        <f>G531+730</f>
        <v/>
      </c>
      <c r="M531" s="126" t="n">
        <v>45443</v>
      </c>
      <c r="N531" s="127">
        <f>IFERROR(IF(G531&lt;&gt;"",IF(I531=TRUE,0,IF(U531=TRUE,0,L531-M531)),0),0)</f>
        <v/>
      </c>
      <c r="O531" s="127">
        <f>IF(N531&gt;0,IF(N531&lt;=180,N531,0),0)</f>
        <v/>
      </c>
      <c r="P531" s="125">
        <f>IF(AND(N531&lt;90,N531&gt;0),Q531,0)</f>
        <v/>
      </c>
      <c r="Q531" s="125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25">
        <f>IF(AND(H531=TRUE,I531=FALSE),Q531,0)</f>
        <v/>
      </c>
      <c r="S531" s="125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26">
        <f>IF(U531=TRUE,$J531,"")</f>
        <v/>
      </c>
      <c r="U531" s="124" t="b">
        <v>0</v>
      </c>
      <c r="V531" s="125">
        <f>IF(AND(H531=TRUE,OR(K531="",K531&gt;M531)),S531,0)</f>
        <v/>
      </c>
      <c r="W531" s="124" t="n">
        <v>0</v>
      </c>
      <c r="X531" s="124" t="b">
        <v>0</v>
      </c>
      <c r="Y531" s="127">
        <f>IF(H531=FALSE,VLOOKUP($C531,Sales!$C:$F,4,FALSE),1)</f>
        <v/>
      </c>
      <c r="Z531" s="124">
        <f>IF(Y531=0,"Release",IF(AND(L531&lt;J531,Y531=1,H531=FALSE,U531=FALSE,MONTH(L531)&amp;"/"&amp;YEAR(L531)&lt;&gt;MONTH(J531)&amp;"/"&amp;YEAR(J531)),"Release",""))</f>
        <v/>
      </c>
      <c r="AA531" s="128">
        <f>_xlfn.minifs($L:$L,$C:$C,$C531,$F:$F,"&lt;&gt;0")</f>
        <v/>
      </c>
      <c r="AB531" s="128">
        <f>C531&amp;"-"&amp;A531</f>
        <v/>
      </c>
      <c r="AC531" s="128">
        <f>L531</f>
        <v/>
      </c>
    </row>
    <row r="532">
      <c r="A532" s="124" t="inlineStr">
        <is>
          <t>ZJOH01</t>
        </is>
      </c>
      <c r="B532" s="124" t="n">
        <v>8</v>
      </c>
      <c r="C532" s="124" t="inlineStr">
        <is>
          <t>HVO201</t>
        </is>
      </c>
      <c r="D532" s="124" t="inlineStr">
        <is>
          <t>O</t>
        </is>
      </c>
      <c r="E532" s="124" t="inlineStr">
        <is>
          <t>Johns Lisa-Marie Natalie</t>
        </is>
      </c>
      <c r="F532" s="125">
        <f>SUMIFS(Investors!$M:$M, Investors!$I:$I, "&lt;=" &amp; 'NSST Print'!$B$3, Investors!$K:$K, "&gt;" &amp; 'NSST Print'!$B$3, Investors!$A:$A, 'Investor Exit List'!A532, Investors!$E:$E, 'Investor Exit List'!C532)</f>
        <v/>
      </c>
      <c r="G532" s="126" t="n">
        <v>45072</v>
      </c>
      <c r="H532" s="124">
        <f>VLOOKUP($C532,Sales!$C:$E,2,FALSE)</f>
        <v/>
      </c>
      <c r="I532" s="124">
        <f>VLOOKUP($C532,Sales!$C:$E,3,FALSE)</f>
        <v/>
      </c>
      <c r="J532" s="126">
        <f>SUMIFS(Sales!$H:$H,Sales!$C:$C,'Investor Exit List'!$C532)</f>
        <v/>
      </c>
      <c r="K532" s="126">
        <f>IF(I532=TRUE,J532,"")</f>
        <v/>
      </c>
      <c r="L532" s="126">
        <f>G532+730</f>
        <v/>
      </c>
      <c r="M532" s="126" t="n">
        <v>45443</v>
      </c>
      <c r="N532" s="127">
        <f>IFERROR(IF(G532&lt;&gt;"",IF(I532=TRUE,0,IF(U532=TRUE,0,L532-M532)),0),0)</f>
        <v/>
      </c>
      <c r="O532" s="127">
        <f>IF(N532&gt;0,IF(N532&lt;=180,N532,0),0)</f>
        <v/>
      </c>
      <c r="P532" s="125">
        <f>IF(AND(N532&lt;90,N532&gt;0),Q532,0)</f>
        <v/>
      </c>
      <c r="Q532" s="125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25">
        <f>IF(AND(H532=TRUE,I532=FALSE),Q532,0)</f>
        <v/>
      </c>
      <c r="S532" s="125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26">
        <f>IF(U532=TRUE,$J532,"")</f>
        <v/>
      </c>
      <c r="U532" s="124" t="b">
        <v>0</v>
      </c>
      <c r="V532" s="125">
        <f>IF(AND(H532=TRUE,OR(K532="",K532&gt;M532)),S532,0)</f>
        <v/>
      </c>
      <c r="W532" s="124" t="n">
        <v>0</v>
      </c>
      <c r="X532" s="124" t="b">
        <v>0</v>
      </c>
      <c r="Y532" s="127">
        <f>IF(H532=FALSE,VLOOKUP($C532,Sales!$C:$F,4,FALSE),1)</f>
        <v/>
      </c>
      <c r="Z532" s="124">
        <f>IF(Y532=0,"Release",IF(AND(L532&lt;J532,Y532=1,H532=FALSE,U532=FALSE,MONTH(L532)&amp;"/"&amp;YEAR(L532)&lt;&gt;MONTH(J532)&amp;"/"&amp;YEAR(J532)),"Release",""))</f>
        <v/>
      </c>
      <c r="AA532" s="128">
        <f>_xlfn.minifs($L:$L,$C:$C,$C532,$F:$F,"&lt;&gt;0")</f>
        <v/>
      </c>
      <c r="AB532" s="128">
        <f>C532&amp;"-"&amp;A532</f>
        <v/>
      </c>
      <c r="AC532" s="128">
        <f>L532</f>
        <v/>
      </c>
    </row>
    <row r="533">
      <c r="A533" s="124" t="inlineStr">
        <is>
          <t>ZMAT01</t>
        </is>
      </c>
      <c r="B533" s="124" t="n">
        <v>6</v>
      </c>
      <c r="C533" s="124" t="inlineStr">
        <is>
          <t>HVO201</t>
        </is>
      </c>
      <c r="D533" s="124" t="inlineStr">
        <is>
          <t>O</t>
        </is>
      </c>
      <c r="E533" s="124" t="inlineStr">
        <is>
          <t>Matthews Natalie</t>
        </is>
      </c>
      <c r="F533" s="125">
        <f>SUMIFS(Investors!$M:$M, Investors!$I:$I, "&lt;=" &amp; 'NSST Print'!$B$3, Investors!$K:$K, "&gt;" &amp; 'NSST Print'!$B$3, Investors!$A:$A, 'Investor Exit List'!A533, Investors!$E:$E, 'Investor Exit List'!C533)</f>
        <v/>
      </c>
      <c r="G533" s="126" t="n">
        <v>45072</v>
      </c>
      <c r="H533" s="124">
        <f>VLOOKUP($C533,Sales!$C:$E,2,FALSE)</f>
        <v/>
      </c>
      <c r="I533" s="124">
        <f>VLOOKUP($C533,Sales!$C:$E,3,FALSE)</f>
        <v/>
      </c>
      <c r="J533" s="126">
        <f>SUMIFS(Sales!$H:$H,Sales!$C:$C,'Investor Exit List'!$C533)</f>
        <v/>
      </c>
      <c r="K533" s="126">
        <f>IF(I533=TRUE,J533,"")</f>
        <v/>
      </c>
      <c r="L533" s="126">
        <f>G533+730</f>
        <v/>
      </c>
      <c r="M533" s="126" t="n">
        <v>45443</v>
      </c>
      <c r="N533" s="127">
        <f>IFERROR(IF(G533&lt;&gt;"",IF(I533=TRUE,0,IF(U533=TRUE,0,L533-M533)),0),0)</f>
        <v/>
      </c>
      <c r="O533" s="127">
        <f>IF(N533&gt;0,IF(N533&lt;=180,N533,0),0)</f>
        <v/>
      </c>
      <c r="P533" s="125">
        <f>IF(AND(N533&lt;90,N533&gt;0),Q533,0)</f>
        <v/>
      </c>
      <c r="Q533" s="125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25">
        <f>IF(AND(H533=TRUE,I533=FALSE),Q533,0)</f>
        <v/>
      </c>
      <c r="S533" s="125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26">
        <f>IF(U533=TRUE,$J533,"")</f>
        <v/>
      </c>
      <c r="U533" s="124" t="b">
        <v>0</v>
      </c>
      <c r="V533" s="125">
        <f>IF(AND(H533=TRUE,OR(K533="",K533&gt;M533)),S533,0)</f>
        <v/>
      </c>
      <c r="W533" s="124" t="n">
        <v>0</v>
      </c>
      <c r="X533" s="124" t="b">
        <v>0</v>
      </c>
      <c r="Y533" s="127">
        <f>IF(H533=FALSE,VLOOKUP($C533,Sales!$C:$F,4,FALSE),1)</f>
        <v/>
      </c>
      <c r="Z533" s="124">
        <f>IF(Y533=0,"Release",IF(AND(L533&lt;J533,Y533=1,H533=FALSE,U533=FALSE,MONTH(L533)&amp;"/"&amp;YEAR(L533)&lt;&gt;MONTH(J533)&amp;"/"&amp;YEAR(J533)),"Release",""))</f>
        <v/>
      </c>
      <c r="AA533" s="128">
        <f>_xlfn.minifs($L:$L,$C:$C,$C533,$F:$F,"&lt;&gt;0")</f>
        <v/>
      </c>
      <c r="AB533" s="128">
        <f>C533&amp;"-"&amp;A533</f>
        <v/>
      </c>
      <c r="AC533" s="128">
        <f>L533</f>
        <v/>
      </c>
    </row>
    <row r="534">
      <c r="A534" s="124" t="inlineStr">
        <is>
          <t>ZTHA01</t>
        </is>
      </c>
      <c r="B534" s="124" t="n">
        <v>4</v>
      </c>
      <c r="C534" s="124" t="inlineStr">
        <is>
          <t>HVO201</t>
        </is>
      </c>
      <c r="D534" s="124" t="inlineStr">
        <is>
          <t>O</t>
        </is>
      </c>
      <c r="E534" s="124" t="inlineStr">
        <is>
          <t>Matthee Gerald Adriaan Odendal</t>
        </is>
      </c>
      <c r="F534" s="125">
        <f>SUMIFS(Investors!$M:$M, Investors!$I:$I, "&lt;=" &amp; 'NSST Print'!$B$3, Investors!$K:$K, "&gt;" &amp; 'NSST Print'!$B$3, Investors!$A:$A, 'Investor Exit List'!A534, Investors!$E:$E, 'Investor Exit List'!C534)</f>
        <v/>
      </c>
      <c r="G534" s="126" t="n">
        <v>45016</v>
      </c>
      <c r="H534" s="124">
        <f>VLOOKUP($C534,Sales!$C:$E,2,FALSE)</f>
        <v/>
      </c>
      <c r="I534" s="124">
        <f>VLOOKUP($C534,Sales!$C:$E,3,FALSE)</f>
        <v/>
      </c>
      <c r="J534" s="126">
        <f>SUMIFS(Sales!$H:$H,Sales!$C:$C,'Investor Exit List'!$C534)</f>
        <v/>
      </c>
      <c r="K534" s="126">
        <f>IF(I534=TRUE,J534,"")</f>
        <v/>
      </c>
      <c r="L534" s="126">
        <f>G534+730</f>
        <v/>
      </c>
      <c r="M534" s="126" t="n">
        <v>45443</v>
      </c>
      <c r="N534" s="127">
        <f>IFERROR(IF(G534&lt;&gt;"",IF(I534=TRUE,0,IF(U534=TRUE,0,L534-M534)),0),0)</f>
        <v/>
      </c>
      <c r="O534" s="127">
        <f>IF(N534&gt;0,IF(N534&lt;=180,N534,0),0)</f>
        <v/>
      </c>
      <c r="P534" s="125">
        <f>IF(AND(N534&lt;90,N534&gt;0),Q534,0)</f>
        <v/>
      </c>
      <c r="Q534" s="125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25">
        <f>IF(AND(H534=TRUE,I534=FALSE),Q534,0)</f>
        <v/>
      </c>
      <c r="S534" s="125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26">
        <f>IF(U534=TRUE,$J534,"")</f>
        <v/>
      </c>
      <c r="U534" s="124" t="b">
        <v>0</v>
      </c>
      <c r="V534" s="125">
        <f>IF(AND(H534=TRUE,OR(K534="",K534&gt;M534)),S534,0)</f>
        <v/>
      </c>
      <c r="W534" s="124" t="n">
        <v>0</v>
      </c>
      <c r="X534" s="124" t="b">
        <v>0</v>
      </c>
      <c r="Y534" s="127">
        <f>IF(H534=FALSE,VLOOKUP($C534,Sales!$C:$F,4,FALSE),1)</f>
        <v/>
      </c>
      <c r="Z534" s="124">
        <f>IF(Y534=0,"Release",IF(AND(L534&lt;J534,Y534=1,H534=FALSE,U534=FALSE,MONTH(L534)&amp;"/"&amp;YEAR(L534)&lt;&gt;MONTH(J534)&amp;"/"&amp;YEAR(J534)),"Release",""))</f>
        <v/>
      </c>
      <c r="AA534" s="128">
        <f>_xlfn.minifs($L:$L,$C:$C,$C534,$F:$F,"&lt;&gt;0")</f>
        <v/>
      </c>
      <c r="AB534" s="128">
        <f>C534&amp;"-"&amp;A534</f>
        <v/>
      </c>
      <c r="AC534" s="128">
        <f>L534</f>
        <v/>
      </c>
    </row>
    <row r="535">
      <c r="A535" s="124" t="inlineStr">
        <is>
          <t>ZVAN05</t>
        </is>
      </c>
      <c r="B535" s="124" t="n">
        <v>8</v>
      </c>
      <c r="C535" s="124" t="inlineStr">
        <is>
          <t>HVO201</t>
        </is>
      </c>
      <c r="D535" s="124" t="inlineStr">
        <is>
          <t>O</t>
        </is>
      </c>
      <c r="E535" s="124" t="inlineStr">
        <is>
          <t>van der Sandt Hermanus</t>
        </is>
      </c>
      <c r="F535" s="125">
        <f>SUMIFS(Investors!$M:$M, Investors!$I:$I, "&lt;=" &amp; 'NSST Print'!$B$3, Investors!$K:$K, "&gt;" &amp; 'NSST Print'!$B$3, Investors!$A:$A, 'Investor Exit List'!A535, Investors!$E:$E, 'Investor Exit List'!C535)</f>
        <v/>
      </c>
      <c r="G535" s="126" t="n">
        <v>45107</v>
      </c>
      <c r="H535" s="124">
        <f>VLOOKUP($C535,Sales!$C:$E,2,FALSE)</f>
        <v/>
      </c>
      <c r="I535" s="124">
        <f>VLOOKUP($C535,Sales!$C:$E,3,FALSE)</f>
        <v/>
      </c>
      <c r="J535" s="126">
        <f>SUMIFS(Sales!$H:$H,Sales!$C:$C,'Investor Exit List'!$C535)</f>
        <v/>
      </c>
      <c r="K535" s="126">
        <f>IF(I535=TRUE,J535,"")</f>
        <v/>
      </c>
      <c r="L535" s="126">
        <f>G535+730</f>
        <v/>
      </c>
      <c r="M535" s="126" t="n">
        <v>45443</v>
      </c>
      <c r="N535" s="127">
        <f>IFERROR(IF(G535&lt;&gt;"",IF(I535=TRUE,0,IF(U535=TRUE,0,L535-M535)),0),0)</f>
        <v/>
      </c>
      <c r="O535" s="127">
        <f>IF(N535&gt;0,IF(N535&lt;=180,N535,0),0)</f>
        <v/>
      </c>
      <c r="P535" s="125">
        <f>IF(AND(N535&lt;90,N535&gt;0),Q535,0)</f>
        <v/>
      </c>
      <c r="Q535" s="125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25">
        <f>IF(AND(H535=TRUE,I535=FALSE),Q535,0)</f>
        <v/>
      </c>
      <c r="S535" s="125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26">
        <f>IF(U535=TRUE,$J535,"")</f>
        <v/>
      </c>
      <c r="U535" s="124" t="b">
        <v>0</v>
      </c>
      <c r="V535" s="125">
        <f>IF(AND(H535=TRUE,OR(K535="",K535&gt;M535)),S535,0)</f>
        <v/>
      </c>
      <c r="W535" s="124" t="n">
        <v>0</v>
      </c>
      <c r="X535" s="124" t="b">
        <v>0</v>
      </c>
      <c r="Y535" s="127">
        <f>IF(H535=FALSE,VLOOKUP($C535,Sales!$C:$F,4,FALSE),1)</f>
        <v/>
      </c>
      <c r="Z535" s="124">
        <f>IF(Y535=0,"Release",IF(AND(L535&lt;J535,Y535=1,H535=FALSE,U535=FALSE,MONTH(L535)&amp;"/"&amp;YEAR(L535)&lt;&gt;MONTH(J535)&amp;"/"&amp;YEAR(J535)),"Release",""))</f>
        <v/>
      </c>
      <c r="AA535" s="128">
        <f>_xlfn.minifs($L:$L,$C:$C,$C535,$F:$F,"&lt;&gt;0")</f>
        <v/>
      </c>
      <c r="AB535" s="128">
        <f>C535&amp;"-"&amp;A535</f>
        <v/>
      </c>
      <c r="AC535" s="128">
        <f>L535</f>
        <v/>
      </c>
    </row>
    <row r="536">
      <c r="A536" s="124" t="inlineStr">
        <is>
          <t>ZDEL01</t>
        </is>
      </c>
      <c r="B536" s="124" t="n">
        <v>10</v>
      </c>
      <c r="C536" s="124" t="inlineStr">
        <is>
          <t>HVO202</t>
        </is>
      </c>
      <c r="D536" s="124" t="inlineStr">
        <is>
          <t>O</t>
        </is>
      </c>
      <c r="E536" s="124" t="inlineStr">
        <is>
          <t>Jansen van Vuuren Pieter</t>
        </is>
      </c>
      <c r="F536" s="125">
        <f>SUMIFS(Investors!$M:$M, Investors!$I:$I, "&lt;=" &amp; 'NSST Print'!$B$3, Investors!$K:$K, "&gt;" &amp; 'NSST Print'!$B$3, Investors!$A:$A, 'Investor Exit List'!A536, Investors!$E:$E, 'Investor Exit List'!C536)</f>
        <v/>
      </c>
      <c r="G536" s="126" t="n">
        <v>45044</v>
      </c>
      <c r="H536" s="124">
        <f>VLOOKUP($C536,Sales!$C:$E,2,FALSE)</f>
        <v/>
      </c>
      <c r="I536" s="124">
        <f>VLOOKUP($C536,Sales!$C:$E,3,FALSE)</f>
        <v/>
      </c>
      <c r="J536" s="126">
        <f>SUMIFS(Sales!$H:$H,Sales!$C:$C,'Investor Exit List'!$C536)</f>
        <v/>
      </c>
      <c r="K536" s="126">
        <f>IF(I536=TRUE,J536,"")</f>
        <v/>
      </c>
      <c r="L536" s="126">
        <f>G536+730</f>
        <v/>
      </c>
      <c r="M536" s="126" t="n">
        <v>45443</v>
      </c>
      <c r="N536" s="127">
        <f>IFERROR(IF(G536&lt;&gt;"",IF(I536=TRUE,0,IF(U536=TRUE,0,L536-M536)),0),0)</f>
        <v/>
      </c>
      <c r="O536" s="127">
        <f>IF(N536&gt;0,IF(N536&lt;=180,N536,0),0)</f>
        <v/>
      </c>
      <c r="P536" s="125">
        <f>IF(AND(N536&lt;90,N536&gt;0),Q536,0)</f>
        <v/>
      </c>
      <c r="Q536" s="125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25">
        <f>IF(AND(H536=TRUE,I536=FALSE),Q536,0)</f>
        <v/>
      </c>
      <c r="S536" s="125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26">
        <f>IF(U536=TRUE,$J536,"")</f>
        <v/>
      </c>
      <c r="U536" s="124" t="b">
        <v>0</v>
      </c>
      <c r="V536" s="125">
        <f>IF(AND(H536=TRUE,OR(K536="",K536&gt;M536)),S536,0)</f>
        <v/>
      </c>
      <c r="W536" s="124" t="n">
        <v>0</v>
      </c>
      <c r="X536" s="124" t="b">
        <v>0</v>
      </c>
      <c r="Y536" s="127">
        <f>IF(H536=FALSE,VLOOKUP($C536,Sales!$C:$F,4,FALSE),1)</f>
        <v/>
      </c>
      <c r="Z536" s="124">
        <f>IF(Y536=0,"Release",IF(AND(L536&lt;J536,Y536=1,H536=FALSE,U536=FALSE,MONTH(L536)&amp;"/"&amp;YEAR(L536)&lt;&gt;MONTH(J536)&amp;"/"&amp;YEAR(J536)),"Release",""))</f>
        <v/>
      </c>
      <c r="AA536" s="128">
        <f>_xlfn.minifs($L:$L,$C:$C,$C536,$F:$F,"&lt;&gt;0")</f>
        <v/>
      </c>
      <c r="AB536" s="128">
        <f>C536&amp;"-"&amp;A536</f>
        <v/>
      </c>
      <c r="AC536" s="128">
        <f>L536</f>
        <v/>
      </c>
    </row>
    <row r="537">
      <c r="A537" s="124" t="inlineStr">
        <is>
          <t>ZHEI01</t>
        </is>
      </c>
      <c r="B537" s="124" t="n">
        <v>11</v>
      </c>
      <c r="C537" s="124" t="inlineStr">
        <is>
          <t>HVO202</t>
        </is>
      </c>
      <c r="D537" s="124" t="inlineStr">
        <is>
          <t>O</t>
        </is>
      </c>
      <c r="E537" s="124" t="inlineStr">
        <is>
          <t>Heinze Dieter Raimund</t>
        </is>
      </c>
      <c r="F537" s="125">
        <f>SUMIFS(Investors!$M:$M, Investors!$I:$I, "&lt;=" &amp; 'NSST Print'!$B$3, Investors!$K:$K, "&gt;" &amp; 'NSST Print'!$B$3, Investors!$A:$A, 'Investor Exit List'!A537, Investors!$E:$E, 'Investor Exit List'!C537)</f>
        <v/>
      </c>
      <c r="G537" s="126" t="n">
        <v>45072</v>
      </c>
      <c r="H537" s="124">
        <f>VLOOKUP($C537,Sales!$C:$E,2,FALSE)</f>
        <v/>
      </c>
      <c r="I537" s="124">
        <f>VLOOKUP($C537,Sales!$C:$E,3,FALSE)</f>
        <v/>
      </c>
      <c r="J537" s="126">
        <f>SUMIFS(Sales!$H:$H,Sales!$C:$C,'Investor Exit List'!$C537)</f>
        <v/>
      </c>
      <c r="K537" s="126">
        <f>IF(I537=TRUE,J537,"")</f>
        <v/>
      </c>
      <c r="L537" s="126">
        <f>G537+730</f>
        <v/>
      </c>
      <c r="M537" s="126" t="n">
        <v>45443</v>
      </c>
      <c r="N537" s="127">
        <f>IFERROR(IF(G537&lt;&gt;"",IF(I537=TRUE,0,IF(U537=TRUE,0,L537-M537)),0),0)</f>
        <v/>
      </c>
      <c r="O537" s="127">
        <f>IF(N537&gt;0,IF(N537&lt;=180,N537,0),0)</f>
        <v/>
      </c>
      <c r="P537" s="125">
        <f>IF(AND(N537&lt;90,N537&gt;0),Q537,0)</f>
        <v/>
      </c>
      <c r="Q537" s="125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25">
        <f>IF(AND(H537=TRUE,I537=FALSE),Q537,0)</f>
        <v/>
      </c>
      <c r="S537" s="125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26">
        <f>IF(U537=TRUE,$J537,"")</f>
        <v/>
      </c>
      <c r="U537" s="124" t="b">
        <v>0</v>
      </c>
      <c r="V537" s="125">
        <f>IF(AND(H537=TRUE,OR(K537="",K537&gt;M537)),S537,0)</f>
        <v/>
      </c>
      <c r="W537" s="124" t="n">
        <v>0</v>
      </c>
      <c r="X537" s="124" t="b">
        <v>0</v>
      </c>
      <c r="Y537" s="127">
        <f>IF(H537=FALSE,VLOOKUP($C537,Sales!$C:$F,4,FALSE),1)</f>
        <v/>
      </c>
      <c r="Z537" s="124">
        <f>IF(Y537=0,"Release",IF(AND(L537&lt;J537,Y537=1,H537=FALSE,U537=FALSE,MONTH(L537)&amp;"/"&amp;YEAR(L537)&lt;&gt;MONTH(J537)&amp;"/"&amp;YEAR(J537)),"Release",""))</f>
        <v/>
      </c>
      <c r="AA537" s="128">
        <f>_xlfn.minifs($L:$L,$C:$C,$C537,$F:$F,"&lt;&gt;0")</f>
        <v/>
      </c>
      <c r="AB537" s="128">
        <f>C537&amp;"-"&amp;A537</f>
        <v/>
      </c>
      <c r="AC537" s="128">
        <f>L537</f>
        <v/>
      </c>
    </row>
    <row r="538">
      <c r="A538" s="124" t="inlineStr">
        <is>
          <t>ZLOU03</t>
        </is>
      </c>
      <c r="B538" s="124" t="n">
        <v>2</v>
      </c>
      <c r="C538" s="124" t="inlineStr">
        <is>
          <t>HVO202</t>
        </is>
      </c>
      <c r="D538" s="124" t="inlineStr">
        <is>
          <t>O</t>
        </is>
      </c>
      <c r="E538" s="124" t="inlineStr">
        <is>
          <t>Louwrens Peter Arnold</t>
        </is>
      </c>
      <c r="F538" s="125">
        <f>SUMIFS(Investors!$M:$M, Investors!$I:$I, "&lt;=" &amp; 'NSST Print'!$B$3, Investors!$K:$K, "&gt;" &amp; 'NSST Print'!$B$3, Investors!$A:$A, 'Investor Exit List'!A538, Investors!$E:$E, 'Investor Exit List'!C538)</f>
        <v/>
      </c>
      <c r="G538" s="126" t="n">
        <v>45044</v>
      </c>
      <c r="H538" s="124">
        <f>VLOOKUP($C538,Sales!$C:$E,2,FALSE)</f>
        <v/>
      </c>
      <c r="I538" s="124">
        <f>VLOOKUP($C538,Sales!$C:$E,3,FALSE)</f>
        <v/>
      </c>
      <c r="J538" s="126">
        <f>SUMIFS(Sales!$H:$H,Sales!$C:$C,'Investor Exit List'!$C538)</f>
        <v/>
      </c>
      <c r="K538" s="126">
        <f>IF(I538=TRUE,J538,"")</f>
        <v/>
      </c>
      <c r="L538" s="126">
        <f>G538+730</f>
        <v/>
      </c>
      <c r="M538" s="126" t="n">
        <v>45443</v>
      </c>
      <c r="N538" s="127">
        <f>IFERROR(IF(G538&lt;&gt;"",IF(I538=TRUE,0,IF(U538=TRUE,0,L538-M538)),0),0)</f>
        <v/>
      </c>
      <c r="O538" s="127">
        <f>IF(N538&gt;0,IF(N538&lt;=180,N538,0),0)</f>
        <v/>
      </c>
      <c r="P538" s="125">
        <f>IF(AND(N538&lt;90,N538&gt;0),Q538,0)</f>
        <v/>
      </c>
      <c r="Q538" s="125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25">
        <f>IF(AND(H538=TRUE,I538=FALSE),Q538,0)</f>
        <v/>
      </c>
      <c r="S538" s="125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26">
        <f>IF(U538=TRUE,$J538,"")</f>
        <v/>
      </c>
      <c r="U538" s="124" t="b">
        <v>0</v>
      </c>
      <c r="V538" s="125">
        <f>IF(AND(H538=TRUE,OR(K538="",K538&gt;M538)),S538,0)</f>
        <v/>
      </c>
      <c r="W538" s="124" t="n">
        <v>0</v>
      </c>
      <c r="X538" s="124" t="b">
        <v>0</v>
      </c>
      <c r="Y538" s="127">
        <f>IF(H538=FALSE,VLOOKUP($C538,Sales!$C:$F,4,FALSE),1)</f>
        <v/>
      </c>
      <c r="Z538" s="124">
        <f>IF(Y538=0,"Release",IF(AND(L538&lt;J538,Y538=1,H538=FALSE,U538=FALSE,MONTH(L538)&amp;"/"&amp;YEAR(L538)&lt;&gt;MONTH(J538)&amp;"/"&amp;YEAR(J538)),"Release",""))</f>
        <v/>
      </c>
      <c r="AA538" s="128">
        <f>_xlfn.minifs($L:$L,$C:$C,$C538,$F:$F,"&lt;&gt;0")</f>
        <v/>
      </c>
      <c r="AB538" s="128">
        <f>C538&amp;"-"&amp;A538</f>
        <v/>
      </c>
      <c r="AC538" s="128">
        <f>L538</f>
        <v/>
      </c>
    </row>
    <row r="539">
      <c r="A539" s="124" t="inlineStr">
        <is>
          <t>ZWAL01</t>
        </is>
      </c>
      <c r="B539" s="124" t="n">
        <v>2</v>
      </c>
      <c r="C539" s="124" t="inlineStr">
        <is>
          <t>HVO202</t>
        </is>
      </c>
      <c r="D539" s="124" t="inlineStr">
        <is>
          <t>O</t>
        </is>
      </c>
      <c r="E539" s="124" t="inlineStr">
        <is>
          <t>Walters Benedict Joseph</t>
        </is>
      </c>
      <c r="F539" s="125">
        <f>SUMIFS(Investors!$M:$M, Investors!$I:$I, "&lt;=" &amp; 'NSST Print'!$B$3, Investors!$K:$K, "&gt;" &amp; 'NSST Print'!$B$3, Investors!$A:$A, 'Investor Exit List'!A539, Investors!$E:$E, 'Investor Exit List'!C539)</f>
        <v/>
      </c>
      <c r="G539" s="126" t="n">
        <v>45016</v>
      </c>
      <c r="H539" s="124">
        <f>VLOOKUP($C539,Sales!$C:$E,2,FALSE)</f>
        <v/>
      </c>
      <c r="I539" s="124">
        <f>VLOOKUP($C539,Sales!$C:$E,3,FALSE)</f>
        <v/>
      </c>
      <c r="J539" s="126">
        <f>SUMIFS(Sales!$H:$H,Sales!$C:$C,'Investor Exit List'!$C539)</f>
        <v/>
      </c>
      <c r="K539" s="126">
        <f>IF(I539=TRUE,J539,"")</f>
        <v/>
      </c>
      <c r="L539" s="126">
        <f>G539+730</f>
        <v/>
      </c>
      <c r="M539" s="126" t="n">
        <v>45443</v>
      </c>
      <c r="N539" s="127">
        <f>IFERROR(IF(G539&lt;&gt;"",IF(I539=TRUE,0,IF(U539=TRUE,0,L539-M539)),0),0)</f>
        <v/>
      </c>
      <c r="O539" s="127">
        <f>IF(N539&gt;0,IF(N539&lt;=180,N539,0),0)</f>
        <v/>
      </c>
      <c r="P539" s="125">
        <f>IF(AND(N539&lt;90,N539&gt;0),Q539,0)</f>
        <v/>
      </c>
      <c r="Q539" s="125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25">
        <f>IF(AND(H539=TRUE,I539=FALSE),Q539,0)</f>
        <v/>
      </c>
      <c r="S539" s="125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26">
        <f>IF(U539=TRUE,$J539,"")</f>
        <v/>
      </c>
      <c r="U539" s="124" t="b">
        <v>0</v>
      </c>
      <c r="V539" s="125">
        <f>IF(AND(H539=TRUE,OR(K539="",K539&gt;M539)),S539,0)</f>
        <v/>
      </c>
      <c r="W539" s="124" t="n">
        <v>0</v>
      </c>
      <c r="X539" s="124" t="b">
        <v>0</v>
      </c>
      <c r="Y539" s="127">
        <f>IF(H539=FALSE,VLOOKUP($C539,Sales!$C:$F,4,FALSE),1)</f>
        <v/>
      </c>
      <c r="Z539" s="124">
        <f>IF(Y539=0,"Release",IF(AND(L539&lt;J539,Y539=1,H539=FALSE,U539=FALSE,MONTH(L539)&amp;"/"&amp;YEAR(L539)&lt;&gt;MONTH(J539)&amp;"/"&amp;YEAR(J539)),"Release",""))</f>
        <v/>
      </c>
      <c r="AA539" s="128">
        <f>_xlfn.minifs($L:$L,$C:$C,$C539,$F:$F,"&lt;&gt;0")</f>
        <v/>
      </c>
      <c r="AB539" s="128">
        <f>C539&amp;"-"&amp;A539</f>
        <v/>
      </c>
      <c r="AC539" s="128">
        <f>L539</f>
        <v/>
      </c>
    </row>
    <row r="540">
      <c r="A540" s="124" t="inlineStr">
        <is>
          <t>ZCRO01</t>
        </is>
      </c>
      <c r="B540" s="124" t="n">
        <v>11</v>
      </c>
      <c r="C540" s="124" t="inlineStr">
        <is>
          <t>HVO203</t>
        </is>
      </c>
      <c r="D540" s="124" t="inlineStr">
        <is>
          <t>O</t>
        </is>
      </c>
      <c r="E540" s="124" t="inlineStr">
        <is>
          <t>Lunau Marc</t>
        </is>
      </c>
      <c r="F540" s="125">
        <f>SUMIFS(Investors!$M:$M, Investors!$I:$I, "&lt;=" &amp; 'NSST Print'!$B$3, Investors!$K:$K, "&gt;" &amp; 'NSST Print'!$B$3, Investors!$A:$A, 'Investor Exit List'!A540, Investors!$E:$E, 'Investor Exit List'!C540)</f>
        <v/>
      </c>
      <c r="G540" s="126" t="n">
        <v>45072</v>
      </c>
      <c r="H540" s="124">
        <f>VLOOKUP($C540,Sales!$C:$E,2,FALSE)</f>
        <v/>
      </c>
      <c r="I540" s="124">
        <f>VLOOKUP($C540,Sales!$C:$E,3,FALSE)</f>
        <v/>
      </c>
      <c r="J540" s="126">
        <f>SUMIFS(Sales!$H:$H,Sales!$C:$C,'Investor Exit List'!$C540)</f>
        <v/>
      </c>
      <c r="K540" s="126">
        <f>IF(I540=TRUE,J540,"")</f>
        <v/>
      </c>
      <c r="L540" s="126">
        <f>G540+730</f>
        <v/>
      </c>
      <c r="M540" s="126" t="n">
        <v>45443</v>
      </c>
      <c r="N540" s="127">
        <f>IFERROR(IF(G540&lt;&gt;"",IF(I540=TRUE,0,IF(U540=TRUE,0,L540-M540)),0),0)</f>
        <v/>
      </c>
      <c r="O540" s="127">
        <f>IF(N540&gt;0,IF(N540&lt;=180,N540,0),0)</f>
        <v/>
      </c>
      <c r="P540" s="125">
        <f>IF(AND(N540&lt;90,N540&gt;0),Q540,0)</f>
        <v/>
      </c>
      <c r="Q540" s="125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25">
        <f>IF(AND(H540=TRUE,I540=FALSE),Q540,0)</f>
        <v/>
      </c>
      <c r="S540" s="125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26">
        <f>IF(U540=TRUE,$J540,"")</f>
        <v/>
      </c>
      <c r="U540" s="124" t="b">
        <v>0</v>
      </c>
      <c r="V540" s="125">
        <f>IF(AND(H540=TRUE,OR(K540="",K540&gt;M540)),S540,0)</f>
        <v/>
      </c>
      <c r="W540" s="124" t="n">
        <v>0</v>
      </c>
      <c r="X540" s="124" t="b">
        <v>0</v>
      </c>
      <c r="Y540" s="127">
        <f>IF(H540=FALSE,VLOOKUP($C540,Sales!$C:$F,4,FALSE),1)</f>
        <v/>
      </c>
      <c r="Z540" s="124">
        <f>IF(Y540=0,"Release",IF(AND(L540&lt;J540,Y540=1,H540=FALSE,U540=FALSE,MONTH(L540)&amp;"/"&amp;YEAR(L540)&lt;&gt;MONTH(J540)&amp;"/"&amp;YEAR(J540)),"Release",""))</f>
        <v/>
      </c>
      <c r="AA540" s="128">
        <f>_xlfn.minifs($L:$L,$C:$C,$C540,$F:$F,"&lt;&gt;0")</f>
        <v/>
      </c>
      <c r="AB540" s="128">
        <f>C540&amp;"-"&amp;A540</f>
        <v/>
      </c>
      <c r="AC540" s="128">
        <f>L540</f>
        <v/>
      </c>
    </row>
    <row r="541">
      <c r="A541" s="124" t="inlineStr">
        <is>
          <t>ZKRU01</t>
        </is>
      </c>
      <c r="B541" s="124" t="n">
        <v>7</v>
      </c>
      <c r="C541" s="124" t="inlineStr">
        <is>
          <t>HVO203</t>
        </is>
      </c>
      <c r="D541" s="124" t="inlineStr">
        <is>
          <t>O</t>
        </is>
      </c>
      <c r="E541" s="124" t="inlineStr">
        <is>
          <t>Kruger Jurgen</t>
        </is>
      </c>
      <c r="F541" s="125">
        <f>SUMIFS(Investors!$M:$M, Investors!$I:$I, "&lt;=" &amp; 'NSST Print'!$B$3, Investors!$K:$K, "&gt;" &amp; 'NSST Print'!$B$3, Investors!$A:$A, 'Investor Exit List'!A541, Investors!$E:$E, 'Investor Exit List'!C541)</f>
        <v/>
      </c>
      <c r="G541" s="126" t="n">
        <v>45072</v>
      </c>
      <c r="H541" s="124">
        <f>VLOOKUP($C541,Sales!$C:$E,2,FALSE)</f>
        <v/>
      </c>
      <c r="I541" s="124">
        <f>VLOOKUP($C541,Sales!$C:$E,3,FALSE)</f>
        <v/>
      </c>
      <c r="J541" s="126">
        <f>SUMIFS(Sales!$H:$H,Sales!$C:$C,'Investor Exit List'!$C541)</f>
        <v/>
      </c>
      <c r="K541" s="126">
        <f>IF(I541=TRUE,J541,"")</f>
        <v/>
      </c>
      <c r="L541" s="126">
        <f>G541+730</f>
        <v/>
      </c>
      <c r="M541" s="126" t="n">
        <v>45443</v>
      </c>
      <c r="N541" s="127">
        <f>IFERROR(IF(G541&lt;&gt;"",IF(I541=TRUE,0,IF(U541=TRUE,0,L541-M541)),0),0)</f>
        <v/>
      </c>
      <c r="O541" s="127">
        <f>IF(N541&gt;0,IF(N541&lt;=180,N541,0),0)</f>
        <v/>
      </c>
      <c r="P541" s="125">
        <f>IF(AND(N541&lt;90,N541&gt;0),Q541,0)</f>
        <v/>
      </c>
      <c r="Q541" s="125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25">
        <f>IF(AND(H541=TRUE,I541=FALSE),Q541,0)</f>
        <v/>
      </c>
      <c r="S541" s="125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26">
        <f>IF(U541=TRUE,$J541,"")</f>
        <v/>
      </c>
      <c r="U541" s="124" t="b">
        <v>0</v>
      </c>
      <c r="V541" s="125">
        <f>IF(AND(H541=TRUE,OR(K541="",K541&gt;M541)),S541,0)</f>
        <v/>
      </c>
      <c r="W541" s="124" t="n">
        <v>0</v>
      </c>
      <c r="X541" s="124" t="b">
        <v>0</v>
      </c>
      <c r="Y541" s="127">
        <f>IF(H541=FALSE,VLOOKUP($C541,Sales!$C:$F,4,FALSE),1)</f>
        <v/>
      </c>
      <c r="Z541" s="124">
        <f>IF(Y541=0,"Release",IF(AND(L541&lt;J541,Y541=1,H541=FALSE,U541=FALSE,MONTH(L541)&amp;"/"&amp;YEAR(L541)&lt;&gt;MONTH(J541)&amp;"/"&amp;YEAR(J541)),"Release",""))</f>
        <v/>
      </c>
      <c r="AA541" s="128">
        <f>_xlfn.minifs($L:$L,$C:$C,$C541,$F:$F,"&lt;&gt;0")</f>
        <v/>
      </c>
      <c r="AB541" s="128">
        <f>C541&amp;"-"&amp;A541</f>
        <v/>
      </c>
      <c r="AC541" s="128">
        <f>L541</f>
        <v/>
      </c>
    </row>
    <row r="542">
      <c r="A542" s="124" t="inlineStr">
        <is>
          <t>ZVAL01</t>
        </is>
      </c>
      <c r="B542" s="124" t="n">
        <v>2</v>
      </c>
      <c r="C542" s="124" t="inlineStr">
        <is>
          <t>HVO203</t>
        </is>
      </c>
      <c r="D542" s="124" t="inlineStr">
        <is>
          <t>O</t>
        </is>
      </c>
      <c r="E542" s="124" t="inlineStr">
        <is>
          <t>Vallabh Manoj</t>
        </is>
      </c>
      <c r="F542" s="125">
        <f>SUMIFS(Investors!$M:$M, Investors!$I:$I, "&lt;=" &amp; 'NSST Print'!$B$3, Investors!$K:$K, "&gt;" &amp; 'NSST Print'!$B$3, Investors!$A:$A, 'Investor Exit List'!A542, Investors!$E:$E, 'Investor Exit List'!C542)</f>
        <v/>
      </c>
      <c r="G542" s="126" t="n">
        <v>45129</v>
      </c>
      <c r="H542" s="124">
        <f>VLOOKUP($C542,Sales!$C:$E,2,FALSE)</f>
        <v/>
      </c>
      <c r="I542" s="124">
        <f>VLOOKUP($C542,Sales!$C:$E,3,FALSE)</f>
        <v/>
      </c>
      <c r="J542" s="126">
        <f>SUMIFS(Sales!$H:$H,Sales!$C:$C,'Investor Exit List'!$C542)</f>
        <v/>
      </c>
      <c r="K542" s="126">
        <f>IF(I542=TRUE,J542,"")</f>
        <v/>
      </c>
      <c r="L542" s="126">
        <f>G542+730</f>
        <v/>
      </c>
      <c r="M542" s="126" t="n">
        <v>45443</v>
      </c>
      <c r="N542" s="127">
        <f>IFERROR(IF(G542&lt;&gt;"",IF(I542=TRUE,0,IF(U542=TRUE,0,L542-M542)),0),0)</f>
        <v/>
      </c>
      <c r="O542" s="127">
        <f>IF(N542&gt;0,IF(N542&lt;=180,N542,0),0)</f>
        <v/>
      </c>
      <c r="P542" s="125">
        <f>IF(AND(N542&lt;90,N542&gt;0),Q542,0)</f>
        <v/>
      </c>
      <c r="Q542" s="125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25">
        <f>IF(AND(H542=TRUE,I542=FALSE),Q542,0)</f>
        <v/>
      </c>
      <c r="S542" s="125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26">
        <f>IF(U542=TRUE,$J542,"")</f>
        <v/>
      </c>
      <c r="U542" s="124" t="b">
        <v>0</v>
      </c>
      <c r="V542" s="125">
        <f>IF(AND(H542=TRUE,OR(K542="",K542&gt;M542)),S542,0)</f>
        <v/>
      </c>
      <c r="W542" s="124" t="n">
        <v>0</v>
      </c>
      <c r="X542" s="124" t="b">
        <v>0</v>
      </c>
      <c r="Y542" s="127">
        <f>IF(H542=FALSE,VLOOKUP($C542,Sales!$C:$F,4,FALSE),1)</f>
        <v/>
      </c>
      <c r="Z542" s="124">
        <f>IF(Y542=0,"Release",IF(AND(L542&lt;J542,Y542=1,H542=FALSE,U542=FALSE,MONTH(L542)&amp;"/"&amp;YEAR(L542)&lt;&gt;MONTH(J542)&amp;"/"&amp;YEAR(J542)),"Release",""))</f>
        <v/>
      </c>
      <c r="AA542" s="128">
        <f>_xlfn.minifs($L:$L,$C:$C,$C542,$F:$F,"&lt;&gt;0")</f>
        <v/>
      </c>
      <c r="AB542" s="128">
        <f>C542&amp;"-"&amp;A542</f>
        <v/>
      </c>
      <c r="AC542" s="128">
        <f>L542</f>
        <v/>
      </c>
    </row>
    <row r="543">
      <c r="A543" s="124" t="inlineStr">
        <is>
          <t>ZLAB01</t>
        </is>
      </c>
      <c r="B543" s="124" t="n">
        <v>4</v>
      </c>
      <c r="C543" s="124" t="inlineStr">
        <is>
          <t>HVO204</t>
        </is>
      </c>
      <c r="D543" s="124" t="inlineStr">
        <is>
          <t>O</t>
        </is>
      </c>
      <c r="E543" s="124" t="inlineStr">
        <is>
          <t>Labuschagne Andre Jan</t>
        </is>
      </c>
      <c r="F543" s="125">
        <f>SUMIFS(Investors!$M:$M, Investors!$I:$I, "&lt;=" &amp; 'NSST Print'!$B$3, Investors!$K:$K, "&gt;" &amp; 'NSST Print'!$B$3, Investors!$A:$A, 'Investor Exit List'!A543, Investors!$E:$E, 'Investor Exit List'!C543)</f>
        <v/>
      </c>
      <c r="G543" s="126" t="n">
        <v>45072</v>
      </c>
      <c r="H543" s="124">
        <f>VLOOKUP($C543,Sales!$C:$E,2,FALSE)</f>
        <v/>
      </c>
      <c r="I543" s="124">
        <f>VLOOKUP($C543,Sales!$C:$E,3,FALSE)</f>
        <v/>
      </c>
      <c r="J543" s="126">
        <f>SUMIFS(Sales!$H:$H,Sales!$C:$C,'Investor Exit List'!$C543)</f>
        <v/>
      </c>
      <c r="K543" s="126">
        <f>IF(I543=TRUE,J543,"")</f>
        <v/>
      </c>
      <c r="L543" s="126">
        <f>G543+730</f>
        <v/>
      </c>
      <c r="M543" s="126" t="n">
        <v>45443</v>
      </c>
      <c r="N543" s="127">
        <f>IFERROR(IF(G543&lt;&gt;"",IF(I543=TRUE,0,IF(U543=TRUE,0,L543-M543)),0),0)</f>
        <v/>
      </c>
      <c r="O543" s="127">
        <f>IF(N543&gt;0,IF(N543&lt;=180,N543,0),0)</f>
        <v/>
      </c>
      <c r="P543" s="125">
        <f>IF(AND(N543&lt;90,N543&gt;0),Q543,0)</f>
        <v/>
      </c>
      <c r="Q543" s="125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25">
        <f>IF(AND(H543=TRUE,I543=FALSE),Q543,0)</f>
        <v/>
      </c>
      <c r="S543" s="125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26">
        <f>IF(U543=TRUE,$J543,"")</f>
        <v/>
      </c>
      <c r="U543" s="124" t="b">
        <v>0</v>
      </c>
      <c r="V543" s="125">
        <f>IF(AND(H543=TRUE,OR(K543="",K543&gt;M543)),S543,0)</f>
        <v/>
      </c>
      <c r="W543" s="124" t="n">
        <v>0</v>
      </c>
      <c r="X543" s="124" t="b">
        <v>0</v>
      </c>
      <c r="Y543" s="127">
        <f>IF(H543=FALSE,VLOOKUP($C543,Sales!$C:$F,4,FALSE),1)</f>
        <v/>
      </c>
      <c r="Z543" s="124">
        <f>IF(Y543=0,"Release",IF(AND(L543&lt;J543,Y543=1,H543=FALSE,U543=FALSE,MONTH(L543)&amp;"/"&amp;YEAR(L543)&lt;&gt;MONTH(J543)&amp;"/"&amp;YEAR(J543)),"Release",""))</f>
        <v/>
      </c>
      <c r="AA543" s="128">
        <f>_xlfn.minifs($L:$L,$C:$C,$C543,$F:$F,"&lt;&gt;0")</f>
        <v/>
      </c>
      <c r="AB543" s="128">
        <f>C543&amp;"-"&amp;A543</f>
        <v/>
      </c>
      <c r="AC543" s="128">
        <f>L543</f>
        <v/>
      </c>
    </row>
    <row r="544">
      <c r="A544" s="124" t="inlineStr">
        <is>
          <t>ZTSO01</t>
        </is>
      </c>
      <c r="B544" s="124" t="n">
        <v>2</v>
      </c>
      <c r="C544" s="124" t="inlineStr">
        <is>
          <t>HVO204</t>
        </is>
      </c>
      <c r="D544" s="124" t="inlineStr">
        <is>
          <t>O</t>
        </is>
      </c>
      <c r="E544" s="124" t="inlineStr">
        <is>
          <t>Tsoku Abram Matlotleng</t>
        </is>
      </c>
      <c r="F544" s="125">
        <f>SUMIFS(Investors!$M:$M, Investors!$I:$I, "&lt;=" &amp; 'NSST Print'!$B$3, Investors!$K:$K, "&gt;" &amp; 'NSST Print'!$B$3, Investors!$A:$A, 'Investor Exit List'!A544, Investors!$E:$E, 'Investor Exit List'!C544)</f>
        <v/>
      </c>
      <c r="G544" s="126" t="n">
        <v>45072</v>
      </c>
      <c r="H544" s="124">
        <f>VLOOKUP($C544,Sales!$C:$E,2,FALSE)</f>
        <v/>
      </c>
      <c r="I544" s="124">
        <f>VLOOKUP($C544,Sales!$C:$E,3,FALSE)</f>
        <v/>
      </c>
      <c r="J544" s="126">
        <f>SUMIFS(Sales!$H:$H,Sales!$C:$C,'Investor Exit List'!$C544)</f>
        <v/>
      </c>
      <c r="K544" s="126">
        <f>IF(I544=TRUE,J544,"")</f>
        <v/>
      </c>
      <c r="L544" s="126">
        <f>G544+730</f>
        <v/>
      </c>
      <c r="M544" s="126" t="n">
        <v>45443</v>
      </c>
      <c r="N544" s="127">
        <f>IFERROR(IF(G544&lt;&gt;"",IF(I544=TRUE,0,IF(U544=TRUE,0,L544-M544)),0),0)</f>
        <v/>
      </c>
      <c r="O544" s="127">
        <f>IF(N544&gt;0,IF(N544&lt;=180,N544,0),0)</f>
        <v/>
      </c>
      <c r="P544" s="125">
        <f>IF(AND(N544&lt;90,N544&gt;0),Q544,0)</f>
        <v/>
      </c>
      <c r="Q544" s="125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25">
        <f>IF(AND(H544=TRUE,I544=FALSE),Q544,0)</f>
        <v/>
      </c>
      <c r="S544" s="125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26">
        <f>IF(U544=TRUE,$J544,"")</f>
        <v/>
      </c>
      <c r="U544" s="124" t="b">
        <v>0</v>
      </c>
      <c r="V544" s="125">
        <f>IF(AND(H544=TRUE,OR(K544="",K544&gt;M544)),S544,0)</f>
        <v/>
      </c>
      <c r="W544" s="124" t="n">
        <v>0</v>
      </c>
      <c r="X544" s="124" t="b">
        <v>0</v>
      </c>
      <c r="Y544" s="127">
        <f>IF(H544=FALSE,VLOOKUP($C544,Sales!$C:$F,4,FALSE),1)</f>
        <v/>
      </c>
      <c r="Z544" s="124">
        <f>IF(Y544=0,"Release",IF(AND(L544&lt;J544,Y544=1,H544=FALSE,U544=FALSE,MONTH(L544)&amp;"/"&amp;YEAR(L544)&lt;&gt;MONTH(J544)&amp;"/"&amp;YEAR(J544)),"Release",""))</f>
        <v/>
      </c>
      <c r="AA544" s="128">
        <f>_xlfn.minifs($L:$L,$C:$C,$C544,$F:$F,"&lt;&gt;0")</f>
        <v/>
      </c>
      <c r="AB544" s="128">
        <f>C544&amp;"-"&amp;A544</f>
        <v/>
      </c>
      <c r="AC544" s="128">
        <f>L544</f>
        <v/>
      </c>
    </row>
    <row r="545">
      <c r="A545" s="124" t="inlineStr">
        <is>
          <t>ZKUS04</t>
        </is>
      </c>
      <c r="B545" s="124" t="n">
        <v>2</v>
      </c>
      <c r="C545" s="124" t="inlineStr">
        <is>
          <t>HVO205</t>
        </is>
      </c>
      <c r="D545" s="124" t="inlineStr">
        <is>
          <t>O</t>
        </is>
      </c>
      <c r="E545" s="124" t="inlineStr">
        <is>
          <t>Kusel Willie</t>
        </is>
      </c>
      <c r="F545" s="125">
        <f>SUMIFS(Investors!$M:$M, Investors!$I:$I, "&lt;=" &amp; 'NSST Print'!$B$3, Investors!$K:$K, "&gt;" &amp; 'NSST Print'!$B$3, Investors!$A:$A, 'Investor Exit List'!A545, Investors!$E:$E, 'Investor Exit List'!C545)</f>
        <v/>
      </c>
      <c r="G545" s="126" t="n">
        <v>45072</v>
      </c>
      <c r="H545" s="124">
        <f>VLOOKUP($C545,Sales!$C:$E,2,FALSE)</f>
        <v/>
      </c>
      <c r="I545" s="124">
        <f>VLOOKUP($C545,Sales!$C:$E,3,FALSE)</f>
        <v/>
      </c>
      <c r="J545" s="126">
        <f>SUMIFS(Sales!$H:$H,Sales!$C:$C,'Investor Exit List'!$C545)</f>
        <v/>
      </c>
      <c r="K545" s="126">
        <f>IF(I545=TRUE,J545,"")</f>
        <v/>
      </c>
      <c r="L545" s="126">
        <f>G545+730</f>
        <v/>
      </c>
      <c r="M545" s="126" t="n">
        <v>45443</v>
      </c>
      <c r="N545" s="127">
        <f>IFERROR(IF(G545&lt;&gt;"",IF(I545=TRUE,0,IF(U545=TRUE,0,L545-M545)),0),0)</f>
        <v/>
      </c>
      <c r="O545" s="127">
        <f>IF(N545&gt;0,IF(N545&lt;=180,N545,0),0)</f>
        <v/>
      </c>
      <c r="P545" s="125">
        <f>IF(AND(N545&lt;90,N545&gt;0),Q545,0)</f>
        <v/>
      </c>
      <c r="Q545" s="125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25">
        <f>IF(AND(H545=TRUE,I545=FALSE),Q545,0)</f>
        <v/>
      </c>
      <c r="S545" s="125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26">
        <f>IF(U545=TRUE,$J545,"")</f>
        <v/>
      </c>
      <c r="U545" s="124" t="b">
        <v>0</v>
      </c>
      <c r="V545" s="125">
        <f>IF(AND(H545=TRUE,OR(K545="",K545&gt;M545)),S545,0)</f>
        <v/>
      </c>
      <c r="W545" s="124" t="n">
        <v>0</v>
      </c>
      <c r="X545" s="124" t="b">
        <v>0</v>
      </c>
      <c r="Y545" s="127">
        <f>IF(H545=FALSE,VLOOKUP($C545,Sales!$C:$F,4,FALSE),1)</f>
        <v/>
      </c>
      <c r="Z545" s="124">
        <f>IF(Y545=0,"Release",IF(AND(L545&lt;J545,Y545=1,H545=FALSE,U545=FALSE,MONTH(L545)&amp;"/"&amp;YEAR(L545)&lt;&gt;MONTH(J545)&amp;"/"&amp;YEAR(J545)),"Release",""))</f>
        <v/>
      </c>
      <c r="AA545" s="128">
        <f>_xlfn.minifs($L:$L,$C:$C,$C545,$F:$F,"&lt;&gt;0")</f>
        <v/>
      </c>
      <c r="AB545" s="128">
        <f>C545&amp;"-"&amp;A545</f>
        <v/>
      </c>
      <c r="AC545" s="128">
        <f>L545</f>
        <v/>
      </c>
    </row>
    <row r="546">
      <c r="A546" s="124" t="inlineStr">
        <is>
          <t>ZVAN10</t>
        </is>
      </c>
      <c r="B546" s="124" t="n">
        <v>2</v>
      </c>
      <c r="C546" s="124" t="inlineStr">
        <is>
          <t>HVO205</t>
        </is>
      </c>
      <c r="D546" s="124" t="inlineStr">
        <is>
          <t>O</t>
        </is>
      </c>
      <c r="E546" s="124" t="inlineStr">
        <is>
          <t>van der Merwe Wilhelm Johannes</t>
        </is>
      </c>
      <c r="F546" s="125">
        <f>SUMIFS(Investors!$M:$M, Investors!$I:$I, "&lt;=" &amp; 'NSST Print'!$B$3, Investors!$K:$K, "&gt;" &amp; 'NSST Print'!$B$3, Investors!$A:$A, 'Investor Exit List'!A546, Investors!$E:$E, 'Investor Exit List'!C546)</f>
        <v/>
      </c>
      <c r="G546" s="126" t="n">
        <v>45072</v>
      </c>
      <c r="H546" s="124">
        <f>VLOOKUP($C546,Sales!$C:$E,2,FALSE)</f>
        <v/>
      </c>
      <c r="I546" s="124">
        <f>VLOOKUP($C546,Sales!$C:$E,3,FALSE)</f>
        <v/>
      </c>
      <c r="J546" s="126">
        <f>SUMIFS(Sales!$H:$H,Sales!$C:$C,'Investor Exit List'!$C546)</f>
        <v/>
      </c>
      <c r="K546" s="126">
        <f>IF(I546=TRUE,J546,"")</f>
        <v/>
      </c>
      <c r="L546" s="126">
        <f>G546+730</f>
        <v/>
      </c>
      <c r="M546" s="126" t="n">
        <v>45443</v>
      </c>
      <c r="N546" s="127">
        <f>IFERROR(IF(G546&lt;&gt;"",IF(I546=TRUE,0,IF(U546=TRUE,0,L546-M546)),0),0)</f>
        <v/>
      </c>
      <c r="O546" s="127">
        <f>IF(N546&gt;0,IF(N546&lt;=180,N546,0),0)</f>
        <v/>
      </c>
      <c r="P546" s="125">
        <f>IF(AND(N546&lt;90,N546&gt;0),Q546,0)</f>
        <v/>
      </c>
      <c r="Q546" s="125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25">
        <f>IF(AND(H546=TRUE,I546=FALSE),Q546,0)</f>
        <v/>
      </c>
      <c r="S546" s="125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26">
        <f>IF(U546=TRUE,$J546,"")</f>
        <v/>
      </c>
      <c r="U546" s="124" t="b">
        <v>0</v>
      </c>
      <c r="V546" s="125">
        <f>IF(AND(H546=TRUE,OR(K546="",K546&gt;M546)),S546,0)</f>
        <v/>
      </c>
      <c r="W546" s="124" t="n">
        <v>0</v>
      </c>
      <c r="X546" s="124" t="b">
        <v>0</v>
      </c>
      <c r="Y546" s="127">
        <f>IF(H546=FALSE,VLOOKUP($C546,Sales!$C:$F,4,FALSE),1)</f>
        <v/>
      </c>
      <c r="Z546" s="124">
        <f>IF(Y546=0,"Release",IF(AND(L546&lt;J546,Y546=1,H546=FALSE,U546=FALSE,MONTH(L546)&amp;"/"&amp;YEAR(L546)&lt;&gt;MONTH(J546)&amp;"/"&amp;YEAR(J546)),"Release",""))</f>
        <v/>
      </c>
      <c r="AA546" s="128">
        <f>_xlfn.minifs($L:$L,$C:$C,$C546,$F:$F,"&lt;&gt;0")</f>
        <v/>
      </c>
      <c r="AB546" s="128">
        <f>C546&amp;"-"&amp;A546</f>
        <v/>
      </c>
      <c r="AC546" s="128">
        <f>L546</f>
        <v/>
      </c>
    </row>
    <row r="547">
      <c r="A547" s="124" t="inlineStr">
        <is>
          <t>ZDEV02</t>
        </is>
      </c>
      <c r="B547" s="124" t="n">
        <v>1</v>
      </c>
      <c r="C547" s="124" t="inlineStr">
        <is>
          <t>HVO301</t>
        </is>
      </c>
      <c r="D547" s="124" t="inlineStr">
        <is>
          <t>O</t>
        </is>
      </c>
      <c r="E547" s="124" t="inlineStr">
        <is>
          <t>de Villiers André Deric</t>
        </is>
      </c>
      <c r="F547" s="125">
        <f>SUMIFS(Investors!$M:$M, Investors!$I:$I, "&lt;=" &amp; 'NSST Print'!$B$3, Investors!$K:$K, "&gt;" &amp; 'NSST Print'!$B$3, Investors!$A:$A, 'Investor Exit List'!A547, Investors!$E:$E, 'Investor Exit List'!C547)</f>
        <v/>
      </c>
      <c r="G547" s="126" t="n">
        <v>45107</v>
      </c>
      <c r="H547" s="124">
        <f>VLOOKUP($C547,Sales!$C:$E,2,FALSE)</f>
        <v/>
      </c>
      <c r="I547" s="124">
        <f>VLOOKUP($C547,Sales!$C:$E,3,FALSE)</f>
        <v/>
      </c>
      <c r="J547" s="126">
        <f>SUMIFS(Sales!$H:$H,Sales!$C:$C,'Investor Exit List'!$C547)</f>
        <v/>
      </c>
      <c r="K547" s="126">
        <f>IF(I547=TRUE,J547,"")</f>
        <v/>
      </c>
      <c r="L547" s="126">
        <f>G547+730</f>
        <v/>
      </c>
      <c r="M547" s="126" t="n">
        <v>45443</v>
      </c>
      <c r="N547" s="127">
        <f>IFERROR(IF(G547&lt;&gt;"",IF(I547=TRUE,0,IF(U547=TRUE,0,L547-M547)),0),0)</f>
        <v/>
      </c>
      <c r="O547" s="127">
        <f>IF(N547&gt;0,IF(N547&lt;=180,N547,0),0)</f>
        <v/>
      </c>
      <c r="P547" s="125">
        <f>IF(AND(N547&lt;90,N547&gt;0),Q547,0)</f>
        <v/>
      </c>
      <c r="Q547" s="125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25">
        <f>IF(AND(H547=TRUE,I547=FALSE),Q547,0)</f>
        <v/>
      </c>
      <c r="S547" s="125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26">
        <f>IF(U547=TRUE,$J547,"")</f>
        <v/>
      </c>
      <c r="U547" s="124" t="b">
        <v>0</v>
      </c>
      <c r="V547" s="125">
        <f>IF(AND(H547=TRUE,OR(K547="",K547&gt;M547)),S547,0)</f>
        <v/>
      </c>
      <c r="W547" s="124" t="n">
        <v>0</v>
      </c>
      <c r="X547" s="124" t="b">
        <v>0</v>
      </c>
      <c r="Y547" s="127">
        <f>IF(H547=FALSE,VLOOKUP($C547,Sales!$C:$F,4,FALSE),1)</f>
        <v/>
      </c>
      <c r="Z547" s="124">
        <f>IF(Y547=0,"Release",IF(AND(L547&lt;J547,Y547=1,H547=FALSE,U547=FALSE,MONTH(L547)&amp;"/"&amp;YEAR(L547)&lt;&gt;MONTH(J547)&amp;"/"&amp;YEAR(J547)),"Release",""))</f>
        <v/>
      </c>
      <c r="AA547" s="128">
        <f>_xlfn.minifs($L:$L,$C:$C,$C547,$F:$F,"&lt;&gt;0")</f>
        <v/>
      </c>
      <c r="AB547" s="128">
        <f>C547&amp;"-"&amp;A547</f>
        <v/>
      </c>
      <c r="AC547" s="128">
        <f>L547</f>
        <v/>
      </c>
    </row>
    <row r="548">
      <c r="A548" s="124" t="inlineStr">
        <is>
          <t>ZGOF01</t>
        </is>
      </c>
      <c r="B548" s="124" t="n">
        <v>3</v>
      </c>
      <c r="C548" s="124" t="inlineStr">
        <is>
          <t>HVO301</t>
        </is>
      </c>
      <c r="D548" s="124" t="inlineStr">
        <is>
          <t>O</t>
        </is>
      </c>
      <c r="E548" s="124" t="inlineStr">
        <is>
          <t>Goff Angela</t>
        </is>
      </c>
      <c r="F548" s="125">
        <f>SUMIFS(Investors!$M:$M, Investors!$I:$I, "&lt;=" &amp; 'NSST Print'!$B$3, Investors!$K:$K, "&gt;" &amp; 'NSST Print'!$B$3, Investors!$A:$A, 'Investor Exit List'!A548, Investors!$E:$E, 'Investor Exit List'!C548)</f>
        <v/>
      </c>
      <c r="G548" s="126" t="n">
        <v>45129</v>
      </c>
      <c r="H548" s="124">
        <f>VLOOKUP($C548,Sales!$C:$E,2,FALSE)</f>
        <v/>
      </c>
      <c r="I548" s="124">
        <f>VLOOKUP($C548,Sales!$C:$E,3,FALSE)</f>
        <v/>
      </c>
      <c r="J548" s="126">
        <f>SUMIFS(Sales!$H:$H,Sales!$C:$C,'Investor Exit List'!$C548)</f>
        <v/>
      </c>
      <c r="K548" s="126">
        <f>IF(I548=TRUE,J548,"")</f>
        <v/>
      </c>
      <c r="L548" s="126">
        <f>G548+730</f>
        <v/>
      </c>
      <c r="M548" s="126" t="n">
        <v>45443</v>
      </c>
      <c r="N548" s="127">
        <f>IFERROR(IF(G548&lt;&gt;"",IF(I548=TRUE,0,IF(U548=TRUE,0,L548-M548)),0),0)</f>
        <v/>
      </c>
      <c r="O548" s="127">
        <f>IF(N548&gt;0,IF(N548&lt;=180,N548,0),0)</f>
        <v/>
      </c>
      <c r="P548" s="125">
        <f>IF(AND(N548&lt;90,N548&gt;0),Q548,0)</f>
        <v/>
      </c>
      <c r="Q548" s="125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25">
        <f>IF(AND(H548=TRUE,I548=FALSE),Q548,0)</f>
        <v/>
      </c>
      <c r="S548" s="125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26">
        <f>IF(U548=TRUE,$J548,"")</f>
        <v/>
      </c>
      <c r="U548" s="124" t="b">
        <v>0</v>
      </c>
      <c r="V548" s="125">
        <f>IF(AND(H548=TRUE,OR(K548="",K548&gt;M548)),S548,0)</f>
        <v/>
      </c>
      <c r="W548" s="124" t="n">
        <v>0</v>
      </c>
      <c r="X548" s="124" t="b">
        <v>0</v>
      </c>
      <c r="Y548" s="127">
        <f>IF(H548=FALSE,VLOOKUP($C548,Sales!$C:$F,4,FALSE),1)</f>
        <v/>
      </c>
      <c r="Z548" s="124">
        <f>IF(Y548=0,"Release",IF(AND(L548&lt;J548,Y548=1,H548=FALSE,U548=FALSE,MONTH(L548)&amp;"/"&amp;YEAR(L548)&lt;&gt;MONTH(J548)&amp;"/"&amp;YEAR(J548)),"Release",""))</f>
        <v/>
      </c>
      <c r="AA548" s="128">
        <f>_xlfn.minifs($L:$L,$C:$C,$C548,$F:$F,"&lt;&gt;0")</f>
        <v/>
      </c>
      <c r="AB548" s="128">
        <f>C548&amp;"-"&amp;A548</f>
        <v/>
      </c>
      <c r="AC548" s="128">
        <f>L548</f>
        <v/>
      </c>
    </row>
    <row r="549">
      <c r="A549" s="124" t="inlineStr">
        <is>
          <t>ZLAM01</t>
        </is>
      </c>
      <c r="B549" s="124" t="n">
        <v>1</v>
      </c>
      <c r="C549" s="124" t="inlineStr">
        <is>
          <t>HVO301</t>
        </is>
      </c>
      <c r="D549" s="124" t="inlineStr">
        <is>
          <t>O</t>
        </is>
      </c>
      <c r="E549" s="124" t="inlineStr">
        <is>
          <t>Lamb Oswald Robert (Ossie)</t>
        </is>
      </c>
      <c r="F549" s="125">
        <f>SUMIFS(Investors!$M:$M, Investors!$I:$I, "&lt;=" &amp; 'NSST Print'!$B$3, Investors!$K:$K, "&gt;" &amp; 'NSST Print'!$B$3, Investors!$A:$A, 'Investor Exit List'!A549, Investors!$E:$E, 'Investor Exit List'!C549)</f>
        <v/>
      </c>
      <c r="G549" s="126" t="n">
        <v>45252</v>
      </c>
      <c r="H549" s="124">
        <f>VLOOKUP($C549,Sales!$C:$E,2,FALSE)</f>
        <v/>
      </c>
      <c r="I549" s="124">
        <f>VLOOKUP($C549,Sales!$C:$E,3,FALSE)</f>
        <v/>
      </c>
      <c r="J549" s="126">
        <f>SUMIFS(Sales!$H:$H,Sales!$C:$C,'Investor Exit List'!$C549)</f>
        <v/>
      </c>
      <c r="K549" s="126">
        <f>IF(I549=TRUE,J549,"")</f>
        <v/>
      </c>
      <c r="L549" s="126">
        <f>G549+730</f>
        <v/>
      </c>
      <c r="M549" s="126" t="n">
        <v>45443</v>
      </c>
      <c r="N549" s="127">
        <f>IFERROR(IF(G549&lt;&gt;"",IF(I549=TRUE,0,IF(U549=TRUE,0,L549-M549)),0),0)</f>
        <v/>
      </c>
      <c r="O549" s="127">
        <f>IF(N549&gt;0,IF(N549&lt;=180,N549,0),0)</f>
        <v/>
      </c>
      <c r="P549" s="125">
        <f>IF(AND(N549&lt;90,N549&gt;0),Q549,0)</f>
        <v/>
      </c>
      <c r="Q549" s="125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25">
        <f>IF(AND(H549=TRUE,I549=FALSE),Q549,0)</f>
        <v/>
      </c>
      <c r="S549" s="125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26">
        <f>IF(U549=TRUE,$J549,"")</f>
        <v/>
      </c>
      <c r="U549" s="124" t="b">
        <v>0</v>
      </c>
      <c r="V549" s="125">
        <f>IF(AND(H549=TRUE,OR(K549="",K549&gt;M549)),S549,0)</f>
        <v/>
      </c>
      <c r="W549" s="124" t="n">
        <v>0</v>
      </c>
      <c r="X549" s="124" t="b">
        <v>0</v>
      </c>
      <c r="Y549" s="127">
        <f>IF(H549=FALSE,VLOOKUP($C549,Sales!$C:$F,4,FALSE),1)</f>
        <v/>
      </c>
      <c r="Z549" s="124">
        <f>IF(Y549=0,"Release",IF(AND(L549&lt;J549,Y549=1,H549=FALSE,U549=FALSE,MONTH(L549)&amp;"/"&amp;YEAR(L549)&lt;&gt;MONTH(J549)&amp;"/"&amp;YEAR(J549)),"Release",""))</f>
        <v/>
      </c>
      <c r="AA549" s="128">
        <f>_xlfn.minifs($L:$L,$C:$C,$C549,$F:$F,"&lt;&gt;0")</f>
        <v/>
      </c>
      <c r="AB549" s="128">
        <f>C549&amp;"-"&amp;A549</f>
        <v/>
      </c>
      <c r="AC549" s="128">
        <f>L549</f>
        <v/>
      </c>
    </row>
    <row r="550">
      <c r="A550" s="124" t="inlineStr">
        <is>
          <t>ZMAT04</t>
        </is>
      </c>
      <c r="B550" s="124" t="n">
        <v>1</v>
      </c>
      <c r="C550" s="124" t="inlineStr">
        <is>
          <t>HVO301</t>
        </is>
      </c>
      <c r="D550" s="124" t="inlineStr">
        <is>
          <t>O</t>
        </is>
      </c>
      <c r="E550" s="124" t="inlineStr">
        <is>
          <t>Matang Mosweu Abraham Stephen</t>
        </is>
      </c>
      <c r="F550" s="125">
        <f>SUMIFS(Investors!$M:$M, Investors!$I:$I, "&lt;=" &amp; 'NSST Print'!$B$3, Investors!$K:$K, "&gt;" &amp; 'NSST Print'!$B$3, Investors!$A:$A, 'Investor Exit List'!A550, Investors!$E:$E, 'Investor Exit List'!C550)</f>
        <v/>
      </c>
      <c r="G550" s="126" t="n">
        <v>45273</v>
      </c>
      <c r="H550" s="124">
        <f>VLOOKUP($C550,Sales!$C:$E,2,FALSE)</f>
        <v/>
      </c>
      <c r="I550" s="124">
        <f>VLOOKUP($C550,Sales!$C:$E,3,FALSE)</f>
        <v/>
      </c>
      <c r="J550" s="126">
        <f>SUMIFS(Sales!$H:$H,Sales!$C:$C,'Investor Exit List'!$C550)</f>
        <v/>
      </c>
      <c r="K550" s="126">
        <f>IF(I550=TRUE,J550,"")</f>
        <v/>
      </c>
      <c r="L550" s="126">
        <f>G550+730</f>
        <v/>
      </c>
      <c r="M550" s="126" t="n">
        <v>45443</v>
      </c>
      <c r="N550" s="127">
        <f>IFERROR(IF(G550&lt;&gt;"",IF(I550=TRUE,0,IF(U550=TRUE,0,L550-M550)),0),0)</f>
        <v/>
      </c>
      <c r="O550" s="127">
        <f>IF(N550&gt;0,IF(N550&lt;=180,N550,0),0)</f>
        <v/>
      </c>
      <c r="P550" s="125">
        <f>IF(AND(N550&lt;90,N550&gt;0),Q550,0)</f>
        <v/>
      </c>
      <c r="Q550" s="125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25">
        <f>IF(AND(H550=TRUE,I550=FALSE),Q550,0)</f>
        <v/>
      </c>
      <c r="S550" s="125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26">
        <f>IF(U550=TRUE,$J550,"")</f>
        <v/>
      </c>
      <c r="U550" s="124" t="b">
        <v>0</v>
      </c>
      <c r="V550" s="125">
        <f>IF(AND(H550=TRUE,OR(K550="",K550&gt;M550)),S550,0)</f>
        <v/>
      </c>
      <c r="W550" s="124" t="n">
        <v>0</v>
      </c>
      <c r="X550" s="124" t="b">
        <v>0</v>
      </c>
      <c r="Y550" s="127">
        <f>IF(H550=FALSE,VLOOKUP($C550,Sales!$C:$F,4,FALSE),1)</f>
        <v/>
      </c>
      <c r="Z550" s="124">
        <f>IF(Y550=0,"Release",IF(AND(L550&lt;J550,Y550=1,H550=FALSE,U550=FALSE,MONTH(L550)&amp;"/"&amp;YEAR(L550)&lt;&gt;MONTH(J550)&amp;"/"&amp;YEAR(J550)),"Release",""))</f>
        <v/>
      </c>
      <c r="AA550" s="128">
        <f>_xlfn.minifs($L:$L,$C:$C,$C550,$F:$F,"&lt;&gt;0")</f>
        <v/>
      </c>
      <c r="AB550" s="128">
        <f>C550&amp;"-"&amp;A550</f>
        <v/>
      </c>
      <c r="AC550" s="128">
        <f>L550</f>
        <v/>
      </c>
    </row>
    <row r="551">
      <c r="A551" s="124" t="inlineStr">
        <is>
          <t>ZVAN08</t>
        </is>
      </c>
      <c r="B551" s="124" t="n">
        <v>2</v>
      </c>
      <c r="C551" s="124" t="inlineStr">
        <is>
          <t>HVO301</t>
        </is>
      </c>
      <c r="D551" s="124" t="inlineStr">
        <is>
          <t>O</t>
        </is>
      </c>
      <c r="E551" s="124" t="inlineStr">
        <is>
          <t>van der Mescht Andree-Lauren</t>
        </is>
      </c>
      <c r="F551" s="125">
        <f>SUMIFS(Investors!$M:$M, Investors!$I:$I, "&lt;=" &amp; 'NSST Print'!$B$3, Investors!$K:$K, "&gt;" &amp; 'NSST Print'!$B$3, Investors!$A:$A, 'Investor Exit List'!A551, Investors!$E:$E, 'Investor Exit List'!C551)</f>
        <v/>
      </c>
      <c r="G551" s="126" t="n">
        <v>45259</v>
      </c>
      <c r="H551" s="124">
        <f>VLOOKUP($C551,Sales!$C:$E,2,FALSE)</f>
        <v/>
      </c>
      <c r="I551" s="124">
        <f>VLOOKUP($C551,Sales!$C:$E,3,FALSE)</f>
        <v/>
      </c>
      <c r="J551" s="126">
        <f>SUMIFS(Sales!$H:$H,Sales!$C:$C,'Investor Exit List'!$C551)</f>
        <v/>
      </c>
      <c r="K551" s="126">
        <f>IF(I551=TRUE,J551,"")</f>
        <v/>
      </c>
      <c r="L551" s="126">
        <f>G551+730</f>
        <v/>
      </c>
      <c r="M551" s="126" t="n">
        <v>45443</v>
      </c>
      <c r="N551" s="127">
        <f>IFERROR(IF(G551&lt;&gt;"",IF(I551=TRUE,0,IF(U551=TRUE,0,L551-M551)),0),0)</f>
        <v/>
      </c>
      <c r="O551" s="127">
        <f>IF(N551&gt;0,IF(N551&lt;=180,N551,0),0)</f>
        <v/>
      </c>
      <c r="P551" s="125">
        <f>IF(AND(N551&lt;90,N551&gt;0),Q551,0)</f>
        <v/>
      </c>
      <c r="Q551" s="125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25">
        <f>IF(AND(H551=TRUE,I551=FALSE),Q551,0)</f>
        <v/>
      </c>
      <c r="S551" s="125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26">
        <f>IF(U551=TRUE,$J551,"")</f>
        <v/>
      </c>
      <c r="U551" s="124" t="b">
        <v>0</v>
      </c>
      <c r="V551" s="125">
        <f>IF(AND(H551=TRUE,OR(K551="",K551&gt;M551)),S551,0)</f>
        <v/>
      </c>
      <c r="W551" s="124" t="n">
        <v>0</v>
      </c>
      <c r="X551" s="124" t="b">
        <v>0</v>
      </c>
      <c r="Y551" s="127">
        <f>IF(H551=FALSE,VLOOKUP($C551,Sales!$C:$F,4,FALSE),1)</f>
        <v/>
      </c>
      <c r="Z551" s="124">
        <f>IF(Y551=0,"Release",IF(AND(L551&lt;J551,Y551=1,H551=FALSE,U551=FALSE,MONTH(L551)&amp;"/"&amp;YEAR(L551)&lt;&gt;MONTH(J551)&amp;"/"&amp;YEAR(J551)),"Release",""))</f>
        <v/>
      </c>
      <c r="AA551" s="128">
        <f>_xlfn.minifs($L:$L,$C:$C,$C551,$F:$F,"&lt;&gt;0")</f>
        <v/>
      </c>
      <c r="AB551" s="128">
        <f>C551&amp;"-"&amp;A551</f>
        <v/>
      </c>
      <c r="AC551" s="128">
        <f>L551</f>
        <v/>
      </c>
    </row>
    <row r="552">
      <c r="A552" s="124" t="inlineStr">
        <is>
          <t>ZLER02</t>
        </is>
      </c>
      <c r="B552" s="124" t="n">
        <v>1</v>
      </c>
      <c r="C552" s="124" t="inlineStr">
        <is>
          <t>HVO302</t>
        </is>
      </c>
      <c r="D552" s="124" t="inlineStr">
        <is>
          <t>O</t>
        </is>
      </c>
      <c r="E552" s="124" t="inlineStr">
        <is>
          <t>le Roux Jacques</t>
        </is>
      </c>
      <c r="F552" s="125">
        <f>SUMIFS(Investors!$M:$M, Investors!$I:$I, "&lt;=" &amp; 'NSST Print'!$B$3, Investors!$K:$K, "&gt;" &amp; 'NSST Print'!$B$3, Investors!$A:$A, 'Investor Exit List'!A552, Investors!$E:$E, 'Investor Exit List'!C552)</f>
        <v/>
      </c>
      <c r="G552" s="126" t="n">
        <v>45129</v>
      </c>
      <c r="H552" s="124">
        <f>VLOOKUP($C552,Sales!$C:$E,2,FALSE)</f>
        <v/>
      </c>
      <c r="I552" s="124">
        <f>VLOOKUP($C552,Sales!$C:$E,3,FALSE)</f>
        <v/>
      </c>
      <c r="J552" s="126">
        <f>SUMIFS(Sales!$H:$H,Sales!$C:$C,'Investor Exit List'!$C552)</f>
        <v/>
      </c>
      <c r="K552" s="126">
        <f>IF(I552=TRUE,J552,"")</f>
        <v/>
      </c>
      <c r="L552" s="126">
        <f>G552+730</f>
        <v/>
      </c>
      <c r="M552" s="126" t="n">
        <v>45443</v>
      </c>
      <c r="N552" s="127">
        <f>IFERROR(IF(G552&lt;&gt;"",IF(I552=TRUE,0,IF(U552=TRUE,0,L552-M552)),0),0)</f>
        <v/>
      </c>
      <c r="O552" s="127">
        <f>IF(N552&gt;0,IF(N552&lt;=180,N552,0),0)</f>
        <v/>
      </c>
      <c r="P552" s="125">
        <f>IF(AND(N552&lt;90,N552&gt;0),Q552,0)</f>
        <v/>
      </c>
      <c r="Q552" s="125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25">
        <f>IF(AND(H552=TRUE,I552=FALSE),Q552,0)</f>
        <v/>
      </c>
      <c r="S552" s="125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26">
        <f>IF(U552=TRUE,$J552,"")</f>
        <v/>
      </c>
      <c r="U552" s="124" t="b">
        <v>0</v>
      </c>
      <c r="V552" s="125">
        <f>IF(AND(H552=TRUE,OR(K552="",K552&gt;M552)),S552,0)</f>
        <v/>
      </c>
      <c r="W552" s="124" t="n">
        <v>0</v>
      </c>
      <c r="X552" s="124" t="b">
        <v>0</v>
      </c>
      <c r="Y552" s="127">
        <f>IF(H552=FALSE,VLOOKUP($C552,Sales!$C:$F,4,FALSE),1)</f>
        <v/>
      </c>
      <c r="Z552" s="124">
        <f>IF(Y552=0,"Release",IF(AND(L552&lt;J552,Y552=1,H552=FALSE,U552=FALSE,MONTH(L552)&amp;"/"&amp;YEAR(L552)&lt;&gt;MONTH(J552)&amp;"/"&amp;YEAR(J552)),"Release",""))</f>
        <v/>
      </c>
      <c r="AA552" s="128">
        <f>_xlfn.minifs($L:$L,$C:$C,$C552,$F:$F,"&lt;&gt;0")</f>
        <v/>
      </c>
      <c r="AB552" s="128">
        <f>C552&amp;"-"&amp;A552</f>
        <v/>
      </c>
      <c r="AC552" s="128">
        <f>L552</f>
        <v/>
      </c>
    </row>
    <row r="553">
      <c r="A553" s="124" t="inlineStr">
        <is>
          <t>ZPED01</t>
        </is>
      </c>
      <c r="B553" s="124" t="n">
        <v>5</v>
      </c>
      <c r="C553" s="124" t="inlineStr">
        <is>
          <t>HVO302</t>
        </is>
      </c>
      <c r="D553" s="124" t="inlineStr">
        <is>
          <t>O</t>
        </is>
      </c>
      <c r="E553" s="124" t="inlineStr">
        <is>
          <t>Pedersen Wendy</t>
        </is>
      </c>
      <c r="F553" s="125">
        <f>SUMIFS(Investors!$M:$M, Investors!$I:$I, "&lt;=" &amp; 'NSST Print'!$B$3, Investors!$K:$K, "&gt;" &amp; 'NSST Print'!$B$3, Investors!$A:$A, 'Investor Exit List'!A553, Investors!$E:$E, 'Investor Exit List'!C553)</f>
        <v/>
      </c>
      <c r="G553" s="126" t="n">
        <v>45129</v>
      </c>
      <c r="H553" s="124">
        <f>VLOOKUP($C553,Sales!$C:$E,2,FALSE)</f>
        <v/>
      </c>
      <c r="I553" s="124">
        <f>VLOOKUP($C553,Sales!$C:$E,3,FALSE)</f>
        <v/>
      </c>
      <c r="J553" s="126">
        <f>SUMIFS(Sales!$H:$H,Sales!$C:$C,'Investor Exit List'!$C553)</f>
        <v/>
      </c>
      <c r="K553" s="126">
        <f>IF(I553=TRUE,J553,"")</f>
        <v/>
      </c>
      <c r="L553" s="126">
        <f>G553+730</f>
        <v/>
      </c>
      <c r="M553" s="126" t="n">
        <v>45443</v>
      </c>
      <c r="N553" s="127">
        <f>IFERROR(IF(G553&lt;&gt;"",IF(I553=TRUE,0,IF(U553=TRUE,0,L553-M553)),0),0)</f>
        <v/>
      </c>
      <c r="O553" s="127">
        <f>IF(N553&gt;0,IF(N553&lt;=180,N553,0),0)</f>
        <v/>
      </c>
      <c r="P553" s="125">
        <f>IF(AND(N553&lt;90,N553&gt;0),Q553,0)</f>
        <v/>
      </c>
      <c r="Q553" s="125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25">
        <f>IF(AND(H553=TRUE,I553=FALSE),Q553,0)</f>
        <v/>
      </c>
      <c r="S553" s="125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26">
        <f>IF(U553=TRUE,$J553,"")</f>
        <v/>
      </c>
      <c r="U553" s="124" t="b">
        <v>0</v>
      </c>
      <c r="V553" s="125">
        <f>IF(AND(H553=TRUE,OR(K553="",K553&gt;M553)),S553,0)</f>
        <v/>
      </c>
      <c r="W553" s="124" t="n">
        <v>0</v>
      </c>
      <c r="X553" s="124" t="b">
        <v>0</v>
      </c>
      <c r="Y553" s="127">
        <f>IF(H553=FALSE,VLOOKUP($C553,Sales!$C:$F,4,FALSE),1)</f>
        <v/>
      </c>
      <c r="Z553" s="124">
        <f>IF(Y553=0,"Release",IF(AND(L553&lt;J553,Y553=1,H553=FALSE,U553=FALSE,MONTH(L553)&amp;"/"&amp;YEAR(L553)&lt;&gt;MONTH(J553)&amp;"/"&amp;YEAR(J553)),"Release",""))</f>
        <v/>
      </c>
      <c r="AA553" s="128">
        <f>_xlfn.minifs($L:$L,$C:$C,$C553,$F:$F,"&lt;&gt;0")</f>
        <v/>
      </c>
      <c r="AB553" s="128">
        <f>C553&amp;"-"&amp;A553</f>
        <v/>
      </c>
      <c r="AC553" s="128">
        <f>L553</f>
        <v/>
      </c>
    </row>
    <row r="554">
      <c r="A554" s="124" t="inlineStr">
        <is>
          <t>ZVIS03</t>
        </is>
      </c>
      <c r="B554" s="124" t="n">
        <v>1</v>
      </c>
      <c r="C554" s="124" t="inlineStr">
        <is>
          <t>HVO302</t>
        </is>
      </c>
      <c r="D554" s="124" t="inlineStr">
        <is>
          <t>O</t>
        </is>
      </c>
      <c r="E554" s="124" t="inlineStr">
        <is>
          <t>Visser Anton Patrick</t>
        </is>
      </c>
      <c r="F554" s="125">
        <f>SUMIFS(Investors!$M:$M, Investors!$I:$I, "&lt;=" &amp; 'NSST Print'!$B$3, Investors!$K:$K, "&gt;" &amp; 'NSST Print'!$B$3, Investors!$A:$A, 'Investor Exit List'!A554, Investors!$E:$E, 'Investor Exit List'!C554)</f>
        <v/>
      </c>
      <c r="G554" s="126" t="n">
        <v>45107</v>
      </c>
      <c r="H554" s="124">
        <f>VLOOKUP($C554,Sales!$C:$E,2,FALSE)</f>
        <v/>
      </c>
      <c r="I554" s="124">
        <f>VLOOKUP($C554,Sales!$C:$E,3,FALSE)</f>
        <v/>
      </c>
      <c r="J554" s="126">
        <f>SUMIFS(Sales!$H:$H,Sales!$C:$C,'Investor Exit List'!$C554)</f>
        <v/>
      </c>
      <c r="K554" s="126">
        <f>IF(I554=TRUE,J554,"")</f>
        <v/>
      </c>
      <c r="L554" s="126">
        <f>G554+730</f>
        <v/>
      </c>
      <c r="M554" s="126" t="n">
        <v>45443</v>
      </c>
      <c r="N554" s="127">
        <f>IFERROR(IF(G554&lt;&gt;"",IF(I554=TRUE,0,IF(U554=TRUE,0,L554-M554)),0),0)</f>
        <v/>
      </c>
      <c r="O554" s="127">
        <f>IF(N554&gt;0,IF(N554&lt;=180,N554,0),0)</f>
        <v/>
      </c>
      <c r="P554" s="125">
        <f>IF(AND(N554&lt;90,N554&gt;0),Q554,0)</f>
        <v/>
      </c>
      <c r="Q554" s="125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25">
        <f>IF(AND(H554=TRUE,I554=FALSE),Q554,0)</f>
        <v/>
      </c>
      <c r="S554" s="125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26">
        <f>IF(U554=TRUE,$J554,"")</f>
        <v/>
      </c>
      <c r="U554" s="124" t="b">
        <v>0</v>
      </c>
      <c r="V554" s="125">
        <f>IF(AND(H554=TRUE,OR(K554="",K554&gt;M554)),S554,0)</f>
        <v/>
      </c>
      <c r="W554" s="124" t="n">
        <v>0</v>
      </c>
      <c r="X554" s="124" t="b">
        <v>0</v>
      </c>
      <c r="Y554" s="127">
        <f>IF(H554=FALSE,VLOOKUP($C554,Sales!$C:$F,4,FALSE),1)</f>
        <v/>
      </c>
      <c r="Z554" s="124">
        <f>IF(Y554=0,"Release",IF(AND(L554&lt;J554,Y554=1,H554=FALSE,U554=FALSE,MONTH(L554)&amp;"/"&amp;YEAR(L554)&lt;&gt;MONTH(J554)&amp;"/"&amp;YEAR(J554)),"Release",""))</f>
        <v/>
      </c>
      <c r="AA554" s="128">
        <f>_xlfn.minifs($L:$L,$C:$C,$C554,$F:$F,"&lt;&gt;0")</f>
        <v/>
      </c>
      <c r="AB554" s="128">
        <f>C554&amp;"-"&amp;A554</f>
        <v/>
      </c>
      <c r="AC554" s="128">
        <f>L554</f>
        <v/>
      </c>
    </row>
    <row r="555">
      <c r="A555" s="124" t="inlineStr">
        <is>
          <t>ZDEB01</t>
        </is>
      </c>
      <c r="B555" s="124" t="n">
        <v>7</v>
      </c>
      <c r="C555" s="124" t="inlineStr">
        <is>
          <t>HVO303</t>
        </is>
      </c>
      <c r="D555" s="124" t="inlineStr">
        <is>
          <t>O</t>
        </is>
      </c>
      <c r="E555" s="124" t="inlineStr">
        <is>
          <t>De Beer William Henry</t>
        </is>
      </c>
      <c r="F555" s="125">
        <f>SUMIFS(Investors!$M:$M, Investors!$I:$I, "&lt;=" &amp; 'NSST Print'!$B$3, Investors!$K:$K, "&gt;" &amp; 'NSST Print'!$B$3, Investors!$A:$A, 'Investor Exit List'!A555, Investors!$E:$E, 'Investor Exit List'!C555)</f>
        <v/>
      </c>
      <c r="G555" s="126" t="n">
        <v>45107</v>
      </c>
      <c r="H555" s="124">
        <f>VLOOKUP($C555,Sales!$C:$E,2,FALSE)</f>
        <v/>
      </c>
      <c r="I555" s="124">
        <f>VLOOKUP($C555,Sales!$C:$E,3,FALSE)</f>
        <v/>
      </c>
      <c r="J555" s="126">
        <f>SUMIFS(Sales!$H:$H,Sales!$C:$C,'Investor Exit List'!$C555)</f>
        <v/>
      </c>
      <c r="K555" s="126">
        <f>IF(I555=TRUE,J555,"")</f>
        <v/>
      </c>
      <c r="L555" s="126">
        <f>G555+730</f>
        <v/>
      </c>
      <c r="M555" s="126" t="n">
        <v>45443</v>
      </c>
      <c r="N555" s="127">
        <f>IFERROR(IF(G555&lt;&gt;"",IF(I555=TRUE,0,IF(U555=TRUE,0,L555-M555)),0),0)</f>
        <v/>
      </c>
      <c r="O555" s="127">
        <f>IF(N555&gt;0,IF(N555&lt;=180,N555,0),0)</f>
        <v/>
      </c>
      <c r="P555" s="125">
        <f>IF(AND(N555&lt;90,N555&gt;0),Q555,0)</f>
        <v/>
      </c>
      <c r="Q555" s="125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25">
        <f>IF(AND(H555=TRUE,I555=FALSE),Q555,0)</f>
        <v/>
      </c>
      <c r="S555" s="125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26">
        <f>IF(U555=TRUE,$J555,"")</f>
        <v/>
      </c>
      <c r="U555" s="124" t="b">
        <v>0</v>
      </c>
      <c r="V555" s="125">
        <f>IF(AND(H555=TRUE,OR(K555="",K555&gt;M555)),S555,0)</f>
        <v/>
      </c>
      <c r="W555" s="124" t="n">
        <v>0</v>
      </c>
      <c r="X555" s="124" t="b">
        <v>0</v>
      </c>
      <c r="Y555" s="127">
        <f>IF(H555=FALSE,VLOOKUP($C555,Sales!$C:$F,4,FALSE),1)</f>
        <v/>
      </c>
      <c r="Z555" s="124">
        <f>IF(Y555=0,"Release",IF(AND(L555&lt;J555,Y555=1,H555=FALSE,U555=FALSE,MONTH(L555)&amp;"/"&amp;YEAR(L555)&lt;&gt;MONTH(J555)&amp;"/"&amp;YEAR(J555)),"Release",""))</f>
        <v/>
      </c>
      <c r="AA555" s="128">
        <f>_xlfn.minifs($L:$L,$C:$C,$C555,$F:$F,"&lt;&gt;0")</f>
        <v/>
      </c>
      <c r="AB555" s="128">
        <f>C555&amp;"-"&amp;A555</f>
        <v/>
      </c>
      <c r="AC555" s="128">
        <f>L555</f>
        <v/>
      </c>
    </row>
    <row r="556">
      <c r="A556" s="124" t="inlineStr">
        <is>
          <t>ZJAN03</t>
        </is>
      </c>
      <c r="B556" s="124" t="n">
        <v>2</v>
      </c>
      <c r="C556" s="124" t="inlineStr">
        <is>
          <t>HVO304</t>
        </is>
      </c>
      <c r="D556" s="124" t="inlineStr">
        <is>
          <t>O</t>
        </is>
      </c>
      <c r="E556" s="124" t="inlineStr">
        <is>
          <t>Jansen van Vuuren Rudolph Johannes</t>
        </is>
      </c>
      <c r="F556" s="125">
        <f>SUMIFS(Investors!$M:$M, Investors!$I:$I, "&lt;=" &amp; 'NSST Print'!$B$3, Investors!$K:$K, "&gt;" &amp; 'NSST Print'!$B$3, Investors!$A:$A, 'Investor Exit List'!A556, Investors!$E:$E, 'Investor Exit List'!C556)</f>
        <v/>
      </c>
      <c r="G556" s="126" t="n">
        <v>45259</v>
      </c>
      <c r="H556" s="124">
        <f>VLOOKUP($C556,Sales!$C:$E,2,FALSE)</f>
        <v/>
      </c>
      <c r="I556" s="124">
        <f>VLOOKUP($C556,Sales!$C:$E,3,FALSE)</f>
        <v/>
      </c>
      <c r="J556" s="126">
        <f>SUMIFS(Sales!$H:$H,Sales!$C:$C,'Investor Exit List'!$C556)</f>
        <v/>
      </c>
      <c r="K556" s="126">
        <f>IF(I556=TRUE,J556,"")</f>
        <v/>
      </c>
      <c r="L556" s="126">
        <f>G556+730</f>
        <v/>
      </c>
      <c r="M556" s="126" t="n">
        <v>45443</v>
      </c>
      <c r="N556" s="127">
        <f>IFERROR(IF(G556&lt;&gt;"",IF(I556=TRUE,0,IF(U556=TRUE,0,L556-M556)),0),0)</f>
        <v/>
      </c>
      <c r="O556" s="127">
        <f>IF(N556&gt;0,IF(N556&lt;=180,N556,0),0)</f>
        <v/>
      </c>
      <c r="P556" s="125">
        <f>IF(AND(N556&lt;90,N556&gt;0),Q556,0)</f>
        <v/>
      </c>
      <c r="Q556" s="125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25">
        <f>IF(AND(H556=TRUE,I556=FALSE),Q556,0)</f>
        <v/>
      </c>
      <c r="S556" s="125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26">
        <f>IF(U556=TRUE,$J556,"")</f>
        <v/>
      </c>
      <c r="U556" s="124" t="b">
        <v>0</v>
      </c>
      <c r="V556" s="125">
        <f>IF(AND(H556=TRUE,OR(K556="",K556&gt;M556)),S556,0)</f>
        <v/>
      </c>
      <c r="W556" s="124" t="n">
        <v>0</v>
      </c>
      <c r="X556" s="124" t="b">
        <v>0</v>
      </c>
      <c r="Y556" s="127">
        <f>IF(H556=FALSE,VLOOKUP($C556,Sales!$C:$F,4,FALSE),1)</f>
        <v/>
      </c>
      <c r="Z556" s="124">
        <f>IF(Y556=0,"Release",IF(AND(L556&lt;J556,Y556=1,H556=FALSE,U556=FALSE,MONTH(L556)&amp;"/"&amp;YEAR(L556)&lt;&gt;MONTH(J556)&amp;"/"&amp;YEAR(J556)),"Release",""))</f>
        <v/>
      </c>
      <c r="AA556" s="128">
        <f>_xlfn.minifs($L:$L,$C:$C,$C556,$F:$F,"&lt;&gt;0")</f>
        <v/>
      </c>
      <c r="AB556" s="128">
        <f>C556&amp;"-"&amp;A556</f>
        <v/>
      </c>
      <c r="AC556" s="128">
        <f>L556</f>
        <v/>
      </c>
    </row>
    <row r="557">
      <c r="A557" s="124" t="inlineStr">
        <is>
          <t>ZVIS02</t>
        </is>
      </c>
      <c r="B557" s="124" t="n">
        <v>3</v>
      </c>
      <c r="C557" s="124" t="inlineStr">
        <is>
          <t>HVO304</t>
        </is>
      </c>
      <c r="D557" s="124" t="inlineStr">
        <is>
          <t>O</t>
        </is>
      </c>
      <c r="E557" s="124" t="inlineStr">
        <is>
          <t>Visser Jimke</t>
        </is>
      </c>
      <c r="F557" s="125">
        <f>SUMIFS(Investors!$M:$M, Investors!$I:$I, "&lt;=" &amp; 'NSST Print'!$B$3, Investors!$K:$K, "&gt;" &amp; 'NSST Print'!$B$3, Investors!$A:$A, 'Investor Exit List'!A557, Investors!$E:$E, 'Investor Exit List'!C557)</f>
        <v/>
      </c>
      <c r="G557" s="126" t="n">
        <v>45259</v>
      </c>
      <c r="H557" s="124">
        <f>VLOOKUP($C557,Sales!$C:$E,2,FALSE)</f>
        <v/>
      </c>
      <c r="I557" s="124">
        <f>VLOOKUP($C557,Sales!$C:$E,3,FALSE)</f>
        <v/>
      </c>
      <c r="J557" s="126">
        <f>SUMIFS(Sales!$H:$H,Sales!$C:$C,'Investor Exit List'!$C557)</f>
        <v/>
      </c>
      <c r="K557" s="126">
        <f>IF(I557=TRUE,J557,"")</f>
        <v/>
      </c>
      <c r="L557" s="126">
        <f>G557+730</f>
        <v/>
      </c>
      <c r="M557" s="126" t="n">
        <v>45443</v>
      </c>
      <c r="N557" s="127">
        <f>IFERROR(IF(G557&lt;&gt;"",IF(I557=TRUE,0,IF(U557=TRUE,0,L557-M557)),0),0)</f>
        <v/>
      </c>
      <c r="O557" s="127">
        <f>IF(N557&gt;0,IF(N557&lt;=180,N557,0),0)</f>
        <v/>
      </c>
      <c r="P557" s="125">
        <f>IF(AND(N557&lt;90,N557&gt;0),Q557,0)</f>
        <v/>
      </c>
      <c r="Q557" s="125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25">
        <f>IF(AND(H557=TRUE,I557=FALSE),Q557,0)</f>
        <v/>
      </c>
      <c r="S557" s="125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26">
        <f>IF(U557=TRUE,$J557,"")</f>
        <v/>
      </c>
      <c r="U557" s="124" t="b">
        <v>0</v>
      </c>
      <c r="V557" s="125">
        <f>IF(AND(H557=TRUE,OR(K557="",K557&gt;M557)),S557,0)</f>
        <v/>
      </c>
      <c r="W557" s="124" t="n">
        <v>0</v>
      </c>
      <c r="X557" s="124" t="b">
        <v>0</v>
      </c>
      <c r="Y557" s="127">
        <f>IF(H557=FALSE,VLOOKUP($C557,Sales!$C:$F,4,FALSE),1)</f>
        <v/>
      </c>
      <c r="Z557" s="124">
        <f>IF(Y557=0,"Release",IF(AND(L557&lt;J557,Y557=1,H557=FALSE,U557=FALSE,MONTH(L557)&amp;"/"&amp;YEAR(L557)&lt;&gt;MONTH(J557)&amp;"/"&amp;YEAR(J557)),"Release",""))</f>
        <v/>
      </c>
      <c r="AA557" s="128">
        <f>_xlfn.minifs($L:$L,$C:$C,$C557,$F:$F,"&lt;&gt;0")</f>
        <v/>
      </c>
      <c r="AB557" s="128">
        <f>C557&amp;"-"&amp;A557</f>
        <v/>
      </c>
      <c r="AC557" s="128">
        <f>L557</f>
        <v/>
      </c>
    </row>
    <row r="558">
      <c r="A558" s="124" t="inlineStr">
        <is>
          <t>ZDEV01</t>
        </is>
      </c>
      <c r="B558" s="124" t="n">
        <v>2</v>
      </c>
      <c r="C558" s="124" t="inlineStr">
        <is>
          <t>HVO305</t>
        </is>
      </c>
      <c r="D558" s="124" t="inlineStr">
        <is>
          <t>O</t>
        </is>
      </c>
      <c r="E558" s="124" t="inlineStr">
        <is>
          <t>de Villiers Andre Deric</t>
        </is>
      </c>
      <c r="F558" s="125">
        <f>SUMIFS(Investors!$M:$M, Investors!$I:$I, "&lt;=" &amp; 'NSST Print'!$B$3, Investors!$K:$K, "&gt;" &amp; 'NSST Print'!$B$3, Investors!$A:$A, 'Investor Exit List'!A558, Investors!$E:$E, 'Investor Exit List'!C558)</f>
        <v/>
      </c>
      <c r="G558" s="126" t="n">
        <v>45107</v>
      </c>
      <c r="H558" s="124">
        <f>VLOOKUP($C558,Sales!$C:$E,2,FALSE)</f>
        <v/>
      </c>
      <c r="I558" s="124">
        <f>VLOOKUP($C558,Sales!$C:$E,3,FALSE)</f>
        <v/>
      </c>
      <c r="J558" s="126">
        <f>SUMIFS(Sales!$H:$H,Sales!$C:$C,'Investor Exit List'!$C558)</f>
        <v/>
      </c>
      <c r="K558" s="126">
        <f>IF(I558=TRUE,J558,"")</f>
        <v/>
      </c>
      <c r="L558" s="126">
        <f>G558+730</f>
        <v/>
      </c>
      <c r="M558" s="126" t="n">
        <v>45443</v>
      </c>
      <c r="N558" s="127">
        <f>IFERROR(IF(G558&lt;&gt;"",IF(I558=TRUE,0,IF(U558=TRUE,0,L558-M558)),0),0)</f>
        <v/>
      </c>
      <c r="O558" s="127">
        <f>IF(N558&gt;0,IF(N558&lt;=180,N558,0),0)</f>
        <v/>
      </c>
      <c r="P558" s="125">
        <f>IF(AND(N558&lt;90,N558&gt;0),Q558,0)</f>
        <v/>
      </c>
      <c r="Q558" s="125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25">
        <f>IF(AND(H558=TRUE,I558=FALSE),Q558,0)</f>
        <v/>
      </c>
      <c r="S558" s="125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26">
        <f>IF(U558=TRUE,$J558,"")</f>
        <v/>
      </c>
      <c r="U558" s="124" t="b">
        <v>0</v>
      </c>
      <c r="V558" s="125">
        <f>IF(AND(H558=TRUE,OR(K558="",K558&gt;M558)),S558,0)</f>
        <v/>
      </c>
      <c r="W558" s="124" t="n">
        <v>0</v>
      </c>
      <c r="X558" s="124" t="b">
        <v>0</v>
      </c>
      <c r="Y558" s="127">
        <f>IF(H558=FALSE,VLOOKUP($C558,Sales!$C:$F,4,FALSE),1)</f>
        <v/>
      </c>
      <c r="Z558" s="124">
        <f>IF(Y558=0,"Release",IF(AND(L558&lt;J558,Y558=1,H558=FALSE,U558=FALSE,MONTH(L558)&amp;"/"&amp;YEAR(L558)&lt;&gt;MONTH(J558)&amp;"/"&amp;YEAR(J558)),"Release",""))</f>
        <v/>
      </c>
      <c r="AA558" s="128">
        <f>_xlfn.minifs($L:$L,$C:$C,$C558,$F:$F,"&lt;&gt;0")</f>
        <v/>
      </c>
      <c r="AB558" s="128">
        <f>C558&amp;"-"&amp;A558</f>
        <v/>
      </c>
      <c r="AC558" s="128">
        <f>L558</f>
        <v/>
      </c>
    </row>
    <row r="559">
      <c r="A559" s="124" t="inlineStr">
        <is>
          <t>ZFLA01</t>
        </is>
      </c>
      <c r="B559" s="124" t="n">
        <v>2</v>
      </c>
      <c r="C559" s="124" t="inlineStr">
        <is>
          <t>HVO305</t>
        </is>
      </c>
      <c r="D559" s="124" t="inlineStr">
        <is>
          <t>O</t>
        </is>
      </c>
      <c r="E559" s="124" t="inlineStr">
        <is>
          <t>Flamengo Jose Manuel Rezende</t>
        </is>
      </c>
      <c r="F559" s="125">
        <f>SUMIFS(Investors!$M:$M, Investors!$I:$I, "&lt;=" &amp; 'NSST Print'!$B$3, Investors!$K:$K, "&gt;" &amp; 'NSST Print'!$B$3, Investors!$A:$A, 'Investor Exit List'!A559, Investors!$E:$E, 'Investor Exit List'!C559)</f>
        <v/>
      </c>
      <c r="G559" s="126" t="n">
        <v>45161</v>
      </c>
      <c r="H559" s="124">
        <f>VLOOKUP($C559,Sales!$C:$E,2,FALSE)</f>
        <v/>
      </c>
      <c r="I559" s="124">
        <f>VLOOKUP($C559,Sales!$C:$E,3,FALSE)</f>
        <v/>
      </c>
      <c r="J559" s="126">
        <f>SUMIFS(Sales!$H:$H,Sales!$C:$C,'Investor Exit List'!$C559)</f>
        <v/>
      </c>
      <c r="K559" s="126">
        <f>IF(I559=TRUE,J559,"")</f>
        <v/>
      </c>
      <c r="L559" s="126">
        <f>G559+730</f>
        <v/>
      </c>
      <c r="M559" s="126" t="n">
        <v>45443</v>
      </c>
      <c r="N559" s="127">
        <f>IFERROR(IF(G559&lt;&gt;"",IF(I559=TRUE,0,IF(U559=TRUE,0,L559-M559)),0),0)</f>
        <v/>
      </c>
      <c r="O559" s="127">
        <f>IF(N559&gt;0,IF(N559&lt;=180,N559,0),0)</f>
        <v/>
      </c>
      <c r="P559" s="125">
        <f>IF(AND(N559&lt;90,N559&gt;0),Q559,0)</f>
        <v/>
      </c>
      <c r="Q559" s="125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25">
        <f>IF(AND(H559=TRUE,I559=FALSE),Q559,0)</f>
        <v/>
      </c>
      <c r="S559" s="125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26">
        <f>IF(U559=TRUE,$J559,"")</f>
        <v/>
      </c>
      <c r="U559" s="124" t="b">
        <v>0</v>
      </c>
      <c r="V559" s="125">
        <f>IF(AND(H559=TRUE,OR(K559="",K559&gt;M559)),S559,0)</f>
        <v/>
      </c>
      <c r="W559" s="124" t="n">
        <v>0</v>
      </c>
      <c r="X559" s="124" t="b">
        <v>0</v>
      </c>
      <c r="Y559" s="127">
        <f>IF(H559=FALSE,VLOOKUP($C559,Sales!$C:$F,4,FALSE),1)</f>
        <v/>
      </c>
      <c r="Z559" s="124">
        <f>IF(Y559=0,"Release",IF(AND(L559&lt;J559,Y559=1,H559=FALSE,U559=FALSE,MONTH(L559)&amp;"/"&amp;YEAR(L559)&lt;&gt;MONTH(J559)&amp;"/"&amp;YEAR(J559)),"Release",""))</f>
        <v/>
      </c>
      <c r="AA559" s="128">
        <f>_xlfn.minifs($L:$L,$C:$C,$C559,$F:$F,"&lt;&gt;0")</f>
        <v/>
      </c>
      <c r="AB559" s="128">
        <f>C559&amp;"-"&amp;A559</f>
        <v/>
      </c>
      <c r="AC559" s="128">
        <f>L559</f>
        <v/>
      </c>
    </row>
    <row r="560">
      <c r="A560" s="124" t="inlineStr">
        <is>
          <t>ZLIN01</t>
        </is>
      </c>
      <c r="B560" s="124" t="n">
        <v>2</v>
      </c>
      <c r="C560" s="124" t="inlineStr">
        <is>
          <t>HVO305</t>
        </is>
      </c>
      <c r="D560" s="124" t="inlineStr">
        <is>
          <t>O</t>
        </is>
      </c>
      <c r="E560" s="124" t="inlineStr">
        <is>
          <t>Lines Charmain</t>
        </is>
      </c>
      <c r="F560" s="125">
        <f>SUMIFS(Investors!$M:$M, Investors!$I:$I, "&lt;=" &amp; 'NSST Print'!$B$3, Investors!$K:$K, "&gt;" &amp; 'NSST Print'!$B$3, Investors!$A:$A, 'Investor Exit List'!A560, Investors!$E:$E, 'Investor Exit List'!C560)</f>
        <v/>
      </c>
      <c r="G560" s="126" t="n">
        <v>45129</v>
      </c>
      <c r="H560" s="124">
        <f>VLOOKUP($C560,Sales!$C:$E,2,FALSE)</f>
        <v/>
      </c>
      <c r="I560" s="124">
        <f>VLOOKUP($C560,Sales!$C:$E,3,FALSE)</f>
        <v/>
      </c>
      <c r="J560" s="126">
        <f>SUMIFS(Sales!$H:$H,Sales!$C:$C,'Investor Exit List'!$C560)</f>
        <v/>
      </c>
      <c r="K560" s="126">
        <f>IF(I560=TRUE,J560,"")</f>
        <v/>
      </c>
      <c r="L560" s="126">
        <f>G560+730</f>
        <v/>
      </c>
      <c r="M560" s="126" t="n">
        <v>45443</v>
      </c>
      <c r="N560" s="127">
        <f>IFERROR(IF(G560&lt;&gt;"",IF(I560=TRUE,0,IF(U560=TRUE,0,L560-M560)),0),0)</f>
        <v/>
      </c>
      <c r="O560" s="127">
        <f>IF(N560&gt;0,IF(N560&lt;=180,N560,0),0)</f>
        <v/>
      </c>
      <c r="P560" s="125">
        <f>IF(AND(N560&lt;90,N560&gt;0),Q560,0)</f>
        <v/>
      </c>
      <c r="Q560" s="125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25">
        <f>IF(AND(H560=TRUE,I560=FALSE),Q560,0)</f>
        <v/>
      </c>
      <c r="S560" s="125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26">
        <f>IF(U560=TRUE,$J560,"")</f>
        <v/>
      </c>
      <c r="U560" s="124" t="b">
        <v>0</v>
      </c>
      <c r="V560" s="125">
        <f>IF(AND(H560=TRUE,OR(K560="",K560&gt;M560)),S560,0)</f>
        <v/>
      </c>
      <c r="W560" s="124" t="n">
        <v>0</v>
      </c>
      <c r="X560" s="124" t="b">
        <v>0</v>
      </c>
      <c r="Y560" s="127">
        <f>IF(H560=FALSE,VLOOKUP($C560,Sales!$C:$F,4,FALSE),1)</f>
        <v/>
      </c>
      <c r="Z560" s="124">
        <f>IF(Y560=0,"Release",IF(AND(L560&lt;J560,Y560=1,H560=FALSE,U560=FALSE,MONTH(L560)&amp;"/"&amp;YEAR(L560)&lt;&gt;MONTH(J560)&amp;"/"&amp;YEAR(J560)),"Release",""))</f>
        <v/>
      </c>
      <c r="AA560" s="128">
        <f>_xlfn.minifs($L:$L,$C:$C,$C560,$F:$F,"&lt;&gt;0")</f>
        <v/>
      </c>
      <c r="AB560" s="128">
        <f>C560&amp;"-"&amp;A560</f>
        <v/>
      </c>
      <c r="AC560" s="128">
        <f>L560</f>
        <v/>
      </c>
    </row>
    <row r="561">
      <c r="A561" s="124" t="inlineStr">
        <is>
          <t>ZSOU02</t>
        </is>
      </c>
      <c r="B561" s="124" t="n">
        <v>2</v>
      </c>
      <c r="C561" s="124" t="inlineStr">
        <is>
          <t>HVO305</t>
        </is>
      </c>
      <c r="D561" s="124" t="inlineStr">
        <is>
          <t>O</t>
        </is>
      </c>
      <c r="E561" s="124" t="inlineStr">
        <is>
          <t>Sourgen Frances Leathem</t>
        </is>
      </c>
      <c r="F561" s="125">
        <f>SUMIFS(Investors!$M:$M, Investors!$I:$I, "&lt;=" &amp; 'NSST Print'!$B$3, Investors!$K:$K, "&gt;" &amp; 'NSST Print'!$B$3, Investors!$A:$A, 'Investor Exit List'!A561, Investors!$E:$E, 'Investor Exit List'!C561)</f>
        <v/>
      </c>
      <c r="G561" s="126" t="n">
        <v>45161</v>
      </c>
      <c r="H561" s="124">
        <f>VLOOKUP($C561,Sales!$C:$E,2,FALSE)</f>
        <v/>
      </c>
      <c r="I561" s="124">
        <f>VLOOKUP($C561,Sales!$C:$E,3,FALSE)</f>
        <v/>
      </c>
      <c r="J561" s="126">
        <f>SUMIFS(Sales!$H:$H,Sales!$C:$C,'Investor Exit List'!$C561)</f>
        <v/>
      </c>
      <c r="K561" s="126">
        <f>IF(I561=TRUE,J561,"")</f>
        <v/>
      </c>
      <c r="L561" s="126">
        <f>G561+730</f>
        <v/>
      </c>
      <c r="M561" s="126" t="n">
        <v>45443</v>
      </c>
      <c r="N561" s="127">
        <f>IFERROR(IF(G561&lt;&gt;"",IF(I561=TRUE,0,IF(U561=TRUE,0,L561-M561)),0),0)</f>
        <v/>
      </c>
      <c r="O561" s="127">
        <f>IF(N561&gt;0,IF(N561&lt;=180,N561,0),0)</f>
        <v/>
      </c>
      <c r="P561" s="125">
        <f>IF(AND(N561&lt;90,N561&gt;0),Q561,0)</f>
        <v/>
      </c>
      <c r="Q561" s="125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25">
        <f>IF(AND(H561=TRUE,I561=FALSE),Q561,0)</f>
        <v/>
      </c>
      <c r="S561" s="125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26">
        <f>IF(U561=TRUE,$J561,"")</f>
        <v/>
      </c>
      <c r="U561" s="124" t="b">
        <v>0</v>
      </c>
      <c r="V561" s="125">
        <f>IF(AND(H561=TRUE,OR(K561="",K561&gt;M561)),S561,0)</f>
        <v/>
      </c>
      <c r="W561" s="124" t="n">
        <v>0</v>
      </c>
      <c r="X561" s="124" t="b">
        <v>0</v>
      </c>
      <c r="Y561" s="127">
        <f>IF(H561=FALSE,VLOOKUP($C561,Sales!$C:$F,4,FALSE),1)</f>
        <v/>
      </c>
      <c r="Z561" s="124">
        <f>IF(Y561=0,"Release",IF(AND(L561&lt;J561,Y561=1,H561=FALSE,U561=FALSE,MONTH(L561)&amp;"/"&amp;YEAR(L561)&lt;&gt;MONTH(J561)&amp;"/"&amp;YEAR(J561)),"Release",""))</f>
        <v/>
      </c>
      <c r="AA561" s="128">
        <f>_xlfn.minifs($L:$L,$C:$C,$C561,$F:$F,"&lt;&gt;0")</f>
        <v/>
      </c>
      <c r="AB561" s="128">
        <f>C561&amp;"-"&amp;A561</f>
        <v/>
      </c>
      <c r="AC561" s="128">
        <f>L561</f>
        <v/>
      </c>
    </row>
    <row r="562">
      <c r="A562" s="124" t="inlineStr">
        <is>
          <t>ZFER02</t>
        </is>
      </c>
      <c r="B562" s="124" t="n">
        <v>1</v>
      </c>
      <c r="C562" s="124" t="inlineStr">
        <is>
          <t>HVP101</t>
        </is>
      </c>
      <c r="D562" s="124" t="inlineStr">
        <is>
          <t>P</t>
        </is>
      </c>
      <c r="E562" s="124" t="inlineStr">
        <is>
          <t>Fernandes Olga Maria</t>
        </is>
      </c>
      <c r="F562" s="125">
        <f>SUMIFS(Investors!$M:$M, Investors!$I:$I, "&lt;=" &amp; 'NSST Print'!$B$3, Investors!$K:$K, "&gt;" &amp; 'NSST Print'!$B$3, Investors!$A:$A, 'Investor Exit List'!A562, Investors!$E:$E, 'Investor Exit List'!C562)</f>
        <v/>
      </c>
      <c r="G562" s="126" t="n">
        <v>44791</v>
      </c>
      <c r="H562" s="124">
        <f>VLOOKUP($C562,Sales!$C:$E,2,FALSE)</f>
        <v/>
      </c>
      <c r="I562" s="124">
        <f>VLOOKUP($C562,Sales!$C:$E,3,FALSE)</f>
        <v/>
      </c>
      <c r="J562" s="126">
        <f>SUMIFS(Sales!$H:$H,Sales!$C:$C,'Investor Exit List'!$C562)</f>
        <v/>
      </c>
      <c r="K562" s="126">
        <f>IF(I562=TRUE,J562,"")</f>
        <v/>
      </c>
      <c r="L562" s="126">
        <f>G562+730</f>
        <v/>
      </c>
      <c r="M562" s="126" t="n">
        <v>45443</v>
      </c>
      <c r="N562" s="127">
        <f>IFERROR(IF(G562&lt;&gt;"",IF(I562=TRUE,0,IF(U562=TRUE,0,L562-M562)),0),0)</f>
        <v/>
      </c>
      <c r="O562" s="127">
        <f>IF(N562&gt;0,IF(N562&lt;=180,N562,0),0)</f>
        <v/>
      </c>
      <c r="P562" s="125">
        <f>IF(AND(N562&lt;90,N562&gt;0),Q562,0)</f>
        <v/>
      </c>
      <c r="Q562" s="125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25">
        <f>IF(AND(H562=TRUE,I562=FALSE),Q562,0)</f>
        <v/>
      </c>
      <c r="S562" s="125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26">
        <f>IF(U562=TRUE,$J562,"")</f>
        <v/>
      </c>
      <c r="U562" s="124" t="b">
        <v>0</v>
      </c>
      <c r="V562" s="125">
        <f>IF(AND(H562=TRUE,OR(K562="",K562&gt;M562)),S562,0)</f>
        <v/>
      </c>
      <c r="W562" s="124" t="n">
        <v>0</v>
      </c>
      <c r="X562" s="124" t="b">
        <v>0</v>
      </c>
      <c r="Y562" s="127">
        <f>IF(H562=FALSE,VLOOKUP($C562,Sales!$C:$F,4,FALSE),1)</f>
        <v/>
      </c>
      <c r="Z562" s="124">
        <f>IF(Y562=0,"Release",IF(AND(L562&lt;J562,Y562=1,H562=FALSE,U562=FALSE,MONTH(L562)&amp;"/"&amp;YEAR(L562)&lt;&gt;MONTH(J562)&amp;"/"&amp;YEAR(J562)),"Release",""))</f>
        <v/>
      </c>
      <c r="AA562" s="128">
        <f>_xlfn.minifs($L:$L,$C:$C,$C562,$F:$F,"&lt;&gt;0")</f>
        <v/>
      </c>
      <c r="AB562" s="128">
        <f>C562&amp;"-"&amp;A562</f>
        <v/>
      </c>
      <c r="AC562" s="128">
        <f>L562</f>
        <v/>
      </c>
    </row>
    <row r="563">
      <c r="A563" s="124" t="inlineStr">
        <is>
          <t>ZJOR01</t>
        </is>
      </c>
      <c r="B563" s="124" t="n">
        <v>3</v>
      </c>
      <c r="C563" s="124" t="inlineStr">
        <is>
          <t>HVP101</t>
        </is>
      </c>
      <c r="D563" s="124" t="inlineStr">
        <is>
          <t>P</t>
        </is>
      </c>
      <c r="E563" s="124" t="inlineStr">
        <is>
          <t>Jordaan Glen Rutherford</t>
        </is>
      </c>
      <c r="F563" s="125">
        <f>SUMIFS(Investors!$M:$M, Investors!$I:$I, "&lt;=" &amp; 'NSST Print'!$B$3, Investors!$K:$K, "&gt;" &amp; 'NSST Print'!$B$3, Investors!$A:$A, 'Investor Exit List'!A563, Investors!$E:$E, 'Investor Exit List'!C563)</f>
        <v/>
      </c>
      <c r="G563" s="126" t="n">
        <v>44833</v>
      </c>
      <c r="H563" s="124">
        <f>VLOOKUP($C563,Sales!$C:$E,2,FALSE)</f>
        <v/>
      </c>
      <c r="I563" s="124">
        <f>VLOOKUP($C563,Sales!$C:$E,3,FALSE)</f>
        <v/>
      </c>
      <c r="J563" s="126">
        <f>SUMIFS(Sales!$H:$H,Sales!$C:$C,'Investor Exit List'!$C563)</f>
        <v/>
      </c>
      <c r="K563" s="126">
        <f>IF(I563=TRUE,J563,"")</f>
        <v/>
      </c>
      <c r="L563" s="126">
        <f>G563+730</f>
        <v/>
      </c>
      <c r="M563" s="126" t="n">
        <v>45443</v>
      </c>
      <c r="N563" s="127">
        <f>IFERROR(IF(G563&lt;&gt;"",IF(I563=TRUE,0,IF(U563=TRUE,0,L563-M563)),0),0)</f>
        <v/>
      </c>
      <c r="O563" s="127">
        <f>IF(N563&gt;0,IF(N563&lt;=180,N563,0),0)</f>
        <v/>
      </c>
      <c r="P563" s="125">
        <f>IF(AND(N563&lt;90,N563&gt;0),Q563,0)</f>
        <v/>
      </c>
      <c r="Q563" s="125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25">
        <f>IF(AND(H563=TRUE,I563=FALSE),Q563,0)</f>
        <v/>
      </c>
      <c r="S563" s="125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26">
        <f>IF(U563=TRUE,$J563,"")</f>
        <v/>
      </c>
      <c r="U563" s="124" t="b">
        <v>0</v>
      </c>
      <c r="V563" s="125">
        <f>IF(AND(H563=TRUE,OR(K563="",K563&gt;M563)),S563,0)</f>
        <v/>
      </c>
      <c r="W563" s="124" t="n">
        <v>0</v>
      </c>
      <c r="X563" s="124" t="b">
        <v>0</v>
      </c>
      <c r="Y563" s="127">
        <f>IF(H563=FALSE,VLOOKUP($C563,Sales!$C:$F,4,FALSE),1)</f>
        <v/>
      </c>
      <c r="Z563" s="124">
        <f>IF(Y563=0,"Release",IF(AND(L563&lt;J563,Y563=1,H563=FALSE,U563=FALSE,MONTH(L563)&amp;"/"&amp;YEAR(L563)&lt;&gt;MONTH(J563)&amp;"/"&amp;YEAR(J563)),"Release",""))</f>
        <v/>
      </c>
      <c r="AA563" s="128">
        <f>_xlfn.minifs($L:$L,$C:$C,$C563,$F:$F,"&lt;&gt;0")</f>
        <v/>
      </c>
      <c r="AB563" s="128">
        <f>C563&amp;"-"&amp;A563</f>
        <v/>
      </c>
      <c r="AC563" s="128">
        <f>L563</f>
        <v/>
      </c>
    </row>
    <row r="564">
      <c r="A564" s="124" t="inlineStr">
        <is>
          <t>ZKRU01</t>
        </is>
      </c>
      <c r="B564" s="124" t="n">
        <v>6</v>
      </c>
      <c r="C564" s="124" t="inlineStr">
        <is>
          <t>HVP101</t>
        </is>
      </c>
      <c r="D564" s="124" t="inlineStr">
        <is>
          <t>P</t>
        </is>
      </c>
      <c r="E564" s="124" t="inlineStr">
        <is>
          <t>Kruger Jurgen</t>
        </is>
      </c>
      <c r="F564" s="125">
        <f>SUMIFS(Investors!$M:$M, Investors!$I:$I, "&lt;=" &amp; 'NSST Print'!$B$3, Investors!$K:$K, "&gt;" &amp; 'NSST Print'!$B$3, Investors!$A:$A, 'Investor Exit List'!A564, Investors!$E:$E, 'Investor Exit List'!C564)</f>
        <v/>
      </c>
      <c r="G564" s="126" t="n">
        <v>44819</v>
      </c>
      <c r="H564" s="124">
        <f>VLOOKUP($C564,Sales!$C:$E,2,FALSE)</f>
        <v/>
      </c>
      <c r="I564" s="124">
        <f>VLOOKUP($C564,Sales!$C:$E,3,FALSE)</f>
        <v/>
      </c>
      <c r="J564" s="126">
        <f>SUMIFS(Sales!$H:$H,Sales!$C:$C,'Investor Exit List'!$C564)</f>
        <v/>
      </c>
      <c r="K564" s="126">
        <f>IF(I564=TRUE,J564,"")</f>
        <v/>
      </c>
      <c r="L564" s="126">
        <f>G564+730</f>
        <v/>
      </c>
      <c r="M564" s="126" t="n">
        <v>45443</v>
      </c>
      <c r="N564" s="127">
        <f>IFERROR(IF(G564&lt;&gt;"",IF(I564=TRUE,0,IF(U564=TRUE,0,L564-M564)),0),0)</f>
        <v/>
      </c>
      <c r="O564" s="127">
        <f>IF(N564&gt;0,IF(N564&lt;=180,N564,0),0)</f>
        <v/>
      </c>
      <c r="P564" s="125">
        <f>IF(AND(N564&lt;90,N564&gt;0),Q564,0)</f>
        <v/>
      </c>
      <c r="Q564" s="125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25">
        <f>IF(AND(H564=TRUE,I564=FALSE),Q564,0)</f>
        <v/>
      </c>
      <c r="S564" s="125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26">
        <f>IF(U564=TRUE,$J564,"")</f>
        <v/>
      </c>
      <c r="U564" s="124" t="b">
        <v>0</v>
      </c>
      <c r="V564" s="125">
        <f>IF(AND(H564=TRUE,OR(K564="",K564&gt;M564)),S564,0)</f>
        <v/>
      </c>
      <c r="W564" s="124" t="n">
        <v>0</v>
      </c>
      <c r="X564" s="124" t="b">
        <v>0</v>
      </c>
      <c r="Y564" s="127">
        <f>IF(H564=FALSE,VLOOKUP($C564,Sales!$C:$F,4,FALSE),1)</f>
        <v/>
      </c>
      <c r="Z564" s="124">
        <f>IF(Y564=0,"Release",IF(AND(L564&lt;J564,Y564=1,H564=FALSE,U564=FALSE,MONTH(L564)&amp;"/"&amp;YEAR(L564)&lt;&gt;MONTH(J564)&amp;"/"&amp;YEAR(J564)),"Release",""))</f>
        <v/>
      </c>
      <c r="AA564" s="128">
        <f>_xlfn.minifs($L:$L,$C:$C,$C564,$F:$F,"&lt;&gt;0")</f>
        <v/>
      </c>
      <c r="AB564" s="128">
        <f>C564&amp;"-"&amp;A564</f>
        <v/>
      </c>
      <c r="AC564" s="128">
        <f>L564</f>
        <v/>
      </c>
    </row>
    <row r="565">
      <c r="A565" s="124" t="inlineStr">
        <is>
          <t>ZTHA01</t>
        </is>
      </c>
      <c r="B565" s="124" t="n">
        <v>1</v>
      </c>
      <c r="C565" s="124" t="inlineStr">
        <is>
          <t>HVP101</t>
        </is>
      </c>
      <c r="D565" s="124" t="inlineStr">
        <is>
          <t>P</t>
        </is>
      </c>
      <c r="E565" s="124" t="inlineStr">
        <is>
          <t>Matthee Gerald Adriaan Odendal</t>
        </is>
      </c>
      <c r="F565" s="125">
        <f>SUMIFS(Investors!$M:$M, Investors!$I:$I, "&lt;=" &amp; 'NSST Print'!$B$3, Investors!$K:$K, "&gt;" &amp; 'NSST Print'!$B$3, Investors!$A:$A, 'Investor Exit List'!A565, Investors!$E:$E, 'Investor Exit List'!C565)</f>
        <v/>
      </c>
      <c r="G565" s="126" t="n">
        <v>44798</v>
      </c>
      <c r="H565" s="124">
        <f>VLOOKUP($C565,Sales!$C:$E,2,FALSE)</f>
        <v/>
      </c>
      <c r="I565" s="124">
        <f>VLOOKUP($C565,Sales!$C:$E,3,FALSE)</f>
        <v/>
      </c>
      <c r="J565" s="126">
        <f>SUMIFS(Sales!$H:$H,Sales!$C:$C,'Investor Exit List'!$C565)</f>
        <v/>
      </c>
      <c r="K565" s="126">
        <f>IF(I565=TRUE,J565,"")</f>
        <v/>
      </c>
      <c r="L565" s="126">
        <f>G565+730</f>
        <v/>
      </c>
      <c r="M565" s="126" t="n">
        <v>45443</v>
      </c>
      <c r="N565" s="127">
        <f>IFERROR(IF(G565&lt;&gt;"",IF(I565=TRUE,0,IF(U565=TRUE,0,L565-M565)),0),0)</f>
        <v/>
      </c>
      <c r="O565" s="127">
        <f>IF(N565&gt;0,IF(N565&lt;=180,N565,0),0)</f>
        <v/>
      </c>
      <c r="P565" s="125">
        <f>IF(AND(N565&lt;90,N565&gt;0),Q565,0)</f>
        <v/>
      </c>
      <c r="Q565" s="125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25">
        <f>IF(AND(H565=TRUE,I565=FALSE),Q565,0)</f>
        <v/>
      </c>
      <c r="S565" s="125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26">
        <f>IF(U565=TRUE,$J565,"")</f>
        <v/>
      </c>
      <c r="U565" s="124" t="b">
        <v>0</v>
      </c>
      <c r="V565" s="125">
        <f>IF(AND(H565=TRUE,OR(K565="",K565&gt;M565)),S565,0)</f>
        <v/>
      </c>
      <c r="W565" s="124" t="n">
        <v>0</v>
      </c>
      <c r="X565" s="124" t="b">
        <v>0</v>
      </c>
      <c r="Y565" s="127">
        <f>IF(H565=FALSE,VLOOKUP($C565,Sales!$C:$F,4,FALSE),1)</f>
        <v/>
      </c>
      <c r="Z565" s="124">
        <f>IF(Y565=0,"Release",IF(AND(L565&lt;J565,Y565=1,H565=FALSE,U565=FALSE,MONTH(L565)&amp;"/"&amp;YEAR(L565)&lt;&gt;MONTH(J565)&amp;"/"&amp;YEAR(J565)),"Release",""))</f>
        <v/>
      </c>
      <c r="AA565" s="128">
        <f>_xlfn.minifs($L:$L,$C:$C,$C565,$F:$F,"&lt;&gt;0")</f>
        <v/>
      </c>
      <c r="AB565" s="128">
        <f>C565&amp;"-"&amp;A565</f>
        <v/>
      </c>
      <c r="AC565" s="128">
        <f>L565</f>
        <v/>
      </c>
    </row>
    <row r="566">
      <c r="A566" s="124" t="inlineStr">
        <is>
          <t>ZVER02</t>
        </is>
      </c>
      <c r="B566" s="124" t="n">
        <v>4</v>
      </c>
      <c r="C566" s="124" t="inlineStr">
        <is>
          <t>HVP101</t>
        </is>
      </c>
      <c r="D566" s="124" t="inlineStr">
        <is>
          <t>P</t>
        </is>
      </c>
      <c r="E566" s="124" t="inlineStr">
        <is>
          <t>Verhaeghe Jean-Jacques EP</t>
        </is>
      </c>
      <c r="F566" s="125">
        <f>SUMIFS(Investors!$M:$M, Investors!$I:$I, "&lt;=" &amp; 'NSST Print'!$B$3, Investors!$K:$K, "&gt;" &amp; 'NSST Print'!$B$3, Investors!$A:$A, 'Investor Exit List'!A566, Investors!$E:$E, 'Investor Exit List'!C566)</f>
        <v/>
      </c>
      <c r="G566" s="126" t="n">
        <v>44791</v>
      </c>
      <c r="H566" s="124">
        <f>VLOOKUP($C566,Sales!$C:$E,2,FALSE)</f>
        <v/>
      </c>
      <c r="I566" s="124">
        <f>VLOOKUP($C566,Sales!$C:$E,3,FALSE)</f>
        <v/>
      </c>
      <c r="J566" s="126">
        <f>SUMIFS(Sales!$H:$H,Sales!$C:$C,'Investor Exit List'!$C566)</f>
        <v/>
      </c>
      <c r="K566" s="126">
        <f>IF(I566=TRUE,J566,"")</f>
        <v/>
      </c>
      <c r="L566" s="126">
        <f>G566+730</f>
        <v/>
      </c>
      <c r="M566" s="126" t="n">
        <v>45443</v>
      </c>
      <c r="N566" s="127">
        <f>IFERROR(IF(G566&lt;&gt;"",IF(I566=TRUE,0,IF(U566=TRUE,0,L566-M566)),0),0)</f>
        <v/>
      </c>
      <c r="O566" s="127">
        <f>IF(N566&gt;0,IF(N566&lt;=180,N566,0),0)</f>
        <v/>
      </c>
      <c r="P566" s="125">
        <f>IF(AND(N566&lt;90,N566&gt;0),Q566,0)</f>
        <v/>
      </c>
      <c r="Q566" s="125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25">
        <f>IF(AND(H566=TRUE,I566=FALSE),Q566,0)</f>
        <v/>
      </c>
      <c r="S566" s="125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26">
        <f>IF(U566=TRUE,$J566,"")</f>
        <v/>
      </c>
      <c r="U566" s="124" t="b">
        <v>0</v>
      </c>
      <c r="V566" s="125">
        <f>IF(AND(H566=TRUE,OR(K566="",K566&gt;M566)),S566,0)</f>
        <v/>
      </c>
      <c r="W566" s="124" t="n">
        <v>0</v>
      </c>
      <c r="X566" s="124" t="b">
        <v>0</v>
      </c>
      <c r="Y566" s="127">
        <f>IF(H566=FALSE,VLOOKUP($C566,Sales!$C:$F,4,FALSE),1)</f>
        <v/>
      </c>
      <c r="Z566" s="124">
        <f>IF(Y566=0,"Release",IF(AND(L566&lt;J566,Y566=1,H566=FALSE,U566=FALSE,MONTH(L566)&amp;"/"&amp;YEAR(L566)&lt;&gt;MONTH(J566)&amp;"/"&amp;YEAR(J566)),"Release",""))</f>
        <v/>
      </c>
      <c r="AA566" s="128">
        <f>_xlfn.minifs($L:$L,$C:$C,$C566,$F:$F,"&lt;&gt;0")</f>
        <v/>
      </c>
      <c r="AB566" s="128">
        <f>C566&amp;"-"&amp;A566</f>
        <v/>
      </c>
      <c r="AC566" s="128">
        <f>L566</f>
        <v/>
      </c>
    </row>
    <row r="567">
      <c r="A567" s="124" t="inlineStr">
        <is>
          <t>ZHUM01</t>
        </is>
      </c>
      <c r="B567" s="124" t="n">
        <v>1</v>
      </c>
      <c r="C567" s="124" t="inlineStr">
        <is>
          <t>HVP102</t>
        </is>
      </c>
      <c r="D567" s="124" t="inlineStr">
        <is>
          <t>P</t>
        </is>
      </c>
      <c r="E567" s="124" t="inlineStr">
        <is>
          <t>Human Tralee Joan</t>
        </is>
      </c>
      <c r="F567" s="125">
        <f>SUMIFS(Investors!$M:$M, Investors!$I:$I, "&lt;=" &amp; 'NSST Print'!$B$3, Investors!$K:$K, "&gt;" &amp; 'NSST Print'!$B$3, Investors!$A:$A, 'Investor Exit List'!A567, Investors!$E:$E, 'Investor Exit List'!C567)</f>
        <v/>
      </c>
      <c r="G567" s="126" t="n">
        <v>44840</v>
      </c>
      <c r="H567" s="124">
        <f>VLOOKUP($C567,Sales!$C:$E,2,FALSE)</f>
        <v/>
      </c>
      <c r="I567" s="124">
        <f>VLOOKUP($C567,Sales!$C:$E,3,FALSE)</f>
        <v/>
      </c>
      <c r="J567" s="126">
        <f>SUMIFS(Sales!$H:$H,Sales!$C:$C,'Investor Exit List'!$C567)</f>
        <v/>
      </c>
      <c r="K567" s="126">
        <f>IF(I567=TRUE,J567,"")</f>
        <v/>
      </c>
      <c r="L567" s="126">
        <f>G567+730</f>
        <v/>
      </c>
      <c r="M567" s="126" t="n">
        <v>45443</v>
      </c>
      <c r="N567" s="127">
        <f>IFERROR(IF(G567&lt;&gt;"",IF(I567=TRUE,0,IF(U567=TRUE,0,L567-M567)),0),0)</f>
        <v/>
      </c>
      <c r="O567" s="127">
        <f>IF(N567&gt;0,IF(N567&lt;=180,N567,0),0)</f>
        <v/>
      </c>
      <c r="P567" s="125">
        <f>IF(AND(N567&lt;90,N567&gt;0),Q567,0)</f>
        <v/>
      </c>
      <c r="Q567" s="125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25">
        <f>IF(AND(H567=TRUE,I567=FALSE),Q567,0)</f>
        <v/>
      </c>
      <c r="S567" s="125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26">
        <f>IF(U567=TRUE,$J567,"")</f>
        <v/>
      </c>
      <c r="U567" s="124" t="b">
        <v>0</v>
      </c>
      <c r="V567" s="125">
        <f>IF(AND(H567=TRUE,OR(K567="",K567&gt;M567)),S567,0)</f>
        <v/>
      </c>
      <c r="W567" s="124" t="n">
        <v>0</v>
      </c>
      <c r="X567" s="124" t="b">
        <v>0</v>
      </c>
      <c r="Y567" s="127">
        <f>IF(H567=FALSE,VLOOKUP($C567,Sales!$C:$F,4,FALSE),1)</f>
        <v/>
      </c>
      <c r="Z567" s="124">
        <f>IF(Y567=0,"Release",IF(AND(L567&lt;J567,Y567=1,H567=FALSE,U567=FALSE,MONTH(L567)&amp;"/"&amp;YEAR(L567)&lt;&gt;MONTH(J567)&amp;"/"&amp;YEAR(J567)),"Release",""))</f>
        <v/>
      </c>
      <c r="AA567" s="128">
        <f>_xlfn.minifs($L:$L,$C:$C,$C567,$F:$F,"&lt;&gt;0")</f>
        <v/>
      </c>
      <c r="AB567" s="128">
        <f>C567&amp;"-"&amp;A567</f>
        <v/>
      </c>
      <c r="AC567" s="128">
        <f>L567</f>
        <v/>
      </c>
    </row>
    <row r="568">
      <c r="A568" s="124" t="inlineStr">
        <is>
          <t>ZJEN02</t>
        </is>
      </c>
      <c r="B568" s="124" t="n">
        <v>1</v>
      </c>
      <c r="C568" s="124" t="inlineStr">
        <is>
          <t>HVP102</t>
        </is>
      </c>
      <c r="D568" s="124" t="inlineStr">
        <is>
          <t>P</t>
        </is>
      </c>
      <c r="E568" s="124" t="inlineStr">
        <is>
          <t>Jennings Andrew Bowden</t>
        </is>
      </c>
      <c r="F568" s="125">
        <f>SUMIFS(Investors!$M:$M, Investors!$I:$I, "&lt;=" &amp; 'NSST Print'!$B$3, Investors!$K:$K, "&gt;" &amp; 'NSST Print'!$B$3, Investors!$A:$A, 'Investor Exit List'!A568, Investors!$E:$E, 'Investor Exit List'!C568)</f>
        <v/>
      </c>
      <c r="G568" s="126" t="n">
        <v>44833</v>
      </c>
      <c r="H568" s="124">
        <f>VLOOKUP($C568,Sales!$C:$E,2,FALSE)</f>
        <v/>
      </c>
      <c r="I568" s="124">
        <f>VLOOKUP($C568,Sales!$C:$E,3,FALSE)</f>
        <v/>
      </c>
      <c r="J568" s="126">
        <f>SUMIFS(Sales!$H:$H,Sales!$C:$C,'Investor Exit List'!$C568)</f>
        <v/>
      </c>
      <c r="K568" s="126">
        <f>IF(I568=TRUE,J568,"")</f>
        <v/>
      </c>
      <c r="L568" s="126">
        <f>G568+730</f>
        <v/>
      </c>
      <c r="M568" s="126" t="n">
        <v>45443</v>
      </c>
      <c r="N568" s="127">
        <f>IFERROR(IF(G568&lt;&gt;"",IF(I568=TRUE,0,IF(U568=TRUE,0,L568-M568)),0),0)</f>
        <v/>
      </c>
      <c r="O568" s="127">
        <f>IF(N568&gt;0,IF(N568&lt;=180,N568,0),0)</f>
        <v/>
      </c>
      <c r="P568" s="125">
        <f>IF(AND(N568&lt;90,N568&gt;0),Q568,0)</f>
        <v/>
      </c>
      <c r="Q568" s="125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25">
        <f>IF(AND(H568=TRUE,I568=FALSE),Q568,0)</f>
        <v/>
      </c>
      <c r="S568" s="125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26">
        <f>IF(U568=TRUE,$J568,"")</f>
        <v/>
      </c>
      <c r="U568" s="124" t="b">
        <v>0</v>
      </c>
      <c r="V568" s="125">
        <f>IF(AND(H568=TRUE,OR(K568="",K568&gt;M568)),S568,0)</f>
        <v/>
      </c>
      <c r="W568" s="124" t="n">
        <v>0</v>
      </c>
      <c r="X568" s="124" t="b">
        <v>0</v>
      </c>
      <c r="Y568" s="127">
        <f>IF(H568=FALSE,VLOOKUP($C568,Sales!$C:$F,4,FALSE),1)</f>
        <v/>
      </c>
      <c r="Z568" s="124">
        <f>IF(Y568=0,"Release",IF(AND(L568&lt;J568,Y568=1,H568=FALSE,U568=FALSE,MONTH(L568)&amp;"/"&amp;YEAR(L568)&lt;&gt;MONTH(J568)&amp;"/"&amp;YEAR(J568)),"Release",""))</f>
        <v/>
      </c>
      <c r="AA568" s="128">
        <f>_xlfn.minifs($L:$L,$C:$C,$C568,$F:$F,"&lt;&gt;0")</f>
        <v/>
      </c>
      <c r="AB568" s="128">
        <f>C568&amp;"-"&amp;A568</f>
        <v/>
      </c>
      <c r="AC568" s="128">
        <f>L568</f>
        <v/>
      </c>
    </row>
    <row r="569">
      <c r="A569" s="124" t="inlineStr">
        <is>
          <t>ZZEE01</t>
        </is>
      </c>
      <c r="B569" s="124" t="n">
        <v>1</v>
      </c>
      <c r="C569" s="124" t="inlineStr">
        <is>
          <t>HVP103</t>
        </is>
      </c>
      <c r="D569" s="124" t="inlineStr">
        <is>
          <t>P</t>
        </is>
      </c>
      <c r="E569" s="124" t="inlineStr">
        <is>
          <t>Zeeman Michael Christiaan</t>
        </is>
      </c>
      <c r="F569" s="125">
        <f>SUMIFS(Investors!$M:$M, Investors!$I:$I, "&lt;=" &amp; 'NSST Print'!$B$3, Investors!$K:$K, "&gt;" &amp; 'NSST Print'!$B$3, Investors!$A:$A, 'Investor Exit List'!A569, Investors!$E:$E, 'Investor Exit List'!C569)</f>
        <v/>
      </c>
      <c r="G569" s="126" t="n">
        <v>44833</v>
      </c>
      <c r="H569" s="124">
        <f>VLOOKUP($C569,Sales!$C:$E,2,FALSE)</f>
        <v/>
      </c>
      <c r="I569" s="124">
        <f>VLOOKUP($C569,Sales!$C:$E,3,FALSE)</f>
        <v/>
      </c>
      <c r="J569" s="126">
        <f>SUMIFS(Sales!$H:$H,Sales!$C:$C,'Investor Exit List'!$C569)</f>
        <v/>
      </c>
      <c r="K569" s="126">
        <f>IF(I569=TRUE,J569,"")</f>
        <v/>
      </c>
      <c r="L569" s="126">
        <f>G569+730</f>
        <v/>
      </c>
      <c r="M569" s="126" t="n">
        <v>45443</v>
      </c>
      <c r="N569" s="127">
        <f>IFERROR(IF(G569&lt;&gt;"",IF(I569=TRUE,0,IF(U569=TRUE,0,L569-M569)),0),0)</f>
        <v/>
      </c>
      <c r="O569" s="127">
        <f>IF(N569&gt;0,IF(N569&lt;=180,N569,0),0)</f>
        <v/>
      </c>
      <c r="P569" s="125">
        <f>IF(AND(N569&lt;90,N569&gt;0),Q569,0)</f>
        <v/>
      </c>
      <c r="Q569" s="125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25">
        <f>IF(AND(H569=TRUE,I569=FALSE),Q569,0)</f>
        <v/>
      </c>
      <c r="S569" s="125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26">
        <f>IF(U569=TRUE,$J569,"")</f>
        <v/>
      </c>
      <c r="U569" s="124" t="b">
        <v>0</v>
      </c>
      <c r="V569" s="125">
        <f>IF(AND(H569=TRUE,OR(K569="",K569&gt;M569)),S569,0)</f>
        <v/>
      </c>
      <c r="W569" s="124" t="n">
        <v>0</v>
      </c>
      <c r="X569" s="124" t="b">
        <v>0</v>
      </c>
      <c r="Y569" s="127">
        <f>IF(H569=FALSE,VLOOKUP($C569,Sales!$C:$F,4,FALSE),1)</f>
        <v/>
      </c>
      <c r="Z569" s="124">
        <f>IF(Y569=0,"Release",IF(AND(L569&lt;J569,Y569=1,H569=FALSE,U569=FALSE,MONTH(L569)&amp;"/"&amp;YEAR(L569)&lt;&gt;MONTH(J569)&amp;"/"&amp;YEAR(J569)),"Release",""))</f>
        <v/>
      </c>
      <c r="AA569" s="128">
        <f>_xlfn.minifs($L:$L,$C:$C,$C569,$F:$F,"&lt;&gt;0")</f>
        <v/>
      </c>
      <c r="AB569" s="128">
        <f>C569&amp;"-"&amp;A569</f>
        <v/>
      </c>
      <c r="AC569" s="128">
        <f>L569</f>
        <v/>
      </c>
    </row>
    <row r="570">
      <c r="A570" s="124" t="inlineStr">
        <is>
          <t>ZBAL02</t>
        </is>
      </c>
      <c r="B570" s="124" t="n">
        <v>1</v>
      </c>
      <c r="C570" s="124" t="inlineStr">
        <is>
          <t>HVP201</t>
        </is>
      </c>
      <c r="D570" s="124" t="inlineStr">
        <is>
          <t>P</t>
        </is>
      </c>
      <c r="E570" s="124" t="inlineStr">
        <is>
          <t>Ballim Shaheda</t>
        </is>
      </c>
      <c r="F570" s="125">
        <f>SUMIFS(Investors!$M:$M, Investors!$I:$I, "&lt;=" &amp; 'NSST Print'!$B$3, Investors!$K:$K, "&gt;" &amp; 'NSST Print'!$B$3, Investors!$A:$A, 'Investor Exit List'!A570, Investors!$E:$E, 'Investor Exit List'!C570)</f>
        <v/>
      </c>
      <c r="G570" s="126" t="n">
        <v>44861</v>
      </c>
      <c r="H570" s="124">
        <f>VLOOKUP($C570,Sales!$C:$E,2,FALSE)</f>
        <v/>
      </c>
      <c r="I570" s="124">
        <f>VLOOKUP($C570,Sales!$C:$E,3,FALSE)</f>
        <v/>
      </c>
      <c r="J570" s="126">
        <f>SUMIFS(Sales!$H:$H,Sales!$C:$C,'Investor Exit List'!$C570)</f>
        <v/>
      </c>
      <c r="K570" s="126">
        <f>IF(I570=TRUE,J570,"")</f>
        <v/>
      </c>
      <c r="L570" s="126">
        <f>G570+730</f>
        <v/>
      </c>
      <c r="M570" s="126" t="n">
        <v>45443</v>
      </c>
      <c r="N570" s="127">
        <f>IFERROR(IF(G570&lt;&gt;"",IF(I570=TRUE,0,IF(U570=TRUE,0,L570-M570)),0),0)</f>
        <v/>
      </c>
      <c r="O570" s="127">
        <f>IF(N570&gt;0,IF(N570&lt;=180,N570,0),0)</f>
        <v/>
      </c>
      <c r="P570" s="125">
        <f>IF(AND(N570&lt;90,N570&gt;0),Q570,0)</f>
        <v/>
      </c>
      <c r="Q570" s="125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25">
        <f>IF(AND(H570=TRUE,I570=FALSE),Q570,0)</f>
        <v/>
      </c>
      <c r="S570" s="125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26">
        <f>IF(U570=TRUE,$J570,"")</f>
        <v/>
      </c>
      <c r="U570" s="124" t="b">
        <v>0</v>
      </c>
      <c r="V570" s="125">
        <f>IF(AND(H570=TRUE,OR(K570="",K570&gt;M570)),S570,0)</f>
        <v/>
      </c>
      <c r="W570" s="124" t="n">
        <v>0</v>
      </c>
      <c r="X570" s="124" t="b">
        <v>0</v>
      </c>
      <c r="Y570" s="127">
        <f>IF(H570=FALSE,VLOOKUP($C570,Sales!$C:$F,4,FALSE),1)</f>
        <v/>
      </c>
      <c r="Z570" s="124">
        <f>IF(Y570=0,"Release",IF(AND(L570&lt;J570,Y570=1,H570=FALSE,U570=FALSE,MONTH(L570)&amp;"/"&amp;YEAR(L570)&lt;&gt;MONTH(J570)&amp;"/"&amp;YEAR(J570)),"Release",""))</f>
        <v/>
      </c>
      <c r="AA570" s="128">
        <f>_xlfn.minifs($L:$L,$C:$C,$C570,$F:$F,"&lt;&gt;0")</f>
        <v/>
      </c>
      <c r="AB570" s="128">
        <f>C570&amp;"-"&amp;A570</f>
        <v/>
      </c>
      <c r="AC570" s="128">
        <f>L570</f>
        <v/>
      </c>
    </row>
    <row r="571">
      <c r="A571" s="124" t="inlineStr">
        <is>
          <t>ZDEF01</t>
        </is>
      </c>
      <c r="B571" s="124" t="n">
        <v>1</v>
      </c>
      <c r="C571" s="124" t="inlineStr">
        <is>
          <t>HVP201</t>
        </is>
      </c>
      <c r="D571" s="124" t="inlineStr">
        <is>
          <t>P</t>
        </is>
      </c>
      <c r="E571" s="124" t="inlineStr">
        <is>
          <t>de Freitas Allan</t>
        </is>
      </c>
      <c r="F571" s="125">
        <f>SUMIFS(Investors!$M:$M, Investors!$I:$I, "&lt;=" &amp; 'NSST Print'!$B$3, Investors!$K:$K, "&gt;" &amp; 'NSST Print'!$B$3, Investors!$A:$A, 'Investor Exit List'!A571, Investors!$E:$E, 'Investor Exit List'!C571)</f>
        <v/>
      </c>
      <c r="G571" s="126" t="n">
        <v>44848</v>
      </c>
      <c r="H571" s="124">
        <f>VLOOKUP($C571,Sales!$C:$E,2,FALSE)</f>
        <v/>
      </c>
      <c r="I571" s="124">
        <f>VLOOKUP($C571,Sales!$C:$E,3,FALSE)</f>
        <v/>
      </c>
      <c r="J571" s="126">
        <f>SUMIFS(Sales!$H:$H,Sales!$C:$C,'Investor Exit List'!$C571)</f>
        <v/>
      </c>
      <c r="K571" s="126">
        <f>IF(I571=TRUE,J571,"")</f>
        <v/>
      </c>
      <c r="L571" s="126">
        <f>G571+730</f>
        <v/>
      </c>
      <c r="M571" s="126" t="n">
        <v>45443</v>
      </c>
      <c r="N571" s="127">
        <f>IFERROR(IF(G571&lt;&gt;"",IF(I571=TRUE,0,IF(U571=TRUE,0,L571-M571)),0),0)</f>
        <v/>
      </c>
      <c r="O571" s="127">
        <f>IF(N571&gt;0,IF(N571&lt;=180,N571,0),0)</f>
        <v/>
      </c>
      <c r="P571" s="125">
        <f>IF(AND(N571&lt;90,N571&gt;0),Q571,0)</f>
        <v/>
      </c>
      <c r="Q571" s="125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25">
        <f>IF(AND(H571=TRUE,I571=FALSE),Q571,0)</f>
        <v/>
      </c>
      <c r="S571" s="125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26">
        <f>IF(U571=TRUE,$J571,"")</f>
        <v/>
      </c>
      <c r="U571" s="124" t="b">
        <v>0</v>
      </c>
      <c r="V571" s="125">
        <f>IF(AND(H571=TRUE,OR(K571="",K571&gt;M571)),S571,0)</f>
        <v/>
      </c>
      <c r="W571" s="124" t="n">
        <v>0</v>
      </c>
      <c r="X571" s="124" t="b">
        <v>0</v>
      </c>
      <c r="Y571" s="127">
        <f>IF(H571=FALSE,VLOOKUP($C571,Sales!$C:$F,4,FALSE),1)</f>
        <v/>
      </c>
      <c r="Z571" s="124">
        <f>IF(Y571=0,"Release",IF(AND(L571&lt;J571,Y571=1,H571=FALSE,U571=FALSE,MONTH(L571)&amp;"/"&amp;YEAR(L571)&lt;&gt;MONTH(J571)&amp;"/"&amp;YEAR(J571)),"Release",""))</f>
        <v/>
      </c>
      <c r="AA571" s="128">
        <f>_xlfn.minifs($L:$L,$C:$C,$C571,$F:$F,"&lt;&gt;0")</f>
        <v/>
      </c>
      <c r="AB571" s="128">
        <f>C571&amp;"-"&amp;A571</f>
        <v/>
      </c>
      <c r="AC571" s="128">
        <f>L571</f>
        <v/>
      </c>
    </row>
    <row r="572">
      <c r="A572" s="124" t="inlineStr">
        <is>
          <t>ZJAN05</t>
        </is>
      </c>
      <c r="B572" s="124" t="n">
        <v>1</v>
      </c>
      <c r="C572" s="124" t="inlineStr">
        <is>
          <t>HVP201</t>
        </is>
      </c>
      <c r="D572" s="124" t="inlineStr">
        <is>
          <t>P</t>
        </is>
      </c>
      <c r="E572" s="124" t="inlineStr">
        <is>
          <t>Janse van Rensburg Gerda</t>
        </is>
      </c>
      <c r="F572" s="125">
        <f>SUMIFS(Investors!$M:$M, Investors!$I:$I, "&lt;=" &amp; 'NSST Print'!$B$3, Investors!$K:$K, "&gt;" &amp; 'NSST Print'!$B$3, Investors!$A:$A, 'Investor Exit List'!A572, Investors!$E:$E, 'Investor Exit List'!C572)</f>
        <v/>
      </c>
      <c r="G572" s="126" t="n">
        <v>44861</v>
      </c>
      <c r="H572" s="124">
        <f>VLOOKUP($C572,Sales!$C:$E,2,FALSE)</f>
        <v/>
      </c>
      <c r="I572" s="124">
        <f>VLOOKUP($C572,Sales!$C:$E,3,FALSE)</f>
        <v/>
      </c>
      <c r="J572" s="126">
        <f>SUMIFS(Sales!$H:$H,Sales!$C:$C,'Investor Exit List'!$C572)</f>
        <v/>
      </c>
      <c r="K572" s="126">
        <f>IF(I572=TRUE,J572,"")</f>
        <v/>
      </c>
      <c r="L572" s="126">
        <f>G572+730</f>
        <v/>
      </c>
      <c r="M572" s="126" t="n">
        <v>45443</v>
      </c>
      <c r="N572" s="127">
        <f>IFERROR(IF(G572&lt;&gt;"",IF(I572=TRUE,0,IF(U572=TRUE,0,L572-M572)),0),0)</f>
        <v/>
      </c>
      <c r="O572" s="127">
        <f>IF(N572&gt;0,IF(N572&lt;=180,N572,0),0)</f>
        <v/>
      </c>
      <c r="P572" s="125">
        <f>IF(AND(N572&lt;90,N572&gt;0),Q572,0)</f>
        <v/>
      </c>
      <c r="Q572" s="125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25">
        <f>IF(AND(H572=TRUE,I572=FALSE),Q572,0)</f>
        <v/>
      </c>
      <c r="S572" s="125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26">
        <f>IF(U572=TRUE,$J572,"")</f>
        <v/>
      </c>
      <c r="U572" s="124" t="b">
        <v>0</v>
      </c>
      <c r="V572" s="125">
        <f>IF(AND(H572=TRUE,OR(K572="",K572&gt;M572)),S572,0)</f>
        <v/>
      </c>
      <c r="W572" s="124" t="n">
        <v>0</v>
      </c>
      <c r="X572" s="124" t="b">
        <v>0</v>
      </c>
      <c r="Y572" s="127">
        <f>IF(H572=FALSE,VLOOKUP($C572,Sales!$C:$F,4,FALSE),1)</f>
        <v/>
      </c>
      <c r="Z572" s="124">
        <f>IF(Y572=0,"Release",IF(AND(L572&lt;J572,Y572=1,H572=FALSE,U572=FALSE,MONTH(L572)&amp;"/"&amp;YEAR(L572)&lt;&gt;MONTH(J572)&amp;"/"&amp;YEAR(J572)),"Release",""))</f>
        <v/>
      </c>
      <c r="AA572" s="128">
        <f>_xlfn.minifs($L:$L,$C:$C,$C572,$F:$F,"&lt;&gt;0")</f>
        <v/>
      </c>
      <c r="AB572" s="128">
        <f>C572&amp;"-"&amp;A572</f>
        <v/>
      </c>
      <c r="AC572" s="128">
        <f>L572</f>
        <v/>
      </c>
    </row>
    <row r="573">
      <c r="A573" s="124" t="inlineStr">
        <is>
          <t>ZNUN01</t>
        </is>
      </c>
      <c r="B573" s="124" t="n">
        <v>5</v>
      </c>
      <c r="C573" s="124" t="inlineStr">
        <is>
          <t>HVP201</t>
        </is>
      </c>
      <c r="D573" s="124" t="inlineStr">
        <is>
          <t>P</t>
        </is>
      </c>
      <c r="E573" s="124" t="inlineStr">
        <is>
          <t>Nunes Francisco Antonio</t>
        </is>
      </c>
      <c r="F573" s="125">
        <f>SUMIFS(Investors!$M:$M, Investors!$I:$I, "&lt;=" &amp; 'NSST Print'!$B$3, Investors!$K:$K, "&gt;" &amp; 'NSST Print'!$B$3, Investors!$A:$A, 'Investor Exit List'!A573, Investors!$E:$E, 'Investor Exit List'!C573)</f>
        <v/>
      </c>
      <c r="G573" s="126" t="n">
        <v>44826</v>
      </c>
      <c r="H573" s="124">
        <f>VLOOKUP($C573,Sales!$C:$E,2,FALSE)</f>
        <v/>
      </c>
      <c r="I573" s="124">
        <f>VLOOKUP($C573,Sales!$C:$E,3,FALSE)</f>
        <v/>
      </c>
      <c r="J573" s="126">
        <f>SUMIFS(Sales!$H:$H,Sales!$C:$C,'Investor Exit List'!$C573)</f>
        <v/>
      </c>
      <c r="K573" s="126">
        <f>IF(I573=TRUE,J573,"")</f>
        <v/>
      </c>
      <c r="L573" s="126">
        <f>G573+730</f>
        <v/>
      </c>
      <c r="M573" s="126" t="n">
        <v>45443</v>
      </c>
      <c r="N573" s="127">
        <f>IFERROR(IF(G573&lt;&gt;"",IF(I573=TRUE,0,IF(U573=TRUE,0,L573-M573)),0),0)</f>
        <v/>
      </c>
      <c r="O573" s="127">
        <f>IF(N573&gt;0,IF(N573&lt;=180,N573,0),0)</f>
        <v/>
      </c>
      <c r="P573" s="125">
        <f>IF(AND(N573&lt;90,N573&gt;0),Q573,0)</f>
        <v/>
      </c>
      <c r="Q573" s="125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25">
        <f>IF(AND(H573=TRUE,I573=FALSE),Q573,0)</f>
        <v/>
      </c>
      <c r="S573" s="125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26">
        <f>IF(U573=TRUE,$J573,"")</f>
        <v/>
      </c>
      <c r="U573" s="124" t="b">
        <v>0</v>
      </c>
      <c r="V573" s="125">
        <f>IF(AND(H573=TRUE,OR(K573="",K573&gt;M573)),S573,0)</f>
        <v/>
      </c>
      <c r="W573" s="124" t="n">
        <v>0</v>
      </c>
      <c r="X573" s="124" t="b">
        <v>0</v>
      </c>
      <c r="Y573" s="127">
        <f>IF(H573=FALSE,VLOOKUP($C573,Sales!$C:$F,4,FALSE),1)</f>
        <v/>
      </c>
      <c r="Z573" s="124">
        <f>IF(Y573=0,"Release",IF(AND(L573&lt;J573,Y573=1,H573=FALSE,U573=FALSE,MONTH(L573)&amp;"/"&amp;YEAR(L573)&lt;&gt;MONTH(J573)&amp;"/"&amp;YEAR(J573)),"Release",""))</f>
        <v/>
      </c>
      <c r="AA573" s="128">
        <f>_xlfn.minifs($L:$L,$C:$C,$C573,$F:$F,"&lt;&gt;0")</f>
        <v/>
      </c>
      <c r="AB573" s="128">
        <f>C573&amp;"-"&amp;A573</f>
        <v/>
      </c>
      <c r="AC573" s="128">
        <f>L573</f>
        <v/>
      </c>
    </row>
    <row r="574">
      <c r="A574" s="124" t="inlineStr">
        <is>
          <t>ZZEE01</t>
        </is>
      </c>
      <c r="B574" s="124" t="n">
        <v>2</v>
      </c>
      <c r="C574" s="124" t="inlineStr">
        <is>
          <t>HVP201</t>
        </is>
      </c>
      <c r="D574" s="124" t="inlineStr">
        <is>
          <t>P</t>
        </is>
      </c>
      <c r="E574" s="124" t="inlineStr">
        <is>
          <t>Zeeman Michael Christiaan</t>
        </is>
      </c>
      <c r="F574" s="125">
        <f>SUMIFS(Investors!$M:$M, Investors!$I:$I, "&lt;=" &amp; 'NSST Print'!$B$3, Investors!$K:$K, "&gt;" &amp; 'NSST Print'!$B$3, Investors!$A:$A, 'Investor Exit List'!A574, Investors!$E:$E, 'Investor Exit List'!C574)</f>
        <v/>
      </c>
      <c r="G574" s="126" t="n">
        <v>44826</v>
      </c>
      <c r="H574" s="124">
        <f>VLOOKUP($C574,Sales!$C:$E,2,FALSE)</f>
        <v/>
      </c>
      <c r="I574" s="124">
        <f>VLOOKUP($C574,Sales!$C:$E,3,FALSE)</f>
        <v/>
      </c>
      <c r="J574" s="126">
        <f>SUMIFS(Sales!$H:$H,Sales!$C:$C,'Investor Exit List'!$C574)</f>
        <v/>
      </c>
      <c r="K574" s="126">
        <f>IF(I574=TRUE,J574,"")</f>
        <v/>
      </c>
      <c r="L574" s="126">
        <f>G574+730</f>
        <v/>
      </c>
      <c r="M574" s="126" t="n">
        <v>45443</v>
      </c>
      <c r="N574" s="127">
        <f>IFERROR(IF(G574&lt;&gt;"",IF(I574=TRUE,0,IF(U574=TRUE,0,L574-M574)),0),0)</f>
        <v/>
      </c>
      <c r="O574" s="127">
        <f>IF(N574&gt;0,IF(N574&lt;=180,N574,0),0)</f>
        <v/>
      </c>
      <c r="P574" s="125">
        <f>IF(AND(N574&lt;90,N574&gt;0),Q574,0)</f>
        <v/>
      </c>
      <c r="Q574" s="125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25">
        <f>IF(AND(H574=TRUE,I574=FALSE),Q574,0)</f>
        <v/>
      </c>
      <c r="S574" s="125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26">
        <f>IF(U574=TRUE,$J574,"")</f>
        <v/>
      </c>
      <c r="U574" s="124" t="b">
        <v>0</v>
      </c>
      <c r="V574" s="125">
        <f>IF(AND(H574=TRUE,OR(K574="",K574&gt;M574)),S574,0)</f>
        <v/>
      </c>
      <c r="W574" s="124" t="n">
        <v>0</v>
      </c>
      <c r="X574" s="124" t="b">
        <v>0</v>
      </c>
      <c r="Y574" s="127">
        <f>IF(H574=FALSE,VLOOKUP($C574,Sales!$C:$F,4,FALSE),1)</f>
        <v/>
      </c>
      <c r="Z574" s="124">
        <f>IF(Y574=0,"Release",IF(AND(L574&lt;J574,Y574=1,H574=FALSE,U574=FALSE,MONTH(L574)&amp;"/"&amp;YEAR(L574)&lt;&gt;MONTH(J574)&amp;"/"&amp;YEAR(J574)),"Release",""))</f>
        <v/>
      </c>
      <c r="AA574" s="128">
        <f>_xlfn.minifs($L:$L,$C:$C,$C574,$F:$F,"&lt;&gt;0")</f>
        <v/>
      </c>
      <c r="AB574" s="128">
        <f>C574&amp;"-"&amp;A574</f>
        <v/>
      </c>
      <c r="AC574" s="128">
        <f>L574</f>
        <v/>
      </c>
    </row>
    <row r="575">
      <c r="A575" s="124" t="inlineStr">
        <is>
          <t>ZBUR01</t>
        </is>
      </c>
      <c r="B575" s="124" t="n">
        <v>2</v>
      </c>
      <c r="C575" s="124" t="inlineStr">
        <is>
          <t>HVP202</t>
        </is>
      </c>
      <c r="D575" s="124" t="inlineStr">
        <is>
          <t>P</t>
        </is>
      </c>
      <c r="E575" s="124" t="inlineStr">
        <is>
          <t>Burger Barend Frederik</t>
        </is>
      </c>
      <c r="F575" s="125">
        <f>SUMIFS(Investors!$M:$M, Investors!$I:$I, "&lt;=" &amp; 'NSST Print'!$B$3, Investors!$K:$K, "&gt;" &amp; 'NSST Print'!$B$3, Investors!$A:$A, 'Investor Exit List'!A575, Investors!$E:$E, 'Investor Exit List'!C575)</f>
        <v/>
      </c>
      <c r="G575" s="126" t="n">
        <v>45107</v>
      </c>
      <c r="H575" s="124">
        <f>VLOOKUP($C575,Sales!$C:$E,2,FALSE)</f>
        <v/>
      </c>
      <c r="I575" s="124">
        <f>VLOOKUP($C575,Sales!$C:$E,3,FALSE)</f>
        <v/>
      </c>
      <c r="J575" s="126">
        <f>SUMIFS(Sales!$H:$H,Sales!$C:$C,'Investor Exit List'!$C575)</f>
        <v/>
      </c>
      <c r="K575" s="126">
        <f>IF(I575=TRUE,J575,"")</f>
        <v/>
      </c>
      <c r="L575" s="126">
        <f>G575+730</f>
        <v/>
      </c>
      <c r="M575" s="126" t="n">
        <v>45443</v>
      </c>
      <c r="N575" s="127">
        <f>IFERROR(IF(G575&lt;&gt;"",IF(I575=TRUE,0,IF(U575=TRUE,0,L575-M575)),0),0)</f>
        <v/>
      </c>
      <c r="O575" s="127">
        <f>IF(N575&gt;0,IF(N575&lt;=180,N575,0),0)</f>
        <v/>
      </c>
      <c r="P575" s="125">
        <f>IF(AND(N575&lt;90,N575&gt;0),Q575,0)</f>
        <v/>
      </c>
      <c r="Q575" s="125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25">
        <f>IF(AND(H575=TRUE,I575=FALSE),Q575,0)</f>
        <v/>
      </c>
      <c r="S575" s="125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26">
        <f>IF(U575=TRUE,$J575,"")</f>
        <v/>
      </c>
      <c r="U575" s="124" t="b">
        <v>0</v>
      </c>
      <c r="V575" s="125">
        <f>IF(AND(H575=TRUE,OR(K575="",K575&gt;M575)),S575,0)</f>
        <v/>
      </c>
      <c r="W575" s="124" t="n">
        <v>0</v>
      </c>
      <c r="X575" s="124" t="b">
        <v>0</v>
      </c>
      <c r="Y575" s="127">
        <f>IF(H575=FALSE,VLOOKUP($C575,Sales!$C:$F,4,FALSE),1)</f>
        <v/>
      </c>
      <c r="Z575" s="124">
        <f>IF(Y575=0,"Release",IF(AND(L575&lt;J575,Y575=1,H575=FALSE,U575=FALSE,MONTH(L575)&amp;"/"&amp;YEAR(L575)&lt;&gt;MONTH(J575)&amp;"/"&amp;YEAR(J575)),"Release",""))</f>
        <v/>
      </c>
      <c r="AA575" s="128">
        <f>_xlfn.minifs($L:$L,$C:$C,$C575,$F:$F,"&lt;&gt;0")</f>
        <v/>
      </c>
      <c r="AB575" s="128">
        <f>C575&amp;"-"&amp;A575</f>
        <v/>
      </c>
      <c r="AC575" s="128">
        <f>L575</f>
        <v/>
      </c>
    </row>
    <row r="576">
      <c r="A576" s="124" t="inlineStr">
        <is>
          <t>ZCRO01</t>
        </is>
      </c>
      <c r="B576" s="124" t="n">
        <v>15</v>
      </c>
      <c r="C576" s="124" t="inlineStr">
        <is>
          <t>HVP202</t>
        </is>
      </c>
      <c r="D576" s="124" t="inlineStr">
        <is>
          <t>P</t>
        </is>
      </c>
      <c r="E576" s="124" t="inlineStr">
        <is>
          <t>Lunau Marc</t>
        </is>
      </c>
      <c r="F576" s="125">
        <f>SUMIFS(Investors!$M:$M, Investors!$I:$I, "&lt;=" &amp; 'NSST Print'!$B$3, Investors!$K:$K, "&gt;" &amp; 'NSST Print'!$B$3, Investors!$A:$A, 'Investor Exit List'!A576, Investors!$E:$E, 'Investor Exit List'!C576)</f>
        <v/>
      </c>
      <c r="G576" s="126" t="n">
        <v>45107</v>
      </c>
      <c r="H576" s="124">
        <f>VLOOKUP($C576,Sales!$C:$E,2,FALSE)</f>
        <v/>
      </c>
      <c r="I576" s="124">
        <f>VLOOKUP($C576,Sales!$C:$E,3,FALSE)</f>
        <v/>
      </c>
      <c r="J576" s="126">
        <f>SUMIFS(Sales!$H:$H,Sales!$C:$C,'Investor Exit List'!$C576)</f>
        <v/>
      </c>
      <c r="K576" s="126">
        <f>IF(I576=TRUE,J576,"")</f>
        <v/>
      </c>
      <c r="L576" s="126">
        <f>G576+730</f>
        <v/>
      </c>
      <c r="M576" s="126" t="n">
        <v>45443</v>
      </c>
      <c r="N576" s="127">
        <f>IFERROR(IF(G576&lt;&gt;"",IF(I576=TRUE,0,IF(U576=TRUE,0,L576-M576)),0),0)</f>
        <v/>
      </c>
      <c r="O576" s="127">
        <f>IF(N576&gt;0,IF(N576&lt;=180,N576,0),0)</f>
        <v/>
      </c>
      <c r="P576" s="125">
        <f>IF(AND(N576&lt;90,N576&gt;0),Q576,0)</f>
        <v/>
      </c>
      <c r="Q576" s="125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25">
        <f>IF(AND(H576=TRUE,I576=FALSE),Q576,0)</f>
        <v/>
      </c>
      <c r="S576" s="125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26">
        <f>IF(U576=TRUE,$J576,"")</f>
        <v/>
      </c>
      <c r="U576" s="124" t="b">
        <v>0</v>
      </c>
      <c r="V576" s="125">
        <f>IF(AND(H576=TRUE,OR(K576="",K576&gt;M576)),S576,0)</f>
        <v/>
      </c>
      <c r="W576" s="124" t="n">
        <v>0</v>
      </c>
      <c r="X576" s="124" t="b">
        <v>0</v>
      </c>
      <c r="Y576" s="127">
        <f>IF(H576=FALSE,VLOOKUP($C576,Sales!$C:$F,4,FALSE),1)</f>
        <v/>
      </c>
      <c r="Z576" s="124">
        <f>IF(Y576=0,"Release",IF(AND(L576&lt;J576,Y576=1,H576=FALSE,U576=FALSE,MONTH(L576)&amp;"/"&amp;YEAR(L576)&lt;&gt;MONTH(J576)&amp;"/"&amp;YEAR(J576)),"Release",""))</f>
        <v/>
      </c>
      <c r="AA576" s="128">
        <f>_xlfn.minifs($L:$L,$C:$C,$C576,$F:$F,"&lt;&gt;0")</f>
        <v/>
      </c>
      <c r="AB576" s="128">
        <f>C576&amp;"-"&amp;A576</f>
        <v/>
      </c>
      <c r="AC576" s="128">
        <f>L576</f>
        <v/>
      </c>
    </row>
    <row r="577">
      <c r="A577" s="124" t="inlineStr">
        <is>
          <t>ZDUP04</t>
        </is>
      </c>
      <c r="B577" s="124" t="n">
        <v>1</v>
      </c>
      <c r="C577" s="124" t="inlineStr">
        <is>
          <t>HVP202</t>
        </is>
      </c>
      <c r="D577" s="124" t="inlineStr">
        <is>
          <t>P</t>
        </is>
      </c>
      <c r="E577" s="124" t="inlineStr">
        <is>
          <t>du Plessis Emile</t>
        </is>
      </c>
      <c r="F577" s="125">
        <f>SUMIFS(Investors!$M:$M, Investors!$I:$I, "&lt;=" &amp; 'NSST Print'!$B$3, Investors!$K:$K, "&gt;" &amp; 'NSST Print'!$B$3, Investors!$A:$A, 'Investor Exit List'!A577, Investors!$E:$E, 'Investor Exit List'!C577)</f>
        <v/>
      </c>
      <c r="G577" s="126" t="n">
        <v>44868</v>
      </c>
      <c r="H577" s="124">
        <f>VLOOKUP($C577,Sales!$C:$E,2,FALSE)</f>
        <v/>
      </c>
      <c r="I577" s="124">
        <f>VLOOKUP($C577,Sales!$C:$E,3,FALSE)</f>
        <v/>
      </c>
      <c r="J577" s="126">
        <f>SUMIFS(Sales!$H:$H,Sales!$C:$C,'Investor Exit List'!$C577)</f>
        <v/>
      </c>
      <c r="K577" s="126">
        <f>IF(I577=TRUE,J577,"")</f>
        <v/>
      </c>
      <c r="L577" s="126">
        <f>G577+730</f>
        <v/>
      </c>
      <c r="M577" s="126" t="n">
        <v>45443</v>
      </c>
      <c r="N577" s="127">
        <f>IFERROR(IF(G577&lt;&gt;"",IF(I577=TRUE,0,IF(U577=TRUE,0,L577-M577)),0),0)</f>
        <v/>
      </c>
      <c r="O577" s="127">
        <f>IF(N577&gt;0,IF(N577&lt;=180,N577,0),0)</f>
        <v/>
      </c>
      <c r="P577" s="125">
        <f>IF(AND(N577&lt;90,N577&gt;0),Q577,0)</f>
        <v/>
      </c>
      <c r="Q577" s="125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25">
        <f>IF(AND(H577=TRUE,I577=FALSE),Q577,0)</f>
        <v/>
      </c>
      <c r="S577" s="125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26">
        <f>IF(U577=TRUE,$J577,"")</f>
        <v/>
      </c>
      <c r="U577" s="124" t="b">
        <v>0</v>
      </c>
      <c r="V577" s="125">
        <f>IF(AND(H577=TRUE,OR(K577="",K577&gt;M577)),S577,0)</f>
        <v/>
      </c>
      <c r="W577" s="124" t="n">
        <v>0</v>
      </c>
      <c r="X577" s="124" t="b">
        <v>0</v>
      </c>
      <c r="Y577" s="127">
        <f>IF(H577=FALSE,VLOOKUP($C577,Sales!$C:$F,4,FALSE),1)</f>
        <v/>
      </c>
      <c r="Z577" s="124">
        <f>IF(Y577=0,"Release",IF(AND(L577&lt;J577,Y577=1,H577=FALSE,U577=FALSE,MONTH(L577)&amp;"/"&amp;YEAR(L577)&lt;&gt;MONTH(J577)&amp;"/"&amp;YEAR(J577)),"Release",""))</f>
        <v/>
      </c>
      <c r="AA577" s="128">
        <f>_xlfn.minifs($L:$L,$C:$C,$C577,$F:$F,"&lt;&gt;0")</f>
        <v/>
      </c>
      <c r="AB577" s="128">
        <f>C577&amp;"-"&amp;A577</f>
        <v/>
      </c>
      <c r="AC577" s="128">
        <f>L577</f>
        <v/>
      </c>
    </row>
    <row r="578">
      <c r="A578" s="124" t="inlineStr">
        <is>
          <t>ZVAN10</t>
        </is>
      </c>
      <c r="B578" s="124" t="n">
        <v>3</v>
      </c>
      <c r="C578" s="124" t="inlineStr">
        <is>
          <t>HVP202</t>
        </is>
      </c>
      <c r="D578" s="124" t="inlineStr">
        <is>
          <t>P</t>
        </is>
      </c>
      <c r="E578" s="124" t="inlineStr">
        <is>
          <t>van der Merwe Wilhelm Johannes</t>
        </is>
      </c>
      <c r="F578" s="125">
        <f>SUMIFS(Investors!$M:$M, Investors!$I:$I, "&lt;=" &amp; 'NSST Print'!$B$3, Investors!$K:$K, "&gt;" &amp; 'NSST Print'!$B$3, Investors!$A:$A, 'Investor Exit List'!A578, Investors!$E:$E, 'Investor Exit List'!C578)</f>
        <v/>
      </c>
      <c r="G578" s="126" t="n">
        <v>45107</v>
      </c>
      <c r="H578" s="124">
        <f>VLOOKUP($C578,Sales!$C:$E,2,FALSE)</f>
        <v/>
      </c>
      <c r="I578" s="124">
        <f>VLOOKUP($C578,Sales!$C:$E,3,FALSE)</f>
        <v/>
      </c>
      <c r="J578" s="126">
        <f>SUMIFS(Sales!$H:$H,Sales!$C:$C,'Investor Exit List'!$C578)</f>
        <v/>
      </c>
      <c r="K578" s="126">
        <f>IF(I578=TRUE,J578,"")</f>
        <v/>
      </c>
      <c r="L578" s="126">
        <f>G578+730</f>
        <v/>
      </c>
      <c r="M578" s="126" t="n">
        <v>45443</v>
      </c>
      <c r="N578" s="127">
        <f>IFERROR(IF(G578&lt;&gt;"",IF(I578=TRUE,0,IF(U578=TRUE,0,L578-M578)),0),0)</f>
        <v/>
      </c>
      <c r="O578" s="127">
        <f>IF(N578&gt;0,IF(N578&lt;=180,N578,0),0)</f>
        <v/>
      </c>
      <c r="P578" s="125">
        <f>IF(AND(N578&lt;90,N578&gt;0),Q578,0)</f>
        <v/>
      </c>
      <c r="Q578" s="125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25">
        <f>IF(AND(H578=TRUE,I578=FALSE),Q578,0)</f>
        <v/>
      </c>
      <c r="S578" s="125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26">
        <f>IF(U578=TRUE,$J578,"")</f>
        <v/>
      </c>
      <c r="U578" s="124" t="b">
        <v>0</v>
      </c>
      <c r="V578" s="125">
        <f>IF(AND(H578=TRUE,OR(K578="",K578&gt;M578)),S578,0)</f>
        <v/>
      </c>
      <c r="W578" s="124" t="n">
        <v>0</v>
      </c>
      <c r="X578" s="124" t="b">
        <v>0</v>
      </c>
      <c r="Y578" s="127">
        <f>IF(H578=FALSE,VLOOKUP($C578,Sales!$C:$F,4,FALSE),1)</f>
        <v/>
      </c>
      <c r="Z578" s="124">
        <f>IF(Y578=0,"Release",IF(AND(L578&lt;J578,Y578=1,H578=FALSE,U578=FALSE,MONTH(L578)&amp;"/"&amp;YEAR(L578)&lt;&gt;MONTH(J578)&amp;"/"&amp;YEAR(J578)),"Release",""))</f>
        <v/>
      </c>
      <c r="AA578" s="128">
        <f>_xlfn.minifs($L:$L,$C:$C,$C578,$F:$F,"&lt;&gt;0")</f>
        <v/>
      </c>
      <c r="AB578" s="128">
        <f>C578&amp;"-"&amp;A578</f>
        <v/>
      </c>
      <c r="AC578" s="128">
        <f>L578</f>
        <v/>
      </c>
    </row>
    <row r="579">
      <c r="A579" s="124" t="inlineStr">
        <is>
          <t>ZSON01</t>
        </is>
      </c>
      <c r="B579" s="124" t="n">
        <v>13</v>
      </c>
      <c r="C579" s="124" t="inlineStr">
        <is>
          <t>HVP203</t>
        </is>
      </c>
      <c r="D579" s="124" t="inlineStr">
        <is>
          <t>P</t>
        </is>
      </c>
      <c r="E579" s="124" t="inlineStr">
        <is>
          <t>Maduna Charles</t>
        </is>
      </c>
      <c r="F579" s="125">
        <f>SUMIFS(Investors!$M:$M, Investors!$I:$I, "&lt;=" &amp; 'NSST Print'!$B$3, Investors!$K:$K, "&gt;" &amp; 'NSST Print'!$B$3, Investors!$A:$A, 'Investor Exit List'!A579, Investors!$E:$E, 'Investor Exit List'!C579)</f>
        <v/>
      </c>
      <c r="G579" s="126" t="n">
        <v>44833</v>
      </c>
      <c r="H579" s="124">
        <f>VLOOKUP($C579,Sales!$C:$E,2,FALSE)</f>
        <v/>
      </c>
      <c r="I579" s="124">
        <f>VLOOKUP($C579,Sales!$C:$E,3,FALSE)</f>
        <v/>
      </c>
      <c r="J579" s="126">
        <f>SUMIFS(Sales!$H:$H,Sales!$C:$C,'Investor Exit List'!$C579)</f>
        <v/>
      </c>
      <c r="K579" s="126">
        <f>IF(I579=TRUE,J579,"")</f>
        <v/>
      </c>
      <c r="L579" s="126">
        <f>G579+730</f>
        <v/>
      </c>
      <c r="M579" s="126" t="n">
        <v>45443</v>
      </c>
      <c r="N579" s="127">
        <f>IFERROR(IF(G579&lt;&gt;"",IF(I579=TRUE,0,IF(U579=TRUE,0,L579-M579)),0),0)</f>
        <v/>
      </c>
      <c r="O579" s="127">
        <f>IF(N579&gt;0,IF(N579&lt;=180,N579,0),0)</f>
        <v/>
      </c>
      <c r="P579" s="125">
        <f>IF(AND(N579&lt;90,N579&gt;0),Q579,0)</f>
        <v/>
      </c>
      <c r="Q579" s="125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25">
        <f>IF(AND(H579=TRUE,I579=FALSE),Q579,0)</f>
        <v/>
      </c>
      <c r="S579" s="125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26">
        <f>IF(U579=TRUE,$J579,"")</f>
        <v/>
      </c>
      <c r="U579" s="124" t="b">
        <v>0</v>
      </c>
      <c r="V579" s="125">
        <f>IF(AND(H579=TRUE,OR(K579="",K579&gt;M579)),S579,0)</f>
        <v/>
      </c>
      <c r="W579" s="124" t="n">
        <v>0</v>
      </c>
      <c r="X579" s="124" t="b">
        <v>0</v>
      </c>
      <c r="Y579" s="127">
        <f>IF(H579=FALSE,VLOOKUP($C579,Sales!$C:$F,4,FALSE),1)</f>
        <v/>
      </c>
      <c r="Z579" s="124">
        <f>IF(Y579=0,"Release",IF(AND(L579&lt;J579,Y579=1,H579=FALSE,U579=FALSE,MONTH(L579)&amp;"/"&amp;YEAR(L579)&lt;&gt;MONTH(J579)&amp;"/"&amp;YEAR(J579)),"Release",""))</f>
        <v/>
      </c>
      <c r="AA579" s="128">
        <f>_xlfn.minifs($L:$L,$C:$C,$C579,$F:$F,"&lt;&gt;0")</f>
        <v/>
      </c>
      <c r="AB579" s="128">
        <f>C579&amp;"-"&amp;A579</f>
        <v/>
      </c>
      <c r="AC579" s="128">
        <f>L579</f>
        <v/>
      </c>
    </row>
    <row r="580">
      <c r="A580" s="124" t="inlineStr">
        <is>
          <t>ZTRU01</t>
        </is>
      </c>
      <c r="B580" s="124" t="n">
        <v>2</v>
      </c>
      <c r="C580" s="124" t="inlineStr">
        <is>
          <t>HVP301</t>
        </is>
      </c>
      <c r="D580" s="124" t="inlineStr">
        <is>
          <t>P</t>
        </is>
      </c>
      <c r="E580" s="124" t="inlineStr">
        <is>
          <t>Truter Cecil Ronald</t>
        </is>
      </c>
      <c r="F580" s="125">
        <f>SUMIFS(Investors!$M:$M, Investors!$I:$I, "&lt;=" &amp; 'NSST Print'!$B$3, Investors!$K:$K, "&gt;" &amp; 'NSST Print'!$B$3, Investors!$A:$A, 'Investor Exit List'!A580, Investors!$E:$E, 'Investor Exit List'!C580)</f>
        <v/>
      </c>
      <c r="G580" s="126" t="n">
        <v>44868</v>
      </c>
      <c r="H580" s="124">
        <f>VLOOKUP($C580,Sales!$C:$E,2,FALSE)</f>
        <v/>
      </c>
      <c r="I580" s="124">
        <f>VLOOKUP($C580,Sales!$C:$E,3,FALSE)</f>
        <v/>
      </c>
      <c r="J580" s="126">
        <f>SUMIFS(Sales!$H:$H,Sales!$C:$C,'Investor Exit List'!$C580)</f>
        <v/>
      </c>
      <c r="K580" s="126">
        <f>IF(I580=TRUE,J580,"")</f>
        <v/>
      </c>
      <c r="L580" s="126">
        <f>G580+730</f>
        <v/>
      </c>
      <c r="M580" s="126" t="n">
        <v>45443</v>
      </c>
      <c r="N580" s="127">
        <f>IFERROR(IF(G580&lt;&gt;"",IF(I580=TRUE,0,IF(U580=TRUE,0,L580-M580)),0),0)</f>
        <v/>
      </c>
      <c r="O580" s="127">
        <f>IF(N580&gt;0,IF(N580&lt;=180,N580,0),0)</f>
        <v/>
      </c>
      <c r="P580" s="125">
        <f>IF(AND(N580&lt;90,N580&gt;0),Q580,0)</f>
        <v/>
      </c>
      <c r="Q580" s="125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25">
        <f>IF(AND(H580=TRUE,I580=FALSE),Q580,0)</f>
        <v/>
      </c>
      <c r="S580" s="125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26">
        <f>IF(U580=TRUE,$J580,"")</f>
        <v/>
      </c>
      <c r="U580" s="124" t="b">
        <v>0</v>
      </c>
      <c r="V580" s="125">
        <f>IF(AND(H580=TRUE,OR(K580="",K580&gt;M580)),S580,0)</f>
        <v/>
      </c>
      <c r="W580" s="124" t="n">
        <v>0</v>
      </c>
      <c r="X580" s="124" t="b">
        <v>0</v>
      </c>
      <c r="Y580" s="127">
        <f>IF(H580=FALSE,VLOOKUP($C580,Sales!$C:$F,4,FALSE),1)</f>
        <v/>
      </c>
      <c r="Z580" s="124">
        <f>IF(Y580=0,"Release",IF(AND(L580&lt;J580,Y580=1,H580=FALSE,U580=FALSE,MONTH(L580)&amp;"/"&amp;YEAR(L580)&lt;&gt;MONTH(J580)&amp;"/"&amp;YEAR(J580)),"Release",""))</f>
        <v/>
      </c>
      <c r="AA580" s="128">
        <f>_xlfn.minifs($L:$L,$C:$C,$C580,$F:$F,"&lt;&gt;0")</f>
        <v/>
      </c>
      <c r="AB580" s="128">
        <f>C580&amp;"-"&amp;A580</f>
        <v/>
      </c>
      <c r="AC580" s="128">
        <f>L580</f>
        <v/>
      </c>
    </row>
    <row r="581">
      <c r="A581" s="124" t="inlineStr">
        <is>
          <t>ZVAN09</t>
        </is>
      </c>
      <c r="B581" s="124" t="n">
        <v>1</v>
      </c>
      <c r="C581" s="124" t="inlineStr">
        <is>
          <t>HVP301</t>
        </is>
      </c>
      <c r="D581" s="124" t="inlineStr">
        <is>
          <t>P</t>
        </is>
      </c>
      <c r="E581" s="124" t="inlineStr">
        <is>
          <t>van Zyl Eugene Brandt</t>
        </is>
      </c>
      <c r="F581" s="125">
        <f>SUMIFS(Investors!$M:$M, Investors!$I:$I, "&lt;=" &amp; 'NSST Print'!$B$3, Investors!$K:$K, "&gt;" &amp; 'NSST Print'!$B$3, Investors!$A:$A, 'Investor Exit List'!A581, Investors!$E:$E, 'Investor Exit List'!C581)</f>
        <v/>
      </c>
      <c r="G581" s="126" t="n">
        <v>44833</v>
      </c>
      <c r="H581" s="124">
        <f>VLOOKUP($C581,Sales!$C:$E,2,FALSE)</f>
        <v/>
      </c>
      <c r="I581" s="124">
        <f>VLOOKUP($C581,Sales!$C:$E,3,FALSE)</f>
        <v/>
      </c>
      <c r="J581" s="126">
        <f>SUMIFS(Sales!$H:$H,Sales!$C:$C,'Investor Exit List'!$C581)</f>
        <v/>
      </c>
      <c r="K581" s="126">
        <f>IF(I581=TRUE,J581,"")</f>
        <v/>
      </c>
      <c r="L581" s="126">
        <f>G581+730</f>
        <v/>
      </c>
      <c r="M581" s="126" t="n">
        <v>45443</v>
      </c>
      <c r="N581" s="127">
        <f>IFERROR(IF(G581&lt;&gt;"",IF(I581=TRUE,0,IF(U581=TRUE,0,L581-M581)),0),0)</f>
        <v/>
      </c>
      <c r="O581" s="127">
        <f>IF(N581&gt;0,IF(N581&lt;=180,N581,0),0)</f>
        <v/>
      </c>
      <c r="P581" s="125">
        <f>IF(AND(N581&lt;90,N581&gt;0),Q581,0)</f>
        <v/>
      </c>
      <c r="Q581" s="125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25">
        <f>IF(AND(H581=TRUE,I581=FALSE),Q581,0)</f>
        <v/>
      </c>
      <c r="S581" s="125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26">
        <f>IF(U581=TRUE,$J581,"")</f>
        <v/>
      </c>
      <c r="U581" s="124" t="b">
        <v>0</v>
      </c>
      <c r="V581" s="125">
        <f>IF(AND(H581=TRUE,OR(K581="",K581&gt;M581)),S581,0)</f>
        <v/>
      </c>
      <c r="W581" s="124" t="n">
        <v>0</v>
      </c>
      <c r="X581" s="124" t="b">
        <v>0</v>
      </c>
      <c r="Y581" s="127">
        <f>IF(H581=FALSE,VLOOKUP($C581,Sales!$C:$F,4,FALSE),1)</f>
        <v/>
      </c>
      <c r="Z581" s="124">
        <f>IF(Y581=0,"Release",IF(AND(L581&lt;J581,Y581=1,H581=FALSE,U581=FALSE,MONTH(L581)&amp;"/"&amp;YEAR(L581)&lt;&gt;MONTH(J581)&amp;"/"&amp;YEAR(J581)),"Release",""))</f>
        <v/>
      </c>
      <c r="AA581" s="128">
        <f>_xlfn.minifs($L:$L,$C:$C,$C581,$F:$F,"&lt;&gt;0")</f>
        <v/>
      </c>
      <c r="AB581" s="128">
        <f>C581&amp;"-"&amp;A581</f>
        <v/>
      </c>
      <c r="AC581" s="128">
        <f>L581</f>
        <v/>
      </c>
    </row>
    <row r="582">
      <c r="A582" s="124" t="inlineStr">
        <is>
          <t>ZAFR01</t>
        </is>
      </c>
      <c r="B582" s="124" t="n">
        <v>3</v>
      </c>
      <c r="C582" s="124" t="inlineStr">
        <is>
          <t>HVP302</t>
        </is>
      </c>
      <c r="D582" s="124" t="inlineStr">
        <is>
          <t>P</t>
        </is>
      </c>
      <c r="E582" s="124" t="inlineStr">
        <is>
          <t>Zylstra John Robert</t>
        </is>
      </c>
      <c r="F582" s="125">
        <f>SUMIFS(Investors!$M:$M, Investors!$I:$I, "&lt;=" &amp; 'NSST Print'!$B$3, Investors!$K:$K, "&gt;" &amp; 'NSST Print'!$B$3, Investors!$A:$A, 'Investor Exit List'!A582, Investors!$E:$E, 'Investor Exit List'!C582)</f>
        <v/>
      </c>
      <c r="G582" s="126" t="n">
        <v>44889</v>
      </c>
      <c r="H582" s="124">
        <f>VLOOKUP($C582,Sales!$C:$E,2,FALSE)</f>
        <v/>
      </c>
      <c r="I582" s="124">
        <f>VLOOKUP($C582,Sales!$C:$E,3,FALSE)</f>
        <v/>
      </c>
      <c r="J582" s="126">
        <f>SUMIFS(Sales!$H:$H,Sales!$C:$C,'Investor Exit List'!$C582)</f>
        <v/>
      </c>
      <c r="K582" s="126">
        <f>IF(I582=TRUE,J582,"")</f>
        <v/>
      </c>
      <c r="L582" s="126">
        <f>G582+730</f>
        <v/>
      </c>
      <c r="M582" s="126" t="n">
        <v>45443</v>
      </c>
      <c r="N582" s="127">
        <f>IFERROR(IF(G582&lt;&gt;"",IF(I582=TRUE,0,IF(U582=TRUE,0,L582-M582)),0),0)</f>
        <v/>
      </c>
      <c r="O582" s="127">
        <f>IF(N582&gt;0,IF(N582&lt;=180,N582,0),0)</f>
        <v/>
      </c>
      <c r="P582" s="125">
        <f>IF(AND(N582&lt;90,N582&gt;0),Q582,0)</f>
        <v/>
      </c>
      <c r="Q582" s="125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25">
        <f>IF(AND(H582=TRUE,I582=FALSE),Q582,0)</f>
        <v/>
      </c>
      <c r="S582" s="125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26">
        <f>IF(U582=TRUE,$J582,"")</f>
        <v/>
      </c>
      <c r="U582" s="124" t="b">
        <v>0</v>
      </c>
      <c r="V582" s="125">
        <f>IF(AND(H582=TRUE,OR(K582="",K582&gt;M582)),S582,0)</f>
        <v/>
      </c>
      <c r="W582" s="124" t="n">
        <v>0</v>
      </c>
      <c r="X582" s="124" t="b">
        <v>0</v>
      </c>
      <c r="Y582" s="127">
        <f>IF(H582=FALSE,VLOOKUP($C582,Sales!$C:$F,4,FALSE),1)</f>
        <v/>
      </c>
      <c r="Z582" s="124">
        <f>IF(Y582=0,"Release",IF(AND(L582&lt;J582,Y582=1,H582=FALSE,U582=FALSE,MONTH(L582)&amp;"/"&amp;YEAR(L582)&lt;&gt;MONTH(J582)&amp;"/"&amp;YEAR(J582)),"Release",""))</f>
        <v/>
      </c>
      <c r="AA582" s="128">
        <f>_xlfn.minifs($L:$L,$C:$C,$C582,$F:$F,"&lt;&gt;0")</f>
        <v/>
      </c>
      <c r="AB582" s="128">
        <f>C582&amp;"-"&amp;A582</f>
        <v/>
      </c>
      <c r="AC582" s="128">
        <f>L582</f>
        <v/>
      </c>
    </row>
    <row r="583">
      <c r="A583" s="124" t="inlineStr">
        <is>
          <t>ZKRO01</t>
        </is>
      </c>
      <c r="B583" s="124" t="n">
        <v>2</v>
      </c>
      <c r="C583" s="124" t="inlineStr">
        <is>
          <t>HVP302</t>
        </is>
      </c>
      <c r="D583" s="124" t="inlineStr">
        <is>
          <t>P</t>
        </is>
      </c>
      <c r="E583" s="124" t="inlineStr">
        <is>
          <t>van der Merwe Frans</t>
        </is>
      </c>
      <c r="F583" s="125">
        <f>SUMIFS(Investors!$M:$M, Investors!$I:$I, "&lt;=" &amp; 'NSST Print'!$B$3, Investors!$K:$K, "&gt;" &amp; 'NSST Print'!$B$3, Investors!$A:$A, 'Investor Exit List'!A583, Investors!$E:$E, 'Investor Exit List'!C583)</f>
        <v/>
      </c>
      <c r="G583" s="126" t="n">
        <v>44848</v>
      </c>
      <c r="H583" s="124">
        <f>VLOOKUP($C583,Sales!$C:$E,2,FALSE)</f>
        <v/>
      </c>
      <c r="I583" s="124">
        <f>VLOOKUP($C583,Sales!$C:$E,3,FALSE)</f>
        <v/>
      </c>
      <c r="J583" s="126">
        <f>SUMIFS(Sales!$H:$H,Sales!$C:$C,'Investor Exit List'!$C583)</f>
        <v/>
      </c>
      <c r="K583" s="126">
        <f>IF(I583=TRUE,J583,"")</f>
        <v/>
      </c>
      <c r="L583" s="126">
        <f>G583+730</f>
        <v/>
      </c>
      <c r="M583" s="126" t="n">
        <v>45443</v>
      </c>
      <c r="N583" s="127">
        <f>IFERROR(IF(G583&lt;&gt;"",IF(I583=TRUE,0,IF(U583=TRUE,0,L583-M583)),0),0)</f>
        <v/>
      </c>
      <c r="O583" s="127">
        <f>IF(N583&gt;0,IF(N583&lt;=180,N583,0),0)</f>
        <v/>
      </c>
      <c r="P583" s="125">
        <f>IF(AND(N583&lt;90,N583&gt;0),Q583,0)</f>
        <v/>
      </c>
      <c r="Q583" s="125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25">
        <f>IF(AND(H583=TRUE,I583=FALSE),Q583,0)</f>
        <v/>
      </c>
      <c r="S583" s="125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26">
        <f>IF(U583=TRUE,$J583,"")</f>
        <v/>
      </c>
      <c r="U583" s="124" t="b">
        <v>0</v>
      </c>
      <c r="V583" s="125">
        <f>IF(AND(H583=TRUE,OR(K583="",K583&gt;M583)),S583,0)</f>
        <v/>
      </c>
      <c r="W583" s="124" t="n">
        <v>0</v>
      </c>
      <c r="X583" s="124" t="b">
        <v>0</v>
      </c>
      <c r="Y583" s="127">
        <f>IF(H583=FALSE,VLOOKUP($C583,Sales!$C:$F,4,FALSE),1)</f>
        <v/>
      </c>
      <c r="Z583" s="124">
        <f>IF(Y583=0,"Release",IF(AND(L583&lt;J583,Y583=1,H583=FALSE,U583=FALSE,MONTH(L583)&amp;"/"&amp;YEAR(L583)&lt;&gt;MONTH(J583)&amp;"/"&amp;YEAR(J583)),"Release",""))</f>
        <v/>
      </c>
      <c r="AA583" s="128">
        <f>_xlfn.minifs($L:$L,$C:$C,$C583,$F:$F,"&lt;&gt;0")</f>
        <v/>
      </c>
      <c r="AB583" s="128">
        <f>C583&amp;"-"&amp;A583</f>
        <v/>
      </c>
      <c r="AC583" s="128">
        <f>L583</f>
        <v/>
      </c>
    </row>
    <row r="584">
      <c r="A584" s="124" t="inlineStr">
        <is>
          <t>ZNUN01</t>
        </is>
      </c>
      <c r="B584" s="124" t="n">
        <v>6</v>
      </c>
      <c r="C584" s="124" t="inlineStr">
        <is>
          <t>HVP302</t>
        </is>
      </c>
      <c r="D584" s="124" t="inlineStr">
        <is>
          <t>P</t>
        </is>
      </c>
      <c r="E584" s="124" t="inlineStr">
        <is>
          <t>Nunes Francisco Antonio</t>
        </is>
      </c>
      <c r="F584" s="125">
        <f>SUMIFS(Investors!$M:$M, Investors!$I:$I, "&lt;=" &amp; 'NSST Print'!$B$3, Investors!$K:$K, "&gt;" &amp; 'NSST Print'!$B$3, Investors!$A:$A, 'Investor Exit List'!A584, Investors!$E:$E, 'Investor Exit List'!C584)</f>
        <v/>
      </c>
      <c r="G584" s="126" t="n">
        <v>44876</v>
      </c>
      <c r="H584" s="124">
        <f>VLOOKUP($C584,Sales!$C:$E,2,FALSE)</f>
        <v/>
      </c>
      <c r="I584" s="124">
        <f>VLOOKUP($C584,Sales!$C:$E,3,FALSE)</f>
        <v/>
      </c>
      <c r="J584" s="126">
        <f>SUMIFS(Sales!$H:$H,Sales!$C:$C,'Investor Exit List'!$C584)</f>
        <v/>
      </c>
      <c r="K584" s="126">
        <f>IF(I584=TRUE,J584,"")</f>
        <v/>
      </c>
      <c r="L584" s="126">
        <f>G584+730</f>
        <v/>
      </c>
      <c r="M584" s="126" t="n">
        <v>45443</v>
      </c>
      <c r="N584" s="127">
        <f>IFERROR(IF(G584&lt;&gt;"",IF(I584=TRUE,0,IF(U584=TRUE,0,L584-M584)),0),0)</f>
        <v/>
      </c>
      <c r="O584" s="127">
        <f>IF(N584&gt;0,IF(N584&lt;=180,N584,0),0)</f>
        <v/>
      </c>
      <c r="P584" s="125">
        <f>IF(AND(N584&lt;90,N584&gt;0),Q584,0)</f>
        <v/>
      </c>
      <c r="Q584" s="125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25">
        <f>IF(AND(H584=TRUE,I584=FALSE),Q584,0)</f>
        <v/>
      </c>
      <c r="S584" s="125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26">
        <f>IF(U584=TRUE,$J584,"")</f>
        <v/>
      </c>
      <c r="U584" s="124" t="b">
        <v>0</v>
      </c>
      <c r="V584" s="125">
        <f>IF(AND(H584=TRUE,OR(K584="",K584&gt;M584)),S584,0)</f>
        <v/>
      </c>
      <c r="W584" s="124" t="n">
        <v>0</v>
      </c>
      <c r="X584" s="124" t="b">
        <v>0</v>
      </c>
      <c r="Y584" s="127">
        <f>IF(H584=FALSE,VLOOKUP($C584,Sales!$C:$F,4,FALSE),1)</f>
        <v/>
      </c>
      <c r="Z584" s="124">
        <f>IF(Y584=0,"Release",IF(AND(L584&lt;J584,Y584=1,H584=FALSE,U584=FALSE,MONTH(L584)&amp;"/"&amp;YEAR(L584)&lt;&gt;MONTH(J584)&amp;"/"&amp;YEAR(J584)),"Release",""))</f>
        <v/>
      </c>
      <c r="AA584" s="128">
        <f>_xlfn.minifs($L:$L,$C:$C,$C584,$F:$F,"&lt;&gt;0")</f>
        <v/>
      </c>
      <c r="AB584" s="128">
        <f>C584&amp;"-"&amp;A584</f>
        <v/>
      </c>
      <c r="AC584" s="128">
        <f>L584</f>
        <v/>
      </c>
    </row>
    <row r="585">
      <c r="A585" s="124" t="inlineStr">
        <is>
          <t>ZKRI02</t>
        </is>
      </c>
      <c r="B585" s="124" t="n">
        <v>4</v>
      </c>
      <c r="C585" s="124" t="inlineStr">
        <is>
          <t>HVP303</t>
        </is>
      </c>
      <c r="D585" s="124" t="inlineStr">
        <is>
          <t>P</t>
        </is>
      </c>
      <c r="E585" s="124" t="inlineStr">
        <is>
          <t>Kriel Hermanus Johannes</t>
        </is>
      </c>
      <c r="F585" s="125">
        <f>SUMIFS(Investors!$M:$M, Investors!$I:$I, "&lt;=" &amp; 'NSST Print'!$B$3, Investors!$K:$K, "&gt;" &amp; 'NSST Print'!$B$3, Investors!$A:$A, 'Investor Exit List'!A585, Investors!$E:$E, 'Investor Exit List'!C585)</f>
        <v/>
      </c>
      <c r="G585" s="126" t="n">
        <v>44861</v>
      </c>
      <c r="H585" s="124">
        <f>VLOOKUP($C585,Sales!$C:$E,2,FALSE)</f>
        <v/>
      </c>
      <c r="I585" s="124">
        <f>VLOOKUP($C585,Sales!$C:$E,3,FALSE)</f>
        <v/>
      </c>
      <c r="J585" s="126">
        <f>SUMIFS(Sales!$H:$H,Sales!$C:$C,'Investor Exit List'!$C585)</f>
        <v/>
      </c>
      <c r="K585" s="126">
        <f>IF(I585=TRUE,J585,"")</f>
        <v/>
      </c>
      <c r="L585" s="126">
        <f>G585+730</f>
        <v/>
      </c>
      <c r="M585" s="126" t="n">
        <v>45443</v>
      </c>
      <c r="N585" s="127">
        <f>IFERROR(IF(G585&lt;&gt;"",IF(I585=TRUE,0,IF(U585=TRUE,0,L585-M585)),0),0)</f>
        <v/>
      </c>
      <c r="O585" s="127">
        <f>IF(N585&gt;0,IF(N585&lt;=180,N585,0),0)</f>
        <v/>
      </c>
      <c r="P585" s="125">
        <f>IF(AND(N585&lt;90,N585&gt;0),Q585,0)</f>
        <v/>
      </c>
      <c r="Q585" s="125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25">
        <f>IF(AND(H585=TRUE,I585=FALSE),Q585,0)</f>
        <v/>
      </c>
      <c r="S585" s="125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26">
        <f>IF(U585=TRUE,$J585,"")</f>
        <v/>
      </c>
      <c r="U585" s="124" t="b">
        <v>0</v>
      </c>
      <c r="V585" s="125">
        <f>IF(AND(H585=TRUE,OR(K585="",K585&gt;M585)),S585,0)</f>
        <v/>
      </c>
      <c r="W585" s="124" t="n">
        <v>0</v>
      </c>
      <c r="X585" s="124" t="b">
        <v>0</v>
      </c>
      <c r="Y585" s="127">
        <f>IF(H585=FALSE,VLOOKUP($C585,Sales!$C:$F,4,FALSE),1)</f>
        <v/>
      </c>
      <c r="Z585" s="124">
        <f>IF(Y585=0,"Release",IF(AND(L585&lt;J585,Y585=1,H585=FALSE,U585=FALSE,MONTH(L585)&amp;"/"&amp;YEAR(L585)&lt;&gt;MONTH(J585)&amp;"/"&amp;YEAR(J585)),"Release",""))</f>
        <v/>
      </c>
      <c r="AA585" s="128">
        <f>_xlfn.minifs($L:$L,$C:$C,$C585,$F:$F,"&lt;&gt;0")</f>
        <v/>
      </c>
      <c r="AB585" s="128">
        <f>C585&amp;"-"&amp;A585</f>
        <v/>
      </c>
      <c r="AC585" s="128">
        <f>L585</f>
        <v/>
      </c>
    </row>
    <row r="586">
      <c r="A586" s="129" t="inlineStr">
        <is>
          <t>ZZUN01</t>
        </is>
      </c>
      <c r="B586" s="129" t="n">
        <v>0</v>
      </c>
      <c r="C586" s="129" t="inlineStr">
        <is>
          <t>HFB215</t>
        </is>
      </c>
      <c r="D586" s="129" t="inlineStr">
        <is>
          <t>B</t>
        </is>
      </c>
      <c r="E586" s="129" t="inlineStr">
        <is>
          <t>Dev Unit</t>
        </is>
      </c>
      <c r="F586" s="129" t="n">
        <v>0</v>
      </c>
      <c r="G586" s="129" t="inlineStr"/>
      <c r="H586" s="129" t="b">
        <v>0</v>
      </c>
      <c r="I586" s="129" t="b">
        <v>0</v>
      </c>
      <c r="J586" s="129" t="inlineStr"/>
      <c r="K586" s="129" t="inlineStr"/>
      <c r="L586" s="129" t="inlineStr"/>
      <c r="M586" s="129" t="inlineStr"/>
      <c r="N586" s="129" t="inlineStr"/>
      <c r="O586" s="129" t="inlineStr"/>
      <c r="P586" s="129" t="inlineStr"/>
      <c r="Q586" s="129" t="inlineStr"/>
      <c r="R586" s="129" t="inlineStr"/>
      <c r="S586" s="129" t="inlineStr"/>
      <c r="T586" s="129" t="inlineStr"/>
      <c r="U586" s="129" t="b">
        <v>0</v>
      </c>
      <c r="V586" s="129" t="inlineStr"/>
      <c r="W586" s="129" t="n">
        <v>1330640.05</v>
      </c>
      <c r="X586" s="129" t="b">
        <v>0</v>
      </c>
      <c r="Y586" s="129" t="n"/>
      <c r="Z586" s="129" t="n"/>
      <c r="AA586" s="129" t="n"/>
      <c r="AB586" s="129" t="n"/>
      <c r="AC586" s="129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0" t="inlineStr">
        <is>
          <t>7</t>
        </is>
      </c>
    </row>
    <row r="2">
      <c r="D2" s="131" t="inlineStr">
        <is>
          <t>C.3.b</t>
        </is>
      </c>
    </row>
    <row r="3">
      <c r="A3" s="119" t="inlineStr">
        <is>
          <t>Momentum Interest</t>
        </is>
      </c>
      <c r="B3" s="17" t="n"/>
      <c r="C3" s="17" t="n"/>
      <c r="D3" s="18" t="n"/>
    </row>
    <row r="6">
      <c r="A6" s="132" t="inlineStr">
        <is>
          <t>Month</t>
        </is>
      </c>
      <c r="B6" s="132" t="inlineStr">
        <is>
          <t>Interest</t>
        </is>
      </c>
      <c r="C6" s="132" t="inlineStr">
        <is>
          <t>Advice Fees (Exc Vat)</t>
        </is>
      </c>
      <c r="D6" s="132" t="inlineStr">
        <is>
          <t>Ongoing Advice Fees (Inc Vat)</t>
        </is>
      </c>
    </row>
    <row r="7">
      <c r="A7" s="133" t="n">
        <v>44439</v>
      </c>
      <c r="B7" s="134" t="n">
        <v>0.6899999999999999</v>
      </c>
      <c r="C7" s="134" t="n">
        <v>2.88</v>
      </c>
      <c r="D7" s="134" t="n">
        <v>0</v>
      </c>
    </row>
    <row r="8">
      <c r="A8" s="133" t="n">
        <v>44469</v>
      </c>
      <c r="B8" s="134" t="n">
        <v>6153.47</v>
      </c>
      <c r="C8" s="134" t="n">
        <v>20700</v>
      </c>
      <c r="D8" s="134" t="n">
        <v>142.83</v>
      </c>
    </row>
    <row r="9">
      <c r="A9" s="133" t="n">
        <v>44500</v>
      </c>
      <c r="B9" s="134" t="n">
        <v>27493.93</v>
      </c>
      <c r="C9" s="134" t="n">
        <v>39100</v>
      </c>
      <c r="D9" s="134" t="n">
        <v>1963.75</v>
      </c>
    </row>
    <row r="10">
      <c r="A10" s="133" t="n">
        <v>44530</v>
      </c>
      <c r="B10" s="134" t="n">
        <v>39490.47</v>
      </c>
      <c r="C10" s="134" t="n">
        <v>6612.5</v>
      </c>
      <c r="D10" s="134" t="n">
        <v>4603.54</v>
      </c>
    </row>
    <row r="11">
      <c r="A11" s="133" t="n">
        <v>44561</v>
      </c>
      <c r="B11" s="134" t="n">
        <v>34809.07</v>
      </c>
      <c r="C11" s="134" t="n">
        <v>0</v>
      </c>
      <c r="D11" s="134" t="n">
        <v>4987.02</v>
      </c>
    </row>
    <row r="12">
      <c r="A12" s="133" t="n">
        <v>44592</v>
      </c>
      <c r="B12" s="134" t="n">
        <v>25737.44</v>
      </c>
      <c r="C12" s="134" t="n">
        <v>0</v>
      </c>
      <c r="D12" s="134" t="n">
        <v>3416.75</v>
      </c>
    </row>
    <row r="13">
      <c r="A13" s="133" t="n">
        <v>44620</v>
      </c>
      <c r="B13" s="134" t="n">
        <v>17923.77</v>
      </c>
      <c r="C13" s="134" t="n">
        <v>2012.5</v>
      </c>
      <c r="D13" s="134" t="n">
        <v>2547.7</v>
      </c>
    </row>
    <row r="14">
      <c r="A14" s="133" t="n">
        <v>44651</v>
      </c>
      <c r="B14" s="134" t="n">
        <v>7694.95</v>
      </c>
      <c r="C14" s="134" t="n">
        <v>0</v>
      </c>
      <c r="D14" s="134" t="n">
        <v>1329.87</v>
      </c>
    </row>
    <row r="15">
      <c r="A15" s="133" t="n">
        <v>44681</v>
      </c>
      <c r="B15" s="134" t="n">
        <v>33565.07</v>
      </c>
      <c r="C15" s="134" t="n">
        <v>22274.94</v>
      </c>
      <c r="D15" s="134" t="n">
        <v>561.9</v>
      </c>
    </row>
    <row r="16">
      <c r="A16" s="133" t="n">
        <v>44712</v>
      </c>
      <c r="B16" s="134" t="n">
        <v>19911.29</v>
      </c>
      <c r="C16" s="134" t="n">
        <v>56298.31</v>
      </c>
      <c r="D16" s="134" t="n">
        <v>551.12</v>
      </c>
    </row>
    <row r="17">
      <c r="A17" s="133" t="n">
        <v>44742</v>
      </c>
      <c r="B17" s="134" t="n">
        <v>57111.6</v>
      </c>
      <c r="C17" s="134" t="n">
        <v>80343.78999999999</v>
      </c>
      <c r="D17" s="134" t="n">
        <v>3852.47</v>
      </c>
    </row>
    <row r="18">
      <c r="A18" s="133" t="n">
        <v>44773</v>
      </c>
      <c r="B18" s="134" t="n">
        <v>49997.61</v>
      </c>
      <c r="C18" s="134" t="n">
        <v>55413.57</v>
      </c>
      <c r="D18" s="134" t="n">
        <v>4675.82</v>
      </c>
    </row>
    <row r="19">
      <c r="A19" s="133" t="n">
        <v>44804</v>
      </c>
      <c r="B19" s="134" t="n">
        <v>49010.03</v>
      </c>
      <c r="C19" s="134" t="n">
        <v>30982.39</v>
      </c>
      <c r="D19" s="134" t="n">
        <v>4493.24</v>
      </c>
    </row>
    <row r="20">
      <c r="A20" s="133" t="n">
        <v>44834</v>
      </c>
      <c r="B20" s="134" t="n">
        <v>30938.76</v>
      </c>
      <c r="C20" s="134" t="n">
        <v>10350</v>
      </c>
      <c r="D20" s="134" t="n">
        <v>3425.4</v>
      </c>
    </row>
    <row r="21">
      <c r="A21" s="133" t="n">
        <v>44865</v>
      </c>
      <c r="B21" s="134" t="n">
        <v>31855.81</v>
      </c>
      <c r="C21" s="134" t="n">
        <v>0</v>
      </c>
      <c r="D21" s="134" t="n">
        <v>1362.36</v>
      </c>
    </row>
    <row r="22">
      <c r="A22" s="133" t="n">
        <v>44895</v>
      </c>
      <c r="B22" s="134" t="n">
        <v>57998.29</v>
      </c>
      <c r="C22" s="134" t="n">
        <v>0</v>
      </c>
      <c r="D22" s="134" t="n">
        <v>3649</v>
      </c>
    </row>
    <row r="23">
      <c r="A23" s="133" t="n">
        <v>44926</v>
      </c>
      <c r="B23" s="134" t="n">
        <v>49641.63</v>
      </c>
      <c r="C23" s="134" t="n">
        <v>0</v>
      </c>
      <c r="D23" s="134" t="n">
        <v>2707.2</v>
      </c>
    </row>
    <row r="24">
      <c r="A24" s="133" t="n">
        <v>44957</v>
      </c>
      <c r="B24" s="134" t="n">
        <v>71919.64</v>
      </c>
      <c r="C24" s="134" t="n">
        <v>0</v>
      </c>
      <c r="D24" s="134" t="n">
        <v>1766.93</v>
      </c>
    </row>
    <row r="25">
      <c r="A25" s="133" t="n">
        <v>44985</v>
      </c>
      <c r="B25" s="134" t="n">
        <v>116840.82</v>
      </c>
      <c r="C25" s="134" t="n">
        <v>0</v>
      </c>
      <c r="D25" s="134" t="n">
        <v>6530.48</v>
      </c>
    </row>
    <row r="26">
      <c r="A26" s="133" t="n">
        <v>45016</v>
      </c>
      <c r="B26" s="134" t="n">
        <v>224301.31</v>
      </c>
      <c r="C26" s="134" t="n">
        <v>0</v>
      </c>
      <c r="D26" s="134" t="n">
        <v>5945.09</v>
      </c>
    </row>
    <row r="27">
      <c r="A27" s="133" t="n">
        <v>45046</v>
      </c>
      <c r="B27" s="134" t="n">
        <v>106203.74</v>
      </c>
      <c r="C27" s="134" t="n">
        <v>0</v>
      </c>
      <c r="D27" s="134" t="n">
        <v>9664.42</v>
      </c>
    </row>
    <row r="28">
      <c r="A28" s="133" t="n">
        <v>45077</v>
      </c>
      <c r="B28" s="134" t="n">
        <v>222519.64</v>
      </c>
      <c r="C28" s="134" t="n">
        <v>0</v>
      </c>
      <c r="D28" s="134" t="n">
        <v>6054.16</v>
      </c>
    </row>
    <row r="29">
      <c r="A29" s="133" t="n">
        <v>45107</v>
      </c>
      <c r="B29" s="134" t="n">
        <v>393896.21</v>
      </c>
      <c r="C29" s="134" t="n">
        <v>0</v>
      </c>
      <c r="D29" s="134" t="n">
        <v>12101.97</v>
      </c>
    </row>
    <row r="30">
      <c r="A30" s="133" t="n">
        <v>45138</v>
      </c>
      <c r="B30" s="134" t="n">
        <v>259590.93</v>
      </c>
      <c r="C30" s="134" t="n">
        <v>0</v>
      </c>
      <c r="D30" s="134" t="n">
        <v>17468.09</v>
      </c>
    </row>
    <row r="31">
      <c r="A31" s="133" t="n">
        <v>45169</v>
      </c>
      <c r="B31" s="134" t="n">
        <v>241364.67</v>
      </c>
      <c r="C31" s="134" t="n">
        <v>0</v>
      </c>
      <c r="D31" s="134" t="n">
        <v>14897.28</v>
      </c>
    </row>
    <row r="32">
      <c r="A32" s="133" t="n">
        <v>45199</v>
      </c>
      <c r="B32" s="134" t="n">
        <v>291385.94</v>
      </c>
      <c r="C32" s="134" t="n">
        <v>0</v>
      </c>
      <c r="D32" s="134" t="n">
        <v>17422.06</v>
      </c>
    </row>
    <row r="33">
      <c r="A33" s="133" t="n">
        <v>45230</v>
      </c>
      <c r="B33" s="134" t="n">
        <v>342067.18</v>
      </c>
      <c r="C33" s="134" t="n">
        <v>0</v>
      </c>
      <c r="D33" s="134" t="n">
        <v>21887.62</v>
      </c>
    </row>
    <row r="34">
      <c r="A34" s="133" t="n">
        <v>45260</v>
      </c>
      <c r="B34" s="134" t="n">
        <v>289283.88</v>
      </c>
      <c r="C34" s="134" t="n">
        <v>0</v>
      </c>
      <c r="D34" s="134" t="n">
        <v>20676.71</v>
      </c>
    </row>
    <row r="35">
      <c r="A35" s="133" t="n">
        <v>45291</v>
      </c>
      <c r="B35" s="134" t="n">
        <v>158795.4</v>
      </c>
      <c r="C35" s="134" t="n">
        <v>0</v>
      </c>
      <c r="D35" s="134" t="n">
        <v>13562.87</v>
      </c>
    </row>
    <row r="36">
      <c r="A36" s="133" t="n">
        <v>45322</v>
      </c>
      <c r="B36" s="134" t="n">
        <v>125751.22</v>
      </c>
      <c r="C36" s="134" t="n">
        <v>0</v>
      </c>
      <c r="D36" s="134" t="n">
        <v>8270.969999999999</v>
      </c>
    </row>
    <row r="37">
      <c r="A37" s="133" t="n">
        <v>45351</v>
      </c>
      <c r="B37" s="134" t="n">
        <v>98288.58</v>
      </c>
      <c r="C37" s="134" t="n">
        <v>0</v>
      </c>
      <c r="D37" s="134" t="n">
        <v>7449.16</v>
      </c>
    </row>
    <row r="38">
      <c r="A38" s="133" t="n">
        <v>45382</v>
      </c>
      <c r="B38" s="134" t="n">
        <v>69622.62</v>
      </c>
      <c r="C38" s="134" t="n">
        <v>0</v>
      </c>
      <c r="D38" s="134" t="n">
        <v>5912.17</v>
      </c>
    </row>
    <row r="39">
      <c r="A39" s="133" t="n">
        <v>45412</v>
      </c>
      <c r="B39" s="134" t="n">
        <v>34734.9</v>
      </c>
      <c r="C39" s="134" t="n">
        <v>0</v>
      </c>
      <c r="D39" s="134" t="n">
        <v>2398.97</v>
      </c>
    </row>
    <row r="40">
      <c r="A40" s="133" t="n">
        <v>45443</v>
      </c>
      <c r="B40" s="134" t="n">
        <v>18893.57</v>
      </c>
      <c r="C40" s="134" t="n">
        <v>0</v>
      </c>
      <c r="D40" s="134" t="n">
        <v>1348.98</v>
      </c>
    </row>
    <row r="41">
      <c r="A41" s="133" t="n">
        <v>45473</v>
      </c>
      <c r="B41" s="134" t="n">
        <v>9898.16</v>
      </c>
      <c r="C41" s="134" t="n">
        <v>0</v>
      </c>
      <c r="D41" s="134" t="n">
        <v>1007.43</v>
      </c>
    </row>
    <row r="42">
      <c r="A42" s="135" t="inlineStr">
        <is>
          <t>TOTAL</t>
        </is>
      </c>
      <c r="B42" s="136">
        <f>SUM(B7:B41)</f>
        <v/>
      </c>
      <c r="C42" s="136">
        <f>SUM(C7:C41)</f>
        <v/>
      </c>
      <c r="D42" s="136">
        <f>SUM(D7:D41)</f>
        <v/>
      </c>
    </row>
    <row r="44">
      <c r="A44" s="137" t="inlineStr">
        <is>
          <t>MOMENTUM INVESTOR CAPITAL</t>
        </is>
      </c>
      <c r="B44" s="138">
        <f>(SUMIFS(Investors!$M:$M,Investors!$I:$I,"&lt;="&amp;'NSST Print'!B3,Investors!$J:$J,"&gt;"&amp;'NSST Print'!B3)+SUMIFS(Investors!$M:$M,Investors!$I:$I,"&lt;="&amp;'NSST Print'!B3,Investors!$J:$J,""))</f>
        <v/>
      </c>
      <c r="C44" s="139" t="n"/>
      <c r="D44" s="140" t="inlineStr">
        <is>
          <t>per App</t>
        </is>
      </c>
    </row>
    <row r="45">
      <c r="A45" s="88" t="inlineStr">
        <is>
          <t>MOMENTUM INTEREST EARNED SINCE INCEPTION</t>
        </is>
      </c>
      <c r="B45" s="141">
        <f>+B42</f>
        <v/>
      </c>
      <c r="D45" s="89" t="inlineStr">
        <is>
          <t>from Momentum</t>
        </is>
      </c>
    </row>
    <row r="46">
      <c r="A46" s="88" t="inlineStr">
        <is>
          <t xml:space="preserve">MOMENTUM ADVICE FEES </t>
        </is>
      </c>
      <c r="B46" s="141">
        <f>+D42</f>
        <v/>
      </c>
      <c r="D46" s="89" t="inlineStr">
        <is>
          <t>from Momentum</t>
        </is>
      </c>
    </row>
    <row r="47">
      <c r="A47" s="88" t="inlineStr">
        <is>
          <t>NET INTEREST</t>
        </is>
      </c>
      <c r="B47" s="141">
        <f>+B42-D42</f>
        <v/>
      </c>
      <c r="D47" s="89" t="inlineStr">
        <is>
          <t>Interest less Ongoing Advice Fees</t>
        </is>
      </c>
    </row>
    <row r="48">
      <c r="A48" s="88" t="inlineStr">
        <is>
          <t>ADVICE FEES</t>
        </is>
      </c>
      <c r="B48" s="141">
        <f>+C42</f>
        <v/>
      </c>
      <c r="D48" s="89" t="inlineStr"/>
    </row>
    <row r="49">
      <c r="A49" s="88" t="inlineStr">
        <is>
          <t>TOTAL INTEREST IN ACCOUNT</t>
        </is>
      </c>
      <c r="B49" s="141">
        <f>+B42-D42-C42</f>
        <v/>
      </c>
      <c r="D49" s="89" t="inlineStr"/>
    </row>
    <row r="50">
      <c r="A50" s="88" t="inlineStr">
        <is>
          <t>MOMENTUM INTEREST DRAWN TO DATE</t>
        </is>
      </c>
      <c r="B50" s="141" t="n">
        <v>1861191.23</v>
      </c>
      <c r="D50" s="89" t="inlineStr">
        <is>
          <t>Interest Draw on 3 October 2023</t>
        </is>
      </c>
    </row>
    <row r="51">
      <c r="A51" s="88" t="inlineStr">
        <is>
          <t>TOTAL MOMENTUM DRAWS</t>
        </is>
      </c>
      <c r="B51" s="141">
        <f>SUMIFS(Investors!$M:$M,Investors!$J:$J,"&lt;="&amp;'NSST Print'!B3)+137832.56</f>
        <v/>
      </c>
      <c r="D51" s="89" t="inlineStr"/>
    </row>
    <row r="52">
      <c r="A52" s="88" t="inlineStr">
        <is>
          <t>GLC NOT ON DRAW</t>
        </is>
      </c>
      <c r="B52" s="142" t="n">
        <v>4183000.82</v>
      </c>
      <c r="D52" s="89" t="inlineStr"/>
    </row>
    <row r="53">
      <c r="A53" s="88" t="inlineStr">
        <is>
          <t>C Oberholzer incorrect amount</t>
        </is>
      </c>
      <c r="B53" s="142" t="n">
        <v>-455</v>
      </c>
      <c r="D53" s="89" t="inlineStr"/>
    </row>
    <row r="54">
      <c r="A54" s="88" t="inlineStr">
        <is>
          <t>Draw 10 (Rudlynn Trust)</t>
        </is>
      </c>
      <c r="B54" s="142" t="n">
        <v>-150000</v>
      </c>
      <c r="D54" s="89" t="inlineStr"/>
    </row>
    <row r="55">
      <c r="A55" s="88" t="inlineStr">
        <is>
          <t>MOMENTUM BALANCE</t>
        </is>
      </c>
      <c r="B55" s="143" t="n">
        <v>0</v>
      </c>
      <c r="D55" s="89" t="inlineStr">
        <is>
          <t>Momentum Statement Balance</t>
        </is>
      </c>
    </row>
    <row r="56">
      <c r="A56" s="88" t="n"/>
      <c r="B56" s="141" t="n"/>
      <c r="D56" s="89" t="n"/>
    </row>
    <row r="57">
      <c r="A57" s="88" t="inlineStr"/>
      <c r="B57" s="141" t="inlineStr">
        <is>
          <t>RECONCILIATION</t>
        </is>
      </c>
      <c r="D57" s="89" t="inlineStr"/>
    </row>
    <row r="58">
      <c r="A58" s="88" t="n"/>
      <c r="B58" s="141" t="n"/>
      <c r="D58" s="89" t="n"/>
    </row>
    <row r="59">
      <c r="A59" s="88" t="inlineStr">
        <is>
          <t>Momentum Statement</t>
        </is>
      </c>
      <c r="B59" s="141">
        <f>+B55</f>
        <v/>
      </c>
      <c r="D59" s="89" t="inlineStr">
        <is>
          <t>per Statement</t>
        </is>
      </c>
    </row>
    <row r="60">
      <c r="A60" s="88" t="inlineStr">
        <is>
          <t>Momentum Xero</t>
        </is>
      </c>
      <c r="B60" s="141">
        <f>Dashboard!B13</f>
        <v/>
      </c>
      <c r="D60" s="89" t="inlineStr">
        <is>
          <t>Per App</t>
        </is>
      </c>
    </row>
    <row r="61">
      <c r="A61" s="88" t="inlineStr">
        <is>
          <t>Difference</t>
        </is>
      </c>
      <c r="B61" s="141">
        <f>+B59-B60</f>
        <v/>
      </c>
      <c r="D61" s="89" t="inlineStr"/>
    </row>
    <row r="62">
      <c r="A62" s="88" t="n"/>
      <c r="B62" s="141" t="n"/>
      <c r="D62" s="89" t="n"/>
    </row>
    <row r="63">
      <c r="A63" s="88" t="inlineStr">
        <is>
          <t>Momentum Xero</t>
        </is>
      </c>
      <c r="B63" s="141">
        <f>Dashboard!B13</f>
        <v/>
      </c>
      <c r="D63" s="89" t="inlineStr">
        <is>
          <t>per Xero</t>
        </is>
      </c>
    </row>
    <row r="64">
      <c r="A64" s="88" t="inlineStr">
        <is>
          <t>Momentum - App</t>
        </is>
      </c>
      <c r="B64" s="141">
        <f>(SUMIFS(Investors!$M:$M,Investors!$I:$I,"&lt;="&amp;'NSST Print'!B3,Investors!$J:$J,"&gt;"&amp;'NSST Print'!B3)+SUMIFS(Investors!$M:$M,Investors!$I:$I,"&lt;="&amp;'NSST Print'!B3,Investors!$J:$J,""))</f>
        <v/>
      </c>
      <c r="D64" s="89" t="inlineStr">
        <is>
          <t>per App</t>
        </is>
      </c>
    </row>
    <row r="65">
      <c r="A65" s="88" t="inlineStr">
        <is>
          <t>Difference</t>
        </is>
      </c>
      <c r="B65" s="141">
        <f>+B63-B64</f>
        <v/>
      </c>
      <c r="D65" s="89" t="inlineStr">
        <is>
          <t>Reconciled Below</t>
        </is>
      </c>
    </row>
    <row r="66">
      <c r="A66" s="88" t="n"/>
      <c r="B66" s="141" t="n"/>
      <c r="D66" s="89" t="n"/>
    </row>
    <row r="67">
      <c r="A67" s="88" t="inlineStr">
        <is>
          <t>TOTAL INTEREST IN ACCOUNT</t>
        </is>
      </c>
      <c r="B67" s="141">
        <f>+B42-D42-C42</f>
        <v/>
      </c>
      <c r="D67" s="89" t="inlineStr"/>
    </row>
    <row r="68">
      <c r="A68" s="88" t="inlineStr">
        <is>
          <t>MOMENTUM INTEREST DRAWN TO DATE</t>
        </is>
      </c>
      <c r="B68" s="141" t="n">
        <v>1861191.23</v>
      </c>
      <c r="D68" s="89" t="inlineStr">
        <is>
          <t>Interest Draw on 3 October 2023</t>
        </is>
      </c>
    </row>
    <row r="69">
      <c r="A69" s="88" t="inlineStr"/>
      <c r="B69" s="141">
        <f>+B67-B68</f>
        <v/>
      </c>
      <c r="D69" s="89" t="inlineStr"/>
    </row>
    <row r="70">
      <c r="A70" s="88" t="inlineStr"/>
      <c r="B70" s="141" t="n">
        <v>137832.56</v>
      </c>
      <c r="D70" s="89" t="inlineStr">
        <is>
          <t>Interest STBB</t>
        </is>
      </c>
    </row>
    <row r="71">
      <c r="A71" s="88" t="inlineStr"/>
      <c r="B71" s="141">
        <f>B69-B70-B72</f>
        <v/>
      </c>
      <c r="D71" s="89" t="inlineStr">
        <is>
          <t>to be reconciled</t>
        </is>
      </c>
    </row>
    <row r="72">
      <c r="A72" s="88" t="inlineStr"/>
      <c r="B72" s="141">
        <f>B65</f>
        <v/>
      </c>
      <c r="D72" s="89" t="inlineStr"/>
    </row>
    <row r="73">
      <c r="A73" s="88" t="n"/>
      <c r="B73" s="144" t="n"/>
      <c r="D73" s="89" t="n"/>
    </row>
    <row r="74">
      <c r="A74" s="78" t="n"/>
      <c r="B74" s="145" t="n"/>
      <c r="C74" s="79" t="n"/>
      <c r="D74" s="80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46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2024-07-03T14:34:28Z</dcterms:created>
  <dcterms:modified xmlns:dcterms="http://purl.org/dc/terms/" xmlns:xsi="http://www.w3.org/2001/XMLSchema-instance" xsi:type="dcterms:W3CDTF">2024-07-03T14:34:28Z</dcterms:modified>
</cp:coreProperties>
</file>