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comments/comment2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40" tabRatio="899" firstSheet="0" activeTab="0" autoFilterDateGrouping="1"/>
  </bookViews>
  <sheets>
    <sheet xmlns:r="http://schemas.openxmlformats.org/officeDocument/2006/relationships" name="Heron View" sheetId="1" state="visible" r:id="rId1"/>
    <sheet xmlns:r="http://schemas.openxmlformats.org/officeDocument/2006/relationships" name="CPC" sheetId="2" state="visible" r:id="rId2"/>
    <sheet xmlns:r="http://schemas.openxmlformats.org/officeDocument/2006/relationships" name="CPC 24" sheetId="3" state="visible" r:id="rId3"/>
    <sheet xmlns:r="http://schemas.openxmlformats.org/officeDocument/2006/relationships" name="CPC 25" sheetId="4" state="visible" r:id="rId4"/>
    <sheet xmlns:r="http://schemas.openxmlformats.org/officeDocument/2006/relationships" name="DEVELOPERS FEES " sheetId="5" state="visible" r:id="rId5"/>
    <sheet xmlns:r="http://schemas.openxmlformats.org/officeDocument/2006/relationships" name="2024 Xero HV  " sheetId="6" state="visible" r:id="rId6"/>
    <sheet xmlns:r="http://schemas.openxmlformats.org/officeDocument/2006/relationships" name="2025 Xero HV" sheetId="7" state="visible" r:id="rId7"/>
    <sheet xmlns:r="http://schemas.openxmlformats.org/officeDocument/2006/relationships" name="TB HV 24" sheetId="8" state="visible" r:id="rId8"/>
    <sheet xmlns:r="http://schemas.openxmlformats.org/officeDocument/2006/relationships" name="TB HV 23" sheetId="9" state="visible" r:id="rId9"/>
  </sheets>
  <definedNames>
    <definedName name="CurrentPeriod">#REF!</definedName>
    <definedName name="Cust002">"Drill to YTD Sales Document Summary||AE-SQL-AR12-3-3||StartingDate;EndingDate;9||ActiveSheet||1"</definedName>
    <definedName name="End_Date">#REF!</definedName>
    <definedName name="ENG_BI_CORE_LOCATION">"C:\Pastel19\Custom\SageIntelligence\"</definedName>
    <definedName name="ENG_BI_EXE_FULL_PATH">"C:\Pastel19\Custom\SageIntelligence\BICORE.EXE"</definedName>
    <definedName name="ENG_BI_EXE_NAME" hidden="1">"BICORE.EXE"</definedName>
    <definedName name="ENG_BI_EXEC_CMD_ARGS" hidden="1">"03304607806807307506509408508403605007003304907412708906908707207908410406808007306906508506509205805707708308707008708405405412513207506708409808107006604906113012310412111410912309811710506807007206509307207707908006208107008305306207308709506908708"</definedName>
    <definedName name="ENG_BI_EXEC_CMD_ARGS_2" hidden="1">"90510501291230991171141141250981161100690670850650870880870880910680650880680830690770620540590640610600510580600580580590530560500680590510560640510540630570600640510640660500490570600520600590530570540680590500600640510500550590530580560680640511251"</definedName>
    <definedName name="ENG_BI_EXEC_CMD_ARGS_3" hidden="1">"32096113122098112110099085074078075072080069073061105115125132102113117107109106104080069088084078085067083082081066082089072070084074087066084081062068063092072070084074092072069087070093084065087089069085099074078095070084089050053130123104121117102"</definedName>
    <definedName name="ENG_BI_EXEC_CMD_ARGS_4" hidden="1">"113106100089115105087101118118117101089102115123097119110118110092101118123102115065070101113115110132124079091069070087069072085065091074077087066050126"</definedName>
    <definedName name="ENG_BI_GEN_LIC" hidden="1">"0"</definedName>
    <definedName name="ENG_BI_GEN_LIC_WS" hidden="1">"True"</definedName>
    <definedName name="ENG_BI_LANG_CODE" hidden="1">"en"</definedName>
    <definedName name="ENG_BI_LBI" hidden="1">"KXRLU1PPH6"</definedName>
    <definedName name="ENG_BI_PROFILE_PATH" hidden="1">"\\alchemex-srv\Alchemex\SMIRepos\MAS500\Financial Reports 2-3 (MAS 500)\BICORE_profiler_20120205_123642.csv"</definedName>
    <definedName name="ENG_BI_REPOS_FILE" hidden="1">"C:\PASTEL19\CUSTOM\REGISTRATION\alchemex.svd"</definedName>
    <definedName name="ENG_BI_REPOS_PATH" hidden="1">"C:\PASTEL19\CUSTOM\REGISTRATION\"</definedName>
    <definedName name="ENG_BI_TLA" hidden="1">"155;104;10;168;238;99;85;63;190;139;88;114;206;17;98;50;233;159;211;252;236;185;248;250;164;80;95;116;75;125;251;45"</definedName>
    <definedName name="ENG_BI_TLA2" hidden="1">"240;104;90;82;254;98;195;154;139;176;159;100;129;121;220;117;161;64;183;18;250;163;165;31;85;187;88;233;226;254;128;124"</definedName>
    <definedName name="FiscYrEnd">#REF!</definedName>
    <definedName name="INFO_BI_EXE_NAME" hidden="1">"BICORE.EXE"</definedName>
    <definedName name="INFO_EXE_SERVER_PATH" hidden="1">"C:\Pastel19\Custom\SageIntelligence\BICORE.EXE"</definedName>
    <definedName name="INFO_INSTANCE_ID" hidden="1">"0"</definedName>
    <definedName name="INFO_INSTANCE_NAME" hidden="1">"Management Pack D-2-7_20210827_11_00_52_000.xls"</definedName>
    <definedName name="INFO_REPORT_CODE" hidden="1">"P10-FI01-2-3"</definedName>
    <definedName name="INFO_REPORT_ID" hidden="1">"2"</definedName>
    <definedName name="INFO_REPORT_NAAM" hidden="1">"Financial Reports 2-0 (MAS 500)"</definedName>
    <definedName name="INFO_REPORT_NAME" hidden="1">"Management Pack D-2-7"</definedName>
    <definedName name="INFO_RUN_USER" hidden="1">""</definedName>
    <definedName name="INFO_RUN_WORKSTATION" hidden="1">"VBS32"</definedName>
    <definedName name="LayoutNumPeriods">#REF!</definedName>
    <definedName name="RawData" localSheetId="5">#REF!</definedName>
    <definedName name="RawData" localSheetId="6">#REF!</definedName>
    <definedName name="RawData" localSheetId="2">#REF!</definedName>
    <definedName name="RawData" localSheetId="3">#REF!</definedName>
    <definedName name="RawData" localSheetId="4">#REF!</definedName>
    <definedName name="RawData">#REF!</definedName>
    <definedName name="Retained_Earnings">#REF!</definedName>
    <definedName name="SelectedDate">#REF!</definedName>
    <definedName name="SV_AUTO_CONN_CATALOG" hidden="1">"PAS19INVEST21"</definedName>
    <definedName name="SV_AUTO_CONN_SERVER" hidden="1">""</definedName>
    <definedName name="SV_DBTYPE">"19"</definedName>
    <definedName name="SV_ENCPT_AUTO_CONN_PASSWORD" hidden="1">"083096084083070038"</definedName>
    <definedName name="SV_ENCPT_AUTO_CONN_USER" hidden="1">"095094088070084"</definedName>
    <definedName name="SV_ENCPT_LOGON_PWD" hidden="1">"078104085088070"</definedName>
    <definedName name="SV_ENCPT_LOGON_USER" hidden="1">"095094088070084074070071067085080086"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"P10-FI01-2-3"</definedName>
    <definedName name="SV_REPORT_ID">"2"</definedName>
    <definedName name="SV_REPORT_NAME">"Management Pack D-2-7"</definedName>
    <definedName name="SV_REPOSCODE">""</definedName>
    <definedName name="SV_SOLUTION_ID">"33"</definedName>
    <definedName name="SV_TENANT_CODE">"PAS19INVEST21"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#,##0.00;\(#,##0.00\)"/>
    <numFmt numFmtId="166" formatCode="_-&quot;R&quot;* #,##0.00_-;\-&quot;R&quot;* #,##0.00_-;_-&quot;R&quot;* &quot;-&quot;??_-;_-@_-"/>
  </numFmts>
  <fonts count="2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0"/>
    </font>
    <font>
      <name val="Calibri"/>
      <family val="2"/>
      <color theme="1"/>
      <sz val="12"/>
      <scheme val="minor"/>
    </font>
    <font>
      <name val="Arial"/>
      <family val="2"/>
      <color theme="1"/>
      <sz val="11"/>
    </font>
    <font>
      <name val="Arial"/>
      <family val="2"/>
      <b val="1"/>
      <sz val="8"/>
    </font>
    <font>
      <name val="Arial"/>
      <family val="2"/>
      <sz val="14"/>
    </font>
    <font>
      <name val="Arial"/>
      <family val="2"/>
      <b val="1"/>
      <sz val="20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name val="Calibri  "/>
      <color theme="1"/>
      <sz val="11"/>
    </font>
    <font>
      <name val="Calibri  "/>
      <b val="1"/>
      <color theme="1"/>
      <sz val="11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</fonts>
  <fills count="22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4">
    <xf numFmtId="0" fontId="2" fillId="0" borderId="0"/>
    <xf numFmtId="164" fontId="2" fillId="0" borderId="0"/>
    <xf numFmtId="164" fontId="2" fillId="0" borderId="0"/>
    <xf numFmtId="0" fontId="3" fillId="0" borderId="0"/>
    <xf numFmtId="0" fontId="3" fillId="0" borderId="0" applyAlignment="1">
      <alignment vertical="center"/>
    </xf>
    <xf numFmtId="164" fontId="3" fillId="0" borderId="0" applyAlignment="1">
      <alignment vertical="center"/>
    </xf>
    <xf numFmtId="0" fontId="3" fillId="0" borderId="0"/>
    <xf numFmtId="0" fontId="6" fillId="0" borderId="0"/>
    <xf numFmtId="166" fontId="6" fillId="0" borderId="0"/>
    <xf numFmtId="9" fontId="6" fillId="0" borderId="0"/>
    <xf numFmtId="164" fontId="6" fillId="0" borderId="0"/>
    <xf numFmtId="0" fontId="7" fillId="0" borderId="0"/>
    <xf numFmtId="0" fontId="7" fillId="0" borderId="0"/>
    <xf numFmtId="164" fontId="3" fillId="0" borderId="0" applyAlignment="1">
      <alignment vertical="center"/>
    </xf>
    <xf numFmtId="0" fontId="7" fillId="0" borderId="0"/>
    <xf numFmtId="0" fontId="7" fillId="0" borderId="0"/>
    <xf numFmtId="0" fontId="7" fillId="0" borderId="0"/>
    <xf numFmtId="0" fontId="3" fillId="0" borderId="0"/>
    <xf numFmtId="164" fontId="3" fillId="0" borderId="0"/>
    <xf numFmtId="0" fontId="3" fillId="0" borderId="0" applyAlignment="1">
      <alignment vertical="center"/>
    </xf>
    <xf numFmtId="0" fontId="3" fillId="0" borderId="0"/>
    <xf numFmtId="0" fontId="20" fillId="0" borderId="0"/>
    <xf numFmtId="0" fontId="20" fillId="0" borderId="0"/>
    <xf numFmtId="0" fontId="20" fillId="0" borderId="0"/>
  </cellStyleXfs>
  <cellXfs count="146">
    <xf numFmtId="0" fontId="0" fillId="0" borderId="0" pivotButton="0" quotePrefix="0" xfId="0"/>
    <xf numFmtId="164" fontId="4" fillId="0" borderId="0" pivotButton="0" quotePrefix="0" xfId="1"/>
    <xf numFmtId="164" fontId="3" fillId="0" borderId="0" applyAlignment="1" pivotButton="0" quotePrefix="0" xfId="1">
      <alignment vertical="center"/>
    </xf>
    <xf numFmtId="164" fontId="5" fillId="0" borderId="0" applyAlignment="1" pivotButton="0" quotePrefix="0" xfId="3">
      <alignment vertical="center"/>
    </xf>
    <xf numFmtId="164" fontId="0" fillId="0" borderId="0" pivotButton="0" quotePrefix="0" xfId="1"/>
    <xf numFmtId="0" fontId="3" fillId="0" borderId="0" pivotButton="0" quotePrefix="0" xfId="3"/>
    <xf numFmtId="0" fontId="4" fillId="0" borderId="5" applyAlignment="1" pivotButton="0" quotePrefix="0" xfId="3">
      <alignment vertical="center"/>
    </xf>
    <xf numFmtId="165" fontId="4" fillId="0" borderId="5" applyAlignment="1" pivotButton="0" quotePrefix="0" xfId="3">
      <alignment horizontal="right" vertical="center"/>
    </xf>
    <xf numFmtId="0" fontId="4" fillId="0" borderId="5" applyAlignment="1" pivotButton="0" quotePrefix="0" xfId="0">
      <alignment vertical="center"/>
    </xf>
    <xf numFmtId="0" fontId="5" fillId="0" borderId="0" applyAlignment="1" pivotButton="0" quotePrefix="0" xfId="3">
      <alignment vertical="center"/>
    </xf>
    <xf numFmtId="0" fontId="3" fillId="0" borderId="0" applyAlignment="1" pivotButton="0" quotePrefix="0" xfId="3">
      <alignment vertical="center"/>
    </xf>
    <xf numFmtId="0" fontId="4" fillId="0" borderId="0" pivotButton="0" quotePrefix="0" xfId="3"/>
    <xf numFmtId="0" fontId="1" fillId="0" borderId="0" pivotButton="0" quotePrefix="0" xfId="0"/>
    <xf numFmtId="164" fontId="8" fillId="0" borderId="5" applyAlignment="1" pivotButton="0" quotePrefix="0" xfId="18">
      <alignment horizontal="right" vertical="center"/>
    </xf>
    <xf numFmtId="164" fontId="4" fillId="0" borderId="5" applyAlignment="1" pivotButton="0" quotePrefix="0" xfId="18">
      <alignment horizontal="right" vertical="center"/>
    </xf>
    <xf numFmtId="164" fontId="4" fillId="0" borderId="5" applyAlignment="1" pivotButton="0" quotePrefix="0" xfId="18">
      <alignment vertical="center"/>
    </xf>
    <xf numFmtId="164" fontId="0" fillId="0" borderId="1" pivotButton="0" quotePrefix="0" xfId="1"/>
    <xf numFmtId="164" fontId="0" fillId="0" borderId="3" pivotButton="0" quotePrefix="0" xfId="1"/>
    <xf numFmtId="164" fontId="0" fillId="0" borderId="7" pivotButton="0" quotePrefix="0" xfId="1"/>
    <xf numFmtId="0" fontId="3" fillId="0" borderId="0" pivotButton="0" quotePrefix="0" xfId="20"/>
    <xf numFmtId="0" fontId="8" fillId="0" borderId="4" applyAlignment="1" pivotButton="0" quotePrefix="0" xfId="20">
      <alignment horizontal="left" vertical="center"/>
    </xf>
    <xf numFmtId="17" fontId="8" fillId="0" borderId="4" applyAlignment="1" pivotButton="0" quotePrefix="0" xfId="20">
      <alignment horizontal="right" vertical="center"/>
    </xf>
    <xf numFmtId="0" fontId="8" fillId="0" borderId="0" applyAlignment="1" pivotButton="0" quotePrefix="0" xfId="20">
      <alignment horizontal="left" vertical="center"/>
    </xf>
    <xf numFmtId="17" fontId="8" fillId="0" borderId="0" applyAlignment="1" pivotButton="0" quotePrefix="0" xfId="20">
      <alignment horizontal="right" vertical="center"/>
    </xf>
    <xf numFmtId="0" fontId="4" fillId="0" borderId="5" applyAlignment="1" pivotButton="0" quotePrefix="0" xfId="20">
      <alignment vertical="center"/>
    </xf>
    <xf numFmtId="165" fontId="4" fillId="0" borderId="5" applyAlignment="1" pivotButton="0" quotePrefix="0" xfId="20">
      <alignment vertical="center"/>
    </xf>
    <xf numFmtId="165" fontId="4" fillId="0" borderId="5" applyAlignment="1" pivotButton="0" quotePrefix="0" xfId="20">
      <alignment horizontal="right" vertical="center"/>
    </xf>
    <xf numFmtId="0" fontId="8" fillId="0" borderId="5" applyAlignment="1" pivotButton="0" quotePrefix="0" xfId="20">
      <alignment vertical="center"/>
    </xf>
    <xf numFmtId="165" fontId="8" fillId="0" borderId="5" applyAlignment="1" pivotButton="0" quotePrefix="0" xfId="20">
      <alignment horizontal="right" vertical="center"/>
    </xf>
    <xf numFmtId="165" fontId="4" fillId="4" borderId="5" applyAlignment="1" pivotButton="0" quotePrefix="0" xfId="20">
      <alignment vertical="center"/>
    </xf>
    <xf numFmtId="165" fontId="4" fillId="6" borderId="5" applyAlignment="1" pivotButton="0" quotePrefix="0" xfId="20">
      <alignment vertical="center"/>
    </xf>
    <xf numFmtId="0" fontId="4" fillId="3" borderId="5" applyAlignment="1" pivotButton="0" quotePrefix="0" xfId="20">
      <alignment vertical="center"/>
    </xf>
    <xf numFmtId="165" fontId="4" fillId="7" borderId="5" applyAlignment="1" pivotButton="0" quotePrefix="0" xfId="20">
      <alignment vertical="center"/>
    </xf>
    <xf numFmtId="165" fontId="4" fillId="8" borderId="5" applyAlignment="1" pivotButton="0" quotePrefix="0" xfId="20">
      <alignment vertical="center"/>
    </xf>
    <xf numFmtId="165" fontId="4" fillId="9" borderId="5" applyAlignment="1" pivotButton="0" quotePrefix="0" xfId="20">
      <alignment vertical="center"/>
    </xf>
    <xf numFmtId="0" fontId="8" fillId="2" borderId="2" applyAlignment="1" pivotButton="0" quotePrefix="0" xfId="20">
      <alignment vertical="center"/>
    </xf>
    <xf numFmtId="165" fontId="8" fillId="2" borderId="2" applyAlignment="1" pivotButton="0" quotePrefix="0" xfId="20">
      <alignment horizontal="right" vertical="center"/>
    </xf>
    <xf numFmtId="0" fontId="5" fillId="0" borderId="0" applyAlignment="1" pivotButton="0" quotePrefix="0" xfId="20">
      <alignment vertical="center" wrapText="1"/>
    </xf>
    <xf numFmtId="165" fontId="4" fillId="10" borderId="5" applyAlignment="1" pivotButton="0" quotePrefix="0" xfId="20">
      <alignment vertical="center"/>
    </xf>
    <xf numFmtId="165" fontId="4" fillId="11" borderId="5" applyAlignment="1" pivotButton="0" quotePrefix="0" xfId="20">
      <alignment vertical="center"/>
    </xf>
    <xf numFmtId="165" fontId="4" fillId="5" borderId="5" applyAlignment="1" pivotButton="0" quotePrefix="0" xfId="20">
      <alignment vertical="center"/>
    </xf>
    <xf numFmtId="165" fontId="4" fillId="12" borderId="5" applyAlignment="1" pivotButton="0" quotePrefix="0" xfId="20">
      <alignment vertical="center"/>
    </xf>
    <xf numFmtId="165" fontId="4" fillId="13" borderId="5" applyAlignment="1" pivotButton="0" quotePrefix="0" xfId="20">
      <alignment vertical="center"/>
    </xf>
    <xf numFmtId="165" fontId="4" fillId="14" borderId="5" applyAlignment="1" pivotButton="0" quotePrefix="0" xfId="20">
      <alignment vertical="center"/>
    </xf>
    <xf numFmtId="165" fontId="4" fillId="15" borderId="5" applyAlignment="1" pivotButton="0" quotePrefix="0" xfId="20">
      <alignment vertical="center"/>
    </xf>
    <xf numFmtId="165" fontId="4" fillId="16" borderId="5" applyAlignment="1" pivotButton="0" quotePrefix="0" xfId="20">
      <alignment vertical="center"/>
    </xf>
    <xf numFmtId="165" fontId="4" fillId="17" borderId="5" applyAlignment="1" pivotButton="0" quotePrefix="0" xfId="20">
      <alignment vertical="center"/>
    </xf>
    <xf numFmtId="0" fontId="13" fillId="0" borderId="0" pivotButton="0" quotePrefix="0" xfId="21"/>
    <xf numFmtId="0" fontId="14" fillId="0" borderId="0" pivotButton="0" quotePrefix="0" xfId="21"/>
    <xf numFmtId="0" fontId="11" fillId="0" borderId="0" pivotButton="0" quotePrefix="0" xfId="21"/>
    <xf numFmtId="0" fontId="15" fillId="0" borderId="8" applyAlignment="1" pivotButton="0" quotePrefix="0" xfId="21">
      <alignment horizontal="left" vertical="center"/>
    </xf>
    <xf numFmtId="0" fontId="15" fillId="0" borderId="8" applyAlignment="1" pivotButton="0" quotePrefix="0" xfId="21">
      <alignment horizontal="right" vertical="center"/>
    </xf>
    <xf numFmtId="0" fontId="16" fillId="0" borderId="0" pivotButton="0" quotePrefix="0" xfId="21"/>
    <xf numFmtId="0" fontId="11" fillId="0" borderId="0" applyAlignment="1" pivotButton="0" quotePrefix="0" xfId="21">
      <alignment vertical="center"/>
    </xf>
    <xf numFmtId="165" fontId="11" fillId="0" borderId="0" applyAlignment="1" pivotButton="0" quotePrefix="0" xfId="21">
      <alignment horizontal="right" vertical="center"/>
    </xf>
    <xf numFmtId="0" fontId="11" fillId="0" borderId="5" applyAlignment="1" pivotButton="0" quotePrefix="0" xfId="21">
      <alignment vertical="center"/>
    </xf>
    <xf numFmtId="165" fontId="11" fillId="0" borderId="5" applyAlignment="1" pivotButton="0" quotePrefix="0" xfId="21">
      <alignment horizontal="right" vertical="center"/>
    </xf>
    <xf numFmtId="0" fontId="17" fillId="0" borderId="5" applyAlignment="1" pivotButton="0" quotePrefix="0" xfId="21">
      <alignment vertical="center"/>
    </xf>
    <xf numFmtId="165" fontId="17" fillId="0" borderId="5" applyAlignment="1" pivotButton="0" quotePrefix="0" xfId="21">
      <alignment horizontal="right" vertical="center"/>
    </xf>
    <xf numFmtId="165" fontId="11" fillId="18" borderId="5" applyAlignment="1" pivotButton="0" quotePrefix="0" xfId="21">
      <alignment horizontal="right" vertical="center"/>
    </xf>
    <xf numFmtId="165" fontId="11" fillId="18" borderId="0" applyAlignment="1" pivotButton="0" quotePrefix="0" xfId="21">
      <alignment horizontal="right" vertical="center"/>
    </xf>
    <xf numFmtId="165" fontId="11" fillId="4" borderId="5" applyAlignment="1" pivotButton="0" quotePrefix="0" xfId="21">
      <alignment horizontal="right" vertical="center"/>
    </xf>
    <xf numFmtId="165" fontId="18" fillId="0" borderId="5" applyAlignment="1" pivotButton="0" quotePrefix="0" xfId="21">
      <alignment horizontal="right" vertical="center"/>
    </xf>
    <xf numFmtId="165" fontId="4" fillId="5" borderId="5" applyAlignment="1" pivotButton="0" quotePrefix="0" xfId="3">
      <alignment horizontal="right" vertical="center"/>
    </xf>
    <xf numFmtId="165" fontId="4" fillId="5" borderId="0" applyAlignment="1" pivotButton="0" quotePrefix="0" xfId="3">
      <alignment horizontal="right" vertical="center"/>
    </xf>
    <xf numFmtId="165" fontId="19" fillId="0" borderId="6" applyAlignment="1" pivotButton="0" quotePrefix="0" xfId="21">
      <alignment horizontal="right" vertical="center"/>
    </xf>
    <xf numFmtId="0" fontId="22" fillId="0" borderId="0" pivotButton="0" quotePrefix="0" xfId="22"/>
    <xf numFmtId="0" fontId="23" fillId="0" borderId="0" pivotButton="0" quotePrefix="0" xfId="22"/>
    <xf numFmtId="0" fontId="20" fillId="0" borderId="0" pivotButton="0" quotePrefix="0" xfId="22"/>
    <xf numFmtId="0" fontId="24" fillId="0" borderId="8" applyAlignment="1" pivotButton="0" quotePrefix="0" xfId="22">
      <alignment horizontal="left" vertical="center"/>
    </xf>
    <xf numFmtId="0" fontId="24" fillId="0" borderId="8" applyAlignment="1" pivotButton="0" quotePrefix="0" xfId="22">
      <alignment horizontal="right" vertical="center"/>
    </xf>
    <xf numFmtId="0" fontId="25" fillId="0" borderId="0" pivotButton="0" quotePrefix="0" xfId="22"/>
    <xf numFmtId="0" fontId="20" fillId="0" borderId="0" applyAlignment="1" pivotButton="0" quotePrefix="0" xfId="22">
      <alignment vertical="center"/>
    </xf>
    <xf numFmtId="165" fontId="20" fillId="0" borderId="0" applyAlignment="1" pivotButton="0" quotePrefix="0" xfId="22">
      <alignment horizontal="right" vertical="center"/>
    </xf>
    <xf numFmtId="0" fontId="20" fillId="0" borderId="5" applyAlignment="1" pivotButton="0" quotePrefix="0" xfId="22">
      <alignment vertical="center"/>
    </xf>
    <xf numFmtId="165" fontId="20" fillId="0" borderId="5" applyAlignment="1" pivotButton="0" quotePrefix="0" xfId="22">
      <alignment horizontal="right" vertical="center"/>
    </xf>
    <xf numFmtId="0" fontId="26" fillId="0" borderId="5" applyAlignment="1" pivotButton="0" quotePrefix="0" xfId="22">
      <alignment vertical="center"/>
    </xf>
    <xf numFmtId="165" fontId="26" fillId="0" borderId="5" applyAlignment="1" pivotButton="0" quotePrefix="0" xfId="22">
      <alignment horizontal="right" vertical="center"/>
    </xf>
    <xf numFmtId="0" fontId="20" fillId="5" borderId="0" applyAlignment="1" pivotButton="0" quotePrefix="0" xfId="22">
      <alignment vertical="center"/>
    </xf>
    <xf numFmtId="0" fontId="20" fillId="5" borderId="5" applyAlignment="1" pivotButton="0" quotePrefix="0" xfId="22">
      <alignment vertical="center"/>
    </xf>
    <xf numFmtId="0" fontId="20" fillId="15" borderId="5" applyAlignment="1" pivotButton="0" quotePrefix="0" xfId="22">
      <alignment vertical="center"/>
    </xf>
    <xf numFmtId="0" fontId="20" fillId="19" borderId="5" applyAlignment="1" pivotButton="0" quotePrefix="0" xfId="22">
      <alignment vertical="center"/>
    </xf>
    <xf numFmtId="0" fontId="26" fillId="2" borderId="9" applyAlignment="1" pivotButton="0" quotePrefix="0" xfId="22">
      <alignment vertical="center"/>
    </xf>
    <xf numFmtId="165" fontId="26" fillId="2" borderId="9" applyAlignment="1" pivotButton="0" quotePrefix="0" xfId="22">
      <alignment horizontal="right" vertical="center"/>
    </xf>
    <xf numFmtId="0" fontId="1" fillId="0" borderId="0" pivotButton="0" quotePrefix="1" xfId="0"/>
    <xf numFmtId="0" fontId="22" fillId="0" borderId="0" pivotButton="0" quotePrefix="0" xfId="23"/>
    <xf numFmtId="0" fontId="23" fillId="0" borderId="0" pivotButton="0" quotePrefix="0" xfId="23"/>
    <xf numFmtId="0" fontId="20" fillId="0" borderId="0" pivotButton="0" quotePrefix="0" xfId="23"/>
    <xf numFmtId="0" fontId="24" fillId="0" borderId="8" applyAlignment="1" pivotButton="0" quotePrefix="0" xfId="23">
      <alignment horizontal="left" vertical="center"/>
    </xf>
    <xf numFmtId="0" fontId="24" fillId="0" borderId="8" applyAlignment="1" pivotButton="0" quotePrefix="0" xfId="23">
      <alignment horizontal="right" vertical="center"/>
    </xf>
    <xf numFmtId="0" fontId="25" fillId="0" borderId="0" pivotButton="0" quotePrefix="0" xfId="23"/>
    <xf numFmtId="0" fontId="20" fillId="0" borderId="0" applyAlignment="1" pivotButton="0" quotePrefix="0" xfId="23">
      <alignment vertical="center"/>
    </xf>
    <xf numFmtId="165" fontId="20" fillId="0" borderId="0" applyAlignment="1" pivotButton="0" quotePrefix="0" xfId="23">
      <alignment horizontal="right" vertical="center"/>
    </xf>
    <xf numFmtId="0" fontId="26" fillId="0" borderId="5" applyAlignment="1" pivotButton="0" quotePrefix="0" xfId="23">
      <alignment vertical="center"/>
    </xf>
    <xf numFmtId="165" fontId="26" fillId="0" borderId="5" applyAlignment="1" pivotButton="0" quotePrefix="0" xfId="23">
      <alignment horizontal="right" vertical="center"/>
    </xf>
    <xf numFmtId="0" fontId="20" fillId="0" borderId="5" applyAlignment="1" pivotButton="0" quotePrefix="0" xfId="23">
      <alignment vertical="center"/>
    </xf>
    <xf numFmtId="165" fontId="20" fillId="0" borderId="5" applyAlignment="1" pivotButton="0" quotePrefix="0" xfId="23">
      <alignment horizontal="right" vertical="center"/>
    </xf>
    <xf numFmtId="0" fontId="20" fillId="20" borderId="5" applyAlignment="1" pivotButton="0" quotePrefix="0" xfId="23">
      <alignment vertical="center"/>
    </xf>
    <xf numFmtId="165" fontId="20" fillId="20" borderId="5" applyAlignment="1" pivotButton="0" quotePrefix="0" xfId="23">
      <alignment horizontal="right" vertical="center"/>
    </xf>
    <xf numFmtId="0" fontId="20" fillId="20" borderId="0" pivotButton="0" quotePrefix="0" xfId="23"/>
    <xf numFmtId="0" fontId="26" fillId="2" borderId="9" applyAlignment="1" pivotButton="0" quotePrefix="0" xfId="23">
      <alignment vertical="center"/>
    </xf>
    <xf numFmtId="165" fontId="26" fillId="2" borderId="9" applyAlignment="1" pivotButton="0" quotePrefix="0" xfId="23">
      <alignment horizontal="right" vertical="center"/>
    </xf>
    <xf numFmtId="0" fontId="20" fillId="12" borderId="0" applyAlignment="1" pivotButton="0" quotePrefix="0" xfId="23">
      <alignment vertical="center"/>
    </xf>
    <xf numFmtId="165" fontId="20" fillId="12" borderId="0" applyAlignment="1" pivotButton="0" quotePrefix="0" xfId="23">
      <alignment horizontal="right" vertical="center"/>
    </xf>
    <xf numFmtId="0" fontId="20" fillId="12" borderId="0" pivotButton="0" quotePrefix="0" xfId="23"/>
    <xf numFmtId="0" fontId="20" fillId="12" borderId="5" applyAlignment="1" pivotButton="0" quotePrefix="0" xfId="23">
      <alignment vertical="center"/>
    </xf>
    <xf numFmtId="165" fontId="20" fillId="12" borderId="5" applyAlignment="1" pivotButton="0" quotePrefix="0" xfId="23">
      <alignment horizontal="right" vertical="center"/>
    </xf>
    <xf numFmtId="17" fontId="24" fillId="0" borderId="8" applyAlignment="1" pivotButton="0" quotePrefix="0" xfId="23">
      <alignment horizontal="right" vertical="center"/>
    </xf>
    <xf numFmtId="165" fontId="4" fillId="5" borderId="5" applyAlignment="1" pivotButton="0" quotePrefix="0" xfId="20">
      <alignment horizontal="right" vertical="center"/>
    </xf>
    <xf numFmtId="0" fontId="20" fillId="9" borderId="5" applyAlignment="1" pivotButton="0" quotePrefix="0" xfId="23">
      <alignment vertical="center"/>
    </xf>
    <xf numFmtId="165" fontId="20" fillId="9" borderId="5" applyAlignment="1" pivotButton="0" quotePrefix="0" xfId="23">
      <alignment horizontal="right" vertical="center"/>
    </xf>
    <xf numFmtId="0" fontId="20" fillId="9" borderId="0" pivotButton="0" quotePrefix="0" xfId="23"/>
    <xf numFmtId="15" fontId="1" fillId="21" borderId="0" pivotButton="0" quotePrefix="1" xfId="1"/>
    <xf numFmtId="164" fontId="0" fillId="21" borderId="0" pivotButton="0" quotePrefix="0" xfId="1"/>
    <xf numFmtId="164" fontId="0" fillId="21" borderId="1" pivotButton="0" quotePrefix="0" xfId="1"/>
    <xf numFmtId="164" fontId="0" fillId="21" borderId="3" pivotButton="0" quotePrefix="0" xfId="1"/>
    <xf numFmtId="164" fontId="0" fillId="21" borderId="7" pivotButton="0" quotePrefix="0" xfId="1"/>
    <xf numFmtId="165" fontId="18" fillId="21" borderId="5" applyAlignment="1" pivotButton="0" quotePrefix="0" xfId="21">
      <alignment horizontal="right" vertical="center"/>
    </xf>
    <xf numFmtId="165" fontId="19" fillId="21" borderId="6" applyAlignment="1" pivotButton="0" quotePrefix="0" xfId="21">
      <alignment horizontal="right" vertical="center"/>
    </xf>
    <xf numFmtId="0" fontId="0" fillId="21" borderId="0" pivotButton="0" quotePrefix="0" xfId="0"/>
    <xf numFmtId="0" fontId="4" fillId="0" borderId="0" applyAlignment="1" pivotButton="0" quotePrefix="0" xfId="0">
      <alignment vertical="center"/>
    </xf>
    <xf numFmtId="165" fontId="3" fillId="0" borderId="6" pivotButton="0" quotePrefix="0" xfId="3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3" fontId="0" fillId="0" borderId="0" pivotButton="0" quotePrefix="0" xfId="0"/>
    <xf numFmtId="39" fontId="0" fillId="0" borderId="0" pivotButton="0" quotePrefix="0" xfId="0"/>
    <xf numFmtId="0" fontId="24" fillId="0" borderId="8" applyAlignment="1" pivotButton="0" quotePrefix="0" xfId="22">
      <alignment vertical="center" wrapText="1"/>
    </xf>
    <xf numFmtId="0" fontId="0" fillId="0" borderId="8" pivotButton="0" quotePrefix="0" xfId="0"/>
    <xf numFmtId="0" fontId="21" fillId="0" borderId="0" applyAlignment="1" pivotButton="0" quotePrefix="0" xfId="22">
      <alignment vertical="center" wrapText="1"/>
    </xf>
    <xf numFmtId="0" fontId="22" fillId="0" borderId="0" pivotButton="0" quotePrefix="0" xfId="22"/>
    <xf numFmtId="0" fontId="23" fillId="0" borderId="0" applyAlignment="1" pivotButton="0" quotePrefix="0" xfId="22">
      <alignment vertical="center" wrapText="1"/>
    </xf>
    <xf numFmtId="0" fontId="23" fillId="0" borderId="0" pivotButton="0" quotePrefix="0" xfId="22"/>
    <xf numFmtId="0" fontId="24" fillId="0" borderId="8" applyAlignment="1" pivotButton="0" quotePrefix="0" xfId="23">
      <alignment vertical="center" wrapText="1"/>
    </xf>
    <xf numFmtId="0" fontId="21" fillId="0" borderId="0" applyAlignment="1" pivotButton="0" quotePrefix="0" xfId="23">
      <alignment vertical="center" wrapText="1"/>
    </xf>
    <xf numFmtId="0" fontId="22" fillId="0" borderId="0" pivotButton="0" quotePrefix="0" xfId="23"/>
    <xf numFmtId="0" fontId="23" fillId="0" borderId="0" applyAlignment="1" pivotButton="0" quotePrefix="0" xfId="23">
      <alignment vertical="center" wrapText="1"/>
    </xf>
    <xf numFmtId="0" fontId="23" fillId="0" borderId="0" pivotButton="0" quotePrefix="0" xfId="23"/>
    <xf numFmtId="0" fontId="5" fillId="0" borderId="4" applyAlignment="1" pivotButton="0" quotePrefix="0" xfId="20">
      <alignment vertical="center" wrapText="1"/>
    </xf>
    <xf numFmtId="0" fontId="0" fillId="0" borderId="4" pivotButton="0" quotePrefix="0" xfId="0"/>
    <xf numFmtId="0" fontId="10" fillId="0" borderId="0" applyAlignment="1" pivotButton="0" quotePrefix="0" xfId="20">
      <alignment vertical="center" wrapText="1"/>
    </xf>
    <xf numFmtId="0" fontId="3" fillId="0" borderId="0" pivotButton="0" quotePrefix="0" xfId="20"/>
    <xf numFmtId="0" fontId="9" fillId="0" borderId="0" applyAlignment="1" pivotButton="0" quotePrefix="0" xfId="20">
      <alignment vertical="center" wrapText="1"/>
    </xf>
    <xf numFmtId="0" fontId="12" fillId="0" borderId="0" applyAlignment="1" pivotButton="0" quotePrefix="0" xfId="21">
      <alignment vertical="center" wrapText="1"/>
    </xf>
    <xf numFmtId="0" fontId="13" fillId="0" borderId="0" pivotButton="0" quotePrefix="0" xfId="21"/>
    <xf numFmtId="0" fontId="14" fillId="0" borderId="0" applyAlignment="1" pivotButton="0" quotePrefix="0" xfId="21">
      <alignment vertical="center" wrapText="1"/>
    </xf>
    <xf numFmtId="0" fontId="14" fillId="0" borderId="0" pivotButton="0" quotePrefix="0" xfId="21"/>
  </cellXfs>
  <cellStyles count="24">
    <cellStyle name="Normal" xfId="0" builtinId="0"/>
    <cellStyle name="Comma" xfId="1" builtinId="3"/>
    <cellStyle name="Comma 4" xfId="2"/>
    <cellStyle name="Normal 2" xfId="3"/>
    <cellStyle name="Normal 3" xfId="4"/>
    <cellStyle name="Comma 2" xfId="5"/>
    <cellStyle name="Normal 4" xfId="6"/>
    <cellStyle name="Normal 5" xfId="7"/>
    <cellStyle name="Currency 2" xfId="8"/>
    <cellStyle name="Percent 2" xfId="9"/>
    <cellStyle name="Comma 3" xfId="10"/>
    <cellStyle name="Normal 6" xfId="11"/>
    <cellStyle name="Normal 7" xfId="12"/>
    <cellStyle name="Comma 2 2" xfId="13"/>
    <cellStyle name="Normal 7 2" xfId="14"/>
    <cellStyle name="Normal 8" xfId="15"/>
    <cellStyle name="Normal 9" xfId="16"/>
    <cellStyle name="Normal 14" xfId="17"/>
    <cellStyle name="Comma 5" xfId="18"/>
    <cellStyle name="Normal 2 2" xfId="19"/>
    <cellStyle name="Normal 14 2" xfId="20"/>
    <cellStyle name="Normal 10" xfId="21"/>
    <cellStyle name="Normal 11" xfId="22"/>
    <cellStyle name="Normal 8 3" xf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Deric</author>
  </authors>
  <commentList>
    <comment ref="D8" authorId="0" shapeId="0">
      <text>
        <t>Deric:
4xBlock D
4xBlock N
5xBlock O
4xBlock J</t>
      </text>
    </comment>
    <comment ref="E8" authorId="0" shapeId="0">
      <text>
        <t>Deric:
4xBlock D
4XBlock N</t>
      </text>
    </comment>
    <comment ref="F8" authorId="0" shapeId="0">
      <text>
        <t>Deric:
3xBlock P</t>
      </text>
    </comment>
    <comment ref="G8" authorId="0" shapeId="0">
      <text>
        <t>Deric:
6xBlock C
3xBlock P</t>
      </text>
    </comment>
    <comment ref="H8" authorId="0" shapeId="0">
      <text>
        <t>Deric:
6xBlock C
3XBlock P</t>
      </text>
    </comment>
    <comment ref="I8" authorId="0" shapeId="0">
      <text>
        <t>Deric:
3xBlock C</t>
      </text>
    </comment>
    <comment ref="J8" authorId="0" shapeId="0">
      <text>
        <t>Deric:
3xBlock C</t>
      </text>
    </comment>
  </commentList>
</comments>
</file>

<file path=xl/comments/comment2.xml><?xml version="1.0" encoding="utf-8"?>
<comments xmlns="http://schemas.openxmlformats.org/spreadsheetml/2006/main">
  <authors>
    <author>Deric</author>
  </authors>
  <commentList>
    <comment ref="J8" authorId="0" shapeId="0">
      <text>
        <t>Deric:
4xBlock E
6xBlock G
4xBlock I
4xBlock F</t>
      </text>
    </comment>
    <comment ref="K8" authorId="0" shapeId="0">
      <text>
        <t>Deric:
8xBlock K
4xBlock L
4xBlock E
6xBlock G
4xBlock I
4xBlock F</t>
      </text>
    </comment>
    <comment ref="L8" authorId="0" shapeId="0">
      <text>
        <t>Deric:
8xBlock K
4xBlock L
4xBlock E</t>
      </text>
    </comment>
    <comment ref="M8" authorId="0" shapeId="0">
      <text>
        <t>Deric:
8xBlock K</t>
      </text>
    </comment>
    <comment ref="N8" authorId="0" shapeId="0">
      <text>
        <t>Deric:
4XBlock D
5xBlock O
4xBlock M
4xBlock H
4xBlock J</t>
      </text>
    </comment>
    <comment ref="O8" authorId="0" shapeId="0">
      <text>
        <t>Deric:
4xBlock D
4xBlock N
5xBlock O
4xBlock M
4xBlock H
4xBlock J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9"/>
  <sheetViews>
    <sheetView tabSelected="1" zoomScale="80" zoomScaleNormal="8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Q4" sqref="Q4"/>
    </sheetView>
  </sheetViews>
  <sheetFormatPr baseColWidth="10" defaultColWidth="8.83203125" defaultRowHeight="15"/>
  <cols>
    <col width="42.1640625" bestFit="1" customWidth="1" min="1" max="1"/>
    <col width="16.5" bestFit="1" customWidth="1" style="113" min="2" max="2"/>
    <col width="16.5" bestFit="1" customWidth="1" style="119" min="3" max="3"/>
    <col width="16.5" bestFit="1" customWidth="1" min="4" max="14"/>
    <col width="15.83203125" bestFit="1" customWidth="1" min="15" max="15"/>
    <col width="15.83203125" customWidth="1" min="16" max="16"/>
    <col width="15.83203125" bestFit="1" customWidth="1" min="17" max="17"/>
    <col width="13.5" bestFit="1" customWidth="1" min="18" max="18"/>
    <col width="15.33203125" bestFit="1" customWidth="1" min="20" max="21"/>
  </cols>
  <sheetData>
    <row r="1">
      <c r="A1" s="12" t="n"/>
      <c r="B1" s="112" t="inlineStr">
        <is>
          <t>Actual</t>
        </is>
      </c>
      <c r="C1" s="112" t="inlineStr">
        <is>
          <t>Actual</t>
        </is>
      </c>
      <c r="D1" s="12" t="inlineStr">
        <is>
          <t>Forecast</t>
        </is>
      </c>
      <c r="E1" s="12" t="inlineStr">
        <is>
          <t>Forecast</t>
        </is>
      </c>
      <c r="F1" s="12" t="inlineStr">
        <is>
          <t>Forecast</t>
        </is>
      </c>
      <c r="G1" s="12" t="inlineStr">
        <is>
          <t>Forecast</t>
        </is>
      </c>
      <c r="H1" s="12" t="inlineStr">
        <is>
          <t>Forecast</t>
        </is>
      </c>
      <c r="I1" s="12" t="inlineStr">
        <is>
          <t>Forecast</t>
        </is>
      </c>
      <c r="J1" s="12" t="inlineStr">
        <is>
          <t>Forecast</t>
        </is>
      </c>
      <c r="K1" s="12" t="inlineStr">
        <is>
          <t>Forecast</t>
        </is>
      </c>
      <c r="L1" s="12" t="inlineStr">
        <is>
          <t>Forecast</t>
        </is>
      </c>
      <c r="M1" s="12" t="inlineStr">
        <is>
          <t>Forecast</t>
        </is>
      </c>
      <c r="N1" s="12" t="inlineStr">
        <is>
          <t>Forecast</t>
        </is>
      </c>
      <c r="O1" s="12" t="inlineStr">
        <is>
          <t>Forecast</t>
        </is>
      </c>
      <c r="P1" s="12" t="inlineStr">
        <is>
          <t>Forecast</t>
        </is>
      </c>
    </row>
    <row r="2">
      <c r="A2" s="12" t="inlineStr">
        <is>
          <t>Heron View P&amp;L</t>
        </is>
      </c>
      <c r="B2" s="112" t="inlineStr">
        <is>
          <t>30 Jun 23</t>
        </is>
      </c>
      <c r="C2" s="112" t="inlineStr">
        <is>
          <t>31 Jul 23</t>
        </is>
      </c>
      <c r="D2" s="84" t="inlineStr">
        <is>
          <t>31 Aug 23</t>
        </is>
      </c>
      <c r="E2" s="84" t="inlineStr">
        <is>
          <t>30 Sep 23</t>
        </is>
      </c>
      <c r="F2" s="84" t="inlineStr">
        <is>
          <t>31 Oct 23</t>
        </is>
      </c>
      <c r="G2" s="84" t="inlineStr">
        <is>
          <t>30 Nov 23</t>
        </is>
      </c>
      <c r="H2" s="84" t="inlineStr">
        <is>
          <t>31 Dec 23</t>
        </is>
      </c>
      <c r="I2" s="84" t="inlineStr">
        <is>
          <t>31 Jan 24</t>
        </is>
      </c>
      <c r="J2" s="84" t="inlineStr">
        <is>
          <t>29 Feb 24</t>
        </is>
      </c>
      <c r="K2" s="84" t="inlineStr">
        <is>
          <t>31 Mar 24</t>
        </is>
      </c>
      <c r="L2" s="84" t="inlineStr">
        <is>
          <t>30 Apr 24</t>
        </is>
      </c>
      <c r="M2" s="84" t="inlineStr">
        <is>
          <t>31 May 24</t>
        </is>
      </c>
      <c r="N2" s="84" t="inlineStr">
        <is>
          <t>30 Jun 24</t>
        </is>
      </c>
      <c r="O2" s="84" t="inlineStr">
        <is>
          <t>31 Jul 24</t>
        </is>
      </c>
      <c r="P2" s="84" t="inlineStr">
        <is>
          <t>31 Aug 24</t>
        </is>
      </c>
    </row>
    <row r="4">
      <c r="A4" s="12" t="inlineStr">
        <is>
          <t>Revenue</t>
        </is>
      </c>
      <c r="B4" s="113">
        <f>SUM(B6:B8)</f>
        <v/>
      </c>
      <c r="C4" s="113">
        <f>SUM(C6:C8)</f>
        <v/>
      </c>
      <c r="D4" s="4">
        <f>SUM(D6:D8)</f>
        <v/>
      </c>
      <c r="E4" s="4">
        <f>SUM(E6:E8)</f>
        <v/>
      </c>
      <c r="F4" s="4">
        <f>SUM(F6:F8)</f>
        <v/>
      </c>
      <c r="G4" s="4">
        <f>SUM(G6:G8)</f>
        <v/>
      </c>
      <c r="H4" s="4">
        <f>SUM(H6:H8)</f>
        <v/>
      </c>
      <c r="I4" s="4">
        <f>SUM(I6:I8)</f>
        <v/>
      </c>
      <c r="J4" s="4">
        <f>SUM(J6:J8)</f>
        <v/>
      </c>
      <c r="K4" s="4">
        <f>SUM(K6:K8)</f>
        <v/>
      </c>
      <c r="L4" s="4">
        <f>SUM(L6:L8)</f>
        <v/>
      </c>
      <c r="M4" s="4">
        <f>SUM(M6:M8)</f>
        <v/>
      </c>
      <c r="N4" s="4">
        <f>SUM(N6:N8)</f>
        <v/>
      </c>
      <c r="O4" s="4">
        <f>SUM(O6:O8)</f>
        <v/>
      </c>
      <c r="P4" s="4">
        <f>SUM(P6:P8)</f>
        <v/>
      </c>
      <c r="Q4" s="122" t="n"/>
    </row>
    <row r="6">
      <c r="A6" t="inlineStr">
        <is>
          <t>Sales</t>
        </is>
      </c>
      <c r="B6" s="114">
        <f>SUM('2024 Xero HV  '!L8:O8)</f>
        <v/>
      </c>
      <c r="C6" s="114">
        <f>SUM('2024 Xero HV  '!K8:O8)</f>
        <v/>
      </c>
      <c r="D6" s="16">
        <f>SUM('2024 Xero HV  '!J8:O8)</f>
        <v/>
      </c>
      <c r="E6" s="16">
        <f>SUM('2024 Xero HV  '!I8:O8)</f>
        <v/>
      </c>
      <c r="F6" s="16">
        <f>SUM('2024 Xero HV  '!H8:O8)</f>
        <v/>
      </c>
      <c r="G6" s="16">
        <f>SUM('2024 Xero HV  '!G8:O8)</f>
        <v/>
      </c>
      <c r="H6" s="16">
        <f>SUM('2024 Xero HV  '!F8:O8)</f>
        <v/>
      </c>
      <c r="I6" s="16">
        <f>SUM('2024 Xero HV  '!E8:O8)</f>
        <v/>
      </c>
      <c r="J6" s="16">
        <f>SUM('2024 Xero HV  '!D8:O8)</f>
        <v/>
      </c>
      <c r="K6" s="16">
        <f>SUM('2024 Xero HV  '!D8:O8)+SUM('2025 Xero HV'!O8)</f>
        <v/>
      </c>
      <c r="L6" s="16">
        <f>SUM('2024 Xero HV  '!D8:O8)+SUM('2025 Xero HV'!N8:O8)</f>
        <v/>
      </c>
      <c r="M6" s="16">
        <f>SUM('2024 Xero HV  '!D8:O8)+SUM('2025 Xero HV'!M8:O8)</f>
        <v/>
      </c>
      <c r="N6" s="16">
        <f>SUM('2024 Xero HV  '!D8:O8)+SUM('2025 Xero HV'!L8:O8)</f>
        <v/>
      </c>
      <c r="O6" s="16">
        <f>SUM('2024 Xero HV  '!D8:O8)+SUM('2025 Xero HV'!K8:O8)</f>
        <v/>
      </c>
      <c r="P6" s="16">
        <f>SUM('2024 Xero HV  '!D8:O8)+SUM('2025 Xero HV'!J8:O8)</f>
        <v/>
      </c>
      <c r="T6" s="4" t="n"/>
      <c r="U6" s="124" t="n"/>
    </row>
    <row r="7">
      <c r="A7" t="inlineStr">
        <is>
          <t>Sales - Heron View occupational rent</t>
        </is>
      </c>
      <c r="B7" s="115" t="n"/>
      <c r="C7" s="115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</row>
    <row r="8">
      <c r="A8" t="inlineStr">
        <is>
          <t>Bond Origination</t>
        </is>
      </c>
      <c r="B8" s="116" t="n"/>
      <c r="C8" s="116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</row>
    <row r="11">
      <c r="A11" s="12" t="inlineStr">
        <is>
          <t>Cost of sales</t>
        </is>
      </c>
      <c r="B11" s="113">
        <f>SUM(B13:B29)</f>
        <v/>
      </c>
      <c r="C11" s="113">
        <f>SUM(C13:C29)</f>
        <v/>
      </c>
      <c r="D11" s="4">
        <f>SUM(D13:D29)</f>
        <v/>
      </c>
      <c r="E11" s="4">
        <f>SUM(E13:E29)</f>
        <v/>
      </c>
      <c r="F11" s="4">
        <f>SUM(F13:F29)</f>
        <v/>
      </c>
      <c r="G11" s="4">
        <f>SUM(G13:G29)</f>
        <v/>
      </c>
      <c r="H11" s="4">
        <f>SUM(H13:H29)</f>
        <v/>
      </c>
      <c r="I11" s="4">
        <f>SUM(I13:I29)</f>
        <v/>
      </c>
      <c r="J11" s="4">
        <f>SUM(J13:J29)</f>
        <v/>
      </c>
      <c r="K11" s="4">
        <f>SUM(K13:K29)</f>
        <v/>
      </c>
      <c r="L11" s="4">
        <f>SUM(L13:L29)</f>
        <v/>
      </c>
      <c r="M11" s="4">
        <f>SUM(M13:M29)</f>
        <v/>
      </c>
      <c r="N11" s="4">
        <f>SUM(N13:N29)</f>
        <v/>
      </c>
      <c r="O11" s="4">
        <f>SUM(O13:O29)</f>
        <v/>
      </c>
      <c r="P11" s="4">
        <f>SUM(P13:P29)</f>
        <v/>
      </c>
    </row>
    <row r="12">
      <c r="C12" s="113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</row>
    <row r="13">
      <c r="A13" t="inlineStr">
        <is>
          <t>Construction</t>
        </is>
      </c>
      <c r="B13" s="114">
        <f>SUM(CPC!C43:D45)+SUM('CPC 24'!J23:M25)</f>
        <v/>
      </c>
      <c r="C13" s="114">
        <f>SUM(CPC!C43:D45)+SUM('CPC 24'!I23:M25)</f>
        <v/>
      </c>
      <c r="D13" s="16">
        <f>SUM(CPC!C43:D45)+SUM('CPC 24'!H23:M25)</f>
        <v/>
      </c>
      <c r="E13" s="16">
        <f>SUM(CPC!C43:D45)+SUM('CPC 24'!G23:M25)</f>
        <v/>
      </c>
      <c r="F13" s="16">
        <f>SUM(CPC!C43:D45)+SUM('CPC 24'!F23:M25)</f>
        <v/>
      </c>
      <c r="G13" s="16">
        <f>SUM(CPC!C43:D45)+SUM('CPC 24'!E23:M25)</f>
        <v/>
      </c>
      <c r="H13" s="16">
        <f>SUM(CPC!C43:D45)+SUM('CPC 24'!D23:M25)</f>
        <v/>
      </c>
      <c r="I13" s="16">
        <f>SUM(CPC!C43:D45)+SUM('CPC 24'!C23:M25)</f>
        <v/>
      </c>
      <c r="J13" s="16">
        <f>SUM(CPC!C43:D45)+SUM('CPC 24'!B23:M25)</f>
        <v/>
      </c>
      <c r="K13" s="16">
        <f>SUM(CPC!C43:D45)+SUM('CPC 24'!B23:M25)+SUM('CPC 25'!M23:M26)</f>
        <v/>
      </c>
      <c r="L13" s="16">
        <f>SUM(CPC!C43:D45)+SUM('CPC 24'!B23:M25)+SUM('CPC 25'!L23:M26)</f>
        <v/>
      </c>
      <c r="M13" s="16">
        <f>SUM(CPC!C43:D45)+SUM('CPC 24'!B23:M25)+SUM('CPC 25'!K23:M26)</f>
        <v/>
      </c>
      <c r="N13" s="16">
        <f>SUM(CPC!C43:D45)+SUM('CPC 24'!B23:M25)+SUM('CPC 25'!J23:M26)</f>
        <v/>
      </c>
      <c r="O13" s="16">
        <f>SUM(CPC!C43:D45)+SUM('CPC 24'!B23:M25)+SUM('CPC 25'!I23:M26)</f>
        <v/>
      </c>
      <c r="P13" s="16">
        <f>SUM(CPC!C43:D45)+SUM('CPC 24'!B23:M25)+SUM('CPC 25'!H23:M26)</f>
        <v/>
      </c>
    </row>
    <row r="14">
      <c r="A14" t="inlineStr">
        <is>
          <t>Rent, Salaries &amp; wages</t>
        </is>
      </c>
      <c r="B14" s="115" t="n">
        <v>10387888</v>
      </c>
      <c r="C14" s="115" t="n">
        <v>10387888</v>
      </c>
      <c r="D14" s="17">
        <f>C14+800000</f>
        <v/>
      </c>
      <c r="E14" s="17">
        <f>D14+800000</f>
        <v/>
      </c>
      <c r="F14" s="17">
        <f>E14+800000</f>
        <v/>
      </c>
      <c r="G14" s="17">
        <f>F14+800000</f>
        <v/>
      </c>
      <c r="H14" s="17">
        <f>G14+800000</f>
        <v/>
      </c>
      <c r="I14" s="17">
        <f>H14+800000</f>
        <v/>
      </c>
      <c r="J14" s="17">
        <f>I14+800000</f>
        <v/>
      </c>
      <c r="K14" s="17">
        <f>J14+800000</f>
        <v/>
      </c>
      <c r="L14" s="17">
        <f>K14+800000</f>
        <v/>
      </c>
      <c r="M14" s="17">
        <f>L14+800000</f>
        <v/>
      </c>
      <c r="N14" s="17">
        <f>M14+800000</f>
        <v/>
      </c>
      <c r="O14" s="17">
        <f>N14+800000</f>
        <v/>
      </c>
      <c r="P14" s="17">
        <f>O14+800000</f>
        <v/>
      </c>
    </row>
    <row r="15">
      <c r="A15" t="inlineStr">
        <is>
          <t>Professional fees</t>
        </is>
      </c>
      <c r="B15" s="115">
        <f>'DEVELOPERS FEES '!D28-B18-B19-B20</f>
        <v/>
      </c>
      <c r="C15" s="115">
        <f>'DEVELOPERS FEES '!D28-C18-C19-C20</f>
        <v/>
      </c>
      <c r="D15" s="17">
        <f>'DEVELOPERS FEES '!D28-D18-D19-D20</f>
        <v/>
      </c>
      <c r="E15" s="17">
        <f>'DEVELOPERS FEES '!D28-E18-E19-E20</f>
        <v/>
      </c>
      <c r="F15" s="17">
        <f>'DEVELOPERS FEES '!D28-F18-F19-F20</f>
        <v/>
      </c>
      <c r="G15" s="17">
        <f>'DEVELOPERS FEES '!D28-G18-G19-G20</f>
        <v/>
      </c>
      <c r="H15" s="17">
        <f>'DEVELOPERS FEES '!D28-H18-H19-H20</f>
        <v/>
      </c>
      <c r="I15" s="17">
        <f>'DEVELOPERS FEES '!D28-I18-I19-I20</f>
        <v/>
      </c>
      <c r="J15" s="17">
        <f>'DEVELOPERS FEES '!D28-J18-J19-J20</f>
        <v/>
      </c>
      <c r="K15" s="17">
        <f>'DEVELOPERS FEES '!D28-K18-K19-K20</f>
        <v/>
      </c>
      <c r="L15" s="17">
        <f>'DEVELOPERS FEES '!D28-L18-L19-L20</f>
        <v/>
      </c>
      <c r="M15" s="17">
        <f>'DEVELOPERS FEES '!D28-M18-M19-M20</f>
        <v/>
      </c>
      <c r="N15" s="17">
        <f>'DEVELOPERS FEES '!D28-N18-N19-N20</f>
        <v/>
      </c>
      <c r="O15" s="17">
        <f>'DEVELOPERS FEES '!D28-O18-O19-O20</f>
        <v/>
      </c>
      <c r="P15" s="17">
        <f>'DEVELOPERS FEES '!D28-P18-P19-P20</f>
        <v/>
      </c>
    </row>
    <row r="16">
      <c r="A16" t="inlineStr">
        <is>
          <t xml:space="preserve">Professional fees CPSD </t>
        </is>
      </c>
      <c r="B16" s="115">
        <f>'DEVELOPERS FEES '!D32</f>
        <v/>
      </c>
      <c r="C16" s="115">
        <f>'DEVELOPERS FEES '!D32</f>
        <v/>
      </c>
      <c r="D16" s="17">
        <f>C16+200000</f>
        <v/>
      </c>
      <c r="E16" s="17">
        <f>D16+385000</f>
        <v/>
      </c>
      <c r="F16" s="17">
        <f>E16+385000</f>
        <v/>
      </c>
      <c r="G16" s="17">
        <f>F16+385000</f>
        <v/>
      </c>
      <c r="H16" s="17">
        <f>G16+385000</f>
        <v/>
      </c>
      <c r="I16" s="17">
        <f>H16+350000</f>
        <v/>
      </c>
      <c r="J16" s="17">
        <f>I16+300000</f>
        <v/>
      </c>
      <c r="K16" s="17">
        <f>J16+300000</f>
        <v/>
      </c>
      <c r="L16" s="17">
        <f>K16+300000</f>
        <v/>
      </c>
      <c r="M16" s="17">
        <f>L16+270000</f>
        <v/>
      </c>
      <c r="N16" s="17">
        <f>M16+250000</f>
        <v/>
      </c>
      <c r="O16" s="17">
        <f>N16+250000</f>
        <v/>
      </c>
      <c r="P16" s="17">
        <f>O16+249944.03</f>
        <v/>
      </c>
    </row>
    <row r="17">
      <c r="A17" t="inlineStr">
        <is>
          <t>Professional fees Opp Invest</t>
        </is>
      </c>
      <c r="B17" s="115">
        <f>'DEVELOPERS FEES '!D31</f>
        <v/>
      </c>
      <c r="C17" s="115">
        <f>'DEVELOPERS FEES '!D31</f>
        <v/>
      </c>
      <c r="D17" s="17">
        <f>'DEVELOPERS FEES '!D31</f>
        <v/>
      </c>
      <c r="E17" s="17">
        <f>'DEVELOPERS FEES '!D31</f>
        <v/>
      </c>
      <c r="F17" s="17">
        <f>'DEVELOPERS FEES '!D31</f>
        <v/>
      </c>
      <c r="G17" s="17">
        <f>'DEVELOPERS FEES '!D31</f>
        <v/>
      </c>
      <c r="H17" s="17">
        <f>'DEVELOPERS FEES '!D31</f>
        <v/>
      </c>
      <c r="I17" s="17">
        <f>'DEVELOPERS FEES '!D31</f>
        <v/>
      </c>
      <c r="J17" s="17">
        <f>'DEVELOPERS FEES '!D31</f>
        <v/>
      </c>
      <c r="K17" s="17">
        <f>'DEVELOPERS FEES '!D31</f>
        <v/>
      </c>
      <c r="L17" s="17">
        <f>'DEVELOPERS FEES '!D31</f>
        <v/>
      </c>
      <c r="M17" s="17">
        <f>'DEVELOPERS FEES '!D31</f>
        <v/>
      </c>
      <c r="N17" s="17">
        <f>'DEVELOPERS FEES '!D31</f>
        <v/>
      </c>
      <c r="O17" s="17">
        <f>'DEVELOPERS FEES '!D31</f>
        <v/>
      </c>
      <c r="P17" s="17">
        <f>'DEVELOPERS FEES '!D31+3929143.02</f>
        <v/>
      </c>
      <c r="T17" s="4" t="n"/>
    </row>
    <row r="18">
      <c r="A18" t="inlineStr">
        <is>
          <t>Land</t>
        </is>
      </c>
      <c r="B18" s="115">
        <f>'DEVELOPERS FEES '!D3</f>
        <v/>
      </c>
      <c r="C18" s="115">
        <f>'DEVELOPERS FEES '!D3</f>
        <v/>
      </c>
      <c r="D18" s="17">
        <f>'DEVELOPERS FEES '!D3</f>
        <v/>
      </c>
      <c r="E18" s="17">
        <f>'DEVELOPERS FEES '!D3</f>
        <v/>
      </c>
      <c r="F18" s="17">
        <f>'DEVELOPERS FEES '!D3</f>
        <v/>
      </c>
      <c r="G18" s="17">
        <f>'DEVELOPERS FEES '!D3</f>
        <v/>
      </c>
      <c r="H18" s="17">
        <f>'DEVELOPERS FEES '!D3</f>
        <v/>
      </c>
      <c r="I18" s="17">
        <f>'DEVELOPERS FEES '!D3</f>
        <v/>
      </c>
      <c r="J18" s="17">
        <f>'DEVELOPERS FEES '!D3</f>
        <v/>
      </c>
      <c r="K18" s="17">
        <f>'DEVELOPERS FEES '!D3</f>
        <v/>
      </c>
      <c r="L18" s="17">
        <f>'DEVELOPERS FEES '!D3</f>
        <v/>
      </c>
      <c r="M18" s="17">
        <f>'DEVELOPERS FEES '!D3</f>
        <v/>
      </c>
      <c r="N18" s="17">
        <f>'DEVELOPERS FEES '!D3</f>
        <v/>
      </c>
      <c r="O18" s="17">
        <f>'DEVELOPERS FEES '!D3</f>
        <v/>
      </c>
      <c r="P18" s="17">
        <f>'DEVELOPERS FEES '!D3</f>
        <v/>
      </c>
    </row>
    <row r="19">
      <c r="A19" t="inlineStr">
        <is>
          <t>Civils and electrical</t>
        </is>
      </c>
      <c r="B19" s="115">
        <f>'DEVELOPERS FEES '!D8+'DEVELOPERS FEES '!D25</f>
        <v/>
      </c>
      <c r="C19" s="115">
        <f>'DEVELOPERS FEES '!D8+'DEVELOPERS FEES '!D25</f>
        <v/>
      </c>
      <c r="D19" s="17">
        <f>'DEVELOPERS FEES '!D8+'DEVELOPERS FEES '!D25</f>
        <v/>
      </c>
      <c r="E19" s="17">
        <f>'DEVELOPERS FEES '!D8+'DEVELOPERS FEES '!D25</f>
        <v/>
      </c>
      <c r="F19" s="17">
        <f>'DEVELOPERS FEES '!D8+'DEVELOPERS FEES '!D25</f>
        <v/>
      </c>
      <c r="G19" s="17">
        <f>'DEVELOPERS FEES '!D8+'DEVELOPERS FEES '!D25</f>
        <v/>
      </c>
      <c r="H19" s="17">
        <f>'DEVELOPERS FEES '!D8+'DEVELOPERS FEES '!D25</f>
        <v/>
      </c>
      <c r="I19" s="17">
        <f>'DEVELOPERS FEES '!D8+'DEVELOPERS FEES '!D25</f>
        <v/>
      </c>
      <c r="J19" s="17">
        <f>'DEVELOPERS FEES '!D8+'DEVELOPERS FEES '!D25</f>
        <v/>
      </c>
      <c r="K19" s="17">
        <f>'DEVELOPERS FEES '!D8+'DEVELOPERS FEES '!D25</f>
        <v/>
      </c>
      <c r="L19" s="17">
        <f>'DEVELOPERS FEES '!D8+'DEVELOPERS FEES '!D25</f>
        <v/>
      </c>
      <c r="M19" s="17">
        <f>'DEVELOPERS FEES '!D8+'DEVELOPERS FEES '!D25</f>
        <v/>
      </c>
      <c r="N19" s="17">
        <f>'DEVELOPERS FEES '!D8+'DEVELOPERS FEES '!D25</f>
        <v/>
      </c>
      <c r="O19" s="17">
        <f>'DEVELOPERS FEES '!D8+'DEVELOPERS FEES '!D25</f>
        <v/>
      </c>
      <c r="P19" s="17">
        <f>'DEVELOPERS FEES '!D8+'DEVELOPERS FEES '!D25</f>
        <v/>
      </c>
    </row>
    <row r="20">
      <c r="A20" t="inlineStr">
        <is>
          <t>COCT Bulk Levy</t>
        </is>
      </c>
      <c r="B20" s="115">
        <f>'DEVELOPERS FEES '!D23</f>
        <v/>
      </c>
      <c r="C20" s="115">
        <f>'DEVELOPERS FEES '!D23</f>
        <v/>
      </c>
      <c r="D20" s="17">
        <f>'DEVELOPERS FEES '!D23</f>
        <v/>
      </c>
      <c r="E20" s="17">
        <f>'DEVELOPERS FEES '!D23</f>
        <v/>
      </c>
      <c r="F20" s="17">
        <f>'DEVELOPERS FEES '!D23</f>
        <v/>
      </c>
      <c r="G20" s="17">
        <f>'DEVELOPERS FEES '!D23</f>
        <v/>
      </c>
      <c r="H20" s="17">
        <f>'DEVELOPERS FEES '!D23</f>
        <v/>
      </c>
      <c r="I20" s="17">
        <f>'DEVELOPERS FEES '!D23</f>
        <v/>
      </c>
      <c r="J20" s="17">
        <f>'DEVELOPERS FEES '!D23</f>
        <v/>
      </c>
      <c r="K20" s="17">
        <f>'DEVELOPERS FEES '!D23</f>
        <v/>
      </c>
      <c r="L20" s="17">
        <f>'DEVELOPERS FEES '!D23</f>
        <v/>
      </c>
      <c r="M20" s="17">
        <f>'DEVELOPERS FEES '!D23</f>
        <v/>
      </c>
      <c r="N20" s="17">
        <f>'DEVELOPERS FEES '!D23</f>
        <v/>
      </c>
      <c r="O20" s="17">
        <f>'DEVELOPERS FEES '!D23</f>
        <v/>
      </c>
      <c r="P20" s="17">
        <f>'DEVELOPERS FEES '!D23</f>
        <v/>
      </c>
    </row>
    <row r="21">
      <c r="A21" t="inlineStr">
        <is>
          <t>Investor interest</t>
        </is>
      </c>
      <c r="B21" s="115">
        <f>SUM('2024 Xero HV  '!L44:O52)</f>
        <v/>
      </c>
      <c r="C21" s="115">
        <f>SUM('2024 Xero HV  '!K44:O52)</f>
        <v/>
      </c>
      <c r="D21" s="17">
        <f>SUM('2024 Xero HV  '!J44:O52)</f>
        <v/>
      </c>
      <c r="E21" s="17">
        <f>SUM('2024 Xero HV  '!I44:O52)</f>
        <v/>
      </c>
      <c r="F21" s="17">
        <f>SUM('2024 Xero HV  '!H44:O52)</f>
        <v/>
      </c>
      <c r="G21" s="17">
        <f>SUM('2024 Xero HV  '!G44:O52)</f>
        <v/>
      </c>
      <c r="H21" s="17">
        <f>SUM('2024 Xero HV  '!F44:O52)</f>
        <v/>
      </c>
      <c r="I21" s="17">
        <f>SUM('2024 Xero HV  '!E44:O52)</f>
        <v/>
      </c>
      <c r="J21" s="17">
        <f>SUM('2024 Xero HV  '!D44:O52)</f>
        <v/>
      </c>
      <c r="K21" s="17">
        <f>SUM('2024 Xero HV  '!D44:O52)+SUM('2025 Xero HV'!O43:O51)</f>
        <v/>
      </c>
      <c r="L21" s="17">
        <f>SUM('2024 Xero HV  '!D44:O52)+SUM('2025 Xero HV'!N43:O51)</f>
        <v/>
      </c>
      <c r="M21" s="17">
        <f>SUM('2024 Xero HV  '!D44:O52)+SUM('2025 Xero HV'!M43:O51)</f>
        <v/>
      </c>
      <c r="N21" s="17">
        <f>SUM('2024 Xero HV  '!D44:O52)+SUM('2025 Xero HV'!L43:O51)</f>
        <v/>
      </c>
      <c r="O21" s="17">
        <f>SUM('2024 Xero HV  '!D44:O52)+SUM('2025 Xero HV'!K43:O51)</f>
        <v/>
      </c>
      <c r="P21" s="17">
        <f>SUM('2024 Xero HV  '!D44:O52)+SUM('2025 Xero HV'!J43:O51)</f>
        <v/>
      </c>
      <c r="T21" s="4" t="n"/>
      <c r="U21" s="124" t="n"/>
    </row>
    <row r="22">
      <c r="A22" t="inlineStr">
        <is>
          <t>Commissions</t>
        </is>
      </c>
      <c r="B22" s="115">
        <f>SUM('2024 Xero HV  '!L15:O15)</f>
        <v/>
      </c>
      <c r="C22" s="115">
        <f>SUM('2024 Xero HV  '!K15:O15)</f>
        <v/>
      </c>
      <c r="D22" s="17">
        <f>SUM('2024 Xero HV  '!J15:O15)</f>
        <v/>
      </c>
      <c r="E22" s="17">
        <f>SUM('2024 Xero HV  '!I15:O15)</f>
        <v/>
      </c>
      <c r="F22" s="17">
        <f>SUM('2024 Xero HV  '!H15:O15)</f>
        <v/>
      </c>
      <c r="G22" s="17">
        <f>SUM('2024 Xero HV  '!G15:O15)</f>
        <v/>
      </c>
      <c r="H22" s="17">
        <f>SUM('2024 Xero HV  '!F15:O15)</f>
        <v/>
      </c>
      <c r="I22" s="17">
        <f>SUM('2024 Xero HV  '!E15:O15)</f>
        <v/>
      </c>
      <c r="J22" s="17">
        <f>SUM('2024 Xero HV  '!D15:O15)</f>
        <v/>
      </c>
      <c r="K22" s="17">
        <f>SUM('2024 Xero HV  '!D15:O15)+SUM('2025 Xero HV'!O15)</f>
        <v/>
      </c>
      <c r="L22" s="17">
        <f>SUM('2024 Xero HV  '!D15:O15)+SUM('2025 Xero HV'!N15:O15)</f>
        <v/>
      </c>
      <c r="M22" s="17">
        <f>SUM('2024 Xero HV  '!D15:O15)+SUM('2025 Xero HV'!M15:O15)</f>
        <v/>
      </c>
      <c r="N22" s="17">
        <f>SUM('2024 Xero HV  '!D15:O15)+SUM('2025 Xero HV'!L15:O15)</f>
        <v/>
      </c>
      <c r="O22" s="17">
        <f>SUM('2024 Xero HV  '!D15:O15)+SUM('2025 Xero HV'!K15:O15)</f>
        <v/>
      </c>
      <c r="P22" s="17">
        <f>SUM('2024 Xero HV  '!D15:O15)+SUM('2025 Xero HV'!J15:O15)</f>
        <v/>
      </c>
      <c r="T22" s="4" t="n"/>
      <c r="U22" s="124" t="n"/>
    </row>
    <row r="23">
      <c r="A23" t="inlineStr">
        <is>
          <t>L&amp;S</t>
        </is>
      </c>
      <c r="B23" s="115">
        <f>SUM('2024 Xero HV  '!L24:O24)</f>
        <v/>
      </c>
      <c r="C23" s="115">
        <f>SUM('2024 Xero HV  '!K24:O24)</f>
        <v/>
      </c>
      <c r="D23" s="17">
        <f>SUM('2024 Xero HV  '!J24:O24)</f>
        <v/>
      </c>
      <c r="E23" s="17">
        <f>SUM('2024 Xero HV  '!I24:O24)</f>
        <v/>
      </c>
      <c r="F23" s="17">
        <f>SUM('2024 Xero HV  '!H24:O24)</f>
        <v/>
      </c>
      <c r="G23" s="17">
        <f>SUM('2024 Xero HV  '!G24:O24)</f>
        <v/>
      </c>
      <c r="H23" s="17">
        <f>SUM('2024 Xero HV  '!F24:O24)</f>
        <v/>
      </c>
      <c r="I23" s="17">
        <f>SUM('2024 Xero HV  '!E24:O24)</f>
        <v/>
      </c>
      <c r="J23" s="17">
        <f>SUM('2024 Xero HV  '!D24:O24)</f>
        <v/>
      </c>
      <c r="K23" s="17">
        <f>SUM('2024 Xero HV  '!D24:O24)+SUM('2025 Xero HV'!O23)</f>
        <v/>
      </c>
      <c r="L23" s="17">
        <f>SUM('2024 Xero HV  '!D24:O24)+SUM('2025 Xero HV'!N23:O23)</f>
        <v/>
      </c>
      <c r="M23" s="17">
        <f>SUM('2024 Xero HV  '!D24:O24)+SUM('2025 Xero HV'!M23:O23)</f>
        <v/>
      </c>
      <c r="N23" s="17">
        <f>SUM('2024 Xero HV  '!D24:O24)+SUM('2025 Xero HV'!L23:O23)</f>
        <v/>
      </c>
      <c r="O23" s="17">
        <f>SUM('2024 Xero HV  '!D24:O24)+SUM('2025 Xero HV'!K23:O23)</f>
        <v/>
      </c>
      <c r="P23" s="17">
        <f>SUM('2024 Xero HV  '!D24:O24)+SUM('2025 Xero HV'!J23:O23)</f>
        <v/>
      </c>
      <c r="T23" s="4" t="n"/>
      <c r="U23" s="124" t="n"/>
    </row>
    <row r="24">
      <c r="A24" t="inlineStr">
        <is>
          <t>Levies</t>
        </is>
      </c>
      <c r="B24" s="115">
        <f>SUM('2024 Xero HV  '!L23:O23)</f>
        <v/>
      </c>
      <c r="C24" s="115">
        <f>SUM('2024 Xero HV  '!K23:O23)</f>
        <v/>
      </c>
      <c r="D24" s="17">
        <f>SUM('2024 Xero HV  '!J23:O23)</f>
        <v/>
      </c>
      <c r="E24" s="17">
        <f>SUM('2024 Xero HV  '!I23:O23)</f>
        <v/>
      </c>
      <c r="F24" s="17">
        <f>SUM('2024 Xero HV  '!H23:O23)</f>
        <v/>
      </c>
      <c r="G24" s="17">
        <f>SUM('2024 Xero HV  '!G23:O23)</f>
        <v/>
      </c>
      <c r="H24" s="17">
        <f>SUM('2024 Xero HV  '!F23:O23)</f>
        <v/>
      </c>
      <c r="I24" s="17">
        <f>SUM('2024 Xero HV  '!E23:O23)</f>
        <v/>
      </c>
      <c r="J24" s="17">
        <f>SUM('2024 Xero HV  '!D23:O23)</f>
        <v/>
      </c>
      <c r="K24" s="17">
        <f>SUM('2024 Xero HV  '!L23:O23)+SUM('2025 Xero HV'!O22)</f>
        <v/>
      </c>
      <c r="L24" s="17">
        <f>SUM('2024 Xero HV  '!L23:O23)+SUM('2025 Xero HV'!N22:O22)</f>
        <v/>
      </c>
      <c r="M24" s="17">
        <f>SUM('2024 Xero HV  '!L23:O23)+SUM('2025 Xero HV'!M22:O22)</f>
        <v/>
      </c>
      <c r="N24" s="17">
        <f>SUM('2024 Xero HV  '!L23:O23)+SUM('2025 Xero HV'!L22:O22)</f>
        <v/>
      </c>
      <c r="O24" s="17">
        <f>SUM('2024 Xero HV  '!D23:O23)+SUM('2025 Xero HV'!K22:O22)</f>
        <v/>
      </c>
      <c r="P24" s="17">
        <f>SUM('2024 Xero HV  '!D23:O23)+SUM('2025 Xero HV'!J22:O22)</f>
        <v/>
      </c>
    </row>
    <row r="25">
      <c r="A25" t="inlineStr">
        <is>
          <t>Other</t>
        </is>
      </c>
      <c r="B25" s="115">
        <f>SUM('2024 Xero HV  '!L20:O20)</f>
        <v/>
      </c>
      <c r="C25" s="115">
        <f>SUM('2024 Xero HV  '!K20:O20)</f>
        <v/>
      </c>
      <c r="D25" s="17">
        <f>SUM('2024 Xero HV  '!J20:O20)</f>
        <v/>
      </c>
      <c r="E25" s="17">
        <f>SUM('2024 Xero HV  '!I20:O20)</f>
        <v/>
      </c>
      <c r="F25" s="17">
        <f>SUM('2024 Xero HV  '!H20:O20)</f>
        <v/>
      </c>
      <c r="G25" s="17">
        <f>SUM('2024 Xero HV  '!G20:O20)</f>
        <v/>
      </c>
      <c r="H25" s="17">
        <f>SUM('2024 Xero HV  '!F20:O20)</f>
        <v/>
      </c>
      <c r="I25" s="17">
        <f>SUM('2024 Xero HV  '!E20:O20)</f>
        <v/>
      </c>
      <c r="J25" s="17">
        <f>SUM('2024 Xero HV  '!D20:O20)</f>
        <v/>
      </c>
      <c r="K25" s="17">
        <f>SUM('2024 Xero HV  '!D20:O20)</f>
        <v/>
      </c>
      <c r="L25" s="17">
        <f>SUM('2024 Xero HV  '!D20:O20)</f>
        <v/>
      </c>
      <c r="M25" s="17">
        <f>SUM('2024 Xero HV  '!D20:O20)</f>
        <v/>
      </c>
      <c r="N25" s="17">
        <f>SUM('2024 Xero HV  '!D20:O20)</f>
        <v/>
      </c>
      <c r="O25" s="17">
        <f>SUM('2024 Xero HV  '!D20:O20)</f>
        <v/>
      </c>
      <c r="P25" s="17">
        <f>SUM('2024 Xero HV  '!D20:O20)</f>
        <v/>
      </c>
    </row>
    <row r="26">
      <c r="A26" t="inlineStr">
        <is>
          <t>Inverters</t>
        </is>
      </c>
      <c r="B26" s="115" t="n"/>
      <c r="C26" s="115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</row>
    <row r="27">
      <c r="A27" t="inlineStr">
        <is>
          <t>Unforseen</t>
        </is>
      </c>
      <c r="B27" s="115" t="n"/>
      <c r="C27" s="115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>
        <v>1159493.043478261</v>
      </c>
      <c r="T27" s="4" t="n"/>
      <c r="U27" s="124" t="n"/>
    </row>
    <row r="28">
      <c r="A28" t="inlineStr">
        <is>
          <t>Rates clearance</t>
        </is>
      </c>
      <c r="B28" s="115" t="n"/>
      <c r="C28" s="115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</row>
    <row r="29">
      <c r="A29" t="inlineStr">
        <is>
          <t>COS - Legal fees</t>
        </is>
      </c>
      <c r="B29" s="116" t="n"/>
      <c r="C29" s="116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</row>
    <row r="30">
      <c r="C30" s="113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</row>
    <row r="31">
      <c r="A31" t="inlineStr">
        <is>
          <t>Gross profit/(loss)</t>
        </is>
      </c>
      <c r="B31" s="117">
        <f>B4-B11</f>
        <v/>
      </c>
      <c r="C31" s="117">
        <f>C4-C11</f>
        <v/>
      </c>
      <c r="D31" s="62">
        <f>D4-D11</f>
        <v/>
      </c>
      <c r="E31" s="62">
        <f>E4-E11</f>
        <v/>
      </c>
      <c r="F31" s="62">
        <f>F4-F11</f>
        <v/>
      </c>
      <c r="G31" s="62">
        <f>G4-G11</f>
        <v/>
      </c>
      <c r="H31" s="62">
        <f>H4-H11</f>
        <v/>
      </c>
      <c r="I31" s="62">
        <f>I4-I11</f>
        <v/>
      </c>
      <c r="J31" s="62">
        <f>J4-J11</f>
        <v/>
      </c>
      <c r="K31" s="62">
        <f>K4-K11</f>
        <v/>
      </c>
      <c r="L31" s="62">
        <f>L4-L11</f>
        <v/>
      </c>
      <c r="M31" s="62">
        <f>M4-M11</f>
        <v/>
      </c>
      <c r="N31" s="62">
        <f>N4-N11</f>
        <v/>
      </c>
      <c r="O31" s="62">
        <f>O4-O11</f>
        <v/>
      </c>
      <c r="P31" s="62">
        <f>P4-P11</f>
        <v/>
      </c>
    </row>
    <row r="32">
      <c r="C32" s="113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</row>
    <row r="33">
      <c r="A33" t="inlineStr">
        <is>
          <t>Expenses</t>
        </is>
      </c>
      <c r="B33" s="113">
        <f>SUM(B35:B55)</f>
        <v/>
      </c>
      <c r="C33" s="113">
        <f>SUM(C35:C55)</f>
        <v/>
      </c>
      <c r="D33" s="4">
        <f>SUM(D35:D55)</f>
        <v/>
      </c>
      <c r="E33" s="4">
        <f>SUM(E35:E55)</f>
        <v/>
      </c>
      <c r="F33" s="4">
        <f>SUM(F35:F55)</f>
        <v/>
      </c>
      <c r="G33" s="4">
        <f>SUM(G35:G55)</f>
        <v/>
      </c>
      <c r="H33" s="4">
        <f>SUM(H35:H55)</f>
        <v/>
      </c>
      <c r="I33" s="4">
        <f>SUM(I35:I55)</f>
        <v/>
      </c>
      <c r="J33" s="4">
        <f>SUM(J35:J55)</f>
        <v/>
      </c>
      <c r="K33" s="4">
        <f>SUM(K35:K55)</f>
        <v/>
      </c>
      <c r="L33" s="4">
        <f>SUM(L35:L55)</f>
        <v/>
      </c>
      <c r="M33" s="4">
        <f>SUM(M35:M55)</f>
        <v/>
      </c>
      <c r="N33" s="4">
        <f>SUM(N35:N55)</f>
        <v/>
      </c>
      <c r="O33" s="4">
        <f>SUM(O35:O55)</f>
        <v/>
      </c>
      <c r="P33" s="4">
        <f>SUM(P35:P55)</f>
        <v/>
      </c>
    </row>
    <row r="34">
      <c r="C34" s="113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</row>
    <row r="35">
      <c r="A35" t="inlineStr">
        <is>
          <t>Advertising</t>
        </is>
      </c>
      <c r="B35" s="114">
        <f>+SUM('TB HV 23'!D7:D10)+SUM('2024 Xero HV  '!L35:O37)</f>
        <v/>
      </c>
      <c r="C35" s="114">
        <f>+SUM('TB HV 23'!D7:D10)+SUM('2024 Xero HV  '!K35:O37)</f>
        <v/>
      </c>
      <c r="D35" s="16">
        <f>SUM('TB HV 23'!D7:D10)+SUM('2024 Xero HV  '!J35:O37)</f>
        <v/>
      </c>
      <c r="E35" s="16">
        <f>SUM('TB HV 23'!D7:D10)+SUM('2024 Xero HV  '!I35:O37)</f>
        <v/>
      </c>
      <c r="F35" s="16">
        <f>SUM('TB HV 23'!D7:D10)+SUM('2024 Xero HV  '!H35:O37)</f>
        <v/>
      </c>
      <c r="G35" s="16">
        <f>SUM('TB HV 23'!D7:D10)+SUM('2024 Xero HV  '!G35:O37)</f>
        <v/>
      </c>
      <c r="H35" s="16">
        <f>SUM('TB HV 23'!D7:D10)+SUM('2024 Xero HV  '!F35:O37)</f>
        <v/>
      </c>
      <c r="I35" s="16">
        <f>SUM('TB HV 23'!D7:D10)+SUM('2024 Xero HV  '!E35:O37)</f>
        <v/>
      </c>
      <c r="J35" s="16">
        <f>SUM('TB HV 23'!D7:D10)+SUM('2024 Xero HV  '!D35:O37)</f>
        <v/>
      </c>
      <c r="K35" s="16">
        <f>SUM('TB HV 23'!D7:D10)+SUM('2024 Xero HV  '!D35:O37)+SUM('2025 Xero HV'!O34:O36)</f>
        <v/>
      </c>
      <c r="L35" s="16">
        <f>SUM('TB HV 23'!D7:D10)+SUM('2024 Xero HV  '!D35:O37)+SUM('2025 Xero HV'!N34:O36)</f>
        <v/>
      </c>
      <c r="M35" s="16">
        <f>SUM('TB HV 23'!D7:D10)+SUM('2024 Xero HV  '!D35:O37)+SUM('2025 Xero HV'!M34:O36)</f>
        <v/>
      </c>
      <c r="N35" s="16">
        <f>SUM('TB HV 23'!D7:D10)+SUM('2024 Xero HV  '!D35:O37)+SUM('2025 Xero HV'!L34:O36)</f>
        <v/>
      </c>
      <c r="O35" s="16">
        <f>SUM('TB HV 23'!D7:D10)+SUM('2024 Xero HV  '!D35:O37)+SUM('2025 Xero HV'!K34:O36)</f>
        <v/>
      </c>
      <c r="P35" s="16">
        <f>SUM('TB HV 23'!D7:D10)+SUM('2024 Xero HV  '!D35:O37)+SUM('2025 Xero HV'!J34:O36)</f>
        <v/>
      </c>
    </row>
    <row r="36">
      <c r="A36" t="inlineStr">
        <is>
          <t>Admin Fee - Momentum</t>
        </is>
      </c>
      <c r="B36" s="115">
        <f>SUM('2024 Xero HV  '!L53:O53)</f>
        <v/>
      </c>
      <c r="C36" s="115">
        <f>SUM('2024 Xero HV  '!K53:O53)</f>
        <v/>
      </c>
      <c r="D36" s="17">
        <f>SUM('2024 Xero HV  '!J53:O53)</f>
        <v/>
      </c>
      <c r="E36" s="17">
        <f>SUM('2024 Xero HV  '!I53:O53)</f>
        <v/>
      </c>
      <c r="F36" s="17">
        <f>SUM('2024 Xero HV  '!H53:O53)</f>
        <v/>
      </c>
      <c r="G36" s="17">
        <f>SUM('2024 Xero HV  '!G53:O53)</f>
        <v/>
      </c>
      <c r="H36" s="17">
        <f>SUM('2024 Xero HV  '!F53:O53)</f>
        <v/>
      </c>
      <c r="I36" s="17">
        <f>SUM('2024 Xero HV  '!E53:O53)</f>
        <v/>
      </c>
      <c r="J36" s="17">
        <f>SUM('2024 Xero HV  '!D53:O53)</f>
        <v/>
      </c>
      <c r="K36" s="17">
        <f>SUM('2024 Xero HV  '!D53:O53)</f>
        <v/>
      </c>
      <c r="L36" s="17">
        <f>SUM('2024 Xero HV  '!D53:O53)</f>
        <v/>
      </c>
      <c r="M36" s="17">
        <f>SUM('2024 Xero HV  '!D53:O53)</f>
        <v/>
      </c>
      <c r="N36" s="17">
        <f>SUM('2024 Xero HV  '!D53:O53)</f>
        <v/>
      </c>
      <c r="O36" s="17">
        <f>SUM('2024 Xero HV  '!D53:O53)</f>
        <v/>
      </c>
      <c r="P36" s="17">
        <f>SUM('2024 Xero HV  '!D53:O53)</f>
        <v/>
      </c>
    </row>
    <row r="37">
      <c r="A37" t="inlineStr">
        <is>
          <t>Bank charges</t>
        </is>
      </c>
      <c r="B37" s="115" t="n"/>
      <c r="C37" s="115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</row>
    <row r="38">
      <c r="A38" t="inlineStr">
        <is>
          <t>Indirect Expenses - CPC</t>
        </is>
      </c>
      <c r="B38" s="115" t="n"/>
      <c r="C38" s="115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</row>
    <row r="39">
      <c r="A39" t="inlineStr">
        <is>
          <t>Consulting fees - Trustees</t>
        </is>
      </c>
      <c r="B39" s="115">
        <f>SUM('2024 Xero HV  '!L40:O40)</f>
        <v/>
      </c>
      <c r="C39" s="115">
        <f>SUM('2024 Xero HV  '!K40:O40)</f>
        <v/>
      </c>
      <c r="D39" s="17">
        <f>SUM('2024 Xero HV  '!J40:O40)</f>
        <v/>
      </c>
      <c r="E39" s="17">
        <f>SUM('2024 Xero HV  '!I40:O40)</f>
        <v/>
      </c>
      <c r="F39" s="17">
        <f>SUM('2024 Xero HV  '!H40:O40)</f>
        <v/>
      </c>
      <c r="G39" s="17">
        <f>SUM('2024 Xero HV  '!G40:O40)</f>
        <v/>
      </c>
      <c r="H39" s="17">
        <f>SUM('2024 Xero HV  '!F40:O40)</f>
        <v/>
      </c>
      <c r="I39" s="17">
        <f>SUM('2024 Xero HV  '!E40:O40)</f>
        <v/>
      </c>
      <c r="J39" s="17">
        <f>SUM('2024 Xero HV  '!D40:O40)</f>
        <v/>
      </c>
      <c r="K39" s="17">
        <f>SUM('2024 Xero HV  '!D40:O40)+SUM('2025 Xero HV'!O39)</f>
        <v/>
      </c>
      <c r="L39" s="17">
        <f>SUM('2024 Xero HV  '!D40:O40)+SUM('2025 Xero HV'!N39:O39)</f>
        <v/>
      </c>
      <c r="M39" s="17">
        <f>SUM('2024 Xero HV  '!D40:O40)+SUM('2025 Xero HV'!M39:O39)</f>
        <v/>
      </c>
      <c r="N39" s="17">
        <f>SUM('2024 Xero HV  '!D40:O40)+SUM('2025 Xero HV'!L39:O39)</f>
        <v/>
      </c>
      <c r="O39" s="17">
        <f>SUM('2024 Xero HV  '!D40:O40)+SUM('2025 Xero HV'!K39:O39)</f>
        <v/>
      </c>
      <c r="P39" s="17">
        <f>SUM('2024 Xero HV  '!D40:O40)+SUM('2025 Xero HV'!J39:O39)</f>
        <v/>
      </c>
    </row>
    <row r="40">
      <c r="A40" t="inlineStr">
        <is>
          <t>Computer expenses</t>
        </is>
      </c>
      <c r="B40" s="115" t="n"/>
      <c r="C40" s="115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</row>
    <row r="41">
      <c r="A41" t="inlineStr">
        <is>
          <t>Electricity</t>
        </is>
      </c>
      <c r="B41" s="115" t="n"/>
      <c r="C41" s="115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</row>
    <row r="42">
      <c r="A42" t="inlineStr">
        <is>
          <t>Entertainment</t>
        </is>
      </c>
      <c r="B42" s="115" t="n"/>
      <c r="C42" s="115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</row>
    <row r="43">
      <c r="A43" t="inlineStr">
        <is>
          <t>Insurance</t>
        </is>
      </c>
      <c r="B43" s="115" t="n"/>
      <c r="C43" s="115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</row>
    <row r="44">
      <c r="A44" t="inlineStr">
        <is>
          <t>Interest Paid</t>
        </is>
      </c>
      <c r="B44" s="115" t="n"/>
      <c r="C44" s="115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</row>
    <row r="45">
      <c r="A45" t="inlineStr">
        <is>
          <t>Levies</t>
        </is>
      </c>
      <c r="B45" s="115" t="n"/>
      <c r="C45" s="115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</row>
    <row r="46">
      <c r="A46" t="inlineStr">
        <is>
          <t>Printing &amp; Stationery</t>
        </is>
      </c>
      <c r="B46" s="115">
        <f>SUM('TB HV 23'!D11)</f>
        <v/>
      </c>
      <c r="C46" s="115">
        <f>SUM('TB HV 23'!D11)</f>
        <v/>
      </c>
      <c r="D46" s="17">
        <f>SUM('TB HV 23'!D11)</f>
        <v/>
      </c>
      <c r="E46" s="17">
        <f>SUM('TB HV 23'!D11)</f>
        <v/>
      </c>
      <c r="F46" s="17">
        <f>SUM('TB HV 23'!D11)</f>
        <v/>
      </c>
      <c r="G46" s="17">
        <f>SUM('TB HV 23'!D11)</f>
        <v/>
      </c>
      <c r="H46" s="17">
        <f>SUM('TB HV 23'!D11)</f>
        <v/>
      </c>
      <c r="I46" s="17">
        <f>SUM('TB HV 23'!D11)</f>
        <v/>
      </c>
      <c r="J46" s="17">
        <f>SUM('TB HV 23'!D11)</f>
        <v/>
      </c>
      <c r="K46" s="17">
        <f>SUM('TB HV 23'!D11)</f>
        <v/>
      </c>
      <c r="L46" s="17">
        <f>SUM('TB HV 23'!D11)</f>
        <v/>
      </c>
      <c r="M46" s="17">
        <f>SUM('TB HV 23'!D11)</f>
        <v/>
      </c>
      <c r="N46" s="17">
        <f>SUM('TB HV 23'!D11)</f>
        <v/>
      </c>
      <c r="O46" s="17">
        <f>SUM('TB HV 23'!D11)</f>
        <v/>
      </c>
      <c r="P46" s="17">
        <f>SUM('TB HV 23'!D11)</f>
        <v/>
      </c>
    </row>
    <row r="47">
      <c r="A47" t="inlineStr">
        <is>
          <t>Rates</t>
        </is>
      </c>
      <c r="B47" s="115" t="n"/>
      <c r="C47" s="115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</row>
    <row r="48">
      <c r="A48" t="inlineStr">
        <is>
          <t>Refuse</t>
        </is>
      </c>
      <c r="B48" s="115" t="n"/>
      <c r="C48" s="115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</row>
    <row r="49">
      <c r="A49" t="inlineStr">
        <is>
          <t>Repairs &amp; maintenance</t>
        </is>
      </c>
      <c r="B49" s="115" t="n"/>
      <c r="C49" s="115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</row>
    <row r="50">
      <c r="A50" t="inlineStr">
        <is>
          <t>Secretarial fees</t>
        </is>
      </c>
      <c r="B50" s="115" t="n"/>
      <c r="C50" s="115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</row>
    <row r="51">
      <c r="A51" t="inlineStr">
        <is>
          <t>Staff welfare</t>
        </is>
      </c>
      <c r="B51" s="115" t="n"/>
      <c r="C51" s="115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</row>
    <row r="52">
      <c r="A52" t="inlineStr">
        <is>
          <t>Water</t>
        </is>
      </c>
      <c r="B52" s="115">
        <f>SUM('2024 Xero HV  '!L63:O63)</f>
        <v/>
      </c>
      <c r="C52" s="115">
        <f>SUM('2024 Xero HV  '!K63:O63)</f>
        <v/>
      </c>
      <c r="D52" s="17">
        <f>SUM('2024 Xero HV  '!J63:O63)</f>
        <v/>
      </c>
      <c r="E52" s="17">
        <f>SUM('2024 Xero HV  '!I63:O63)</f>
        <v/>
      </c>
      <c r="F52" s="17">
        <f>SUM('2024 Xero HV  '!H63:O63)</f>
        <v/>
      </c>
      <c r="G52" s="17">
        <f>SUM('2024 Xero HV  '!G63:O63)</f>
        <v/>
      </c>
      <c r="H52" s="17">
        <f>SUM('2024 Xero HV  '!F63:O63)</f>
        <v/>
      </c>
      <c r="I52" s="17">
        <f>SUM('2024 Xero HV  '!E63:O63)</f>
        <v/>
      </c>
      <c r="J52" s="17">
        <f>SUM('2024 Xero HV  '!D63:O63)</f>
        <v/>
      </c>
      <c r="K52" s="17">
        <f>SUM('2024 Xero HV  '!D63:O63)+SUM('2025 Xero HV'!O62)</f>
        <v/>
      </c>
      <c r="L52" s="17">
        <f>SUM('2024 Xero HV  '!D63:O63)+SUM('2025 Xero HV'!N62:O62)</f>
        <v/>
      </c>
      <c r="M52" s="17">
        <f>SUM('2024 Xero HV  '!D63:O63)+SUM('2025 Xero HV'!M62:O62)</f>
        <v/>
      </c>
      <c r="N52" s="17">
        <f>SUM('2024 Xero HV  '!D63:O63)+SUM('2025 Xero HV'!L62:O62)</f>
        <v/>
      </c>
      <c r="O52" s="17">
        <f>SUM('2024 Xero HV  '!D63:O63)+SUM('2025 Xero HV'!K62:O62)</f>
        <v/>
      </c>
      <c r="P52" s="17">
        <f>SUM('2024 Xero HV  '!D63:O63)+SUM('2025 Xero HV'!J62:O62)</f>
        <v/>
      </c>
    </row>
    <row r="53">
      <c r="A53" t="inlineStr">
        <is>
          <t>Subscriptions</t>
        </is>
      </c>
      <c r="B53" s="115">
        <f>SUM('TB HV 23'!D12)+SUM('2024 Xero HV  '!L61:O62)</f>
        <v/>
      </c>
      <c r="C53" s="115">
        <f>SUM('TB HV 23'!D12)+SUM('2024 Xero HV  '!K61:O62)</f>
        <v/>
      </c>
      <c r="D53" s="17">
        <f>SUM('TB HV 23'!D12)+SUM('2024 Xero HV  '!J61:O62)</f>
        <v/>
      </c>
      <c r="E53" s="17">
        <f>SUM('TB HV 23'!D12)+SUM('2024 Xero HV  '!I61:O62)</f>
        <v/>
      </c>
      <c r="F53" s="17">
        <f>SUM('TB HV 23'!D12)+SUM('2024 Xero HV  '!H61:O62)</f>
        <v/>
      </c>
      <c r="G53" s="17">
        <f>SUM('TB HV 23'!D12)+SUM('2024 Xero HV  '!G61:O62)</f>
        <v/>
      </c>
      <c r="H53" s="17">
        <f>SUM('TB HV 23'!D12)+SUM('2024 Xero HV  '!F61:O62)</f>
        <v/>
      </c>
      <c r="I53" s="17">
        <f>SUM('TB HV 23'!D12)+SUM('2024 Xero HV  '!E61:O62)</f>
        <v/>
      </c>
      <c r="J53" s="17">
        <f>SUM('TB HV 23'!D12)+SUM('2024 Xero HV  '!D61:O62)</f>
        <v/>
      </c>
      <c r="K53" s="17">
        <f>SUM('TB HV 23'!D12)+SUM('2024 Xero HV  '!D61:O62)+SUM('2025 Xero HV'!O60:O61)</f>
        <v/>
      </c>
      <c r="L53" s="17">
        <f>SUM('TB HV 23'!D12)+SUM('2024 Xero HV  '!D61:O62)+SUM('2025 Xero HV'!N60:O61)</f>
        <v/>
      </c>
      <c r="M53" s="17">
        <f>SUM('TB HV 23'!D12)+SUM('2024 Xero HV  '!D61:O62)+SUM('2025 Xero HV'!M60:O61)</f>
        <v/>
      </c>
      <c r="N53" s="17">
        <f>SUM('TB HV 23'!D12)+SUM('2024 Xero HV  '!D61:O62)+SUM('2025 Xero HV'!L60:O61)</f>
        <v/>
      </c>
      <c r="O53" s="17">
        <f>SUM('TB HV 23'!D12)+SUM('2024 Xero HV  '!D61:O62)+SUM('2025 Xero HV'!K60:O61)</f>
        <v/>
      </c>
      <c r="P53" s="17">
        <f>SUM('TB HV 23'!D12)+SUM('2024 Xero HV  '!D61:O62)+SUM('2025 Xero HV'!J60:O61)</f>
        <v/>
      </c>
    </row>
    <row r="54">
      <c r="A54" t="inlineStr">
        <is>
          <t>Security</t>
        </is>
      </c>
      <c r="B54" s="116" t="n"/>
      <c r="C54" s="116" t="n"/>
      <c r="D54" s="18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</row>
    <row r="55">
      <c r="C55" s="113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</row>
    <row r="56" ht="16" customHeight="1" thickBot="1">
      <c r="A56" s="12" t="inlineStr">
        <is>
          <t>Net profit/(loss)</t>
        </is>
      </c>
      <c r="B56" s="118">
        <f>B31-B33</f>
        <v/>
      </c>
      <c r="C56" s="118">
        <f>C31-C33</f>
        <v/>
      </c>
      <c r="D56" s="65">
        <f>D31-D33</f>
        <v/>
      </c>
      <c r="E56" s="65">
        <f>E31-E33</f>
        <v/>
      </c>
      <c r="F56" s="65">
        <f>F31-F33</f>
        <v/>
      </c>
      <c r="G56" s="65">
        <f>G31-G33</f>
        <v/>
      </c>
      <c r="H56" s="65">
        <f>H31-H33</f>
        <v/>
      </c>
      <c r="I56" s="65">
        <f>I31-I33</f>
        <v/>
      </c>
      <c r="J56" s="65">
        <f>J31-J33</f>
        <v/>
      </c>
      <c r="K56" s="65">
        <f>K31-K33</f>
        <v/>
      </c>
      <c r="L56" s="65">
        <f>L31-L33</f>
        <v/>
      </c>
      <c r="M56" s="65">
        <f>M31-M33</f>
        <v/>
      </c>
      <c r="N56" s="65">
        <f>N31-N33</f>
        <v/>
      </c>
      <c r="O56" s="65">
        <f>O31-O33</f>
        <v/>
      </c>
      <c r="P56" s="65">
        <f>P31-P33</f>
        <v/>
      </c>
      <c r="R56" s="125" t="n"/>
    </row>
    <row r="57" ht="16" customHeight="1" thickTop="1"/>
    <row r="58">
      <c r="O58" t="inlineStr">
        <is>
          <t>Opp Invest</t>
        </is>
      </c>
      <c r="P58" s="4">
        <f>P17-O17</f>
        <v/>
      </c>
    </row>
    <row r="59">
      <c r="O59" t="inlineStr">
        <is>
          <t>CPSD</t>
        </is>
      </c>
      <c r="P59" s="12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6"/>
  <sheetViews>
    <sheetView showGridLines="0" zoomScaleNormal="100" workbookViewId="0">
      <selection activeCell="B40" sqref="B40"/>
    </sheetView>
  </sheetViews>
  <sheetFormatPr baseColWidth="10" defaultColWidth="8.83203125" defaultRowHeight="12"/>
  <cols>
    <col width="37.33203125" customWidth="1" style="68" min="1" max="1"/>
    <col width="11.83203125" customWidth="1" style="68" min="2" max="4"/>
    <col width="8.83203125" customWidth="1" style="68" min="5" max="5"/>
    <col width="8.83203125" customWidth="1" style="68" min="6" max="16384"/>
  </cols>
  <sheetData>
    <row r="1" ht="18" customFormat="1" customHeight="1" s="129">
      <c r="A1" s="128" t="inlineStr">
        <is>
          <t>Profit and Loss</t>
        </is>
      </c>
    </row>
    <row r="2" ht="15.5" customFormat="1" customHeight="1" s="131">
      <c r="A2" s="130" t="inlineStr">
        <is>
          <t>Cape Projects Construction (Pty) Ltd</t>
        </is>
      </c>
    </row>
    <row r="3" ht="15.5" customFormat="1" customHeight="1" s="131">
      <c r="A3" s="130" t="inlineStr">
        <is>
          <t>For the year ended 29 February 2024</t>
        </is>
      </c>
    </row>
    <row r="4" ht="13.25" customHeight="1"/>
    <row r="5" ht="13" customFormat="1" customHeight="1" s="71">
      <c r="A5" s="69" t="inlineStr">
        <is>
          <t>Account</t>
        </is>
      </c>
      <c r="B5" s="70" t="inlineStr">
        <is>
          <t>2024</t>
        </is>
      </c>
      <c r="C5" s="70" t="inlineStr">
        <is>
          <t>2023</t>
        </is>
      </c>
      <c r="D5" s="70" t="inlineStr">
        <is>
          <t>2022</t>
        </is>
      </c>
    </row>
    <row r="6" ht="13.25" customHeight="1"/>
    <row r="7" ht="13" customFormat="1" customHeight="1" s="71">
      <c r="A7" s="126" t="inlineStr">
        <is>
          <t>Trading Income</t>
        </is>
      </c>
      <c r="B7" s="127" t="n"/>
      <c r="C7" s="127" t="n"/>
      <c r="D7" s="127" t="n"/>
    </row>
    <row r="8" ht="11.75" customHeight="1">
      <c r="A8" s="72" t="inlineStr">
        <is>
          <t>Discount Received for Cash</t>
        </is>
      </c>
      <c r="B8" s="73" t="n">
        <v>0</v>
      </c>
      <c r="C8" s="73" t="n">
        <v>0</v>
      </c>
      <c r="D8" s="73" t="n">
        <v>-4.36</v>
      </c>
    </row>
    <row r="9" ht="11.75" customHeight="1">
      <c r="A9" s="74" t="inlineStr">
        <is>
          <t>Fees - Construction - Endulini</t>
        </is>
      </c>
      <c r="B9" s="75" t="n">
        <v>0</v>
      </c>
      <c r="C9" s="75" t="n">
        <v>12046638.06</v>
      </c>
      <c r="D9" s="75" t="n">
        <v>17741366.12</v>
      </c>
    </row>
    <row r="10" ht="11.75" customHeight="1">
      <c r="A10" s="74" t="inlineStr">
        <is>
          <t>Fees - Construction - Endulini P and G</t>
        </is>
      </c>
      <c r="B10" s="75" t="n">
        <v>0</v>
      </c>
      <c r="C10" s="75" t="n">
        <v>0</v>
      </c>
      <c r="D10" s="75" t="n">
        <v>2966308.21</v>
      </c>
    </row>
    <row r="11" ht="11.75" customHeight="1">
      <c r="A11" s="74" t="inlineStr">
        <is>
          <t>Fees - Construction - Heron</t>
        </is>
      </c>
      <c r="B11" s="75" t="n">
        <v>22830636.54</v>
      </c>
      <c r="C11" s="75" t="n">
        <v>51856469.73</v>
      </c>
      <c r="D11" s="75" t="n">
        <v>160638.13</v>
      </c>
    </row>
    <row r="12" ht="11.75" customHeight="1">
      <c r="A12" s="74" t="inlineStr">
        <is>
          <t>Fees - Construction - Heron Fields</t>
        </is>
      </c>
      <c r="B12" s="75" t="n">
        <v>0</v>
      </c>
      <c r="C12" s="75" t="n">
        <v>1782369.8</v>
      </c>
      <c r="D12" s="75" t="n">
        <v>0</v>
      </c>
    </row>
    <row r="13" ht="11.75" customHeight="1">
      <c r="A13" s="74" t="inlineStr">
        <is>
          <t>Fees - Construction - Heron Fields P&amp;G</t>
        </is>
      </c>
      <c r="B13" s="75" t="n">
        <v>0</v>
      </c>
      <c r="C13" s="75" t="n">
        <v>-1616.91</v>
      </c>
      <c r="D13" s="75" t="n">
        <v>0</v>
      </c>
    </row>
    <row r="14" ht="11.75" customHeight="1">
      <c r="A14" s="76" t="inlineStr">
        <is>
          <t>Total Trading Income</t>
        </is>
      </c>
      <c r="B14" s="77">
        <f>SUM(B8:B13)</f>
        <v/>
      </c>
      <c r="C14" s="77">
        <f>SUM(C8:C13)</f>
        <v/>
      </c>
      <c r="D14" s="77">
        <f>SUM(D8:D13)</f>
        <v/>
      </c>
    </row>
    <row r="15" ht="13.25" customHeight="1"/>
    <row r="16" ht="13" customFormat="1" customHeight="1" s="71">
      <c r="A16" s="126" t="inlineStr">
        <is>
          <t>Cost of Sales</t>
        </is>
      </c>
      <c r="B16" s="127" t="n"/>
      <c r="C16" s="127" t="n"/>
      <c r="D16" s="127" t="n"/>
    </row>
    <row r="17" ht="11.75" customHeight="1">
      <c r="A17" s="78" t="inlineStr">
        <is>
          <t>COS - Bakhoven</t>
        </is>
      </c>
      <c r="B17" s="73" t="n">
        <v>17292.48</v>
      </c>
      <c r="C17" s="73" t="n">
        <v>32261.99</v>
      </c>
      <c r="D17" s="73" t="n">
        <v>0</v>
      </c>
    </row>
    <row r="18" ht="11.75" customHeight="1">
      <c r="A18" s="79" t="inlineStr">
        <is>
          <t>COS - Electricity Cost Endulini</t>
        </is>
      </c>
      <c r="B18" s="75" t="n">
        <v>286.96</v>
      </c>
      <c r="C18" s="75" t="n">
        <v>0</v>
      </c>
      <c r="D18" s="75" t="n">
        <v>0</v>
      </c>
    </row>
    <row r="19" ht="11.75" customHeight="1">
      <c r="A19" s="79" t="inlineStr">
        <is>
          <t>COS - Electricity Cost Heron Field</t>
        </is>
      </c>
      <c r="B19" s="75" t="n">
        <v>86.95999999999999</v>
      </c>
      <c r="C19" s="75" t="n">
        <v>0</v>
      </c>
      <c r="D19" s="75" t="n">
        <v>0</v>
      </c>
    </row>
    <row r="20" ht="11.75" customHeight="1">
      <c r="A20" s="79" t="inlineStr">
        <is>
          <t>COS - Endulini - Cleaning</t>
        </is>
      </c>
      <c r="B20" s="75" t="n">
        <v>0</v>
      </c>
      <c r="C20" s="75" t="n">
        <v>0</v>
      </c>
      <c r="D20" s="75" t="n">
        <v>15000</v>
      </c>
    </row>
    <row r="21" ht="11.75" customHeight="1">
      <c r="A21" s="79" t="inlineStr">
        <is>
          <t>COS - Endulini - Consumables</t>
        </is>
      </c>
      <c r="B21" s="75" t="n">
        <v>0</v>
      </c>
      <c r="C21" s="75" t="n">
        <v>0</v>
      </c>
      <c r="D21" s="75" t="n">
        <v>691.29</v>
      </c>
    </row>
    <row r="22" ht="11.75" customHeight="1">
      <c r="A22" s="79" t="inlineStr">
        <is>
          <t>COS - Endulini - Fuel</t>
        </is>
      </c>
      <c r="B22" s="75" t="n">
        <v>0</v>
      </c>
      <c r="C22" s="75" t="n">
        <v>2473.65</v>
      </c>
      <c r="D22" s="75" t="n">
        <v>27618.92</v>
      </c>
    </row>
    <row r="23" ht="11.75" customHeight="1">
      <c r="A23" s="79" t="inlineStr">
        <is>
          <t>COS - Endulini - Health &amp; Safety</t>
        </is>
      </c>
      <c r="B23" s="75" t="n">
        <v>0</v>
      </c>
      <c r="C23" s="75" t="n">
        <v>19600</v>
      </c>
      <c r="D23" s="75" t="n">
        <v>38828.36</v>
      </c>
    </row>
    <row r="24" ht="11.75" customHeight="1">
      <c r="A24" s="79" t="inlineStr">
        <is>
          <t>COS - Endulini - Printing &amp; Stationary</t>
        </is>
      </c>
      <c r="B24" s="75" t="n">
        <v>0</v>
      </c>
      <c r="C24" s="75" t="n">
        <v>269.65</v>
      </c>
      <c r="D24" s="75" t="n">
        <v>1121.02</v>
      </c>
    </row>
    <row r="25" ht="11.75" customHeight="1">
      <c r="A25" s="79" t="inlineStr">
        <is>
          <t>COS - Endulini - Security</t>
        </is>
      </c>
      <c r="B25" s="75" t="n">
        <v>0</v>
      </c>
      <c r="C25" s="75" t="n">
        <v>11000</v>
      </c>
      <c r="D25" s="75" t="n">
        <v>92009.64999999999</v>
      </c>
    </row>
    <row r="26" ht="11.75" customHeight="1">
      <c r="A26" s="79" t="inlineStr">
        <is>
          <t>COS - Endulini - Site Labour</t>
        </is>
      </c>
      <c r="B26" s="75" t="n">
        <v>0</v>
      </c>
      <c r="C26" s="75" t="n">
        <v>0</v>
      </c>
      <c r="D26" s="75" t="n">
        <v>24820</v>
      </c>
    </row>
    <row r="27" ht="11.75" customHeight="1">
      <c r="A27" s="79" t="inlineStr">
        <is>
          <t>COS - Endulini - Small Assets</t>
        </is>
      </c>
      <c r="B27" s="75" t="n">
        <v>0</v>
      </c>
      <c r="C27" s="75" t="n">
        <v>0</v>
      </c>
      <c r="D27" s="75" t="n">
        <v>15796.19</v>
      </c>
    </row>
    <row r="28" ht="11.75" customHeight="1">
      <c r="A28" s="79" t="inlineStr">
        <is>
          <t>COS - Endulini - Telephone &amp; Internet</t>
        </is>
      </c>
      <c r="B28" s="75" t="n">
        <v>760.87</v>
      </c>
      <c r="C28" s="75" t="n">
        <v>937.39</v>
      </c>
      <c r="D28" s="75" t="n">
        <v>10101.06</v>
      </c>
    </row>
    <row r="29" ht="11.75" customHeight="1">
      <c r="A29" s="79" t="inlineStr">
        <is>
          <t>COS - Endulini Construction</t>
        </is>
      </c>
      <c r="B29" s="75" t="n">
        <v>238370.49</v>
      </c>
      <c r="C29" s="75" t="n">
        <v>17315669.25</v>
      </c>
      <c r="D29" s="75" t="n">
        <v>15328368.1</v>
      </c>
    </row>
    <row r="30" ht="11.75" customHeight="1">
      <c r="A30" s="79" t="inlineStr">
        <is>
          <t>COS - Endulini P and G</t>
        </is>
      </c>
      <c r="B30" s="75" t="n">
        <v>136790.53</v>
      </c>
      <c r="C30" s="75" t="n">
        <v>995364.35</v>
      </c>
      <c r="D30" s="75" t="n">
        <v>399319.19</v>
      </c>
    </row>
    <row r="31" ht="11.75" customHeight="1">
      <c r="A31" s="79" t="inlineStr">
        <is>
          <t>COS - External Works</t>
        </is>
      </c>
      <c r="B31" s="75" t="n">
        <v>0</v>
      </c>
      <c r="C31" s="75" t="n">
        <v>957.28</v>
      </c>
      <c r="D31" s="75" t="n">
        <v>9290</v>
      </c>
    </row>
    <row r="32" ht="11.75" customHeight="1">
      <c r="A32" s="79" t="inlineStr">
        <is>
          <t>COS - Health _AND_ Safety (2002/240)</t>
        </is>
      </c>
      <c r="B32" s="75" t="n">
        <v>0</v>
      </c>
      <c r="C32" s="75" t="n">
        <v>18418</v>
      </c>
      <c r="D32" s="75" t="n">
        <v>0</v>
      </c>
    </row>
    <row r="33" ht="11.75" customHeight="1">
      <c r="A33" s="80" t="inlineStr">
        <is>
          <t>COS - Heron - Internet</t>
        </is>
      </c>
      <c r="B33" s="75" t="n">
        <v>6492.72</v>
      </c>
      <c r="C33" s="75" t="n">
        <v>7880.91</v>
      </c>
      <c r="D33" s="75" t="n">
        <v>1085.22</v>
      </c>
    </row>
    <row r="34" ht="11.75" customHeight="1">
      <c r="A34" s="80" t="inlineStr">
        <is>
          <t>COS - Heron - Sales office Staff refreshments</t>
        </is>
      </c>
      <c r="B34" s="75" t="n">
        <v>0</v>
      </c>
      <c r="C34" s="75" t="n">
        <v>0</v>
      </c>
      <c r="D34" s="75" t="n">
        <v>2233.79</v>
      </c>
    </row>
    <row r="35" ht="11.75" customHeight="1">
      <c r="A35" s="80" t="inlineStr">
        <is>
          <t>COS - Heron Fields - Construction</t>
        </is>
      </c>
      <c r="B35" s="75" t="n">
        <v>1415622.27</v>
      </c>
      <c r="C35" s="75" t="n">
        <v>31638299.07</v>
      </c>
      <c r="D35" s="75" t="n">
        <v>154088.35</v>
      </c>
    </row>
    <row r="36" ht="11.75" customHeight="1">
      <c r="A36" s="80" t="inlineStr">
        <is>
          <t>COS - Heron Fields - Garden Services</t>
        </is>
      </c>
      <c r="B36" s="75" t="n">
        <v>0</v>
      </c>
      <c r="C36" s="75" t="n">
        <v>0</v>
      </c>
      <c r="D36" s="75" t="n">
        <v>450</v>
      </c>
    </row>
    <row r="37" ht="11.75" customHeight="1">
      <c r="A37" s="80" t="inlineStr">
        <is>
          <t>COS - Heron Fields - Health &amp; Safety</t>
        </is>
      </c>
      <c r="B37" s="75" t="n">
        <v>694.78</v>
      </c>
      <c r="C37" s="75" t="n">
        <v>22286.3</v>
      </c>
      <c r="D37" s="75" t="n">
        <v>8516.610000000001</v>
      </c>
    </row>
    <row r="38" ht="11.75" customHeight="1">
      <c r="A38" s="80" t="inlineStr">
        <is>
          <t>COS - Heron Fields - Labourers</t>
        </is>
      </c>
      <c r="B38" s="75" t="n">
        <v>0</v>
      </c>
      <c r="C38" s="75" t="n">
        <v>0</v>
      </c>
      <c r="D38" s="75" t="n">
        <v>8350</v>
      </c>
    </row>
    <row r="39" ht="11.75" customHeight="1">
      <c r="A39" s="80" t="inlineStr">
        <is>
          <t>COS - Heron Fields - P &amp; G</t>
        </is>
      </c>
      <c r="B39" s="75" t="n">
        <v>294826.68</v>
      </c>
      <c r="C39" s="75" t="n">
        <v>2957880.44</v>
      </c>
      <c r="D39" s="75" t="n">
        <v>68008.83</v>
      </c>
    </row>
    <row r="40" ht="11.75" customHeight="1">
      <c r="A40" s="80" t="inlineStr">
        <is>
          <t>COS - Heron Fields - Printing &amp; Stationary</t>
        </is>
      </c>
      <c r="B40" s="75" t="n">
        <v>1129.57</v>
      </c>
      <c r="C40" s="75" t="n">
        <v>3439.66</v>
      </c>
      <c r="D40" s="75" t="n">
        <v>2693.11</v>
      </c>
    </row>
    <row r="41" ht="11.75" customHeight="1">
      <c r="A41" s="80" t="inlineStr">
        <is>
          <t>COS - Heron Fields - Security</t>
        </is>
      </c>
      <c r="B41" s="75" t="n">
        <v>0</v>
      </c>
      <c r="C41" s="75" t="n">
        <v>20565.22</v>
      </c>
      <c r="D41" s="75" t="n">
        <v>0</v>
      </c>
    </row>
    <row r="42" ht="11.75" customHeight="1">
      <c r="A42" s="80" t="inlineStr">
        <is>
          <t>COS - Heron Projects insurance</t>
        </is>
      </c>
      <c r="B42" s="75" t="n">
        <v>0</v>
      </c>
      <c r="C42" s="75" t="n">
        <v>11169.12</v>
      </c>
      <c r="D42" s="75" t="n">
        <v>0</v>
      </c>
    </row>
    <row r="43" ht="11.75" customHeight="1">
      <c r="A43" s="81" t="inlineStr">
        <is>
          <t>COS - Heron View - Construction</t>
        </is>
      </c>
      <c r="B43" s="75" t="n">
        <v>14250287.4</v>
      </c>
      <c r="C43" s="75" t="n">
        <v>6565647.22</v>
      </c>
      <c r="D43" s="75" t="n">
        <v>0</v>
      </c>
    </row>
    <row r="44" ht="11.75" customHeight="1">
      <c r="A44" s="81" t="inlineStr">
        <is>
          <t>COS - Heron View - P&amp;G</t>
        </is>
      </c>
      <c r="B44" s="75" t="n">
        <v>483912.08</v>
      </c>
      <c r="C44" s="75" t="n">
        <v>299511.87</v>
      </c>
      <c r="D44" s="75" t="n">
        <v>0</v>
      </c>
    </row>
    <row r="45" ht="11.75" customHeight="1">
      <c r="A45" s="81" t="inlineStr">
        <is>
          <t>COS - Heron View - Printing &amp; Stationary</t>
        </is>
      </c>
      <c r="B45" s="75" t="n">
        <v>11130.85</v>
      </c>
      <c r="C45" s="75" t="n">
        <v>4300.41</v>
      </c>
      <c r="D45" s="75" t="n">
        <v>0</v>
      </c>
    </row>
    <row r="46" ht="11.75" customHeight="1">
      <c r="A46" s="74" t="inlineStr">
        <is>
          <t>COS - Insurance</t>
        </is>
      </c>
      <c r="B46" s="75" t="n">
        <v>2719.43</v>
      </c>
      <c r="C46" s="75" t="n">
        <v>45609.01</v>
      </c>
      <c r="D46" s="75" t="n">
        <v>20069.65</v>
      </c>
    </row>
    <row r="47" ht="11.75" customHeight="1">
      <c r="A47" s="74" t="inlineStr">
        <is>
          <t>COS - Internet - Fibre SUPPLY _AND_ FIT</t>
        </is>
      </c>
      <c r="B47" s="75" t="n">
        <v>0</v>
      </c>
      <c r="C47" s="75" t="n">
        <v>31736.5</v>
      </c>
      <c r="D47" s="75" t="n">
        <v>0</v>
      </c>
    </row>
    <row r="48" ht="11.75" customHeight="1">
      <c r="A48" s="74" t="inlineStr">
        <is>
          <t>COS - Plumbing Sanware</t>
        </is>
      </c>
      <c r="B48" s="75" t="n">
        <v>0</v>
      </c>
      <c r="C48" s="75" t="n">
        <v>1876.17</v>
      </c>
      <c r="D48" s="75" t="n">
        <v>0</v>
      </c>
    </row>
    <row r="49" ht="11.75" customHeight="1">
      <c r="A49" s="74" t="inlineStr">
        <is>
          <t>COS - Repairs &amp; Maintenance - Endulini Sales Office</t>
        </is>
      </c>
      <c r="B49" s="75" t="n">
        <v>0</v>
      </c>
      <c r="C49" s="75" t="n">
        <v>0</v>
      </c>
      <c r="D49" s="75" t="n">
        <v>2783.31</v>
      </c>
    </row>
    <row r="50" ht="11.75" customHeight="1">
      <c r="A50" s="74" t="inlineStr">
        <is>
          <t>COS - Repairs &amp; Maintenance - Heron Sales Office</t>
        </is>
      </c>
      <c r="B50" s="75" t="n">
        <v>0</v>
      </c>
      <c r="C50" s="75" t="n">
        <v>0</v>
      </c>
      <c r="D50" s="75" t="n">
        <v>15997.39</v>
      </c>
    </row>
    <row r="51" ht="11.75" customHeight="1">
      <c r="A51" s="74" t="inlineStr">
        <is>
          <t>COS - Repairs &amp; Maintenance - SW Southwark</t>
        </is>
      </c>
      <c r="B51" s="75" t="n">
        <v>28977.16</v>
      </c>
      <c r="C51" s="75" t="n">
        <v>4661.74</v>
      </c>
      <c r="D51" s="75" t="n">
        <v>24889.96</v>
      </c>
    </row>
    <row r="52" ht="11.75" customHeight="1">
      <c r="A52" s="74" t="inlineStr">
        <is>
          <t>COS - Security - Guarding</t>
        </is>
      </c>
      <c r="B52" s="75" t="n">
        <v>41620.91</v>
      </c>
      <c r="C52" s="75" t="n">
        <v>0</v>
      </c>
      <c r="D52" s="75" t="n">
        <v>0</v>
      </c>
    </row>
    <row r="53" ht="11.75" customHeight="1">
      <c r="A53" s="74" t="inlineStr">
        <is>
          <t>COS - Site Establishment - Consumables</t>
        </is>
      </c>
      <c r="B53" s="75" t="n">
        <v>0</v>
      </c>
      <c r="C53" s="75" t="n">
        <v>0</v>
      </c>
      <c r="D53" s="75" t="n">
        <v>1207.35</v>
      </c>
    </row>
    <row r="54" ht="11.75" customHeight="1">
      <c r="A54" s="74" t="inlineStr">
        <is>
          <t>COS - Site Establishment - Security</t>
        </is>
      </c>
      <c r="B54" s="75" t="n">
        <v>0</v>
      </c>
      <c r="C54" s="75" t="n">
        <v>3500</v>
      </c>
      <c r="D54" s="75" t="n">
        <v>0</v>
      </c>
    </row>
    <row r="55" ht="11.75" customHeight="1">
      <c r="A55" s="74" t="inlineStr">
        <is>
          <t>COS - Site Establishment Water Pump</t>
        </is>
      </c>
      <c r="B55" s="75" t="n">
        <v>0</v>
      </c>
      <c r="C55" s="75" t="n">
        <v>0</v>
      </c>
      <c r="D55" s="75" t="n">
        <v>4850</v>
      </c>
    </row>
    <row r="56" ht="11.75" customHeight="1">
      <c r="A56" s="74" t="inlineStr">
        <is>
          <t>COS - Site Labour Labourers</t>
        </is>
      </c>
      <c r="B56" s="75" t="n">
        <v>0</v>
      </c>
      <c r="C56" s="75" t="n">
        <v>0</v>
      </c>
      <c r="D56" s="75" t="n">
        <v>3900</v>
      </c>
    </row>
    <row r="57" ht="11.75" customHeight="1">
      <c r="A57" s="74" t="inlineStr">
        <is>
          <t>COS - Southwark - Printing</t>
        </is>
      </c>
      <c r="B57" s="75" t="n">
        <v>0</v>
      </c>
      <c r="C57" s="75" t="n">
        <v>0</v>
      </c>
      <c r="D57" s="75" t="n">
        <v>83.48</v>
      </c>
    </row>
    <row r="58" ht="11.75" customHeight="1">
      <c r="A58" s="74" t="inlineStr">
        <is>
          <t>COS - Units - Cement</t>
        </is>
      </c>
      <c r="B58" s="75" t="n">
        <v>0</v>
      </c>
      <c r="C58" s="75" t="n">
        <v>6160.34</v>
      </c>
      <c r="D58" s="75" t="n">
        <v>0</v>
      </c>
    </row>
    <row r="59" ht="11.75" customHeight="1">
      <c r="A59" s="74" t="inlineStr">
        <is>
          <t>COS - Units - Outside work - Paving</t>
        </is>
      </c>
      <c r="B59" s="75" t="n">
        <v>0</v>
      </c>
      <c r="C59" s="75" t="n">
        <v>4440.61</v>
      </c>
      <c r="D59" s="75" t="n">
        <v>0</v>
      </c>
    </row>
    <row r="60" ht="11.75" customHeight="1">
      <c r="A60" s="74" t="inlineStr">
        <is>
          <t>COS - Units Plumbing Supply_AND_Fit</t>
        </is>
      </c>
      <c r="B60" s="75" t="n">
        <v>0</v>
      </c>
      <c r="C60" s="75" t="n">
        <v>250</v>
      </c>
      <c r="D60" s="75" t="n">
        <v>0</v>
      </c>
    </row>
    <row r="61" ht="11.75" customHeight="1">
      <c r="A61" s="74" t="inlineStr">
        <is>
          <t>Cost of Sales</t>
        </is>
      </c>
      <c r="B61" s="75" t="n">
        <v>0</v>
      </c>
      <c r="C61" s="75" t="n">
        <v>-762078.59</v>
      </c>
      <c r="D61" s="75" t="n">
        <v>0</v>
      </c>
    </row>
    <row r="62" ht="11.75" customHeight="1">
      <c r="A62" s="74" t="inlineStr">
        <is>
          <t>Cost of Sales - SouthWark Project</t>
        </is>
      </c>
      <c r="B62" s="75" t="n">
        <v>15444.95</v>
      </c>
      <c r="C62" s="75" t="n">
        <v>0</v>
      </c>
      <c r="D62" s="75" t="n">
        <v>0</v>
      </c>
    </row>
    <row r="63" ht="11.75" customHeight="1">
      <c r="A63" s="76" t="inlineStr">
        <is>
          <t>Total Cost of Sales</t>
        </is>
      </c>
      <c r="B63" s="77">
        <f>SUM(B17:B62)</f>
        <v/>
      </c>
      <c r="C63" s="77">
        <f>SUM(C17:C62)</f>
        <v/>
      </c>
      <c r="D63" s="77">
        <f>SUM(D17:D62)</f>
        <v/>
      </c>
    </row>
    <row r="64" ht="13.25" customHeight="1"/>
    <row r="65" ht="11.75" customHeight="1">
      <c r="A65" s="82" t="inlineStr">
        <is>
          <t>Gross Profit</t>
        </is>
      </c>
      <c r="B65" s="83">
        <f>(B14 - B63)</f>
        <v/>
      </c>
      <c r="C65" s="83">
        <f>(C14 - C63)</f>
        <v/>
      </c>
      <c r="D65" s="83">
        <f>(D14 - D63)</f>
        <v/>
      </c>
    </row>
    <row r="66" ht="13.25" customHeight="1"/>
    <row r="67" ht="13" customFormat="1" customHeight="1" s="71">
      <c r="A67" s="126" t="inlineStr">
        <is>
          <t>Other Income</t>
        </is>
      </c>
      <c r="B67" s="127" t="n"/>
      <c r="C67" s="127" t="n"/>
      <c r="D67" s="127" t="n"/>
    </row>
    <row r="68" ht="11.75" customHeight="1">
      <c r="A68" s="72" t="inlineStr">
        <is>
          <t>Insurance recovery</t>
        </is>
      </c>
      <c r="B68" s="73" t="n">
        <v>0</v>
      </c>
      <c r="C68" s="73" t="n">
        <v>2839.7</v>
      </c>
      <c r="D68" s="73" t="n">
        <v>-387.08</v>
      </c>
    </row>
    <row r="69" ht="11.75" customHeight="1">
      <c r="A69" s="74" t="inlineStr">
        <is>
          <t>Interest Received - FNB</t>
        </is>
      </c>
      <c r="B69" s="75" t="n">
        <v>504.91</v>
      </c>
      <c r="C69" s="75" t="n">
        <v>3216.44</v>
      </c>
      <c r="D69" s="75" t="n">
        <v>0</v>
      </c>
    </row>
    <row r="70" ht="11.75" customHeight="1">
      <c r="A70" s="74" t="inlineStr">
        <is>
          <t>Interest received - Momentum</t>
        </is>
      </c>
      <c r="B70" s="75" t="n">
        <v>18.03</v>
      </c>
      <c r="C70" s="75" t="n">
        <v>27.68</v>
      </c>
      <c r="D70" s="75" t="n">
        <v>9.640000000000001</v>
      </c>
    </row>
    <row r="71" ht="11.75" customHeight="1">
      <c r="A71" s="74" t="inlineStr">
        <is>
          <t>Rent - CT Office</t>
        </is>
      </c>
      <c r="B71" s="75" t="n">
        <v>-3490.94</v>
      </c>
      <c r="C71" s="75" t="n">
        <v>31418.46</v>
      </c>
      <c r="D71" s="75" t="n">
        <v>10472.82</v>
      </c>
    </row>
    <row r="72" ht="11.75" customHeight="1">
      <c r="A72" s="76" t="inlineStr">
        <is>
          <t>Total Other Income</t>
        </is>
      </c>
      <c r="B72" s="77">
        <f>SUM(B68:B71)</f>
        <v/>
      </c>
      <c r="C72" s="77">
        <f>SUM(C68:C71)</f>
        <v/>
      </c>
      <c r="D72" s="77">
        <f>SUM(D68:D71)</f>
        <v/>
      </c>
    </row>
    <row r="73" ht="13.25" customHeight="1"/>
    <row r="74" ht="13" customFormat="1" customHeight="1" s="71">
      <c r="A74" s="126" t="inlineStr">
        <is>
          <t>Operating Expenses</t>
        </is>
      </c>
      <c r="B74" s="127" t="n"/>
      <c r="C74" s="127" t="n"/>
      <c r="D74" s="127" t="n"/>
    </row>
    <row r="75" ht="11.75" customHeight="1">
      <c r="A75" s="72" t="inlineStr">
        <is>
          <t>Accounting - Deric Dudley</t>
        </is>
      </c>
      <c r="B75" s="73" t="n">
        <v>0</v>
      </c>
      <c r="C75" s="73" t="n">
        <v>0</v>
      </c>
      <c r="D75" s="73" t="n">
        <v>190600</v>
      </c>
    </row>
    <row r="76" ht="11.75" customHeight="1">
      <c r="A76" s="74" t="inlineStr">
        <is>
          <t>Accounting - Janine Theart</t>
        </is>
      </c>
      <c r="B76" s="75" t="n">
        <v>0</v>
      </c>
      <c r="C76" s="75" t="n">
        <v>0</v>
      </c>
      <c r="D76" s="75" t="n">
        <v>51000</v>
      </c>
    </row>
    <row r="77" ht="11.75" customHeight="1">
      <c r="A77" s="74" t="inlineStr">
        <is>
          <t>Accounting - Warwick</t>
        </is>
      </c>
      <c r="B77" s="75" t="n">
        <v>0</v>
      </c>
      <c r="C77" s="75" t="n">
        <v>0</v>
      </c>
      <c r="D77" s="75" t="n">
        <v>107300</v>
      </c>
    </row>
    <row r="78" ht="11.75" customHeight="1">
      <c r="A78" s="74" t="inlineStr">
        <is>
          <t>Accounting Fee - PayrollWorx</t>
        </is>
      </c>
      <c r="B78" s="75" t="n">
        <v>0</v>
      </c>
      <c r="C78" s="75" t="n">
        <v>0</v>
      </c>
      <c r="D78" s="75" t="n">
        <v>5575</v>
      </c>
    </row>
    <row r="79" ht="11.75" customHeight="1">
      <c r="A79" s="74" t="inlineStr">
        <is>
          <t>Accounting Fees - Audit</t>
        </is>
      </c>
      <c r="B79" s="75" t="n">
        <v>11170</v>
      </c>
      <c r="C79" s="75" t="n">
        <v>10600</v>
      </c>
      <c r="D79" s="75" t="n">
        <v>17995</v>
      </c>
    </row>
    <row r="80" ht="11.75" customHeight="1">
      <c r="A80" s="74" t="inlineStr">
        <is>
          <t>Accounting Fees - Other</t>
        </is>
      </c>
      <c r="B80" s="75" t="n">
        <v>580</v>
      </c>
      <c r="C80" s="75" t="n">
        <v>0</v>
      </c>
      <c r="D80" s="75" t="n">
        <v>2215</v>
      </c>
    </row>
    <row r="81" ht="11.75" customHeight="1">
      <c r="A81" s="74" t="inlineStr">
        <is>
          <t>Accounting Fees - Tax Dept.</t>
        </is>
      </c>
      <c r="B81" s="75" t="n">
        <v>0</v>
      </c>
      <c r="C81" s="75" t="n">
        <v>0</v>
      </c>
      <c r="D81" s="75" t="n">
        <v>1847.5</v>
      </c>
    </row>
    <row r="82" ht="11.75" customHeight="1">
      <c r="A82" s="74" t="inlineStr">
        <is>
          <t>Admin - Subcontractors</t>
        </is>
      </c>
      <c r="B82" s="75" t="n">
        <v>0</v>
      </c>
      <c r="C82" s="75" t="n">
        <v>14139.13</v>
      </c>
      <c r="D82" s="75" t="n">
        <v>9065.540000000001</v>
      </c>
    </row>
    <row r="83" ht="11.75" customHeight="1">
      <c r="A83" s="74" t="inlineStr">
        <is>
          <t>Advertising - Design Fees</t>
        </is>
      </c>
      <c r="B83" s="75" t="n">
        <v>295</v>
      </c>
      <c r="C83" s="75" t="n">
        <v>7275</v>
      </c>
      <c r="D83" s="75" t="n">
        <v>0</v>
      </c>
    </row>
    <row r="84" ht="11.75" customHeight="1">
      <c r="A84" s="74" t="inlineStr">
        <is>
          <t>Advertising - Other</t>
        </is>
      </c>
      <c r="B84" s="75" t="n">
        <v>1597</v>
      </c>
      <c r="C84" s="75" t="n">
        <v>137.5</v>
      </c>
      <c r="D84" s="75" t="n">
        <v>4597</v>
      </c>
    </row>
    <row r="85" ht="11.75" customHeight="1">
      <c r="A85" s="74" t="inlineStr">
        <is>
          <t>Advertising _AND_ Promotions</t>
        </is>
      </c>
      <c r="B85" s="75" t="n">
        <v>4650</v>
      </c>
      <c r="C85" s="75" t="n">
        <v>24268.79</v>
      </c>
      <c r="D85" s="75" t="n">
        <v>13699</v>
      </c>
    </row>
    <row r="86" ht="11.75" customHeight="1">
      <c r="A86" s="74" t="inlineStr">
        <is>
          <t>Bank Charges</t>
        </is>
      </c>
      <c r="B86" s="75" t="n">
        <v>8972.74</v>
      </c>
      <c r="C86" s="75" t="n">
        <v>30880.41</v>
      </c>
      <c r="D86" s="75" t="n">
        <v>14247.61</v>
      </c>
    </row>
    <row r="87" ht="11.75" customHeight="1">
      <c r="A87" s="74" t="inlineStr">
        <is>
          <t>BIBC Company Contribution</t>
        </is>
      </c>
      <c r="B87" s="75" t="n">
        <v>15075.35</v>
      </c>
      <c r="C87" s="75" t="n">
        <v>81099.64</v>
      </c>
      <c r="D87" s="75" t="n">
        <v>293.56</v>
      </c>
    </row>
    <row r="88" ht="11.75" customHeight="1">
      <c r="A88" s="74" t="inlineStr">
        <is>
          <t>BIBC Employee Contribution</t>
        </is>
      </c>
      <c r="B88" s="75" t="n">
        <v>4562.1</v>
      </c>
      <c r="C88" s="75" t="n">
        <v>27399.55</v>
      </c>
      <c r="D88" s="75" t="n">
        <v>115.56</v>
      </c>
    </row>
    <row r="89" ht="11.75" customHeight="1">
      <c r="A89" s="74" t="inlineStr">
        <is>
          <t>Cell Phone - Nick Morgan</t>
        </is>
      </c>
      <c r="B89" s="75" t="n">
        <v>0</v>
      </c>
      <c r="C89" s="75" t="n">
        <v>7949.43</v>
      </c>
      <c r="D89" s="75" t="n">
        <v>6888.14</v>
      </c>
    </row>
    <row r="90" ht="11.75" customHeight="1">
      <c r="A90" s="74" t="inlineStr">
        <is>
          <t>Cleaning</t>
        </is>
      </c>
      <c r="B90" s="75" t="n">
        <v>433.65</v>
      </c>
      <c r="C90" s="75" t="n">
        <v>2353.79</v>
      </c>
      <c r="D90" s="75" t="n">
        <v>9905.65</v>
      </c>
    </row>
    <row r="91" ht="11.75" customHeight="1">
      <c r="A91" s="74" t="inlineStr">
        <is>
          <t>Computer Exp - IT, Internet/Hosting Fee</t>
        </is>
      </c>
      <c r="B91" s="75" t="n">
        <v>18199</v>
      </c>
      <c r="C91" s="75" t="n">
        <v>48329</v>
      </c>
      <c r="D91" s="75" t="n">
        <v>0</v>
      </c>
    </row>
    <row r="92" ht="11.75" customHeight="1">
      <c r="A92" s="74" t="inlineStr">
        <is>
          <t>Computer Expenses</t>
        </is>
      </c>
      <c r="B92" s="75" t="n">
        <v>3603.65</v>
      </c>
      <c r="C92" s="75" t="n">
        <v>5948.56</v>
      </c>
      <c r="D92" s="75" t="n">
        <v>11533.14</v>
      </c>
    </row>
    <row r="93" ht="11.75" customHeight="1">
      <c r="A93" s="74" t="inlineStr">
        <is>
          <t>Consulting Fees</t>
        </is>
      </c>
      <c r="B93" s="75" t="n">
        <v>0</v>
      </c>
      <c r="C93" s="75" t="n">
        <v>0</v>
      </c>
      <c r="D93" s="75" t="n">
        <v>2250</v>
      </c>
    </row>
    <row r="94" ht="11.75" customHeight="1">
      <c r="A94" s="74" t="inlineStr">
        <is>
          <t>Consulting Fees - Admin and Finance</t>
        </is>
      </c>
      <c r="B94" s="75" t="n">
        <v>613049.7</v>
      </c>
      <c r="C94" s="75" t="n">
        <v>1539997.79</v>
      </c>
      <c r="D94" s="75" t="n">
        <v>533569.54</v>
      </c>
    </row>
    <row r="95" ht="11.75" customHeight="1">
      <c r="A95" s="74" t="inlineStr">
        <is>
          <t>Consulting fees - Herbert du Plessis</t>
        </is>
      </c>
      <c r="B95" s="75" t="n">
        <v>0</v>
      </c>
      <c r="C95" s="75" t="n">
        <v>318572.45</v>
      </c>
      <c r="D95" s="75" t="n">
        <v>392000</v>
      </c>
    </row>
    <row r="96" ht="11.75" customHeight="1">
      <c r="A96" s="74" t="inlineStr">
        <is>
          <t>Consulting fees - Quabeka</t>
        </is>
      </c>
      <c r="B96" s="75" t="n">
        <v>0</v>
      </c>
      <c r="C96" s="75" t="n">
        <v>0</v>
      </c>
      <c r="D96" s="75" t="n">
        <v>42899.25</v>
      </c>
    </row>
    <row r="97" ht="11.75" customHeight="1">
      <c r="A97" s="74" t="inlineStr">
        <is>
          <t>Courier _AND_ Postage</t>
        </is>
      </c>
      <c r="B97" s="75" t="n">
        <v>86.09</v>
      </c>
      <c r="C97" s="75" t="n">
        <v>1539.13</v>
      </c>
      <c r="D97" s="75" t="n">
        <v>165.83</v>
      </c>
    </row>
    <row r="98" ht="11.75" customHeight="1">
      <c r="A98" s="74" t="inlineStr">
        <is>
          <t>Depreciation - Computer Equipment</t>
        </is>
      </c>
      <c r="B98" s="75" t="n">
        <v>13295.58</v>
      </c>
      <c r="C98" s="75" t="n">
        <v>23781.9</v>
      </c>
      <c r="D98" s="75" t="n">
        <v>5012.09</v>
      </c>
    </row>
    <row r="99" ht="11.75" customHeight="1">
      <c r="A99" s="74" t="inlineStr">
        <is>
          <t>Depreciation - Furniture and Fittings</t>
        </is>
      </c>
      <c r="B99" s="75" t="n">
        <v>2190.7</v>
      </c>
      <c r="C99" s="75" t="n">
        <v>5487.86</v>
      </c>
      <c r="D99" s="75" t="n">
        <v>406.69</v>
      </c>
    </row>
    <row r="100" ht="11.75" customHeight="1">
      <c r="A100" s="74" t="inlineStr">
        <is>
          <t>Depreciation - Generator Fixed Asset</t>
        </is>
      </c>
      <c r="B100" s="75" t="n">
        <v>2764.06</v>
      </c>
      <c r="C100" s="75" t="n">
        <v>2320</v>
      </c>
      <c r="D100" s="75" t="n">
        <v>805.5599999999999</v>
      </c>
    </row>
    <row r="101" ht="11.75" customHeight="1">
      <c r="A101" s="74" t="inlineStr">
        <is>
          <t>Depreciation - Motor vehicle</t>
        </is>
      </c>
      <c r="B101" s="75" t="n">
        <v>0</v>
      </c>
      <c r="C101" s="75" t="n">
        <v>39610.1</v>
      </c>
      <c r="D101" s="75" t="n">
        <v>43213</v>
      </c>
    </row>
    <row r="102" ht="11.75" customHeight="1">
      <c r="A102" s="74" t="inlineStr">
        <is>
          <t>Electricity _AND_ Water</t>
        </is>
      </c>
      <c r="B102" s="75" t="n">
        <v>32459.66</v>
      </c>
      <c r="C102" s="75" t="n">
        <v>62866.2</v>
      </c>
      <c r="D102" s="75" t="n">
        <v>39730.77</v>
      </c>
    </row>
    <row r="103" ht="11.75" customHeight="1">
      <c r="A103" s="74" t="inlineStr">
        <is>
          <t>Entertainment Expenses</t>
        </is>
      </c>
      <c r="B103" s="75" t="n">
        <v>0</v>
      </c>
      <c r="C103" s="75" t="n">
        <v>7651.52</v>
      </c>
      <c r="D103" s="75" t="n">
        <v>11183.99</v>
      </c>
    </row>
    <row r="104" ht="11.75" customHeight="1">
      <c r="A104" s="74" t="inlineStr">
        <is>
          <t>Health _AND_ Safety - Labour Department</t>
        </is>
      </c>
      <c r="B104" s="75" t="n">
        <v>0</v>
      </c>
      <c r="C104" s="75" t="n">
        <v>0</v>
      </c>
      <c r="D104" s="75" t="n">
        <v>4742.88</v>
      </c>
    </row>
    <row r="105" ht="11.75" customHeight="1">
      <c r="A105" s="74" t="inlineStr">
        <is>
          <t>Insurance</t>
        </is>
      </c>
      <c r="B105" s="75" t="n">
        <v>0</v>
      </c>
      <c r="C105" s="75" t="n">
        <v>819.63</v>
      </c>
      <c r="D105" s="75" t="n">
        <v>0</v>
      </c>
    </row>
    <row r="106" ht="11.75" customHeight="1">
      <c r="A106" s="74" t="inlineStr">
        <is>
          <t>Insurance - RBS</t>
        </is>
      </c>
      <c r="B106" s="75" t="n">
        <v>0</v>
      </c>
      <c r="C106" s="75" t="n">
        <v>1425.42</v>
      </c>
      <c r="D106" s="75" t="n">
        <v>3161.15</v>
      </c>
    </row>
    <row r="107" ht="11.75" customHeight="1">
      <c r="A107" s="74" t="inlineStr">
        <is>
          <t>Insurance - Santam</t>
        </is>
      </c>
      <c r="B107" s="75" t="n">
        <v>9887.42</v>
      </c>
      <c r="C107" s="75" t="n">
        <v>15085.07</v>
      </c>
      <c r="D107" s="75" t="n">
        <v>12209.23</v>
      </c>
    </row>
    <row r="108" ht="11.75" customHeight="1">
      <c r="A108" s="74" t="inlineStr">
        <is>
          <t>Interest Paid - BIBC</t>
        </is>
      </c>
      <c r="B108" s="75" t="n">
        <v>0</v>
      </c>
      <c r="C108" s="75" t="n">
        <v>1209.87</v>
      </c>
      <c r="D108" s="75" t="n">
        <v>0</v>
      </c>
    </row>
    <row r="109" ht="11.75" customHeight="1">
      <c r="A109" s="74" t="inlineStr">
        <is>
          <t>Interest Paid - Blou Mamba Trust</t>
        </is>
      </c>
      <c r="B109" s="75" t="n">
        <v>0</v>
      </c>
      <c r="C109" s="75" t="n">
        <v>0</v>
      </c>
      <c r="D109" s="75" t="n">
        <v>2234.78</v>
      </c>
    </row>
    <row r="110" ht="11.75" customHeight="1">
      <c r="A110" s="74" t="inlineStr">
        <is>
          <t>Interest Paid - SARS</t>
        </is>
      </c>
      <c r="B110" s="75" t="n">
        <v>0</v>
      </c>
      <c r="C110" s="75" t="n">
        <v>0</v>
      </c>
      <c r="D110" s="75" t="n">
        <v>500</v>
      </c>
    </row>
    <row r="111" ht="11.75" customHeight="1">
      <c r="A111" s="74" t="inlineStr">
        <is>
          <t>Interest Paid - Suppliers</t>
        </is>
      </c>
      <c r="B111" s="75" t="n">
        <v>0</v>
      </c>
      <c r="C111" s="75" t="n">
        <v>165.33</v>
      </c>
      <c r="D111" s="75" t="n">
        <v>0</v>
      </c>
    </row>
    <row r="112" ht="11.75" customHeight="1">
      <c r="A112" s="74" t="inlineStr">
        <is>
          <t>Interest Paid - VAF Toyota</t>
        </is>
      </c>
      <c r="B112" s="75" t="n">
        <v>0</v>
      </c>
      <c r="C112" s="75" t="n">
        <v>-1376.11</v>
      </c>
      <c r="D112" s="75" t="n">
        <v>6393.06</v>
      </c>
    </row>
    <row r="113" ht="11.75" customHeight="1">
      <c r="A113" s="74" t="inlineStr">
        <is>
          <t>Legal Fees</t>
        </is>
      </c>
      <c r="B113" s="75" t="n">
        <v>5202.88</v>
      </c>
      <c r="C113" s="75" t="n">
        <v>0</v>
      </c>
      <c r="D113" s="75" t="n">
        <v>0</v>
      </c>
    </row>
    <row r="114" ht="11.75" customHeight="1">
      <c r="A114" s="74" t="inlineStr">
        <is>
          <t>Motor Vehicle - Insurance _AND_ Licence</t>
        </is>
      </c>
      <c r="B114" s="75" t="n">
        <v>1069</v>
      </c>
      <c r="C114" s="75" t="n">
        <v>1200</v>
      </c>
      <c r="D114" s="75" t="n">
        <v>2277</v>
      </c>
    </row>
    <row r="115" ht="11.75" customHeight="1">
      <c r="A115" s="74" t="inlineStr">
        <is>
          <t>Motor Vehicle - Petrol _AND_ Oil</t>
        </is>
      </c>
      <c r="B115" s="75" t="n">
        <v>20981.53</v>
      </c>
      <c r="C115" s="75" t="n">
        <v>3830.55</v>
      </c>
      <c r="D115" s="75" t="n">
        <v>500</v>
      </c>
    </row>
    <row r="116" ht="11.75" customHeight="1">
      <c r="A116" s="74" t="inlineStr">
        <is>
          <t>Motor Vehicle - Repairs _AND_ Maint.</t>
        </is>
      </c>
      <c r="B116" s="75" t="n">
        <v>0</v>
      </c>
      <c r="C116" s="75" t="n">
        <v>11070.86</v>
      </c>
      <c r="D116" s="75" t="n">
        <v>1000</v>
      </c>
    </row>
    <row r="117" ht="11.75" customHeight="1">
      <c r="A117" s="74" t="inlineStr">
        <is>
          <t>Motor Vehicle Expenses</t>
        </is>
      </c>
      <c r="B117" s="75" t="n">
        <v>362</v>
      </c>
      <c r="C117" s="75" t="n">
        <v>0</v>
      </c>
      <c r="D117" s="75" t="n">
        <v>0</v>
      </c>
    </row>
    <row r="118" ht="11.75" customHeight="1">
      <c r="A118" s="74" t="inlineStr">
        <is>
          <t>PAYE Contributions</t>
        </is>
      </c>
      <c r="B118" s="75" t="n">
        <v>312788.23</v>
      </c>
      <c r="C118" s="75" t="n">
        <v>442349.97</v>
      </c>
      <c r="D118" s="75" t="n">
        <v>429767.12</v>
      </c>
    </row>
    <row r="119" ht="11.75" customHeight="1">
      <c r="A119" s="74" t="inlineStr">
        <is>
          <t>Printing - Printer rental</t>
        </is>
      </c>
      <c r="B119" s="75" t="n">
        <v>8967.85</v>
      </c>
      <c r="C119" s="75" t="n">
        <v>7599.09</v>
      </c>
      <c r="D119" s="75" t="n">
        <v>1243.42</v>
      </c>
    </row>
    <row r="120" ht="11.75" customHeight="1">
      <c r="A120" s="74" t="inlineStr">
        <is>
          <t>Printing _AND_ Stationery</t>
        </is>
      </c>
      <c r="B120" s="75" t="n">
        <v>14467.02</v>
      </c>
      <c r="C120" s="75" t="n">
        <v>13979.16</v>
      </c>
      <c r="D120" s="75" t="n">
        <v>17017.21</v>
      </c>
    </row>
    <row r="121" ht="11.75" customHeight="1">
      <c r="A121" s="74" t="inlineStr">
        <is>
          <t>Rates</t>
        </is>
      </c>
      <c r="B121" s="75" t="n">
        <v>7089.04</v>
      </c>
      <c r="C121" s="75" t="n">
        <v>10123.2</v>
      </c>
      <c r="D121" s="75" t="n">
        <v>5216.48</v>
      </c>
    </row>
    <row r="122" ht="11.75" customHeight="1">
      <c r="A122" s="74" t="inlineStr">
        <is>
          <t>Rent Paid</t>
        </is>
      </c>
      <c r="B122" s="75" t="n">
        <v>177600</v>
      </c>
      <c r="C122" s="75" t="n">
        <v>320879.62</v>
      </c>
      <c r="D122" s="75" t="n">
        <v>167539.67</v>
      </c>
    </row>
    <row r="123" ht="11.75" customHeight="1">
      <c r="A123" s="74" t="inlineStr">
        <is>
          <t>Repairs _AND_ Maintenance</t>
        </is>
      </c>
      <c r="B123" s="75" t="n">
        <v>14779.4</v>
      </c>
      <c r="C123" s="75" t="n">
        <v>33383.84</v>
      </c>
      <c r="D123" s="75" t="n">
        <v>89553.61</v>
      </c>
    </row>
    <row r="124" ht="11.75" customHeight="1">
      <c r="A124" s="74" t="inlineStr">
        <is>
          <t>Salaries &amp; Wages - WCA</t>
        </is>
      </c>
      <c r="B124" s="75" t="n">
        <v>5192.13</v>
      </c>
      <c r="C124" s="75" t="n">
        <v>3746.27</v>
      </c>
      <c r="D124" s="75" t="n">
        <v>1063.2</v>
      </c>
    </row>
    <row r="125" ht="11.75" customHeight="1">
      <c r="A125" s="74" t="inlineStr">
        <is>
          <t>Salaries _AND_ Wages</t>
        </is>
      </c>
      <c r="B125" s="75" t="n">
        <v>1345068.58</v>
      </c>
      <c r="C125" s="75" t="n">
        <v>2682374.8</v>
      </c>
      <c r="D125" s="75" t="n">
        <v>1701130.08</v>
      </c>
    </row>
    <row r="126" ht="11.75" customHeight="1">
      <c r="A126" s="74" t="inlineStr">
        <is>
          <t>Salaries and Wages - Shorty</t>
        </is>
      </c>
      <c r="B126" s="75" t="n">
        <v>0</v>
      </c>
      <c r="C126" s="75" t="n">
        <v>0</v>
      </c>
      <c r="D126" s="75" t="n">
        <v>35500</v>
      </c>
    </row>
    <row r="127" ht="11.75" customHeight="1">
      <c r="A127" s="74" t="inlineStr">
        <is>
          <t>SDL Contributions</t>
        </is>
      </c>
      <c r="B127" s="75" t="n">
        <v>16077.76</v>
      </c>
      <c r="C127" s="75" t="n">
        <v>29745.7</v>
      </c>
      <c r="D127" s="75" t="n">
        <v>20692.98</v>
      </c>
    </row>
    <row r="128" ht="11.75" customHeight="1">
      <c r="A128" s="74" t="inlineStr">
        <is>
          <t>Secretarial fees - CIPC</t>
        </is>
      </c>
      <c r="B128" s="75" t="n">
        <v>4000</v>
      </c>
      <c r="C128" s="75" t="n">
        <v>2500</v>
      </c>
      <c r="D128" s="75" t="n">
        <v>450</v>
      </c>
    </row>
    <row r="129" ht="11.75" customHeight="1">
      <c r="A129" s="74" t="inlineStr">
        <is>
          <t>Security</t>
        </is>
      </c>
      <c r="B129" s="75" t="n">
        <v>886.65</v>
      </c>
      <c r="C129" s="75" t="n">
        <v>1872.75</v>
      </c>
      <c r="D129" s="75" t="n">
        <v>0</v>
      </c>
    </row>
    <row r="130" ht="11.75" customHeight="1">
      <c r="A130" s="74" t="inlineStr">
        <is>
          <t>Small Assets</t>
        </is>
      </c>
      <c r="B130" s="75" t="n">
        <v>7213.91</v>
      </c>
      <c r="C130" s="75" t="n">
        <v>13955.28</v>
      </c>
      <c r="D130" s="75" t="n">
        <v>24786.43</v>
      </c>
    </row>
    <row r="131" ht="11.75" customHeight="1">
      <c r="A131" s="74" t="inlineStr">
        <is>
          <t>Staff Training</t>
        </is>
      </c>
      <c r="B131" s="75" t="n">
        <v>0</v>
      </c>
      <c r="C131" s="75" t="n">
        <v>6800</v>
      </c>
      <c r="D131" s="75" t="n">
        <v>2000</v>
      </c>
    </row>
    <row r="132" ht="11.75" customHeight="1">
      <c r="A132" s="74" t="inlineStr">
        <is>
          <t>Staff Welfare _AND_ Refreshmts</t>
        </is>
      </c>
      <c r="B132" s="75" t="n">
        <v>7889.58</v>
      </c>
      <c r="C132" s="75" t="n">
        <v>4899.14</v>
      </c>
      <c r="D132" s="75" t="n">
        <v>34301.16</v>
      </c>
    </row>
    <row r="133" ht="11.75" customHeight="1">
      <c r="A133" s="74" t="inlineStr">
        <is>
          <t>Subscription - Candy software</t>
        </is>
      </c>
      <c r="B133" s="75" t="n">
        <v>0</v>
      </c>
      <c r="C133" s="75" t="n">
        <v>13765</v>
      </c>
      <c r="D133" s="75" t="n">
        <v>0</v>
      </c>
    </row>
    <row r="134" ht="11.75" customHeight="1">
      <c r="A134" s="74" t="inlineStr">
        <is>
          <t>Subscriptions - SAIPA</t>
        </is>
      </c>
      <c r="B134" s="75" t="n">
        <v>0</v>
      </c>
      <c r="C134" s="75" t="n">
        <v>0</v>
      </c>
      <c r="D134" s="75" t="n">
        <v>6661.9</v>
      </c>
    </row>
    <row r="135" ht="11.75" customHeight="1">
      <c r="A135" s="74" t="inlineStr">
        <is>
          <t>Subscriptions - Smartsheet</t>
        </is>
      </c>
      <c r="B135" s="75" t="n">
        <v>3192.73</v>
      </c>
      <c r="C135" s="75" t="n">
        <v>5512.76</v>
      </c>
      <c r="D135" s="75" t="n">
        <v>2439.41</v>
      </c>
    </row>
    <row r="136" ht="11.75" customHeight="1">
      <c r="A136" s="74" t="inlineStr">
        <is>
          <t>Subscriptions &amp; Licenses - Caseware</t>
        </is>
      </c>
      <c r="B136" s="75" t="n">
        <v>10825.49</v>
      </c>
      <c r="C136" s="75" t="n">
        <v>0</v>
      </c>
      <c r="D136" s="75" t="n">
        <v>9463.01</v>
      </c>
    </row>
    <row r="137" ht="11.75" customHeight="1">
      <c r="A137" s="74" t="inlineStr">
        <is>
          <t>Subscriptions &amp; Licenses - Sage payroll</t>
        </is>
      </c>
      <c r="B137" s="75" t="n">
        <v>2988</v>
      </c>
      <c r="C137" s="75" t="n">
        <v>7574</v>
      </c>
      <c r="D137" s="75" t="n">
        <v>3704</v>
      </c>
    </row>
    <row r="138" ht="11.75" customHeight="1">
      <c r="A138" s="74" t="inlineStr">
        <is>
          <t>Subscriptions &amp; Licenses - Xero</t>
        </is>
      </c>
      <c r="B138" s="75" t="n">
        <v>3000</v>
      </c>
      <c r="C138" s="75" t="n">
        <v>7200</v>
      </c>
      <c r="D138" s="75" t="n">
        <v>8700</v>
      </c>
    </row>
    <row r="139" ht="11.75" customHeight="1">
      <c r="A139" s="74" t="inlineStr">
        <is>
          <t>Subscriptions / Licenses</t>
        </is>
      </c>
      <c r="B139" s="75" t="n">
        <v>8875.969999999999</v>
      </c>
      <c r="C139" s="75" t="n">
        <v>526.3200000000001</v>
      </c>
      <c r="D139" s="75" t="n">
        <v>988.14</v>
      </c>
    </row>
    <row r="140" ht="11.75" customHeight="1">
      <c r="A140" s="74" t="inlineStr">
        <is>
          <t>Telephone _AND_ Fax</t>
        </is>
      </c>
      <c r="B140" s="75" t="n">
        <v>0</v>
      </c>
      <c r="C140" s="75" t="n">
        <v>0</v>
      </c>
      <c r="D140" s="75" t="n">
        <v>10625.73</v>
      </c>
    </row>
    <row r="141" ht="11.75" customHeight="1">
      <c r="A141" s="74" t="inlineStr">
        <is>
          <t>Travel - Local</t>
        </is>
      </c>
      <c r="B141" s="75" t="n">
        <v>0</v>
      </c>
      <c r="C141" s="75" t="n">
        <v>13.04</v>
      </c>
      <c r="D141" s="75" t="n">
        <v>1275</v>
      </c>
    </row>
    <row r="142" ht="11.75" customHeight="1">
      <c r="A142" s="74" t="inlineStr">
        <is>
          <t>UIF Company Contributions</t>
        </is>
      </c>
      <c r="B142" s="75" t="n">
        <v>8425.620000000001</v>
      </c>
      <c r="C142" s="75" t="n">
        <v>20100.58</v>
      </c>
      <c r="D142" s="75" t="n">
        <v>11467.74</v>
      </c>
    </row>
    <row r="143" ht="11.75" customHeight="1">
      <c r="A143" s="74" t="inlineStr">
        <is>
          <t>UIF Employee Contribution</t>
        </is>
      </c>
      <c r="B143" s="75" t="n">
        <v>8425.620000000001</v>
      </c>
      <c r="C143" s="75" t="n">
        <v>20100.58</v>
      </c>
      <c r="D143" s="75" t="n">
        <v>8195.9</v>
      </c>
    </row>
    <row r="144" ht="11.75" customHeight="1">
      <c r="A144" s="76" t="inlineStr">
        <is>
          <t>Total Operating Expenses</t>
        </is>
      </c>
      <c r="B144" s="77">
        <f>SUM(B75:B143)</f>
        <v/>
      </c>
      <c r="C144" s="77">
        <f>SUM(C75:C143)</f>
        <v/>
      </c>
      <c r="D144" s="77">
        <f>SUM(D75:D143)</f>
        <v/>
      </c>
    </row>
    <row r="145" ht="13.25" customHeight="1"/>
    <row r="146" ht="11.75" customHeight="1">
      <c r="A146" s="82" t="inlineStr">
        <is>
          <t>Net Profit</t>
        </is>
      </c>
      <c r="B146" s="83">
        <f>((B65 + B72) - B144)</f>
        <v/>
      </c>
      <c r="C146" s="83">
        <f>((C65 + C72) - C144)</f>
        <v/>
      </c>
      <c r="D146" s="83">
        <f>((D65 + D72) - D144)</f>
        <v/>
      </c>
    </row>
  </sheetData>
  <mergeCells count="7">
    <mergeCell ref="A74:D74"/>
    <mergeCell ref="A1:D1"/>
    <mergeCell ref="A2:D2"/>
    <mergeCell ref="A3:D3"/>
    <mergeCell ref="A7:D7"/>
    <mergeCell ref="A16:D16"/>
    <mergeCell ref="A67:D6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6"/>
  <sheetViews>
    <sheetView showGridLines="0" zoomScale="120" zoomScaleNormal="120" workbookViewId="0">
      <pane xSplit="1" ySplit="5" topLeftCell="B10" activePane="bottomRight" state="frozen"/>
      <selection pane="topRight" activeCell="B1" sqref="B1"/>
      <selection pane="bottomLeft" activeCell="A6" sqref="A6"/>
      <selection pane="bottomRight" activeCell="F23" sqref="F23"/>
    </sheetView>
  </sheetViews>
  <sheetFormatPr baseColWidth="10" defaultColWidth="8.83203125" defaultRowHeight="12"/>
  <cols>
    <col width="33" customWidth="1" style="87" min="1" max="1"/>
    <col width="12.1640625" bestFit="1" customWidth="1" style="87" min="2" max="8"/>
    <col width="10.83203125" customWidth="1" style="87" min="9" max="13"/>
    <col width="8.83203125" customWidth="1" style="87" min="14" max="14"/>
    <col width="8.83203125" customWidth="1" style="87" min="15" max="16384"/>
  </cols>
  <sheetData>
    <row r="1" ht="18" customFormat="1" customHeight="1" s="134">
      <c r="A1" s="133" t="inlineStr">
        <is>
          <t>Profit and Loss</t>
        </is>
      </c>
    </row>
    <row r="2" ht="15.5" customFormat="1" customHeight="1" s="136">
      <c r="A2" s="135" t="inlineStr">
        <is>
          <t>Cape Projects Construction (Pty) Ltd</t>
        </is>
      </c>
    </row>
    <row r="3" ht="15.5" customFormat="1" customHeight="1" s="136">
      <c r="A3" s="135" t="inlineStr">
        <is>
          <t>For the month ended 29 February 2024</t>
        </is>
      </c>
    </row>
    <row r="4" ht="13.25" customHeight="1"/>
    <row r="5" ht="13" customFormat="1" customHeight="1" s="90">
      <c r="A5" s="88" t="inlineStr">
        <is>
          <t>Account</t>
        </is>
      </c>
      <c r="B5" s="89" t="inlineStr">
        <is>
          <t>Feb 2024</t>
        </is>
      </c>
      <c r="C5" s="89" t="inlineStr">
        <is>
          <t>Jan 2024</t>
        </is>
      </c>
      <c r="D5" s="89" t="inlineStr">
        <is>
          <t>Dec 2023</t>
        </is>
      </c>
      <c r="E5" s="89" t="inlineStr">
        <is>
          <t>Nov 2023</t>
        </is>
      </c>
      <c r="F5" s="89" t="inlineStr">
        <is>
          <t>Oct 2023</t>
        </is>
      </c>
      <c r="G5" s="89" t="inlineStr">
        <is>
          <t>Sep 2023</t>
        </is>
      </c>
      <c r="H5" s="89" t="inlineStr">
        <is>
          <t>Aug 2023</t>
        </is>
      </c>
      <c r="I5" s="89" t="inlineStr">
        <is>
          <t>Jul 2023</t>
        </is>
      </c>
      <c r="J5" s="89" t="inlineStr">
        <is>
          <t>Jun 2023</t>
        </is>
      </c>
      <c r="K5" s="89" t="inlineStr">
        <is>
          <t>May 2023</t>
        </is>
      </c>
      <c r="L5" s="89" t="inlineStr">
        <is>
          <t>Apr 2023</t>
        </is>
      </c>
      <c r="M5" s="89" t="inlineStr">
        <is>
          <t>Mar 2023</t>
        </is>
      </c>
    </row>
    <row r="6" ht="13.25" customHeight="1"/>
    <row r="7" ht="13" customFormat="1" customHeight="1" s="90">
      <c r="A7" s="132" t="inlineStr">
        <is>
          <t>Trading Income</t>
        </is>
      </c>
      <c r="B7" s="127" t="n"/>
      <c r="C7" s="127" t="n"/>
      <c r="D7" s="127" t="n"/>
      <c r="E7" s="127" t="n"/>
      <c r="F7" s="127" t="n"/>
      <c r="G7" s="127" t="n"/>
      <c r="H7" s="127" t="n"/>
      <c r="I7" s="127" t="n"/>
      <c r="J7" s="127" t="n"/>
      <c r="K7" s="127" t="n"/>
      <c r="L7" s="127" t="n"/>
      <c r="M7" s="127" t="n"/>
    </row>
    <row r="8" ht="11.75" customHeight="1">
      <c r="A8" s="91" t="inlineStr">
        <is>
          <t>Fees - Construction - Heron</t>
        </is>
      </c>
      <c r="B8" s="92" t="n">
        <v>0</v>
      </c>
      <c r="C8" s="92" t="n">
        <v>0</v>
      </c>
      <c r="D8" s="92" t="n">
        <v>0</v>
      </c>
      <c r="E8" s="92" t="n">
        <v>0</v>
      </c>
      <c r="F8" s="92" t="n">
        <v>0</v>
      </c>
      <c r="G8" s="92" t="n">
        <v>0</v>
      </c>
      <c r="H8" s="92" t="n">
        <v>2750089.29</v>
      </c>
      <c r="I8" s="92" t="n">
        <v>4178067.3</v>
      </c>
      <c r="J8" s="92" t="n">
        <v>3889214.05</v>
      </c>
      <c r="K8" s="92" t="n">
        <v>4774233.25</v>
      </c>
      <c r="L8" s="92" t="n">
        <v>4336497.82</v>
      </c>
      <c r="M8" s="92" t="n">
        <v>4252624.12</v>
      </c>
    </row>
    <row r="9" ht="11.75" customHeight="1">
      <c r="A9" s="93" t="inlineStr">
        <is>
          <t>Total Trading Income</t>
        </is>
      </c>
      <c r="B9" s="94">
        <f>B8</f>
        <v/>
      </c>
      <c r="C9" s="94">
        <f>C8</f>
        <v/>
      </c>
      <c r="D9" s="94">
        <f>D8</f>
        <v/>
      </c>
      <c r="E9" s="94">
        <f>E8</f>
        <v/>
      </c>
      <c r="F9" s="94">
        <f>F8</f>
        <v/>
      </c>
      <c r="G9" s="94">
        <f>G8</f>
        <v/>
      </c>
      <c r="H9" s="94">
        <f>H8</f>
        <v/>
      </c>
      <c r="I9" s="94">
        <f>I8</f>
        <v/>
      </c>
      <c r="J9" s="94">
        <f>J8</f>
        <v/>
      </c>
      <c r="K9" s="94">
        <f>K8</f>
        <v/>
      </c>
      <c r="L9" s="94">
        <f>L8</f>
        <v/>
      </c>
      <c r="M9" s="94">
        <f>M8</f>
        <v/>
      </c>
    </row>
    <row r="10" ht="13.25" customHeight="1"/>
    <row r="11" ht="13" customFormat="1" customHeight="1" s="90">
      <c r="A11" s="132" t="inlineStr">
        <is>
          <t>Cost of Sales</t>
        </is>
      </c>
      <c r="B11" s="127" t="n"/>
      <c r="C11" s="127" t="n"/>
      <c r="D11" s="127" t="n"/>
      <c r="E11" s="127" t="n"/>
      <c r="F11" s="127" t="n"/>
      <c r="G11" s="127" t="n"/>
      <c r="H11" s="127" t="n"/>
      <c r="I11" s="127" t="n"/>
      <c r="J11" s="127" t="n"/>
      <c r="K11" s="127" t="n"/>
      <c r="L11" s="127" t="n"/>
      <c r="M11" s="127" t="n"/>
    </row>
    <row r="12" ht="11.75" customHeight="1">
      <c r="A12" s="91" t="inlineStr">
        <is>
          <t>COS - Bakhoven</t>
        </is>
      </c>
      <c r="B12" s="92" t="n">
        <v>0</v>
      </c>
      <c r="C12" s="92" t="n">
        <v>0</v>
      </c>
      <c r="D12" s="92" t="n">
        <v>0</v>
      </c>
      <c r="E12" s="92" t="n">
        <v>0</v>
      </c>
      <c r="F12" s="92" t="n">
        <v>0</v>
      </c>
      <c r="G12" s="92" t="n">
        <v>0</v>
      </c>
      <c r="H12" s="92" t="n">
        <v>0</v>
      </c>
      <c r="I12" s="92" t="n">
        <v>0</v>
      </c>
      <c r="J12" s="92" t="n">
        <v>0</v>
      </c>
      <c r="K12" s="92" t="n">
        <v>0</v>
      </c>
      <c r="L12" s="92" t="n">
        <v>0</v>
      </c>
      <c r="M12" s="92" t="n">
        <v>17292.48</v>
      </c>
    </row>
    <row r="13" ht="11.75" customHeight="1">
      <c r="A13" s="95" t="inlineStr">
        <is>
          <t>COS - Electricity Cost Endulini</t>
        </is>
      </c>
      <c r="B13" s="96" t="n">
        <v>0</v>
      </c>
      <c r="C13" s="96" t="n">
        <v>0</v>
      </c>
      <c r="D13" s="96" t="n">
        <v>0</v>
      </c>
      <c r="E13" s="96" t="n">
        <v>0</v>
      </c>
      <c r="F13" s="96" t="n">
        <v>0</v>
      </c>
      <c r="G13" s="96" t="n">
        <v>0</v>
      </c>
      <c r="H13" s="96" t="n">
        <v>0</v>
      </c>
      <c r="I13" s="96" t="n">
        <v>0</v>
      </c>
      <c r="J13" s="96" t="n">
        <v>86.95999999999999</v>
      </c>
      <c r="K13" s="96" t="n">
        <v>0</v>
      </c>
      <c r="L13" s="96" t="n">
        <v>0</v>
      </c>
      <c r="M13" s="96" t="n">
        <v>200</v>
      </c>
    </row>
    <row r="14" ht="11.75" customHeight="1">
      <c r="A14" s="95" t="inlineStr">
        <is>
          <t>COS - Electricity Cost Heron Field</t>
        </is>
      </c>
      <c r="B14" s="96" t="n">
        <v>0</v>
      </c>
      <c r="C14" s="96" t="n">
        <v>0</v>
      </c>
      <c r="D14" s="96" t="n">
        <v>0</v>
      </c>
      <c r="E14" s="96" t="n">
        <v>0</v>
      </c>
      <c r="F14" s="96" t="n">
        <v>0</v>
      </c>
      <c r="G14" s="96" t="n">
        <v>0</v>
      </c>
      <c r="H14" s="96" t="n">
        <v>0</v>
      </c>
      <c r="I14" s="96" t="n">
        <v>0</v>
      </c>
      <c r="J14" s="96" t="n">
        <v>86.95999999999999</v>
      </c>
      <c r="K14" s="96" t="n">
        <v>0</v>
      </c>
      <c r="L14" s="96" t="n">
        <v>0</v>
      </c>
      <c r="M14" s="96" t="n">
        <v>0</v>
      </c>
    </row>
    <row r="15" ht="11.75" customHeight="1">
      <c r="A15" s="95" t="inlineStr">
        <is>
          <t>COS - Endulini - Telephone &amp; Internet</t>
        </is>
      </c>
      <c r="B15" s="96" t="n">
        <v>0</v>
      </c>
      <c r="C15" s="96" t="n">
        <v>0</v>
      </c>
      <c r="D15" s="96" t="n">
        <v>0</v>
      </c>
      <c r="E15" s="96" t="n">
        <v>0</v>
      </c>
      <c r="F15" s="96" t="n">
        <v>0</v>
      </c>
      <c r="G15" s="96" t="n">
        <v>0</v>
      </c>
      <c r="H15" s="96" t="n">
        <v>0</v>
      </c>
      <c r="I15" s="96" t="n">
        <v>0</v>
      </c>
      <c r="J15" s="96" t="n">
        <v>0</v>
      </c>
      <c r="K15" s="96" t="n">
        <v>0</v>
      </c>
      <c r="L15" s="96" t="n">
        <v>0</v>
      </c>
      <c r="M15" s="96" t="n">
        <v>760.87</v>
      </c>
    </row>
    <row r="16" ht="11.75" customHeight="1">
      <c r="A16" s="95" t="inlineStr">
        <is>
          <t>COS - Endulini Construction</t>
        </is>
      </c>
      <c r="B16" s="96" t="n">
        <v>0</v>
      </c>
      <c r="C16" s="96" t="n">
        <v>0</v>
      </c>
      <c r="D16" s="96" t="n">
        <v>0</v>
      </c>
      <c r="E16" s="96" t="n">
        <v>0</v>
      </c>
      <c r="F16" s="96" t="n">
        <v>0</v>
      </c>
      <c r="G16" s="96" t="n">
        <v>0</v>
      </c>
      <c r="H16" s="96" t="n">
        <v>5129.48</v>
      </c>
      <c r="I16" s="96" t="n">
        <v>12386.25</v>
      </c>
      <c r="J16" s="96" t="n">
        <v>16372.1</v>
      </c>
      <c r="K16" s="96" t="n">
        <v>28166.51</v>
      </c>
      <c r="L16" s="96" t="n">
        <v>1344.32</v>
      </c>
      <c r="M16" s="96" t="n">
        <v>191661.47</v>
      </c>
    </row>
    <row r="17" ht="11.75" customHeight="1">
      <c r="A17" s="95" t="inlineStr">
        <is>
          <t>COS - Endulini P and G</t>
        </is>
      </c>
      <c r="B17" s="96" t="n">
        <v>0</v>
      </c>
      <c r="C17" s="96" t="n">
        <v>0</v>
      </c>
      <c r="D17" s="96" t="n">
        <v>0</v>
      </c>
      <c r="E17" s="96" t="n">
        <v>0</v>
      </c>
      <c r="F17" s="96" t="n">
        <v>0</v>
      </c>
      <c r="G17" s="96" t="n">
        <v>0</v>
      </c>
      <c r="H17" s="96" t="n">
        <v>1800</v>
      </c>
      <c r="I17" s="96" t="n">
        <v>115757.06</v>
      </c>
      <c r="J17" s="96" t="n">
        <v>2570.42</v>
      </c>
      <c r="K17" s="96" t="n">
        <v>2880.57</v>
      </c>
      <c r="L17" s="96" t="n">
        <v>1250.39</v>
      </c>
      <c r="M17" s="96" t="n">
        <v>24545.15</v>
      </c>
    </row>
    <row r="18" ht="11.75" customFormat="1" customHeight="1" s="99">
      <c r="A18" s="97" t="inlineStr">
        <is>
          <t>COS - Heron - Internet</t>
        </is>
      </c>
      <c r="B18" s="98" t="n">
        <v>0</v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1797.39</v>
      </c>
      <c r="I18" s="98" t="n">
        <v>1483.14</v>
      </c>
      <c r="J18" s="98" t="n">
        <v>1440.87</v>
      </c>
      <c r="K18" s="98" t="n">
        <v>1189.57</v>
      </c>
      <c r="L18" s="98" t="n">
        <v>1189.57</v>
      </c>
      <c r="M18" s="98" t="n">
        <v>1189.57</v>
      </c>
    </row>
    <row r="19" ht="11.75" customFormat="1" customHeight="1" s="99">
      <c r="A19" s="97" t="inlineStr">
        <is>
          <t>COS - Heron Fields - Construction</t>
        </is>
      </c>
      <c r="B19" s="98" t="n">
        <v>0</v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0</v>
      </c>
      <c r="H19" s="98" t="n">
        <v>74851.49000000001</v>
      </c>
      <c r="I19" s="98" t="n">
        <v>75191</v>
      </c>
      <c r="J19" s="98" t="n">
        <v>328611.84</v>
      </c>
      <c r="K19" s="98" t="n">
        <v>149683.77</v>
      </c>
      <c r="L19" s="98" t="n">
        <v>84649.57000000001</v>
      </c>
      <c r="M19" s="98" t="n">
        <v>776649.41</v>
      </c>
    </row>
    <row r="20" ht="11.75" customFormat="1" customHeight="1" s="99">
      <c r="A20" s="97" t="inlineStr">
        <is>
          <t>COS - Heron Fields - Health &amp; Safety</t>
        </is>
      </c>
      <c r="B20" s="98" t="n">
        <v>0</v>
      </c>
      <c r="C20" s="98" t="n">
        <v>0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694.78</v>
      </c>
      <c r="M20" s="98" t="n">
        <v>0</v>
      </c>
    </row>
    <row r="21" ht="11.75" customFormat="1" customHeight="1" s="99">
      <c r="A21" s="97" t="inlineStr">
        <is>
          <t>COS - Heron Fields - P &amp; G</t>
        </is>
      </c>
      <c r="B21" s="98" t="n">
        <v>0</v>
      </c>
      <c r="C21" s="98" t="n">
        <v>0</v>
      </c>
      <c r="D21" s="98" t="n">
        <v>0</v>
      </c>
      <c r="E21" s="98" t="n">
        <v>0</v>
      </c>
      <c r="F21" s="98" t="n">
        <v>0</v>
      </c>
      <c r="G21" s="98" t="n">
        <v>0</v>
      </c>
      <c r="H21" s="98" t="n">
        <v>47477.81</v>
      </c>
      <c r="I21" s="98" t="n">
        <v>79865.24000000001</v>
      </c>
      <c r="J21" s="98" t="n">
        <v>40224.74</v>
      </c>
      <c r="K21" s="98" t="n">
        <v>50267.62</v>
      </c>
      <c r="L21" s="98" t="n">
        <v>53004.4</v>
      </c>
      <c r="M21" s="98" t="n">
        <v>59157.63</v>
      </c>
    </row>
    <row r="22" ht="11.75" customFormat="1" customHeight="1" s="99">
      <c r="A22" s="97" t="inlineStr">
        <is>
          <t>COS - Heron Fields - Printing &amp; Stationary</t>
        </is>
      </c>
      <c r="B22" s="98" t="n">
        <v>0</v>
      </c>
      <c r="C22" s="98" t="n">
        <v>0</v>
      </c>
      <c r="D22" s="98" t="n">
        <v>0</v>
      </c>
      <c r="E22" s="98" t="n">
        <v>0</v>
      </c>
      <c r="F22" s="98" t="n">
        <v>0</v>
      </c>
      <c r="G22" s="98" t="n">
        <v>0</v>
      </c>
      <c r="H22" s="98" t="n">
        <v>0</v>
      </c>
      <c r="I22" s="98" t="n">
        <v>0</v>
      </c>
      <c r="J22" s="98" t="n">
        <v>0</v>
      </c>
      <c r="K22" s="98" t="n">
        <v>1129.57</v>
      </c>
      <c r="L22" s="98" t="n">
        <v>0</v>
      </c>
      <c r="M22" s="98" t="n">
        <v>0</v>
      </c>
    </row>
    <row r="23" ht="11.75" customFormat="1" customHeight="1" s="111">
      <c r="A23" s="109" t="inlineStr">
        <is>
          <t>COS - Heron View - Construction</t>
        </is>
      </c>
      <c r="B23" s="110" t="n">
        <v>0</v>
      </c>
      <c r="C23" s="110" t="n">
        <v>0</v>
      </c>
      <c r="D23" s="110" t="n">
        <v>0</v>
      </c>
      <c r="E23" s="110" t="n">
        <v>0</v>
      </c>
      <c r="F23" s="110" t="n">
        <v>0</v>
      </c>
      <c r="G23" s="110" t="n">
        <v>0</v>
      </c>
      <c r="H23" s="110" t="n">
        <v>2001986.92</v>
      </c>
      <c r="I23" s="110" t="n">
        <v>3233584.29</v>
      </c>
      <c r="J23" s="110" t="n">
        <v>2688761.77</v>
      </c>
      <c r="K23" s="110" t="n">
        <v>3793437.38</v>
      </c>
      <c r="L23" s="110" t="n">
        <v>3193925.31</v>
      </c>
      <c r="M23" s="110" t="n">
        <v>2483055.52</v>
      </c>
    </row>
    <row r="24" ht="11.75" customFormat="1" customHeight="1" s="111">
      <c r="A24" s="109" t="inlineStr">
        <is>
          <t>COS - Heron View - P&amp;G</t>
        </is>
      </c>
      <c r="B24" s="110" t="n">
        <v>0</v>
      </c>
      <c r="C24" s="110" t="n">
        <v>0</v>
      </c>
      <c r="D24" s="110" t="n">
        <v>0</v>
      </c>
      <c r="E24" s="110" t="n">
        <v>0</v>
      </c>
      <c r="F24" s="110" t="n">
        <v>0</v>
      </c>
      <c r="G24" s="110" t="n">
        <v>0</v>
      </c>
      <c r="H24" s="110" t="n">
        <v>43415.97</v>
      </c>
      <c r="I24" s="110" t="n">
        <v>24793.88</v>
      </c>
      <c r="J24" s="110" t="n">
        <v>28694.56</v>
      </c>
      <c r="K24" s="110" t="n">
        <v>61021.92</v>
      </c>
      <c r="L24" s="110" t="n">
        <v>111322.42</v>
      </c>
      <c r="M24" s="110" t="n">
        <v>263223.18</v>
      </c>
    </row>
    <row r="25" ht="11.75" customFormat="1" customHeight="1" s="111">
      <c r="A25" s="109" t="inlineStr">
        <is>
          <t>COS - Heron View - Printing &amp; Stationary</t>
        </is>
      </c>
      <c r="B25" s="110" t="n">
        <v>0</v>
      </c>
      <c r="C25" s="110" t="n">
        <v>0</v>
      </c>
      <c r="D25" s="110" t="n">
        <v>0</v>
      </c>
      <c r="E25" s="110" t="n">
        <v>0</v>
      </c>
      <c r="F25" s="110" t="n">
        <v>0</v>
      </c>
      <c r="G25" s="110" t="n">
        <v>0</v>
      </c>
      <c r="H25" s="110" t="n">
        <v>3776.28</v>
      </c>
      <c r="I25" s="110" t="n">
        <v>107.39</v>
      </c>
      <c r="J25" s="110" t="n">
        <v>8882.139999999999</v>
      </c>
      <c r="K25" s="110" t="n">
        <v>2170.45</v>
      </c>
      <c r="L25" s="110" t="n">
        <v>78.26000000000001</v>
      </c>
      <c r="M25" s="110" t="n">
        <v>0</v>
      </c>
    </row>
    <row r="26" ht="11.75" customHeight="1">
      <c r="A26" s="95" t="inlineStr">
        <is>
          <t>COS - Insurance</t>
        </is>
      </c>
      <c r="B26" s="96" t="n">
        <v>0</v>
      </c>
      <c r="C26" s="96" t="n">
        <v>0</v>
      </c>
      <c r="D26" s="96" t="n">
        <v>0</v>
      </c>
      <c r="E26" s="96" t="n">
        <v>0</v>
      </c>
      <c r="F26" s="96" t="n">
        <v>0</v>
      </c>
      <c r="G26" s="96" t="n">
        <v>0</v>
      </c>
      <c r="H26" s="96" t="n">
        <v>-20443.12</v>
      </c>
      <c r="I26" s="96" t="n">
        <v>0</v>
      </c>
      <c r="J26" s="96" t="n">
        <v>0</v>
      </c>
      <c r="K26" s="96" t="n">
        <v>0</v>
      </c>
      <c r="L26" s="96" t="n">
        <v>0</v>
      </c>
      <c r="M26" s="96" t="n">
        <v>2719.43</v>
      </c>
    </row>
    <row r="27" ht="11.75" customHeight="1">
      <c r="A27" s="95" t="inlineStr">
        <is>
          <t>COS - Repairs &amp; Maintenance - SH Soho</t>
        </is>
      </c>
      <c r="B27" s="96" t="n">
        <v>0</v>
      </c>
      <c r="C27" s="96" t="n">
        <v>0</v>
      </c>
      <c r="D27" s="96" t="n">
        <v>0</v>
      </c>
      <c r="E27" s="96" t="n">
        <v>0</v>
      </c>
      <c r="F27" s="96" t="n">
        <v>0</v>
      </c>
      <c r="G27" s="96" t="n">
        <v>0</v>
      </c>
      <c r="H27" s="96" t="n">
        <v>7096.87</v>
      </c>
      <c r="I27" s="96" t="n">
        <v>468.7</v>
      </c>
      <c r="J27" s="96" t="n">
        <v>0</v>
      </c>
      <c r="K27" s="96" t="n">
        <v>0</v>
      </c>
      <c r="L27" s="96" t="n">
        <v>0</v>
      </c>
      <c r="M27" s="96" t="n">
        <v>0</v>
      </c>
    </row>
    <row r="28" ht="11.75" customHeight="1">
      <c r="A28" s="95" t="inlineStr">
        <is>
          <t>COS - Repairs &amp; Maintenance - SW Southwark</t>
        </is>
      </c>
      <c r="B28" s="96" t="n">
        <v>0</v>
      </c>
      <c r="C28" s="96" t="n">
        <v>0</v>
      </c>
      <c r="D28" s="96" t="n">
        <v>0</v>
      </c>
      <c r="E28" s="96" t="n">
        <v>0</v>
      </c>
      <c r="F28" s="96" t="n">
        <v>0</v>
      </c>
      <c r="G28" s="96" t="n">
        <v>0</v>
      </c>
      <c r="H28" s="96" t="n">
        <v>2290.7</v>
      </c>
      <c r="I28" s="96" t="n">
        <v>25461.52</v>
      </c>
      <c r="J28" s="96" t="n">
        <v>0</v>
      </c>
      <c r="K28" s="96" t="n">
        <v>0</v>
      </c>
      <c r="L28" s="96" t="n">
        <v>0</v>
      </c>
      <c r="M28" s="96" t="n">
        <v>0</v>
      </c>
    </row>
    <row r="29" ht="11.75" customHeight="1">
      <c r="A29" s="95" t="inlineStr">
        <is>
          <t>COS - Security - Guarding</t>
        </is>
      </c>
      <c r="B29" s="96" t="n">
        <v>0</v>
      </c>
      <c r="C29" s="96" t="n">
        <v>0</v>
      </c>
      <c r="D29" s="96" t="n">
        <v>0</v>
      </c>
      <c r="E29" s="96" t="n">
        <v>0</v>
      </c>
      <c r="F29" s="96" t="n">
        <v>0</v>
      </c>
      <c r="G29" s="96" t="n">
        <v>0</v>
      </c>
      <c r="H29" s="96" t="n">
        <v>0</v>
      </c>
      <c r="I29" s="96" t="n">
        <v>11607.87</v>
      </c>
      <c r="J29" s="96" t="n">
        <v>30013.04</v>
      </c>
      <c r="K29" s="96" t="n">
        <v>0</v>
      </c>
      <c r="L29" s="96" t="n">
        <v>0</v>
      </c>
      <c r="M29" s="96" t="n">
        <v>0</v>
      </c>
    </row>
    <row r="30" ht="11.75" customHeight="1">
      <c r="A30" s="95" t="inlineStr">
        <is>
          <t>Cost of Sales - SouthWark Project</t>
        </is>
      </c>
      <c r="B30" s="96" t="n">
        <v>0</v>
      </c>
      <c r="C30" s="96" t="n">
        <v>0</v>
      </c>
      <c r="D30" s="96" t="n">
        <v>0</v>
      </c>
      <c r="E30" s="96" t="n">
        <v>0</v>
      </c>
      <c r="F30" s="96" t="n">
        <v>0</v>
      </c>
      <c r="G30" s="96" t="n">
        <v>0</v>
      </c>
      <c r="H30" s="96" t="n">
        <v>0</v>
      </c>
      <c r="I30" s="96" t="n">
        <v>-19.48</v>
      </c>
      <c r="J30" s="96" t="n">
        <v>2500</v>
      </c>
      <c r="K30" s="96" t="n">
        <v>20456.5</v>
      </c>
      <c r="L30" s="96" t="n">
        <v>486.95</v>
      </c>
      <c r="M30" s="96" t="n">
        <v>0</v>
      </c>
    </row>
    <row r="31" ht="11.75" customHeight="1">
      <c r="A31" s="93" t="inlineStr">
        <is>
          <t>Total Cost of Sales</t>
        </is>
      </c>
      <c r="B31" s="94">
        <f>SUM(B12:B30)</f>
        <v/>
      </c>
      <c r="C31" s="94">
        <f>SUM(C12:C30)</f>
        <v/>
      </c>
      <c r="D31" s="94">
        <f>SUM(D12:D30)</f>
        <v/>
      </c>
      <c r="E31" s="94">
        <f>SUM(E12:E30)</f>
        <v/>
      </c>
      <c r="F31" s="94">
        <f>SUM(F12:F30)</f>
        <v/>
      </c>
      <c r="G31" s="94">
        <f>SUM(G12:G30)</f>
        <v/>
      </c>
      <c r="H31" s="94">
        <f>SUM(H12:H30)</f>
        <v/>
      </c>
      <c r="I31" s="94">
        <f>SUM(I12:I30)</f>
        <v/>
      </c>
      <c r="J31" s="94">
        <f>SUM(J12:J30)</f>
        <v/>
      </c>
      <c r="K31" s="94">
        <f>SUM(K12:K30)</f>
        <v/>
      </c>
      <c r="L31" s="94">
        <f>SUM(L12:L30)</f>
        <v/>
      </c>
      <c r="M31" s="94">
        <f>SUM(M12:M30)</f>
        <v/>
      </c>
    </row>
    <row r="32" ht="13.25" customHeight="1"/>
    <row r="33" ht="11.75" customHeight="1">
      <c r="A33" s="100" t="inlineStr">
        <is>
          <t>Gross Profit</t>
        </is>
      </c>
      <c r="B33" s="101">
        <f>(B9 - B31)</f>
        <v/>
      </c>
      <c r="C33" s="101">
        <f>(C9 - C31)</f>
        <v/>
      </c>
      <c r="D33" s="101">
        <f>(D9 - D31)</f>
        <v/>
      </c>
      <c r="E33" s="101">
        <f>(E9 - E31)</f>
        <v/>
      </c>
      <c r="F33" s="101">
        <f>(F9 - F31)</f>
        <v/>
      </c>
      <c r="G33" s="101">
        <f>(G9 - G31)</f>
        <v/>
      </c>
      <c r="H33" s="101">
        <f>(H9 - H31)</f>
        <v/>
      </c>
      <c r="I33" s="101">
        <f>(I9 - I31)</f>
        <v/>
      </c>
      <c r="J33" s="101">
        <f>(J9 - J31)</f>
        <v/>
      </c>
      <c r="K33" s="101">
        <f>(K9 - K31)</f>
        <v/>
      </c>
      <c r="L33" s="101">
        <f>(L9 - L31)</f>
        <v/>
      </c>
      <c r="M33" s="101">
        <f>(M9 - M31)</f>
        <v/>
      </c>
    </row>
    <row r="34" ht="13.25" customHeight="1"/>
    <row r="35" ht="13" customFormat="1" customHeight="1" s="90">
      <c r="A35" s="132" t="inlineStr">
        <is>
          <t>Other Income</t>
        </is>
      </c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</row>
    <row r="36" ht="11.75" customHeight="1">
      <c r="A36" s="91" t="inlineStr">
        <is>
          <t>Interest Received - FNB</t>
        </is>
      </c>
      <c r="B36" s="92" t="n">
        <v>0</v>
      </c>
      <c r="C36" s="92" t="n">
        <v>0</v>
      </c>
      <c r="D36" s="92" t="n">
        <v>0</v>
      </c>
      <c r="E36" s="92" t="n">
        <v>0</v>
      </c>
      <c r="F36" s="92" t="n">
        <v>0</v>
      </c>
      <c r="G36" s="92" t="n">
        <v>0</v>
      </c>
      <c r="H36" s="92" t="n">
        <v>196.86</v>
      </c>
      <c r="I36" s="92" t="n">
        <v>99.59999999999999</v>
      </c>
      <c r="J36" s="92" t="n">
        <v>67.93000000000001</v>
      </c>
      <c r="K36" s="92" t="n">
        <v>17.19</v>
      </c>
      <c r="L36" s="92" t="n">
        <v>175.49</v>
      </c>
      <c r="M36" s="92" t="n">
        <v>144.7</v>
      </c>
    </row>
    <row r="37" ht="11.75" customHeight="1">
      <c r="A37" s="95" t="inlineStr">
        <is>
          <t>Interest received - Momentum</t>
        </is>
      </c>
      <c r="B37" s="96" t="n">
        <v>0</v>
      </c>
      <c r="C37" s="96" t="n">
        <v>0</v>
      </c>
      <c r="D37" s="96" t="n">
        <v>0</v>
      </c>
      <c r="E37" s="96" t="n">
        <v>0</v>
      </c>
      <c r="F37" s="96" t="n">
        <v>0</v>
      </c>
      <c r="G37" s="96" t="n">
        <v>0</v>
      </c>
      <c r="H37" s="96" t="n">
        <v>4.04</v>
      </c>
      <c r="I37" s="96" t="n">
        <v>4.02</v>
      </c>
      <c r="J37" s="96" t="n">
        <v>7.64</v>
      </c>
      <c r="K37" s="96" t="n">
        <v>0</v>
      </c>
      <c r="L37" s="96" t="n">
        <v>3.58</v>
      </c>
      <c r="M37" s="96" t="n">
        <v>6.81</v>
      </c>
    </row>
    <row r="38" ht="11.75" customHeight="1">
      <c r="A38" s="95" t="inlineStr">
        <is>
          <t>Rent - CT Office</t>
        </is>
      </c>
      <c r="B38" s="96" t="n">
        <v>0</v>
      </c>
      <c r="C38" s="96" t="n">
        <v>0</v>
      </c>
      <c r="D38" s="96" t="n">
        <v>0</v>
      </c>
      <c r="E38" s="96" t="n">
        <v>0</v>
      </c>
      <c r="F38" s="96" t="n">
        <v>0</v>
      </c>
      <c r="G38" s="96" t="n">
        <v>0</v>
      </c>
      <c r="H38" s="96" t="n">
        <v>0</v>
      </c>
      <c r="I38" s="96" t="n">
        <v>0</v>
      </c>
      <c r="J38" s="96" t="n">
        <v>0</v>
      </c>
      <c r="K38" s="96" t="n">
        <v>-3490.94</v>
      </c>
      <c r="L38" s="96" t="n">
        <v>0</v>
      </c>
      <c r="M38" s="96" t="n">
        <v>0</v>
      </c>
    </row>
    <row r="39" ht="11.75" customHeight="1">
      <c r="A39" s="93" t="inlineStr">
        <is>
          <t>Total Other Income</t>
        </is>
      </c>
      <c r="B39" s="94">
        <f>SUM(B36:B38)</f>
        <v/>
      </c>
      <c r="C39" s="94">
        <f>SUM(C36:C38)</f>
        <v/>
      </c>
      <c r="D39" s="94">
        <f>SUM(D36:D38)</f>
        <v/>
      </c>
      <c r="E39" s="94">
        <f>SUM(E36:E38)</f>
        <v/>
      </c>
      <c r="F39" s="94">
        <f>SUM(F36:F38)</f>
        <v/>
      </c>
      <c r="G39" s="94">
        <f>SUM(G36:G38)</f>
        <v/>
      </c>
      <c r="H39" s="94">
        <f>SUM(H36:H38)</f>
        <v/>
      </c>
      <c r="I39" s="94">
        <f>SUM(I36:I38)</f>
        <v/>
      </c>
      <c r="J39" s="94">
        <f>SUM(J36:J38)</f>
        <v/>
      </c>
      <c r="K39" s="94">
        <f>SUM(K36:K38)</f>
        <v/>
      </c>
      <c r="L39" s="94">
        <f>SUM(L36:L38)</f>
        <v/>
      </c>
      <c r="M39" s="94">
        <f>SUM(M36:M38)</f>
        <v/>
      </c>
    </row>
    <row r="40" ht="13.25" customHeight="1"/>
    <row r="41" ht="13" customFormat="1" customHeight="1" s="90">
      <c r="A41" s="132" t="inlineStr">
        <is>
          <t>Operating Expenses</t>
        </is>
      </c>
      <c r="B41" s="127" t="n"/>
      <c r="C41" s="127" t="n"/>
      <c r="D41" s="127" t="n"/>
      <c r="E41" s="127" t="n"/>
      <c r="F41" s="127" t="n"/>
      <c r="G41" s="127" t="n"/>
      <c r="H41" s="127" t="n"/>
      <c r="I41" s="127" t="n"/>
      <c r="J41" s="127" t="n"/>
      <c r="K41" s="127" t="n"/>
      <c r="L41" s="127" t="n"/>
      <c r="M41" s="127" t="n"/>
    </row>
    <row r="42" ht="11.75" customFormat="1" customHeight="1" s="104">
      <c r="A42" s="102" t="inlineStr">
        <is>
          <t>Accounting Fees - Audit</t>
        </is>
      </c>
      <c r="B42" s="103" t="n">
        <v>0</v>
      </c>
      <c r="C42" s="103" t="n">
        <v>0</v>
      </c>
      <c r="D42" s="103" t="n">
        <v>0</v>
      </c>
      <c r="E42" s="103" t="n">
        <v>0</v>
      </c>
      <c r="F42" s="103" t="n">
        <v>0</v>
      </c>
      <c r="G42" s="103" t="n">
        <v>0</v>
      </c>
      <c r="H42" s="103" t="n">
        <v>0</v>
      </c>
      <c r="I42" s="103" t="n">
        <v>0</v>
      </c>
      <c r="J42" s="103" t="n">
        <v>11170</v>
      </c>
      <c r="K42" s="103" t="n">
        <v>0</v>
      </c>
      <c r="L42" s="103" t="n">
        <v>0</v>
      </c>
      <c r="M42" s="103" t="n">
        <v>0</v>
      </c>
    </row>
    <row r="43" ht="11.75" customFormat="1" customHeight="1" s="104">
      <c r="A43" s="105" t="inlineStr">
        <is>
          <t>Accounting Fees - Other</t>
        </is>
      </c>
      <c r="B43" s="106" t="n">
        <v>0</v>
      </c>
      <c r="C43" s="106" t="n">
        <v>0</v>
      </c>
      <c r="D43" s="106" t="n">
        <v>0</v>
      </c>
      <c r="E43" s="106" t="n">
        <v>0</v>
      </c>
      <c r="F43" s="106" t="n">
        <v>0</v>
      </c>
      <c r="G43" s="106" t="n">
        <v>0</v>
      </c>
      <c r="H43" s="106" t="n">
        <v>0</v>
      </c>
      <c r="I43" s="106" t="n">
        <v>700</v>
      </c>
      <c r="J43" s="106" t="n">
        <v>580</v>
      </c>
      <c r="K43" s="106" t="n">
        <v>0</v>
      </c>
      <c r="L43" s="106" t="n">
        <v>0</v>
      </c>
      <c r="M43" s="106" t="n">
        <v>0</v>
      </c>
    </row>
    <row r="44" ht="11.75" customFormat="1" customHeight="1" s="104">
      <c r="A44" s="105" t="inlineStr">
        <is>
          <t>Advertising - Design Fees</t>
        </is>
      </c>
      <c r="B44" s="106" t="n">
        <v>0</v>
      </c>
      <c r="C44" s="106" t="n">
        <v>0</v>
      </c>
      <c r="D44" s="106" t="n">
        <v>0</v>
      </c>
      <c r="E44" s="106" t="n">
        <v>0</v>
      </c>
      <c r="F44" s="106" t="n">
        <v>0</v>
      </c>
      <c r="G44" s="106" t="n">
        <v>0</v>
      </c>
      <c r="H44" s="106" t="n">
        <v>0</v>
      </c>
      <c r="I44" s="106" t="n">
        <v>0</v>
      </c>
      <c r="J44" s="106" t="n">
        <v>0</v>
      </c>
      <c r="K44" s="106" t="n">
        <v>0</v>
      </c>
      <c r="L44" s="106" t="n">
        <v>0</v>
      </c>
      <c r="M44" s="106" t="n">
        <v>295</v>
      </c>
    </row>
    <row r="45" ht="11.75" customFormat="1" customHeight="1" s="104">
      <c r="A45" s="105" t="inlineStr">
        <is>
          <t>Advertising - Other</t>
        </is>
      </c>
      <c r="B45" s="106" t="n">
        <v>0</v>
      </c>
      <c r="C45" s="106" t="n">
        <v>0</v>
      </c>
      <c r="D45" s="106" t="n">
        <v>0</v>
      </c>
      <c r="E45" s="106" t="n">
        <v>0</v>
      </c>
      <c r="F45" s="106" t="n">
        <v>0</v>
      </c>
      <c r="G45" s="106" t="n">
        <v>0</v>
      </c>
      <c r="H45" s="106" t="n">
        <v>0</v>
      </c>
      <c r="I45" s="106" t="n">
        <v>0</v>
      </c>
      <c r="J45" s="106" t="n">
        <v>885</v>
      </c>
      <c r="K45" s="106" t="n">
        <v>0</v>
      </c>
      <c r="L45" s="106" t="n">
        <v>0</v>
      </c>
      <c r="M45" s="106" t="n">
        <v>712</v>
      </c>
    </row>
    <row r="46" ht="11.75" customFormat="1" customHeight="1" s="104">
      <c r="A46" s="105" t="inlineStr">
        <is>
          <t>Advertising _AND_ Promotions</t>
        </is>
      </c>
      <c r="B46" s="106" t="n">
        <v>0</v>
      </c>
      <c r="C46" s="106" t="n">
        <v>0</v>
      </c>
      <c r="D46" s="106" t="n">
        <v>0</v>
      </c>
      <c r="E46" s="106" t="n">
        <v>0</v>
      </c>
      <c r="F46" s="106" t="n">
        <v>0</v>
      </c>
      <c r="G46" s="106" t="n">
        <v>0</v>
      </c>
      <c r="H46" s="106" t="n">
        <v>4025</v>
      </c>
      <c r="I46" s="106" t="n">
        <v>3450</v>
      </c>
      <c r="J46" s="106" t="n">
        <v>1200</v>
      </c>
      <c r="K46" s="106" t="n">
        <v>0</v>
      </c>
      <c r="L46" s="106" t="n">
        <v>0</v>
      </c>
      <c r="M46" s="106" t="n">
        <v>0</v>
      </c>
    </row>
    <row r="47" ht="11.75" customFormat="1" customHeight="1" s="104">
      <c r="A47" s="105" t="inlineStr">
        <is>
          <t>Bank Charges</t>
        </is>
      </c>
      <c r="B47" s="106" t="n">
        <v>0</v>
      </c>
      <c r="C47" s="106" t="n">
        <v>0</v>
      </c>
      <c r="D47" s="106" t="n">
        <v>0</v>
      </c>
      <c r="E47" s="106" t="n">
        <v>0</v>
      </c>
      <c r="F47" s="106" t="n">
        <v>0</v>
      </c>
      <c r="G47" s="106" t="n">
        <v>0</v>
      </c>
      <c r="H47" s="106" t="n">
        <v>2073.8</v>
      </c>
      <c r="I47" s="106" t="n">
        <v>1918.65</v>
      </c>
      <c r="J47" s="106" t="n">
        <v>1821.46</v>
      </c>
      <c r="K47" s="106" t="n">
        <v>1869.9</v>
      </c>
      <c r="L47" s="106" t="n">
        <v>1777.27</v>
      </c>
      <c r="M47" s="106" t="n">
        <v>1931.46</v>
      </c>
    </row>
    <row r="48" ht="11.75" customHeight="1">
      <c r="A48" s="95" t="inlineStr">
        <is>
          <t>BIBC Company Contribution</t>
        </is>
      </c>
      <c r="B48" s="96" t="n">
        <v>0</v>
      </c>
      <c r="C48" s="96" t="n">
        <v>0</v>
      </c>
      <c r="D48" s="96" t="n">
        <v>0</v>
      </c>
      <c r="E48" s="96" t="n">
        <v>0</v>
      </c>
      <c r="F48" s="96" t="n">
        <v>0</v>
      </c>
      <c r="G48" s="96" t="n">
        <v>0</v>
      </c>
      <c r="H48" s="96" t="n">
        <v>0</v>
      </c>
      <c r="I48" s="96" t="n">
        <v>0</v>
      </c>
      <c r="J48" s="96" t="n">
        <v>0</v>
      </c>
      <c r="K48" s="96" t="n">
        <v>3007.35</v>
      </c>
      <c r="L48" s="96" t="n">
        <v>7034</v>
      </c>
      <c r="M48" s="96" t="n">
        <v>5034</v>
      </c>
    </row>
    <row r="49" ht="11.75" customHeight="1">
      <c r="A49" s="95" t="inlineStr">
        <is>
          <t>BIBC Employee Contribution</t>
        </is>
      </c>
      <c r="B49" s="96" t="n">
        <v>0</v>
      </c>
      <c r="C49" s="96" t="n">
        <v>0</v>
      </c>
      <c r="D49" s="96" t="n">
        <v>0</v>
      </c>
      <c r="E49" s="96" t="n">
        <v>0</v>
      </c>
      <c r="F49" s="96" t="n">
        <v>0</v>
      </c>
      <c r="G49" s="96" t="n">
        <v>0</v>
      </c>
      <c r="H49" s="96" t="n">
        <v>0</v>
      </c>
      <c r="I49" s="96" t="n">
        <v>0</v>
      </c>
      <c r="J49" s="96" t="n">
        <v>0</v>
      </c>
      <c r="K49" s="96" t="n">
        <v>1011.6</v>
      </c>
      <c r="L49" s="96" t="n">
        <v>1775.25</v>
      </c>
      <c r="M49" s="96" t="n">
        <v>1775.25</v>
      </c>
    </row>
    <row r="50" ht="11.75" customFormat="1" customHeight="1" s="104">
      <c r="A50" s="105" t="inlineStr">
        <is>
          <t>Cleaning</t>
        </is>
      </c>
      <c r="B50" s="106" t="n">
        <v>0</v>
      </c>
      <c r="C50" s="106" t="n">
        <v>0</v>
      </c>
      <c r="D50" s="106" t="n">
        <v>0</v>
      </c>
      <c r="E50" s="106" t="n">
        <v>0</v>
      </c>
      <c r="F50" s="106" t="n">
        <v>0</v>
      </c>
      <c r="G50" s="106" t="n">
        <v>0</v>
      </c>
      <c r="H50" s="106" t="n">
        <v>0</v>
      </c>
      <c r="I50" s="106" t="n">
        <v>78.23999999999999</v>
      </c>
      <c r="J50" s="106" t="n">
        <v>0</v>
      </c>
      <c r="K50" s="106" t="n">
        <v>78.25</v>
      </c>
      <c r="L50" s="106" t="n">
        <v>0</v>
      </c>
      <c r="M50" s="106" t="n">
        <v>355.4</v>
      </c>
    </row>
    <row r="51" ht="11.75" customFormat="1" customHeight="1" s="104">
      <c r="A51" s="105" t="inlineStr">
        <is>
          <t>Computer Exp - IT, Internet/Hosting Fee</t>
        </is>
      </c>
      <c r="B51" s="106" t="n">
        <v>0</v>
      </c>
      <c r="C51" s="106" t="n">
        <v>0</v>
      </c>
      <c r="D51" s="106" t="n">
        <v>0</v>
      </c>
      <c r="E51" s="106" t="n">
        <v>0</v>
      </c>
      <c r="F51" s="106" t="n">
        <v>0</v>
      </c>
      <c r="G51" s="106" t="n">
        <v>0</v>
      </c>
      <c r="H51" s="106" t="n">
        <v>5130</v>
      </c>
      <c r="I51" s="106" t="n">
        <v>3130</v>
      </c>
      <c r="J51" s="106" t="n">
        <v>4230</v>
      </c>
      <c r="K51" s="106" t="n">
        <v>3130</v>
      </c>
      <c r="L51" s="106" t="n">
        <v>2532</v>
      </c>
      <c r="M51" s="106" t="n">
        <v>5177</v>
      </c>
    </row>
    <row r="52" ht="11.75" customFormat="1" customHeight="1" s="104">
      <c r="A52" s="105" t="inlineStr">
        <is>
          <t>Computer Expenses</t>
        </is>
      </c>
      <c r="B52" s="106" t="n">
        <v>0</v>
      </c>
      <c r="C52" s="106" t="n">
        <v>0</v>
      </c>
      <c r="D52" s="106" t="n">
        <v>0</v>
      </c>
      <c r="E52" s="106" t="n">
        <v>0</v>
      </c>
      <c r="F52" s="106" t="n">
        <v>0</v>
      </c>
      <c r="G52" s="106" t="n">
        <v>0</v>
      </c>
      <c r="H52" s="106" t="n">
        <v>0</v>
      </c>
      <c r="I52" s="106" t="n">
        <v>749</v>
      </c>
      <c r="J52" s="106" t="n">
        <v>0</v>
      </c>
      <c r="K52" s="106" t="n">
        <v>1999.13</v>
      </c>
      <c r="L52" s="106" t="n">
        <v>0</v>
      </c>
      <c r="M52" s="106" t="n">
        <v>1604.52</v>
      </c>
    </row>
    <row r="53" ht="11.75" customHeight="1">
      <c r="A53" s="95" t="inlineStr">
        <is>
          <t>Consulting Fees - Admin and Finance</t>
        </is>
      </c>
      <c r="B53" s="96" t="n">
        <v>0</v>
      </c>
      <c r="C53" s="96" t="n">
        <v>0</v>
      </c>
      <c r="D53" s="96" t="n">
        <v>0</v>
      </c>
      <c r="E53" s="96" t="n">
        <v>0</v>
      </c>
      <c r="F53" s="96" t="n">
        <v>0</v>
      </c>
      <c r="G53" s="96" t="n">
        <v>0</v>
      </c>
      <c r="H53" s="96" t="n">
        <v>119697</v>
      </c>
      <c r="I53" s="96" t="n">
        <v>119527</v>
      </c>
      <c r="J53" s="96" t="n">
        <v>119527</v>
      </c>
      <c r="K53" s="96" t="n">
        <v>119527</v>
      </c>
      <c r="L53" s="96" t="n">
        <v>110452</v>
      </c>
      <c r="M53" s="96" t="n">
        <v>144016.7</v>
      </c>
    </row>
    <row r="54" ht="11.75" customFormat="1" customHeight="1" s="104">
      <c r="A54" s="105" t="inlineStr">
        <is>
          <t>Courier _AND_ Postage</t>
        </is>
      </c>
      <c r="B54" s="106" t="n">
        <v>0</v>
      </c>
      <c r="C54" s="106" t="n">
        <v>0</v>
      </c>
      <c r="D54" s="106" t="n">
        <v>0</v>
      </c>
      <c r="E54" s="106" t="n">
        <v>0</v>
      </c>
      <c r="F54" s="106" t="n">
        <v>0</v>
      </c>
      <c r="G54" s="106" t="n">
        <v>0</v>
      </c>
      <c r="H54" s="106" t="n">
        <v>0</v>
      </c>
      <c r="I54" s="106" t="n">
        <v>0</v>
      </c>
      <c r="J54" s="106" t="n">
        <v>0</v>
      </c>
      <c r="K54" s="106" t="n">
        <v>86.09</v>
      </c>
      <c r="L54" s="106" t="n">
        <v>0</v>
      </c>
      <c r="M54" s="106" t="n">
        <v>0</v>
      </c>
    </row>
    <row r="55" ht="11.75" customHeight="1">
      <c r="A55" s="95" t="inlineStr">
        <is>
          <t>Depreciation - Computer Equipment</t>
        </is>
      </c>
      <c r="B55" s="96" t="n">
        <v>0</v>
      </c>
      <c r="C55" s="96" t="n">
        <v>0</v>
      </c>
      <c r="D55" s="96" t="n">
        <v>0</v>
      </c>
      <c r="E55" s="96" t="n">
        <v>0</v>
      </c>
      <c r="F55" s="96" t="n">
        <v>0</v>
      </c>
      <c r="G55" s="96" t="n">
        <v>0</v>
      </c>
      <c r="H55" s="96" t="n">
        <v>3323.89</v>
      </c>
      <c r="I55" s="96" t="n">
        <v>3323.92</v>
      </c>
      <c r="J55" s="96" t="n">
        <v>3323.88</v>
      </c>
      <c r="K55" s="96" t="n">
        <v>3323.91</v>
      </c>
      <c r="L55" s="96" t="n">
        <v>3323.88</v>
      </c>
      <c r="M55" s="96" t="n">
        <v>3323.91</v>
      </c>
    </row>
    <row r="56" ht="11.75" customHeight="1">
      <c r="A56" s="95" t="inlineStr">
        <is>
          <t>Depreciation - Furniture and Fittings</t>
        </is>
      </c>
      <c r="B56" s="96" t="n">
        <v>0</v>
      </c>
      <c r="C56" s="96" t="n">
        <v>0</v>
      </c>
      <c r="D56" s="96" t="n">
        <v>0</v>
      </c>
      <c r="E56" s="96" t="n">
        <v>0</v>
      </c>
      <c r="F56" s="96" t="n">
        <v>0</v>
      </c>
      <c r="G56" s="96" t="n">
        <v>0</v>
      </c>
      <c r="H56" s="96" t="n">
        <v>547.67</v>
      </c>
      <c r="I56" s="96" t="n">
        <v>547.6900000000001</v>
      </c>
      <c r="J56" s="96" t="n">
        <v>547.67</v>
      </c>
      <c r="K56" s="96" t="n">
        <v>547.6799999999999</v>
      </c>
      <c r="L56" s="96" t="n">
        <v>547.67</v>
      </c>
      <c r="M56" s="96" t="n">
        <v>547.6799999999999</v>
      </c>
    </row>
    <row r="57" ht="11.75" customHeight="1">
      <c r="A57" s="95" t="inlineStr">
        <is>
          <t>Depreciation - Generator Fixed Asset</t>
        </is>
      </c>
      <c r="B57" s="96" t="n">
        <v>0</v>
      </c>
      <c r="C57" s="96" t="n">
        <v>0</v>
      </c>
      <c r="D57" s="96" t="n">
        <v>0</v>
      </c>
      <c r="E57" s="96" t="n">
        <v>0</v>
      </c>
      <c r="F57" s="96" t="n">
        <v>0</v>
      </c>
      <c r="G57" s="96" t="n">
        <v>0</v>
      </c>
      <c r="H57" s="96" t="n">
        <v>1188.7</v>
      </c>
      <c r="I57" s="96" t="n">
        <v>1188.71</v>
      </c>
      <c r="J57" s="96" t="n">
        <v>1188.69</v>
      </c>
      <c r="K57" s="96" t="n">
        <v>1188.7</v>
      </c>
      <c r="L57" s="96" t="n">
        <v>193.34</v>
      </c>
      <c r="M57" s="96" t="n">
        <v>193.33</v>
      </c>
    </row>
    <row r="58" ht="11.75" customHeight="1">
      <c r="A58" s="95" t="inlineStr">
        <is>
          <t>Electricity _AND_ Water</t>
        </is>
      </c>
      <c r="B58" s="96" t="n">
        <v>0</v>
      </c>
      <c r="C58" s="96" t="n">
        <v>0</v>
      </c>
      <c r="D58" s="96" t="n">
        <v>0</v>
      </c>
      <c r="E58" s="96" t="n">
        <v>0</v>
      </c>
      <c r="F58" s="96" t="n">
        <v>0</v>
      </c>
      <c r="G58" s="96" t="n">
        <v>0</v>
      </c>
      <c r="H58" s="96" t="n">
        <v>7399.44</v>
      </c>
      <c r="I58" s="96" t="n">
        <v>7214.2</v>
      </c>
      <c r="J58" s="96" t="n">
        <v>6082.97</v>
      </c>
      <c r="K58" s="96" t="n">
        <v>5058.34</v>
      </c>
      <c r="L58" s="96" t="n">
        <v>6676.08</v>
      </c>
      <c r="M58" s="96" t="n">
        <v>7428.07</v>
      </c>
    </row>
    <row r="59" ht="11.75" customFormat="1" customHeight="1" s="104">
      <c r="A59" s="105" t="inlineStr">
        <is>
          <t>Insurance - Santam</t>
        </is>
      </c>
      <c r="B59" s="106" t="n">
        <v>0</v>
      </c>
      <c r="C59" s="106" t="n">
        <v>0</v>
      </c>
      <c r="D59" s="106" t="n">
        <v>0</v>
      </c>
      <c r="E59" s="106" t="n">
        <v>0</v>
      </c>
      <c r="F59" s="106" t="n">
        <v>0</v>
      </c>
      <c r="G59" s="106" t="n">
        <v>0</v>
      </c>
      <c r="H59" s="106" t="n">
        <v>2085.79</v>
      </c>
      <c r="I59" s="106" t="n">
        <v>2063.15</v>
      </c>
      <c r="J59" s="106" t="n">
        <v>2089.86</v>
      </c>
      <c r="K59" s="106" t="n">
        <v>0</v>
      </c>
      <c r="L59" s="106" t="n">
        <v>4275.67</v>
      </c>
      <c r="M59" s="106" t="n">
        <v>1458.74</v>
      </c>
    </row>
    <row r="60" ht="11.75" customFormat="1" customHeight="1" s="104">
      <c r="A60" s="105" t="inlineStr">
        <is>
          <t>Legal Fees</t>
        </is>
      </c>
      <c r="B60" s="106" t="n">
        <v>0</v>
      </c>
      <c r="C60" s="106" t="n">
        <v>0</v>
      </c>
      <c r="D60" s="106" t="n">
        <v>0</v>
      </c>
      <c r="E60" s="106" t="n">
        <v>0</v>
      </c>
      <c r="F60" s="106" t="n">
        <v>0</v>
      </c>
      <c r="G60" s="106" t="n">
        <v>0</v>
      </c>
      <c r="H60" s="106" t="n">
        <v>0</v>
      </c>
      <c r="I60" s="106" t="n">
        <v>0</v>
      </c>
      <c r="J60" s="106" t="n">
        <v>0</v>
      </c>
      <c r="K60" s="106" t="n">
        <v>0</v>
      </c>
      <c r="L60" s="106" t="n">
        <v>5202.88</v>
      </c>
      <c r="M60" s="106" t="n">
        <v>0</v>
      </c>
    </row>
    <row r="61" ht="11.75" customFormat="1" customHeight="1" s="104">
      <c r="A61" s="105" t="inlineStr">
        <is>
          <t>Motor Vehicle - Insurance _AND_ Licence</t>
        </is>
      </c>
      <c r="B61" s="106" t="n">
        <v>0</v>
      </c>
      <c r="C61" s="106" t="n">
        <v>0</v>
      </c>
      <c r="D61" s="106" t="n">
        <v>0</v>
      </c>
      <c r="E61" s="106" t="n">
        <v>0</v>
      </c>
      <c r="F61" s="106" t="n">
        <v>0</v>
      </c>
      <c r="G61" s="106" t="n">
        <v>0</v>
      </c>
      <c r="H61" s="106" t="n">
        <v>0</v>
      </c>
      <c r="I61" s="106" t="n">
        <v>0</v>
      </c>
      <c r="J61" s="106" t="n">
        <v>1069</v>
      </c>
      <c r="K61" s="106" t="n">
        <v>0</v>
      </c>
      <c r="L61" s="106" t="n">
        <v>0</v>
      </c>
      <c r="M61" s="106" t="n">
        <v>0</v>
      </c>
    </row>
    <row r="62" ht="11.75" customFormat="1" customHeight="1" s="104">
      <c r="A62" s="105" t="inlineStr">
        <is>
          <t>Motor Vehicle - Petrol _AND_ Oil</t>
        </is>
      </c>
      <c r="B62" s="106" t="n">
        <v>0</v>
      </c>
      <c r="C62" s="106" t="n">
        <v>0</v>
      </c>
      <c r="D62" s="106" t="n">
        <v>0</v>
      </c>
      <c r="E62" s="106" t="n">
        <v>0</v>
      </c>
      <c r="F62" s="106" t="n">
        <v>0</v>
      </c>
      <c r="G62" s="106" t="n">
        <v>0</v>
      </c>
      <c r="H62" s="106" t="n">
        <v>590.1</v>
      </c>
      <c r="I62" s="106" t="n">
        <v>4022.51</v>
      </c>
      <c r="J62" s="106" t="n">
        <v>3175.51</v>
      </c>
      <c r="K62" s="106" t="n">
        <v>4892.22</v>
      </c>
      <c r="L62" s="106" t="n">
        <v>7124.28</v>
      </c>
      <c r="M62" s="106" t="n">
        <v>5589.51</v>
      </c>
    </row>
    <row r="63" ht="11.75" customFormat="1" customHeight="1" s="104">
      <c r="A63" s="105" t="inlineStr">
        <is>
          <t>Motor Vehicle Expenses</t>
        </is>
      </c>
      <c r="B63" s="106" t="n">
        <v>0</v>
      </c>
      <c r="C63" s="106" t="n">
        <v>0</v>
      </c>
      <c r="D63" s="106" t="n">
        <v>0</v>
      </c>
      <c r="E63" s="106" t="n">
        <v>0</v>
      </c>
      <c r="F63" s="106" t="n">
        <v>0</v>
      </c>
      <c r="G63" s="106" t="n">
        <v>0</v>
      </c>
      <c r="H63" s="106" t="n">
        <v>0</v>
      </c>
      <c r="I63" s="106" t="n">
        <v>0</v>
      </c>
      <c r="J63" s="106" t="n">
        <v>0</v>
      </c>
      <c r="K63" s="106" t="n">
        <v>0</v>
      </c>
      <c r="L63" s="106" t="n">
        <v>362</v>
      </c>
      <c r="M63" s="106" t="n">
        <v>0</v>
      </c>
    </row>
    <row r="64" ht="11.75" customHeight="1">
      <c r="A64" s="95" t="inlineStr">
        <is>
          <t>PAYE Contributions</t>
        </is>
      </c>
      <c r="B64" s="96" t="n">
        <v>0</v>
      </c>
      <c r="C64" s="96" t="n">
        <v>0</v>
      </c>
      <c r="D64" s="96" t="n">
        <v>0</v>
      </c>
      <c r="E64" s="96" t="n">
        <v>0</v>
      </c>
      <c r="F64" s="96" t="n">
        <v>0</v>
      </c>
      <c r="G64" s="96" t="n">
        <v>0</v>
      </c>
      <c r="H64" s="96" t="n">
        <v>81778.72</v>
      </c>
      <c r="I64" s="96" t="n">
        <v>82564.37</v>
      </c>
      <c r="J64" s="96" t="n">
        <v>82763.78</v>
      </c>
      <c r="K64" s="96" t="n">
        <v>77215.96000000001</v>
      </c>
      <c r="L64" s="96" t="n">
        <v>76990.11</v>
      </c>
      <c r="M64" s="96" t="n">
        <v>75818.38</v>
      </c>
    </row>
    <row r="65" ht="11.75" customFormat="1" customHeight="1" s="104">
      <c r="A65" s="105" t="inlineStr">
        <is>
          <t>Printing - Printer rental</t>
        </is>
      </c>
      <c r="B65" s="106" t="n">
        <v>0</v>
      </c>
      <c r="C65" s="106" t="n">
        <v>0</v>
      </c>
      <c r="D65" s="106" t="n">
        <v>0</v>
      </c>
      <c r="E65" s="106" t="n">
        <v>0</v>
      </c>
      <c r="F65" s="106" t="n">
        <v>0</v>
      </c>
      <c r="G65" s="106" t="n">
        <v>0</v>
      </c>
      <c r="H65" s="106" t="n">
        <v>2172.72</v>
      </c>
      <c r="I65" s="106" t="n">
        <v>1459.35</v>
      </c>
      <c r="J65" s="106" t="n">
        <v>704.96</v>
      </c>
      <c r="K65" s="106" t="n">
        <v>2190.96</v>
      </c>
      <c r="L65" s="106" t="n">
        <v>1777.93</v>
      </c>
      <c r="M65" s="106" t="n">
        <v>1375.3</v>
      </c>
    </row>
    <row r="66" ht="11.75" customFormat="1" customHeight="1" s="104">
      <c r="A66" s="105" t="inlineStr">
        <is>
          <t>Printing _AND_ Stationery</t>
        </is>
      </c>
      <c r="B66" s="106" t="n">
        <v>0</v>
      </c>
      <c r="C66" s="106" t="n">
        <v>0</v>
      </c>
      <c r="D66" s="106" t="n">
        <v>0</v>
      </c>
      <c r="E66" s="106" t="n">
        <v>0</v>
      </c>
      <c r="F66" s="106" t="n">
        <v>0</v>
      </c>
      <c r="G66" s="106" t="n">
        <v>0</v>
      </c>
      <c r="H66" s="106" t="n">
        <v>2648.22</v>
      </c>
      <c r="I66" s="106" t="n">
        <v>5699.68</v>
      </c>
      <c r="J66" s="106" t="n">
        <v>4327.12</v>
      </c>
      <c r="K66" s="106" t="n">
        <v>2190.86</v>
      </c>
      <c r="L66" s="106" t="n">
        <v>1173.91</v>
      </c>
      <c r="M66" s="106" t="n">
        <v>2299.13</v>
      </c>
    </row>
    <row r="67" ht="11.75" customHeight="1">
      <c r="A67" s="95" t="inlineStr">
        <is>
          <t>Rates</t>
        </is>
      </c>
      <c r="B67" s="96" t="n">
        <v>0</v>
      </c>
      <c r="C67" s="96" t="n">
        <v>0</v>
      </c>
      <c r="D67" s="96" t="n">
        <v>0</v>
      </c>
      <c r="E67" s="96" t="n">
        <v>0</v>
      </c>
      <c r="F67" s="96" t="n">
        <v>0</v>
      </c>
      <c r="G67" s="96" t="n">
        <v>0</v>
      </c>
      <c r="H67" s="96" t="n">
        <v>2871.04</v>
      </c>
      <c r="I67" s="96" t="n">
        <v>843.6</v>
      </c>
      <c r="J67" s="96" t="n">
        <v>843.6</v>
      </c>
      <c r="K67" s="96" t="n">
        <v>843.6</v>
      </c>
      <c r="L67" s="96" t="n">
        <v>843.6</v>
      </c>
      <c r="M67" s="96" t="n">
        <v>843.6</v>
      </c>
    </row>
    <row r="68" ht="11.75" customHeight="1">
      <c r="A68" s="95" t="inlineStr">
        <is>
          <t>Rent Paid</t>
        </is>
      </c>
      <c r="B68" s="96" t="n">
        <v>0</v>
      </c>
      <c r="C68" s="96" t="n">
        <v>0</v>
      </c>
      <c r="D68" s="96" t="n">
        <v>0</v>
      </c>
      <c r="E68" s="96" t="n">
        <v>0</v>
      </c>
      <c r="F68" s="96" t="n">
        <v>0</v>
      </c>
      <c r="G68" s="96" t="n">
        <v>0</v>
      </c>
      <c r="H68" s="96" t="n">
        <v>29600</v>
      </c>
      <c r="I68" s="96" t="n">
        <v>29600</v>
      </c>
      <c r="J68" s="96" t="n">
        <v>29600</v>
      </c>
      <c r="K68" s="96" t="n">
        <v>29600</v>
      </c>
      <c r="L68" s="96" t="n">
        <v>29600</v>
      </c>
      <c r="M68" s="96" t="n">
        <v>29600</v>
      </c>
    </row>
    <row r="69" ht="11.75" customFormat="1" customHeight="1" s="104">
      <c r="A69" s="105" t="inlineStr">
        <is>
          <t>Repairs _AND_ Maintenance</t>
        </is>
      </c>
      <c r="B69" s="106" t="n">
        <v>0</v>
      </c>
      <c r="C69" s="106" t="n">
        <v>0</v>
      </c>
      <c r="D69" s="106" t="n">
        <v>0</v>
      </c>
      <c r="E69" s="106" t="n">
        <v>0</v>
      </c>
      <c r="F69" s="106" t="n">
        <v>0</v>
      </c>
      <c r="G69" s="106" t="n">
        <v>0</v>
      </c>
      <c r="H69" s="106" t="n">
        <v>682.61</v>
      </c>
      <c r="I69" s="106" t="n">
        <v>5400</v>
      </c>
      <c r="J69" s="106" t="n">
        <v>155</v>
      </c>
      <c r="K69" s="106" t="n">
        <v>2121.6</v>
      </c>
      <c r="L69" s="106" t="n">
        <v>750</v>
      </c>
      <c r="M69" s="106" t="n">
        <v>6352.8</v>
      </c>
    </row>
    <row r="70" ht="11.75" customHeight="1">
      <c r="A70" s="95" t="inlineStr">
        <is>
          <t>Salaries &amp; Wages - WCA</t>
        </is>
      </c>
      <c r="B70" s="96" t="n">
        <v>0</v>
      </c>
      <c r="C70" s="96" t="n">
        <v>0</v>
      </c>
      <c r="D70" s="96" t="n">
        <v>0</v>
      </c>
      <c r="E70" s="96" t="n">
        <v>0</v>
      </c>
      <c r="F70" s="96" t="n">
        <v>0</v>
      </c>
      <c r="G70" s="96" t="n">
        <v>0</v>
      </c>
      <c r="H70" s="96" t="n">
        <v>0</v>
      </c>
      <c r="I70" s="96" t="n">
        <v>0</v>
      </c>
      <c r="J70" s="96" t="n">
        <v>0</v>
      </c>
      <c r="K70" s="96" t="n">
        <v>5192.13</v>
      </c>
      <c r="L70" s="96" t="n">
        <v>0</v>
      </c>
      <c r="M70" s="96" t="n">
        <v>0</v>
      </c>
    </row>
    <row r="71" ht="11.75" customHeight="1">
      <c r="A71" s="95" t="inlineStr">
        <is>
          <t>Salaries _AND_ Wages</t>
        </is>
      </c>
      <c r="B71" s="96" t="n">
        <v>0</v>
      </c>
      <c r="C71" s="96" t="n">
        <v>0</v>
      </c>
      <c r="D71" s="96" t="n">
        <v>0</v>
      </c>
      <c r="E71" s="96" t="n">
        <v>0</v>
      </c>
      <c r="F71" s="96" t="n">
        <v>0</v>
      </c>
      <c r="G71" s="96" t="n">
        <v>0</v>
      </c>
      <c r="H71" s="96" t="n">
        <v>368859.45</v>
      </c>
      <c r="I71" s="96" t="n">
        <v>377867.45</v>
      </c>
      <c r="J71" s="96" t="n">
        <v>373109.3</v>
      </c>
      <c r="K71" s="96" t="n">
        <v>333418.54</v>
      </c>
      <c r="L71" s="96" t="n">
        <v>327361.08</v>
      </c>
      <c r="M71" s="96" t="n">
        <v>311179.66</v>
      </c>
    </row>
    <row r="72" ht="11.75" customHeight="1">
      <c r="A72" s="95" t="inlineStr">
        <is>
          <t>SDL Contributions</t>
        </is>
      </c>
      <c r="B72" s="96" t="n">
        <v>0</v>
      </c>
      <c r="C72" s="96" t="n">
        <v>0</v>
      </c>
      <c r="D72" s="96" t="n">
        <v>0</v>
      </c>
      <c r="E72" s="96" t="n">
        <v>0</v>
      </c>
      <c r="F72" s="96" t="n">
        <v>0</v>
      </c>
      <c r="G72" s="96" t="n">
        <v>0</v>
      </c>
      <c r="H72" s="96" t="n">
        <v>4381.84</v>
      </c>
      <c r="I72" s="96" t="n">
        <v>4480.77</v>
      </c>
      <c r="J72" s="96" t="n">
        <v>4434.64</v>
      </c>
      <c r="K72" s="96" t="n">
        <v>3980.49</v>
      </c>
      <c r="L72" s="96" t="n">
        <v>3918.5</v>
      </c>
      <c r="M72" s="96" t="n">
        <v>3744.13</v>
      </c>
    </row>
    <row r="73" ht="11.75" customFormat="1" customHeight="1" s="104">
      <c r="A73" s="105" t="inlineStr">
        <is>
          <t>Secretarial fees - CIPC</t>
        </is>
      </c>
      <c r="B73" s="106" t="n">
        <v>0</v>
      </c>
      <c r="C73" s="106" t="n">
        <v>0</v>
      </c>
      <c r="D73" s="106" t="n">
        <v>0</v>
      </c>
      <c r="E73" s="106" t="n">
        <v>0</v>
      </c>
      <c r="F73" s="106" t="n">
        <v>0</v>
      </c>
      <c r="G73" s="106" t="n">
        <v>0</v>
      </c>
      <c r="H73" s="106" t="n">
        <v>0</v>
      </c>
      <c r="I73" s="106" t="n">
        <v>4000</v>
      </c>
      <c r="J73" s="106" t="n">
        <v>0</v>
      </c>
      <c r="K73" s="106" t="n">
        <v>0</v>
      </c>
      <c r="L73" s="106" t="n">
        <v>0</v>
      </c>
      <c r="M73" s="106" t="n">
        <v>0</v>
      </c>
    </row>
    <row r="74" ht="11.75" customFormat="1" customHeight="1" s="104">
      <c r="A74" s="105" t="inlineStr">
        <is>
          <t>Security</t>
        </is>
      </c>
      <c r="B74" s="106" t="n">
        <v>0</v>
      </c>
      <c r="C74" s="106" t="n">
        <v>0</v>
      </c>
      <c r="D74" s="106" t="n">
        <v>0</v>
      </c>
      <c r="E74" s="106" t="n">
        <v>0</v>
      </c>
      <c r="F74" s="106" t="n">
        <v>0</v>
      </c>
      <c r="G74" s="106" t="n">
        <v>0</v>
      </c>
      <c r="H74" s="106" t="n">
        <v>177.33</v>
      </c>
      <c r="I74" s="106" t="n">
        <v>177.33</v>
      </c>
      <c r="J74" s="106" t="n">
        <v>177.33</v>
      </c>
      <c r="K74" s="106" t="n">
        <v>177.33</v>
      </c>
      <c r="L74" s="106" t="n">
        <v>177.33</v>
      </c>
      <c r="M74" s="106" t="n">
        <v>177.33</v>
      </c>
    </row>
    <row r="75" ht="11.75" customFormat="1" customHeight="1" s="104">
      <c r="A75" s="105" t="inlineStr">
        <is>
          <t>Small Assets</t>
        </is>
      </c>
      <c r="B75" s="106" t="n">
        <v>0</v>
      </c>
      <c r="C75" s="106" t="n">
        <v>0</v>
      </c>
      <c r="D75" s="106" t="n">
        <v>0</v>
      </c>
      <c r="E75" s="106" t="n">
        <v>0</v>
      </c>
      <c r="F75" s="106" t="n">
        <v>0</v>
      </c>
      <c r="G75" s="106" t="n">
        <v>0</v>
      </c>
      <c r="H75" s="106" t="n">
        <v>9888.959999999999</v>
      </c>
      <c r="I75" s="106" t="n">
        <v>2165.59</v>
      </c>
      <c r="J75" s="106" t="n">
        <v>4172.17</v>
      </c>
      <c r="K75" s="106" t="n">
        <v>607.83</v>
      </c>
      <c r="L75" s="106" t="n">
        <v>1600</v>
      </c>
      <c r="M75" s="106" t="n">
        <v>833.91</v>
      </c>
    </row>
    <row r="76" ht="11.75" customFormat="1" customHeight="1" s="104">
      <c r="A76" s="105" t="inlineStr">
        <is>
          <t>Staff Welfare _AND_ Refreshmts</t>
        </is>
      </c>
      <c r="B76" s="106" t="n">
        <v>0</v>
      </c>
      <c r="C76" s="106" t="n">
        <v>0</v>
      </c>
      <c r="D76" s="106" t="n">
        <v>0</v>
      </c>
      <c r="E76" s="106" t="n">
        <v>0</v>
      </c>
      <c r="F76" s="106" t="n">
        <v>0</v>
      </c>
      <c r="G76" s="106" t="n">
        <v>0</v>
      </c>
      <c r="H76" s="106" t="n">
        <v>2425.42</v>
      </c>
      <c r="I76" s="106" t="n">
        <v>4892.56</v>
      </c>
      <c r="J76" s="106" t="n">
        <v>2814.73</v>
      </c>
      <c r="K76" s="106" t="n">
        <v>2227.4</v>
      </c>
      <c r="L76" s="106" t="n">
        <v>244.98</v>
      </c>
      <c r="M76" s="106" t="n">
        <v>0</v>
      </c>
    </row>
    <row r="77" ht="11.75" customFormat="1" customHeight="1" s="104">
      <c r="A77" s="105" t="inlineStr">
        <is>
          <t>Subscriptions - Smartsheet</t>
        </is>
      </c>
      <c r="B77" s="106" t="n">
        <v>0</v>
      </c>
      <c r="C77" s="106" t="n">
        <v>0</v>
      </c>
      <c r="D77" s="106" t="n">
        <v>0</v>
      </c>
      <c r="E77" s="106" t="n">
        <v>0</v>
      </c>
      <c r="F77" s="106" t="n">
        <v>0</v>
      </c>
      <c r="G77" s="106" t="n">
        <v>0</v>
      </c>
      <c r="H77" s="106" t="n">
        <v>847</v>
      </c>
      <c r="I77" s="106" t="n">
        <v>847</v>
      </c>
      <c r="J77" s="106" t="n">
        <v>847</v>
      </c>
      <c r="K77" s="106" t="n">
        <v>937.23</v>
      </c>
      <c r="L77" s="106" t="n">
        <v>803.5</v>
      </c>
      <c r="M77" s="106" t="n">
        <v>605</v>
      </c>
    </row>
    <row r="78" ht="11.75" customFormat="1" customHeight="1" s="104">
      <c r="A78" s="105" t="inlineStr">
        <is>
          <t>Subscriptions &amp; Licenses - Caseware</t>
        </is>
      </c>
      <c r="B78" s="106" t="n">
        <v>0</v>
      </c>
      <c r="C78" s="106" t="n">
        <v>0</v>
      </c>
      <c r="D78" s="106" t="n">
        <v>0</v>
      </c>
      <c r="E78" s="106" t="n">
        <v>0</v>
      </c>
      <c r="F78" s="106" t="n">
        <v>0</v>
      </c>
      <c r="G78" s="106" t="n">
        <v>0</v>
      </c>
      <c r="H78" s="106" t="n">
        <v>0</v>
      </c>
      <c r="I78" s="106" t="n">
        <v>0</v>
      </c>
      <c r="J78" s="106" t="n">
        <v>0</v>
      </c>
      <c r="K78" s="106" t="n">
        <v>0</v>
      </c>
      <c r="L78" s="106" t="n">
        <v>0</v>
      </c>
      <c r="M78" s="106" t="n">
        <v>10825.49</v>
      </c>
    </row>
    <row r="79" ht="11.75" customFormat="1" customHeight="1" s="104">
      <c r="A79" s="105" t="inlineStr">
        <is>
          <t>Subscriptions &amp; Licenses - Sage payroll</t>
        </is>
      </c>
      <c r="B79" s="106" t="n">
        <v>0</v>
      </c>
      <c r="C79" s="106" t="n">
        <v>0</v>
      </c>
      <c r="D79" s="106" t="n">
        <v>0</v>
      </c>
      <c r="E79" s="106" t="n">
        <v>0</v>
      </c>
      <c r="F79" s="106" t="n">
        <v>0</v>
      </c>
      <c r="G79" s="106" t="n">
        <v>0</v>
      </c>
      <c r="H79" s="106" t="n">
        <v>747</v>
      </c>
      <c r="I79" s="106" t="n">
        <v>747</v>
      </c>
      <c r="J79" s="106" t="n">
        <v>747</v>
      </c>
      <c r="K79" s="106" t="n">
        <v>747</v>
      </c>
      <c r="L79" s="106" t="n">
        <v>747</v>
      </c>
      <c r="M79" s="106" t="n">
        <v>747</v>
      </c>
    </row>
    <row r="80" ht="11.75" customFormat="1" customHeight="1" s="104">
      <c r="A80" s="105" t="inlineStr">
        <is>
          <t>Subscriptions &amp; Licenses - Xero</t>
        </is>
      </c>
      <c r="B80" s="106" t="n">
        <v>0</v>
      </c>
      <c r="C80" s="106" t="n">
        <v>0</v>
      </c>
      <c r="D80" s="106" t="n">
        <v>0</v>
      </c>
      <c r="E80" s="106" t="n">
        <v>0</v>
      </c>
      <c r="F80" s="106" t="n">
        <v>0</v>
      </c>
      <c r="G80" s="106" t="n">
        <v>0</v>
      </c>
      <c r="H80" s="106" t="n">
        <v>600</v>
      </c>
      <c r="I80" s="106" t="n">
        <v>600</v>
      </c>
      <c r="J80" s="106" t="n">
        <v>600</v>
      </c>
      <c r="K80" s="106" t="n">
        <v>600</v>
      </c>
      <c r="L80" s="106" t="n">
        <v>600</v>
      </c>
      <c r="M80" s="106" t="n">
        <v>600</v>
      </c>
    </row>
    <row r="81" ht="11.75" customFormat="1" customHeight="1" s="104">
      <c r="A81" s="105" t="inlineStr">
        <is>
          <t>Subscriptions / Licenses</t>
        </is>
      </c>
      <c r="B81" s="106" t="n">
        <v>0</v>
      </c>
      <c r="C81" s="106" t="n">
        <v>0</v>
      </c>
      <c r="D81" s="106" t="n">
        <v>0</v>
      </c>
      <c r="E81" s="106" t="n">
        <v>0</v>
      </c>
      <c r="F81" s="106" t="n">
        <v>0</v>
      </c>
      <c r="G81" s="106" t="n">
        <v>0</v>
      </c>
      <c r="H81" s="106" t="n">
        <v>3016</v>
      </c>
      <c r="I81" s="106" t="n">
        <v>2162.32</v>
      </c>
      <c r="J81" s="106" t="n">
        <v>8349.65</v>
      </c>
      <c r="K81" s="106" t="n">
        <v>0</v>
      </c>
      <c r="L81" s="106" t="n">
        <v>0</v>
      </c>
      <c r="M81" s="106" t="n">
        <v>0</v>
      </c>
    </row>
    <row r="82" ht="11.75" customHeight="1">
      <c r="A82" s="95" t="inlineStr">
        <is>
          <t>UIF Company Contributions</t>
        </is>
      </c>
      <c r="B82" s="96" t="n">
        <v>0</v>
      </c>
      <c r="C82" s="96" t="n">
        <v>0</v>
      </c>
      <c r="D82" s="96" t="n">
        <v>0</v>
      </c>
      <c r="E82" s="96" t="n">
        <v>0</v>
      </c>
      <c r="F82" s="96" t="n">
        <v>0</v>
      </c>
      <c r="G82" s="96" t="n">
        <v>0</v>
      </c>
      <c r="H82" s="96" t="n">
        <v>2396.05</v>
      </c>
      <c r="I82" s="96" t="n">
        <v>2495.21</v>
      </c>
      <c r="J82" s="96" t="n">
        <v>2442.38</v>
      </c>
      <c r="K82" s="96" t="n">
        <v>2059.18</v>
      </c>
      <c r="L82" s="96" t="n">
        <v>2003.44</v>
      </c>
      <c r="M82" s="96" t="n">
        <v>1920.62</v>
      </c>
    </row>
    <row r="83" ht="11.75" customHeight="1">
      <c r="A83" s="95" t="inlineStr">
        <is>
          <t>UIF Employee Contribution</t>
        </is>
      </c>
      <c r="B83" s="96" t="n">
        <v>0</v>
      </c>
      <c r="C83" s="96" t="n">
        <v>0</v>
      </c>
      <c r="D83" s="96" t="n">
        <v>0</v>
      </c>
      <c r="E83" s="96" t="n">
        <v>0</v>
      </c>
      <c r="F83" s="96" t="n">
        <v>0</v>
      </c>
      <c r="G83" s="96" t="n">
        <v>0</v>
      </c>
      <c r="H83" s="96" t="n">
        <v>2396.05</v>
      </c>
      <c r="I83" s="96" t="n">
        <v>2495.21</v>
      </c>
      <c r="J83" s="96" t="n">
        <v>2442.38</v>
      </c>
      <c r="K83" s="96" t="n">
        <v>2059.18</v>
      </c>
      <c r="L83" s="96" t="n">
        <v>2003.44</v>
      </c>
      <c r="M83" s="96" t="n">
        <v>1920.62</v>
      </c>
    </row>
    <row r="84" ht="11.75" customHeight="1">
      <c r="A84" s="93" t="inlineStr">
        <is>
          <t>Total Operating Expenses</t>
        </is>
      </c>
      <c r="B84" s="94">
        <f>SUM(B42:B83)</f>
        <v/>
      </c>
      <c r="C84" s="94">
        <f>SUM(C42:C83)</f>
        <v/>
      </c>
      <c r="D84" s="94">
        <f>SUM(D42:D83)</f>
        <v/>
      </c>
      <c r="E84" s="94">
        <f>SUM(E42:E83)</f>
        <v/>
      </c>
      <c r="F84" s="94">
        <f>SUM(F42:F83)</f>
        <v/>
      </c>
      <c r="G84" s="94">
        <f>SUM(G42:G83)</f>
        <v/>
      </c>
      <c r="H84" s="94">
        <f>SUM(H42:H83)</f>
        <v/>
      </c>
      <c r="I84" s="94">
        <f>SUM(I42:I83)</f>
        <v/>
      </c>
      <c r="J84" s="94">
        <f>SUM(J42:J83)</f>
        <v/>
      </c>
      <c r="K84" s="94">
        <f>SUM(K42:K83)</f>
        <v/>
      </c>
      <c r="L84" s="94">
        <f>SUM(L42:L83)</f>
        <v/>
      </c>
      <c r="M84" s="94">
        <f>SUM(M42:M83)</f>
        <v/>
      </c>
    </row>
    <row r="85" ht="13.25" customHeight="1"/>
    <row r="86" ht="11.75" customHeight="1">
      <c r="A86" s="100" t="inlineStr">
        <is>
          <t>Net Profit</t>
        </is>
      </c>
      <c r="B86" s="101">
        <f>((B33 + B39) - B84)</f>
        <v/>
      </c>
      <c r="C86" s="101">
        <f>((C33 + C39) - C84)</f>
        <v/>
      </c>
      <c r="D86" s="101">
        <f>((D33 + D39) - D84)</f>
        <v/>
      </c>
      <c r="E86" s="101">
        <f>((E33 + E39) - E84)</f>
        <v/>
      </c>
      <c r="F86" s="101">
        <f>((F33 + F39) - F84)</f>
        <v/>
      </c>
      <c r="G86" s="101">
        <f>((G33 + G39) - G84)</f>
        <v/>
      </c>
      <c r="H86" s="101">
        <f>((H33 + H39) - H84)</f>
        <v/>
      </c>
      <c r="I86" s="101">
        <f>((I33 + I39) - I84)</f>
        <v/>
      </c>
      <c r="J86" s="101">
        <f>((J33 + J39) - J84)</f>
        <v/>
      </c>
      <c r="K86" s="101">
        <f>((K33 + K39) - K84)</f>
        <v/>
      </c>
      <c r="L86" s="101">
        <f>((L33 + L39) - L84)</f>
        <v/>
      </c>
      <c r="M86" s="101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86"/>
  <sheetViews>
    <sheetView showGridLines="0" zoomScaleNormal="100" workbookViewId="0">
      <selection activeCell="M23" sqref="M23"/>
    </sheetView>
  </sheetViews>
  <sheetFormatPr baseColWidth="10" defaultColWidth="8.83203125" defaultRowHeight="12"/>
  <cols>
    <col width="33" customWidth="1" style="87" min="1" max="1"/>
    <col width="9.83203125" customWidth="1" style="87" min="2" max="2"/>
    <col width="9.5" customWidth="1" style="87" min="3" max="3"/>
    <col width="9.83203125" customWidth="1" style="87" min="4" max="5"/>
    <col width="9.5" customWidth="1" style="87" min="6" max="6"/>
    <col width="9.83203125" customWidth="1" style="87" min="7" max="7"/>
    <col width="12.1640625" bestFit="1" customWidth="1" style="87" min="8" max="8"/>
    <col width="10.83203125" customWidth="1" style="87" min="9" max="9"/>
    <col width="12.1640625" bestFit="1" customWidth="1" style="87" min="10" max="12"/>
    <col width="10.83203125" customWidth="1" style="87" min="13" max="13"/>
    <col width="8.83203125" customWidth="1" style="87" min="14" max="14"/>
    <col width="8.83203125" customWidth="1" style="87" min="15" max="16384"/>
  </cols>
  <sheetData>
    <row r="1" ht="18" customFormat="1" customHeight="1" s="134">
      <c r="A1" s="133" t="inlineStr">
        <is>
          <t>Profit and Loss</t>
        </is>
      </c>
    </row>
    <row r="2" ht="15.5" customFormat="1" customHeight="1" s="136">
      <c r="A2" s="135" t="inlineStr">
        <is>
          <t>Cape Projects Construction (Pty) Ltd</t>
        </is>
      </c>
    </row>
    <row r="3" ht="15.5" customFormat="1" customHeight="1" s="136">
      <c r="A3" s="135" t="inlineStr">
        <is>
          <t>For the month ended 28 February 2025</t>
        </is>
      </c>
    </row>
    <row r="4" ht="13.25" customHeight="1"/>
    <row r="5" ht="13" customFormat="1" customHeight="1" s="90">
      <c r="A5" s="88" t="inlineStr">
        <is>
          <t>Account</t>
        </is>
      </c>
      <c r="B5" s="107" t="n">
        <v>45689</v>
      </c>
      <c r="C5" s="107" t="n">
        <v>45658</v>
      </c>
      <c r="D5" s="107" t="n">
        <v>45627</v>
      </c>
      <c r="E5" s="107" t="n">
        <v>45597</v>
      </c>
      <c r="F5" s="107" t="n">
        <v>45566</v>
      </c>
      <c r="G5" s="107" t="n">
        <v>45536</v>
      </c>
      <c r="H5" s="107" t="n">
        <v>45505</v>
      </c>
      <c r="I5" s="107" t="n">
        <v>45474</v>
      </c>
      <c r="J5" s="107" t="n">
        <v>45444</v>
      </c>
      <c r="K5" s="107" t="n">
        <v>45413</v>
      </c>
      <c r="L5" s="107" t="n">
        <v>45383</v>
      </c>
      <c r="M5" s="107" t="n">
        <v>45352</v>
      </c>
    </row>
    <row r="6" ht="13.25" customHeight="1"/>
    <row r="7" ht="13" customFormat="1" customHeight="1" s="90">
      <c r="A7" s="132" t="inlineStr">
        <is>
          <t>Trading Income</t>
        </is>
      </c>
      <c r="B7" s="127" t="n"/>
      <c r="C7" s="127" t="n"/>
      <c r="D7" s="127" t="n"/>
      <c r="E7" s="127" t="n"/>
      <c r="F7" s="127" t="n"/>
      <c r="G7" s="127" t="n"/>
      <c r="H7" s="127" t="n"/>
      <c r="I7" s="127" t="n"/>
      <c r="J7" s="127" t="n"/>
      <c r="K7" s="127" t="n"/>
      <c r="L7" s="127" t="n"/>
      <c r="M7" s="127" t="n"/>
    </row>
    <row r="8" ht="11.75" customHeight="1">
      <c r="A8" s="91" t="inlineStr">
        <is>
          <t>Fees - Construction - Heron</t>
        </is>
      </c>
      <c r="B8" s="92" t="n">
        <v>0</v>
      </c>
      <c r="C8" s="92" t="n">
        <v>0</v>
      </c>
      <c r="D8" s="92" t="n">
        <v>0</v>
      </c>
      <c r="E8" s="92" t="n">
        <v>0</v>
      </c>
      <c r="F8" s="92" t="n">
        <v>0</v>
      </c>
      <c r="G8" s="92" t="n">
        <v>0</v>
      </c>
      <c r="H8" s="92" t="n">
        <v>0</v>
      </c>
      <c r="I8" s="92" t="n">
        <v>5578067.3</v>
      </c>
      <c r="J8" s="92" t="n">
        <v>3889214.05</v>
      </c>
      <c r="K8" s="92" t="n">
        <v>4774233.25</v>
      </c>
      <c r="L8" s="92" t="n">
        <v>4336497.82</v>
      </c>
      <c r="M8" s="92" t="n">
        <v>4252624.12</v>
      </c>
    </row>
    <row r="9" ht="11.75" customHeight="1">
      <c r="A9" s="93" t="inlineStr">
        <is>
          <t>Total Trading Income</t>
        </is>
      </c>
      <c r="B9" s="94">
        <f>B8</f>
        <v/>
      </c>
      <c r="C9" s="94">
        <f>C8</f>
        <v/>
      </c>
      <c r="D9" s="94">
        <f>D8</f>
        <v/>
      </c>
      <c r="E9" s="94">
        <f>E8</f>
        <v/>
      </c>
      <c r="F9" s="94">
        <f>F8</f>
        <v/>
      </c>
      <c r="G9" s="94">
        <f>G8</f>
        <v/>
      </c>
      <c r="H9" s="94">
        <f>H8</f>
        <v/>
      </c>
      <c r="I9" s="94">
        <f>I8</f>
        <v/>
      </c>
      <c r="J9" s="94">
        <f>J8</f>
        <v/>
      </c>
      <c r="K9" s="94">
        <f>K8</f>
        <v/>
      </c>
      <c r="L9" s="94">
        <f>L8</f>
        <v/>
      </c>
      <c r="M9" s="94">
        <f>M8</f>
        <v/>
      </c>
    </row>
    <row r="10" ht="13.25" customHeight="1"/>
    <row r="11" ht="13" customFormat="1" customHeight="1" s="90">
      <c r="A11" s="132" t="inlineStr">
        <is>
          <t>Cost of Sales</t>
        </is>
      </c>
      <c r="B11" s="127" t="n"/>
      <c r="C11" s="127" t="n"/>
      <c r="D11" s="127" t="n"/>
      <c r="E11" s="127" t="n"/>
      <c r="F11" s="127" t="n"/>
      <c r="G11" s="127" t="n"/>
      <c r="H11" s="127" t="n"/>
      <c r="I11" s="127" t="n"/>
      <c r="J11" s="127" t="n"/>
      <c r="K11" s="127" t="n"/>
      <c r="L11" s="127" t="n"/>
      <c r="M11" s="127" t="n"/>
    </row>
    <row r="12" ht="11.75" customHeight="1">
      <c r="A12" s="91" t="inlineStr">
        <is>
          <t>COS - Bakhoven</t>
        </is>
      </c>
      <c r="B12" s="92" t="n">
        <v>0</v>
      </c>
      <c r="C12" s="92" t="n">
        <v>0</v>
      </c>
      <c r="D12" s="92" t="n">
        <v>0</v>
      </c>
      <c r="E12" s="92" t="n">
        <v>0</v>
      </c>
      <c r="F12" s="92" t="n">
        <v>0</v>
      </c>
      <c r="G12" s="92" t="n">
        <v>0</v>
      </c>
      <c r="H12" s="92" t="n">
        <v>0</v>
      </c>
      <c r="I12" s="92" t="n">
        <v>0</v>
      </c>
      <c r="J12" s="92" t="n">
        <v>0</v>
      </c>
      <c r="K12" s="92" t="n">
        <v>0</v>
      </c>
      <c r="L12" s="92" t="n">
        <v>0</v>
      </c>
      <c r="M12" s="92" t="n">
        <v>17292.48</v>
      </c>
    </row>
    <row r="13" ht="11.75" customHeight="1">
      <c r="A13" s="95" t="inlineStr">
        <is>
          <t>COS - Electricity Cost Endulini</t>
        </is>
      </c>
      <c r="B13" s="96" t="n">
        <v>0</v>
      </c>
      <c r="C13" s="96" t="n">
        <v>0</v>
      </c>
      <c r="D13" s="96" t="n">
        <v>0</v>
      </c>
      <c r="E13" s="96" t="n">
        <v>0</v>
      </c>
      <c r="F13" s="96" t="n">
        <v>0</v>
      </c>
      <c r="G13" s="96" t="n">
        <v>0</v>
      </c>
      <c r="H13" s="96" t="n">
        <v>0</v>
      </c>
      <c r="I13" s="96" t="n">
        <v>0</v>
      </c>
      <c r="J13" s="96" t="n">
        <v>86.95999999999999</v>
      </c>
      <c r="K13" s="96" t="n">
        <v>0</v>
      </c>
      <c r="L13" s="96" t="n">
        <v>0</v>
      </c>
      <c r="M13" s="96" t="n">
        <v>200</v>
      </c>
    </row>
    <row r="14" ht="11.75" customHeight="1">
      <c r="A14" s="95" t="inlineStr">
        <is>
          <t>COS - Electricity Cost Heron Field</t>
        </is>
      </c>
      <c r="B14" s="96" t="n">
        <v>0</v>
      </c>
      <c r="C14" s="96" t="n">
        <v>0</v>
      </c>
      <c r="D14" s="96" t="n">
        <v>0</v>
      </c>
      <c r="E14" s="96" t="n">
        <v>0</v>
      </c>
      <c r="F14" s="96" t="n">
        <v>0</v>
      </c>
      <c r="G14" s="96" t="n">
        <v>0</v>
      </c>
      <c r="H14" s="96" t="n">
        <v>0</v>
      </c>
      <c r="I14" s="96" t="n">
        <v>0</v>
      </c>
      <c r="J14" s="96" t="n">
        <v>86.95999999999999</v>
      </c>
      <c r="K14" s="96" t="n">
        <v>0</v>
      </c>
      <c r="L14" s="96" t="n">
        <v>0</v>
      </c>
      <c r="M14" s="96" t="n">
        <v>0</v>
      </c>
    </row>
    <row r="15" ht="11.75" customHeight="1">
      <c r="A15" s="95" t="inlineStr">
        <is>
          <t>COS - Endulini - Telephone &amp; Internet</t>
        </is>
      </c>
      <c r="B15" s="96" t="n">
        <v>0</v>
      </c>
      <c r="C15" s="96" t="n">
        <v>0</v>
      </c>
      <c r="D15" s="96" t="n">
        <v>0</v>
      </c>
      <c r="E15" s="96" t="n">
        <v>0</v>
      </c>
      <c r="F15" s="96" t="n">
        <v>0</v>
      </c>
      <c r="G15" s="96" t="n">
        <v>0</v>
      </c>
      <c r="H15" s="96" t="n">
        <v>0</v>
      </c>
      <c r="I15" s="96" t="n">
        <v>0</v>
      </c>
      <c r="J15" s="96" t="n">
        <v>0</v>
      </c>
      <c r="K15" s="96" t="n">
        <v>0</v>
      </c>
      <c r="L15" s="96" t="n">
        <v>0</v>
      </c>
      <c r="M15" s="96" t="n">
        <v>760.87</v>
      </c>
    </row>
    <row r="16" ht="11.75" customHeight="1">
      <c r="A16" s="95" t="inlineStr">
        <is>
          <t>COS - Endulini Construction</t>
        </is>
      </c>
      <c r="B16" s="96" t="n">
        <v>0</v>
      </c>
      <c r="C16" s="96" t="n">
        <v>0</v>
      </c>
      <c r="D16" s="96" t="n">
        <v>0</v>
      </c>
      <c r="E16" s="96" t="n">
        <v>0</v>
      </c>
      <c r="F16" s="96" t="n">
        <v>0</v>
      </c>
      <c r="G16" s="96" t="n">
        <v>0</v>
      </c>
      <c r="H16" s="96" t="n">
        <v>0</v>
      </c>
      <c r="I16" s="96" t="n">
        <v>12386.25</v>
      </c>
      <c r="J16" s="96" t="n">
        <v>16372.1</v>
      </c>
      <c r="K16" s="96" t="n">
        <v>28166.51</v>
      </c>
      <c r="L16" s="96" t="n">
        <v>1344.32</v>
      </c>
      <c r="M16" s="96" t="n">
        <v>191661.47</v>
      </c>
    </row>
    <row r="17" ht="11.75" customHeight="1">
      <c r="A17" s="95" t="inlineStr">
        <is>
          <t>COS - Endulini P and G</t>
        </is>
      </c>
      <c r="B17" s="96" t="n">
        <v>0</v>
      </c>
      <c r="C17" s="96" t="n">
        <v>0</v>
      </c>
      <c r="D17" s="96" t="n">
        <v>0</v>
      </c>
      <c r="E17" s="96" t="n">
        <v>0</v>
      </c>
      <c r="F17" s="96" t="n">
        <v>0</v>
      </c>
      <c r="G17" s="96" t="n">
        <v>0</v>
      </c>
      <c r="H17" s="96" t="n">
        <v>0</v>
      </c>
      <c r="I17" s="96" t="n">
        <v>105639.65</v>
      </c>
      <c r="J17" s="96" t="n">
        <v>2570.42</v>
      </c>
      <c r="K17" s="96" t="n">
        <v>2880.57</v>
      </c>
      <c r="L17" s="96" t="n">
        <v>1250.39</v>
      </c>
      <c r="M17" s="96" t="n">
        <v>24545.15</v>
      </c>
    </row>
    <row r="18" ht="11.75" customFormat="1" customHeight="1" s="99">
      <c r="A18" s="97" t="inlineStr">
        <is>
          <t>COS - Heron - Internet</t>
        </is>
      </c>
      <c r="B18" s="98" t="n">
        <v>0</v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0</v>
      </c>
      <c r="J18" s="98" t="n">
        <v>0</v>
      </c>
      <c r="K18" s="98" t="n">
        <v>0</v>
      </c>
      <c r="L18" s="98" t="n">
        <v>0</v>
      </c>
      <c r="M18" s="98" t="n">
        <v>0</v>
      </c>
    </row>
    <row r="19" ht="11.75" customFormat="1" customHeight="1" s="99">
      <c r="A19" s="97" t="inlineStr">
        <is>
          <t>COS - Heron Fields - Construction</t>
        </is>
      </c>
      <c r="B19" s="98" t="n">
        <v>0</v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0</v>
      </c>
      <c r="H19" s="98" t="n">
        <v>0</v>
      </c>
      <c r="I19" s="98" t="n">
        <v>0</v>
      </c>
      <c r="J19" s="98" t="n">
        <v>0</v>
      </c>
      <c r="K19" s="98" t="n">
        <v>0</v>
      </c>
      <c r="L19" s="98" t="n">
        <v>0</v>
      </c>
      <c r="M19" s="98" t="n">
        <v>0</v>
      </c>
    </row>
    <row r="20" ht="11.75" customFormat="1" customHeight="1" s="99">
      <c r="A20" s="97" t="inlineStr">
        <is>
          <t>COS - Heron Fields - Health &amp; Safety</t>
        </is>
      </c>
      <c r="B20" s="98" t="n">
        <v>0</v>
      </c>
      <c r="C20" s="98" t="n">
        <v>0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0</v>
      </c>
      <c r="M20" s="98" t="n">
        <v>0</v>
      </c>
    </row>
    <row r="21" ht="11.75" customFormat="1" customHeight="1" s="99">
      <c r="A21" s="97" t="inlineStr">
        <is>
          <t>COS - Heron Fields - P &amp; G</t>
        </is>
      </c>
      <c r="B21" s="98" t="n">
        <v>0</v>
      </c>
      <c r="C21" s="98" t="n">
        <v>0</v>
      </c>
      <c r="D21" s="98" t="n">
        <v>0</v>
      </c>
      <c r="E21" s="98" t="n">
        <v>0</v>
      </c>
      <c r="F21" s="98" t="n">
        <v>0</v>
      </c>
      <c r="G21" s="98" t="n">
        <v>0</v>
      </c>
      <c r="H21" s="98" t="n">
        <v>0</v>
      </c>
      <c r="I21" s="98" t="n">
        <v>0</v>
      </c>
      <c r="J21" s="98" t="n">
        <v>0</v>
      </c>
      <c r="K21" s="98" t="n">
        <v>0</v>
      </c>
      <c r="L21" s="98" t="n">
        <v>0</v>
      </c>
      <c r="M21" s="98" t="n">
        <v>0</v>
      </c>
    </row>
    <row r="22" ht="11.75" customFormat="1" customHeight="1" s="99">
      <c r="A22" s="97" t="inlineStr">
        <is>
          <t>COS - Heron Fields - Printing &amp; Stationary</t>
        </is>
      </c>
      <c r="B22" s="98" t="n">
        <v>0</v>
      </c>
      <c r="C22" s="98" t="n">
        <v>0</v>
      </c>
      <c r="D22" s="98" t="n">
        <v>0</v>
      </c>
      <c r="E22" s="98" t="n">
        <v>0</v>
      </c>
      <c r="F22" s="98" t="n">
        <v>0</v>
      </c>
      <c r="G22" s="98" t="n">
        <v>0</v>
      </c>
      <c r="H22" s="98" t="n">
        <v>0</v>
      </c>
      <c r="I22" s="98" t="n">
        <v>0</v>
      </c>
      <c r="J22" s="98" t="n">
        <v>0</v>
      </c>
      <c r="K22" s="98" t="n">
        <v>0</v>
      </c>
      <c r="L22" s="98" t="n">
        <v>0</v>
      </c>
      <c r="M22" s="98" t="n">
        <v>0</v>
      </c>
    </row>
    <row r="23" ht="11.75" customHeight="1">
      <c r="A23" s="95" t="inlineStr">
        <is>
          <t>COS - Heron View - Construction</t>
        </is>
      </c>
      <c r="B23" s="96" t="n">
        <v>0</v>
      </c>
      <c r="C23" s="96" t="n">
        <v>0</v>
      </c>
      <c r="D23" s="96" t="n">
        <v>0</v>
      </c>
      <c r="E23" s="96" t="n">
        <v>0</v>
      </c>
      <c r="F23" s="96" t="n">
        <v>0</v>
      </c>
      <c r="G23" s="96" t="n">
        <v>0</v>
      </c>
      <c r="H23" s="96">
        <f>6132854.19+2750000+3000000</f>
        <v/>
      </c>
      <c r="I23" s="96">
        <f>6132854.19+2750000+3000000</f>
        <v/>
      </c>
      <c r="J23" s="96">
        <f>5688761.77+2750000+2000000</f>
        <v/>
      </c>
      <c r="K23" s="96">
        <f>6793437.38+2750000+2000000</f>
        <v/>
      </c>
      <c r="L23" s="96">
        <f>6193925.31+2750000+2000000</f>
        <v/>
      </c>
      <c r="M23" s="96">
        <f>4483055.52+2750000+2000000</f>
        <v/>
      </c>
    </row>
    <row r="24" ht="11.75" customHeight="1">
      <c r="A24" s="95" t="inlineStr">
        <is>
          <t>COS - Heron View - P&amp;G</t>
        </is>
      </c>
      <c r="B24" s="96" t="n">
        <v>0</v>
      </c>
      <c r="C24" s="96" t="n">
        <v>0</v>
      </c>
      <c r="D24" s="96" t="n">
        <v>0</v>
      </c>
      <c r="E24" s="96" t="n">
        <v>0</v>
      </c>
      <c r="F24" s="96" t="n">
        <v>0</v>
      </c>
      <c r="G24" s="96" t="n">
        <v>0</v>
      </c>
      <c r="H24" s="96" t="n">
        <v>0</v>
      </c>
      <c r="I24" s="96" t="n">
        <v>25090</v>
      </c>
      <c r="J24" s="96" t="n">
        <v>23254.56</v>
      </c>
      <c r="K24" s="96" t="n">
        <v>61021.92</v>
      </c>
      <c r="L24" s="96" t="n">
        <v>111322.42</v>
      </c>
      <c r="M24" s="96" t="n">
        <v>263223.18</v>
      </c>
    </row>
    <row r="25" ht="11.75" customHeight="1">
      <c r="A25" s="95" t="inlineStr">
        <is>
          <t>COS - Heron View - Printing &amp; Stationary</t>
        </is>
      </c>
      <c r="B25" s="96" t="n">
        <v>0</v>
      </c>
      <c r="C25" s="96" t="n">
        <v>0</v>
      </c>
      <c r="D25" s="96" t="n">
        <v>0</v>
      </c>
      <c r="E25" s="96" t="n">
        <v>0</v>
      </c>
      <c r="F25" s="96" t="n">
        <v>0</v>
      </c>
      <c r="G25" s="96" t="n">
        <v>0</v>
      </c>
      <c r="H25" s="96" t="n">
        <v>0</v>
      </c>
      <c r="I25" s="96" t="n">
        <v>107.39</v>
      </c>
      <c r="J25" s="96" t="n">
        <v>8882.139999999999</v>
      </c>
      <c r="K25" s="96" t="n">
        <v>2170.45</v>
      </c>
      <c r="L25" s="96" t="n">
        <v>78.26000000000001</v>
      </c>
      <c r="M25" s="96" t="n">
        <v>0</v>
      </c>
    </row>
    <row r="26" ht="11.75" customHeight="1">
      <c r="A26" s="95" t="inlineStr">
        <is>
          <t>COS - Insurance</t>
        </is>
      </c>
      <c r="B26" s="96" t="n">
        <v>0</v>
      </c>
      <c r="C26" s="96" t="n">
        <v>0</v>
      </c>
      <c r="D26" s="96" t="n">
        <v>0</v>
      </c>
      <c r="E26" s="96" t="n">
        <v>0</v>
      </c>
      <c r="F26" s="96" t="n">
        <v>0</v>
      </c>
      <c r="G26" s="96" t="n">
        <v>0</v>
      </c>
      <c r="H26" s="96" t="n">
        <v>0</v>
      </c>
      <c r="I26" s="96" t="n">
        <v>0</v>
      </c>
      <c r="J26" s="96" t="n">
        <v>0</v>
      </c>
      <c r="K26" s="96" t="n">
        <v>0</v>
      </c>
      <c r="L26" s="96" t="n">
        <v>0</v>
      </c>
      <c r="M26" s="96" t="n">
        <v>2719.43</v>
      </c>
    </row>
    <row r="27" ht="11.75" customHeight="1">
      <c r="A27" s="95" t="inlineStr">
        <is>
          <t>COS - Repairs &amp; Maintenance - SH Soho</t>
        </is>
      </c>
      <c r="B27" s="96" t="n">
        <v>0</v>
      </c>
      <c r="C27" s="96" t="n">
        <v>0</v>
      </c>
      <c r="D27" s="96" t="n">
        <v>0</v>
      </c>
      <c r="E27" s="96" t="n">
        <v>0</v>
      </c>
      <c r="F27" s="96" t="n">
        <v>0</v>
      </c>
      <c r="G27" s="96" t="n">
        <v>0</v>
      </c>
      <c r="H27" s="96" t="n">
        <v>0</v>
      </c>
      <c r="I27" s="96" t="n">
        <v>468.7</v>
      </c>
      <c r="J27" s="96" t="n">
        <v>0</v>
      </c>
      <c r="K27" s="96" t="n">
        <v>0</v>
      </c>
      <c r="L27" s="96" t="n">
        <v>0</v>
      </c>
      <c r="M27" s="96" t="n">
        <v>0</v>
      </c>
    </row>
    <row r="28" ht="11.75" customHeight="1">
      <c r="A28" s="95" t="inlineStr">
        <is>
          <t>COS - Repairs &amp; Maintenance - SW Southwark</t>
        </is>
      </c>
      <c r="B28" s="96" t="n">
        <v>0</v>
      </c>
      <c r="C28" s="96" t="n">
        <v>0</v>
      </c>
      <c r="D28" s="96" t="n">
        <v>0</v>
      </c>
      <c r="E28" s="96" t="n">
        <v>0</v>
      </c>
      <c r="F28" s="96" t="n">
        <v>0</v>
      </c>
      <c r="G28" s="96" t="n">
        <v>0</v>
      </c>
      <c r="H28" s="96" t="n">
        <v>0</v>
      </c>
      <c r="I28" s="96" t="n">
        <v>22086.6</v>
      </c>
      <c r="J28" s="96" t="n">
        <v>0</v>
      </c>
      <c r="K28" s="96" t="n">
        <v>0</v>
      </c>
      <c r="L28" s="96" t="n">
        <v>0</v>
      </c>
      <c r="M28" s="96" t="n">
        <v>0</v>
      </c>
    </row>
    <row r="29" ht="11.75" customHeight="1">
      <c r="A29" s="95" t="inlineStr">
        <is>
          <t>COS - Security - Guarding</t>
        </is>
      </c>
      <c r="B29" s="96" t="n">
        <v>0</v>
      </c>
      <c r="C29" s="96" t="n">
        <v>0</v>
      </c>
      <c r="D29" s="96" t="n">
        <v>0</v>
      </c>
      <c r="E29" s="96" t="n">
        <v>0</v>
      </c>
      <c r="F29" s="96" t="n">
        <v>0</v>
      </c>
      <c r="G29" s="96" t="n">
        <v>0</v>
      </c>
      <c r="H29" s="96" t="n">
        <v>0</v>
      </c>
      <c r="I29" s="96" t="n">
        <v>11607.87</v>
      </c>
      <c r="J29" s="96" t="n">
        <v>30013.04</v>
      </c>
      <c r="K29" s="96" t="n">
        <v>0</v>
      </c>
      <c r="L29" s="96" t="n">
        <v>0</v>
      </c>
      <c r="M29" s="96" t="n">
        <v>0</v>
      </c>
    </row>
    <row r="30" ht="11.75" customHeight="1">
      <c r="A30" s="95" t="inlineStr">
        <is>
          <t>Cost of Sales - SouthWark Project</t>
        </is>
      </c>
      <c r="B30" s="96" t="n">
        <v>0</v>
      </c>
      <c r="C30" s="96" t="n">
        <v>0</v>
      </c>
      <c r="D30" s="96" t="n">
        <v>0</v>
      </c>
      <c r="E30" s="96" t="n">
        <v>0</v>
      </c>
      <c r="F30" s="96" t="n">
        <v>0</v>
      </c>
      <c r="G30" s="96" t="n">
        <v>0</v>
      </c>
      <c r="H30" s="96" t="n">
        <v>0</v>
      </c>
      <c r="I30" s="96" t="n">
        <v>0</v>
      </c>
      <c r="J30" s="96" t="n">
        <v>2500</v>
      </c>
      <c r="K30" s="96" t="n">
        <v>20456.5</v>
      </c>
      <c r="L30" s="96" t="n">
        <v>486.95</v>
      </c>
      <c r="M30" s="96" t="n">
        <v>0</v>
      </c>
    </row>
    <row r="31" ht="11.75" customHeight="1">
      <c r="A31" s="93" t="inlineStr">
        <is>
          <t>Total Cost of Sales</t>
        </is>
      </c>
      <c r="B31" s="94">
        <f>SUM(B12:B30)</f>
        <v/>
      </c>
      <c r="C31" s="94">
        <f>SUM(C12:C30)</f>
        <v/>
      </c>
      <c r="D31" s="94">
        <f>SUM(D12:D30)</f>
        <v/>
      </c>
      <c r="E31" s="94">
        <f>SUM(E12:E30)</f>
        <v/>
      </c>
      <c r="F31" s="94">
        <f>SUM(F12:F30)</f>
        <v/>
      </c>
      <c r="G31" s="94">
        <f>SUM(G12:G30)</f>
        <v/>
      </c>
      <c r="H31" s="94">
        <f>SUM(H12:H30)</f>
        <v/>
      </c>
      <c r="I31" s="94">
        <f>SUM(I12:I30)</f>
        <v/>
      </c>
      <c r="J31" s="94">
        <f>SUM(J12:J30)</f>
        <v/>
      </c>
      <c r="K31" s="94">
        <f>SUM(K12:K30)</f>
        <v/>
      </c>
      <c r="L31" s="94">
        <f>SUM(L12:L30)</f>
        <v/>
      </c>
      <c r="M31" s="94">
        <f>SUM(M12:M30)</f>
        <v/>
      </c>
    </row>
    <row r="32" ht="13.25" customHeight="1"/>
    <row r="33" ht="11.75" customHeight="1">
      <c r="A33" s="100" t="inlineStr">
        <is>
          <t>Gross Profit</t>
        </is>
      </c>
      <c r="B33" s="101">
        <f>(B9 - B31)</f>
        <v/>
      </c>
      <c r="C33" s="101">
        <f>(C9 - C31)</f>
        <v/>
      </c>
      <c r="D33" s="101">
        <f>(D9 - D31)</f>
        <v/>
      </c>
      <c r="E33" s="101">
        <f>(E9 - E31)</f>
        <v/>
      </c>
      <c r="F33" s="101">
        <f>(F9 - F31)</f>
        <v/>
      </c>
      <c r="G33" s="101">
        <f>(G9 - G31)</f>
        <v/>
      </c>
      <c r="H33" s="101">
        <f>(H9 - H31)</f>
        <v/>
      </c>
      <c r="I33" s="101">
        <f>(I9 - I31)</f>
        <v/>
      </c>
      <c r="J33" s="101">
        <f>(J9 - J31)</f>
        <v/>
      </c>
      <c r="K33" s="101">
        <f>(K9 - K31)</f>
        <v/>
      </c>
      <c r="L33" s="101">
        <f>(L9 - L31)</f>
        <v/>
      </c>
      <c r="M33" s="101">
        <f>(M9 - M31)</f>
        <v/>
      </c>
    </row>
    <row r="34" ht="13.25" customHeight="1"/>
    <row r="35" ht="13" customFormat="1" customHeight="1" s="90">
      <c r="A35" s="132" t="inlineStr">
        <is>
          <t>Other Income</t>
        </is>
      </c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</row>
    <row r="36" ht="11.75" customHeight="1">
      <c r="A36" s="91" t="inlineStr">
        <is>
          <t>Interest Received - FNB</t>
        </is>
      </c>
      <c r="B36" s="92" t="n">
        <v>0</v>
      </c>
      <c r="C36" s="92" t="n">
        <v>0</v>
      </c>
      <c r="D36" s="92" t="n">
        <v>0</v>
      </c>
      <c r="E36" s="92" t="n">
        <v>0</v>
      </c>
      <c r="F36" s="92" t="n">
        <v>0</v>
      </c>
      <c r="G36" s="92" t="n">
        <v>0</v>
      </c>
      <c r="H36" s="92" t="n">
        <v>0</v>
      </c>
      <c r="I36" s="92" t="n">
        <v>99.59999999999999</v>
      </c>
      <c r="J36" s="92" t="n">
        <v>67.93000000000001</v>
      </c>
      <c r="K36" s="92" t="n">
        <v>17.19</v>
      </c>
      <c r="L36" s="92" t="n">
        <v>175.49</v>
      </c>
      <c r="M36" s="92" t="n">
        <v>144.7</v>
      </c>
    </row>
    <row r="37" ht="11.75" customHeight="1">
      <c r="A37" s="95" t="inlineStr">
        <is>
          <t>Interest received - Momentum</t>
        </is>
      </c>
      <c r="B37" s="96" t="n">
        <v>0</v>
      </c>
      <c r="C37" s="96" t="n">
        <v>0</v>
      </c>
      <c r="D37" s="96" t="n">
        <v>0</v>
      </c>
      <c r="E37" s="96" t="n">
        <v>0</v>
      </c>
      <c r="F37" s="96" t="n">
        <v>0</v>
      </c>
      <c r="G37" s="96" t="n">
        <v>0</v>
      </c>
      <c r="H37" s="96" t="n">
        <v>0</v>
      </c>
      <c r="I37" s="96" t="n">
        <v>0</v>
      </c>
      <c r="J37" s="96" t="n">
        <v>7.64</v>
      </c>
      <c r="K37" s="96" t="n">
        <v>0</v>
      </c>
      <c r="L37" s="96" t="n">
        <v>3.58</v>
      </c>
      <c r="M37" s="96" t="n">
        <v>6.81</v>
      </c>
    </row>
    <row r="38" ht="11.75" customHeight="1">
      <c r="A38" s="95" t="inlineStr">
        <is>
          <t>Rent - CT Office</t>
        </is>
      </c>
      <c r="B38" s="96" t="n">
        <v>0</v>
      </c>
      <c r="C38" s="96" t="n">
        <v>0</v>
      </c>
      <c r="D38" s="96" t="n">
        <v>0</v>
      </c>
      <c r="E38" s="96" t="n">
        <v>0</v>
      </c>
      <c r="F38" s="96" t="n">
        <v>0</v>
      </c>
      <c r="G38" s="96" t="n">
        <v>0</v>
      </c>
      <c r="H38" s="96" t="n">
        <v>0</v>
      </c>
      <c r="I38" s="96" t="n">
        <v>0</v>
      </c>
      <c r="J38" s="96" t="n">
        <v>0</v>
      </c>
      <c r="K38" s="96" t="n">
        <v>-3490.94</v>
      </c>
      <c r="L38" s="96" t="n">
        <v>0</v>
      </c>
      <c r="M38" s="96" t="n">
        <v>0</v>
      </c>
    </row>
    <row r="39" ht="11.75" customHeight="1">
      <c r="A39" s="93" t="inlineStr">
        <is>
          <t>Total Other Income</t>
        </is>
      </c>
      <c r="B39" s="94">
        <f>SUM(B36:B38)</f>
        <v/>
      </c>
      <c r="C39" s="94">
        <f>SUM(C36:C38)</f>
        <v/>
      </c>
      <c r="D39" s="94">
        <f>SUM(D36:D38)</f>
        <v/>
      </c>
      <c r="E39" s="94">
        <f>SUM(E36:E38)</f>
        <v/>
      </c>
      <c r="F39" s="94">
        <f>SUM(F36:F38)</f>
        <v/>
      </c>
      <c r="G39" s="94">
        <f>SUM(G36:G38)</f>
        <v/>
      </c>
      <c r="H39" s="94">
        <f>SUM(H36:H38)</f>
        <v/>
      </c>
      <c r="I39" s="94">
        <f>SUM(I36:I38)</f>
        <v/>
      </c>
      <c r="J39" s="94">
        <f>SUM(J36:J38)</f>
        <v/>
      </c>
      <c r="K39" s="94">
        <f>SUM(K36:K38)</f>
        <v/>
      </c>
      <c r="L39" s="94">
        <f>SUM(L36:L38)</f>
        <v/>
      </c>
      <c r="M39" s="94">
        <f>SUM(M36:M38)</f>
        <v/>
      </c>
    </row>
    <row r="40" ht="13.25" customHeight="1"/>
    <row r="41" ht="13" customFormat="1" customHeight="1" s="90">
      <c r="A41" s="132" t="inlineStr">
        <is>
          <t>Operating Expenses</t>
        </is>
      </c>
      <c r="B41" s="127" t="n"/>
      <c r="C41" s="127" t="n"/>
      <c r="D41" s="127" t="n"/>
      <c r="E41" s="127" t="n"/>
      <c r="F41" s="127" t="n"/>
      <c r="G41" s="127" t="n"/>
      <c r="H41" s="127" t="n"/>
      <c r="I41" s="127" t="n"/>
      <c r="J41" s="127" t="n"/>
      <c r="K41" s="127" t="n"/>
      <c r="L41" s="127" t="n"/>
      <c r="M41" s="127" t="n"/>
    </row>
    <row r="42" ht="11.75" customHeight="1">
      <c r="A42" s="91" t="inlineStr">
        <is>
          <t>Accounting Fees - Audit</t>
        </is>
      </c>
      <c r="B42" s="92" t="n">
        <v>0</v>
      </c>
      <c r="C42" s="92" t="n">
        <v>0</v>
      </c>
      <c r="D42" s="92" t="n">
        <v>0</v>
      </c>
      <c r="E42" s="92" t="n">
        <v>0</v>
      </c>
      <c r="F42" s="92" t="n">
        <v>0</v>
      </c>
      <c r="G42" s="92" t="n">
        <v>0</v>
      </c>
      <c r="H42" s="92" t="n">
        <v>0</v>
      </c>
      <c r="I42" s="92" t="n">
        <v>0</v>
      </c>
      <c r="J42" s="92" t="n">
        <v>11170</v>
      </c>
      <c r="K42" s="92" t="n">
        <v>0</v>
      </c>
      <c r="L42" s="92" t="n">
        <v>0</v>
      </c>
      <c r="M42" s="92" t="n">
        <v>0</v>
      </c>
    </row>
    <row r="43" ht="11.75" customHeight="1">
      <c r="A43" s="95" t="inlineStr">
        <is>
          <t>Accounting Fees - Other</t>
        </is>
      </c>
      <c r="B43" s="96" t="n">
        <v>0</v>
      </c>
      <c r="C43" s="96" t="n">
        <v>0</v>
      </c>
      <c r="D43" s="96" t="n">
        <v>0</v>
      </c>
      <c r="E43" s="96" t="n">
        <v>0</v>
      </c>
      <c r="F43" s="96" t="n">
        <v>0</v>
      </c>
      <c r="G43" s="96" t="n">
        <v>0</v>
      </c>
      <c r="H43" s="96" t="n">
        <v>0</v>
      </c>
      <c r="I43" s="96" t="n">
        <v>0</v>
      </c>
      <c r="J43" s="96" t="n">
        <v>580</v>
      </c>
      <c r="K43" s="96" t="n">
        <v>0</v>
      </c>
      <c r="L43" s="96" t="n">
        <v>0</v>
      </c>
      <c r="M43" s="96" t="n">
        <v>0</v>
      </c>
    </row>
    <row r="44" ht="11.75" customHeight="1">
      <c r="A44" s="95" t="inlineStr">
        <is>
          <t>Advertising - Design Fees</t>
        </is>
      </c>
      <c r="B44" s="96" t="n">
        <v>0</v>
      </c>
      <c r="C44" s="96" t="n">
        <v>0</v>
      </c>
      <c r="D44" s="96" t="n">
        <v>0</v>
      </c>
      <c r="E44" s="96" t="n">
        <v>0</v>
      </c>
      <c r="F44" s="96" t="n">
        <v>0</v>
      </c>
      <c r="G44" s="96" t="n">
        <v>0</v>
      </c>
      <c r="H44" s="96" t="n">
        <v>0</v>
      </c>
      <c r="I44" s="96" t="n">
        <v>0</v>
      </c>
      <c r="J44" s="96" t="n">
        <v>0</v>
      </c>
      <c r="K44" s="96" t="n">
        <v>0</v>
      </c>
      <c r="L44" s="96" t="n">
        <v>0</v>
      </c>
      <c r="M44" s="96" t="n">
        <v>295</v>
      </c>
    </row>
    <row r="45" ht="11.75" customHeight="1">
      <c r="A45" s="95" t="inlineStr">
        <is>
          <t>Advertising - Other</t>
        </is>
      </c>
      <c r="B45" s="96" t="n">
        <v>0</v>
      </c>
      <c r="C45" s="96" t="n">
        <v>0</v>
      </c>
      <c r="D45" s="96" t="n">
        <v>0</v>
      </c>
      <c r="E45" s="96" t="n">
        <v>0</v>
      </c>
      <c r="F45" s="96" t="n">
        <v>0</v>
      </c>
      <c r="G45" s="96" t="n">
        <v>0</v>
      </c>
      <c r="H45" s="96" t="n">
        <v>0</v>
      </c>
      <c r="I45" s="96" t="n">
        <v>0</v>
      </c>
      <c r="J45" s="96" t="n">
        <v>885</v>
      </c>
      <c r="K45" s="96" t="n">
        <v>0</v>
      </c>
      <c r="L45" s="96" t="n">
        <v>0</v>
      </c>
      <c r="M45" s="96" t="n">
        <v>712</v>
      </c>
    </row>
    <row r="46" ht="11.75" customHeight="1">
      <c r="A46" s="95" t="inlineStr">
        <is>
          <t>Advertising _AND_ Promotions</t>
        </is>
      </c>
      <c r="B46" s="96" t="n">
        <v>0</v>
      </c>
      <c r="C46" s="96" t="n">
        <v>0</v>
      </c>
      <c r="D46" s="96" t="n">
        <v>0</v>
      </c>
      <c r="E46" s="96" t="n">
        <v>0</v>
      </c>
      <c r="F46" s="96" t="n">
        <v>0</v>
      </c>
      <c r="G46" s="96" t="n">
        <v>0</v>
      </c>
      <c r="H46" s="96" t="n">
        <v>0</v>
      </c>
      <c r="I46" s="96" t="n">
        <v>3450</v>
      </c>
      <c r="J46" s="96" t="n">
        <v>1200</v>
      </c>
      <c r="K46" s="96" t="n">
        <v>0</v>
      </c>
      <c r="L46" s="96" t="n">
        <v>0</v>
      </c>
      <c r="M46" s="96" t="n">
        <v>0</v>
      </c>
    </row>
    <row r="47" ht="11.75" customHeight="1">
      <c r="A47" s="95" t="inlineStr">
        <is>
          <t>Bank Charges</t>
        </is>
      </c>
      <c r="B47" s="96" t="n">
        <v>0</v>
      </c>
      <c r="C47" s="96" t="n">
        <v>0</v>
      </c>
      <c r="D47" s="96" t="n">
        <v>0</v>
      </c>
      <c r="E47" s="96" t="n">
        <v>0</v>
      </c>
      <c r="F47" s="96" t="n">
        <v>0</v>
      </c>
      <c r="G47" s="96" t="n">
        <v>0</v>
      </c>
      <c r="H47" s="96" t="n">
        <v>0</v>
      </c>
      <c r="I47" s="96" t="n">
        <v>1745.65</v>
      </c>
      <c r="J47" s="96" t="n">
        <v>1648.46</v>
      </c>
      <c r="K47" s="96" t="n">
        <v>1869.9</v>
      </c>
      <c r="L47" s="96" t="n">
        <v>1777.27</v>
      </c>
      <c r="M47" s="96" t="n">
        <v>1931.46</v>
      </c>
    </row>
    <row r="48" ht="11.75" customHeight="1">
      <c r="A48" s="95" t="inlineStr">
        <is>
          <t>BIBC Company Contribution</t>
        </is>
      </c>
      <c r="B48" s="96" t="n">
        <v>0</v>
      </c>
      <c r="C48" s="96" t="n">
        <v>0</v>
      </c>
      <c r="D48" s="96" t="n">
        <v>0</v>
      </c>
      <c r="E48" s="96" t="n">
        <v>0</v>
      </c>
      <c r="F48" s="96" t="n">
        <v>0</v>
      </c>
      <c r="G48" s="96" t="n">
        <v>0</v>
      </c>
      <c r="H48" s="96" t="n">
        <v>0</v>
      </c>
      <c r="I48" s="96" t="n">
        <v>0</v>
      </c>
      <c r="J48" s="96" t="n">
        <v>0</v>
      </c>
      <c r="K48" s="96" t="n">
        <v>3007.35</v>
      </c>
      <c r="L48" s="96" t="n">
        <v>7034</v>
      </c>
      <c r="M48" s="96" t="n">
        <v>5034</v>
      </c>
    </row>
    <row r="49" ht="11.75" customHeight="1">
      <c r="A49" s="95" t="inlineStr">
        <is>
          <t>BIBC Employee Contribution</t>
        </is>
      </c>
      <c r="B49" s="96" t="n">
        <v>0</v>
      </c>
      <c r="C49" s="96" t="n">
        <v>0</v>
      </c>
      <c r="D49" s="96" t="n">
        <v>0</v>
      </c>
      <c r="E49" s="96" t="n">
        <v>0</v>
      </c>
      <c r="F49" s="96" t="n">
        <v>0</v>
      </c>
      <c r="G49" s="96" t="n">
        <v>0</v>
      </c>
      <c r="H49" s="96" t="n">
        <v>0</v>
      </c>
      <c r="I49" s="96" t="n">
        <v>0</v>
      </c>
      <c r="J49" s="96" t="n">
        <v>0</v>
      </c>
      <c r="K49" s="96" t="n">
        <v>1011.6</v>
      </c>
      <c r="L49" s="96" t="n">
        <v>1775.25</v>
      </c>
      <c r="M49" s="96" t="n">
        <v>1775.25</v>
      </c>
    </row>
    <row r="50" ht="11.75" customHeight="1">
      <c r="A50" s="95" t="inlineStr">
        <is>
          <t>Cleaning</t>
        </is>
      </c>
      <c r="B50" s="96" t="n">
        <v>0</v>
      </c>
      <c r="C50" s="96" t="n">
        <v>0</v>
      </c>
      <c r="D50" s="96" t="n">
        <v>0</v>
      </c>
      <c r="E50" s="96" t="n">
        <v>0</v>
      </c>
      <c r="F50" s="96" t="n">
        <v>0</v>
      </c>
      <c r="G50" s="96" t="n">
        <v>0</v>
      </c>
      <c r="H50" s="96" t="n">
        <v>0</v>
      </c>
      <c r="I50" s="96" t="n">
        <v>0</v>
      </c>
      <c r="J50" s="96" t="n">
        <v>0</v>
      </c>
      <c r="K50" s="96" t="n">
        <v>78.25</v>
      </c>
      <c r="L50" s="96" t="n">
        <v>0</v>
      </c>
      <c r="M50" s="96" t="n">
        <v>355.4</v>
      </c>
    </row>
    <row r="51" ht="11.75" customHeight="1">
      <c r="A51" s="95" t="inlineStr">
        <is>
          <t>Computer Exp - IT, Internet/Hosting Fee</t>
        </is>
      </c>
      <c r="B51" s="96" t="n">
        <v>0</v>
      </c>
      <c r="C51" s="96" t="n">
        <v>0</v>
      </c>
      <c r="D51" s="96" t="n">
        <v>0</v>
      </c>
      <c r="E51" s="96" t="n">
        <v>0</v>
      </c>
      <c r="F51" s="96" t="n">
        <v>0</v>
      </c>
      <c r="G51" s="96" t="n">
        <v>0</v>
      </c>
      <c r="H51" s="96" t="n">
        <v>0</v>
      </c>
      <c r="I51" s="96" t="n">
        <v>3130</v>
      </c>
      <c r="J51" s="96" t="n">
        <v>4230</v>
      </c>
      <c r="K51" s="96" t="n">
        <v>3130</v>
      </c>
      <c r="L51" s="96" t="n">
        <v>2532</v>
      </c>
      <c r="M51" s="96" t="n">
        <v>5177</v>
      </c>
    </row>
    <row r="52" ht="11.75" customHeight="1">
      <c r="A52" s="95" t="inlineStr">
        <is>
          <t>Computer Expenses</t>
        </is>
      </c>
      <c r="B52" s="96" t="n">
        <v>0</v>
      </c>
      <c r="C52" s="96" t="n">
        <v>0</v>
      </c>
      <c r="D52" s="96" t="n">
        <v>0</v>
      </c>
      <c r="E52" s="96" t="n">
        <v>0</v>
      </c>
      <c r="F52" s="96" t="n">
        <v>0</v>
      </c>
      <c r="G52" s="96" t="n">
        <v>0</v>
      </c>
      <c r="H52" s="96" t="n">
        <v>0</v>
      </c>
      <c r="I52" s="96" t="n">
        <v>749</v>
      </c>
      <c r="J52" s="96" t="n">
        <v>0</v>
      </c>
      <c r="K52" s="96" t="n">
        <v>1999.13</v>
      </c>
      <c r="L52" s="96" t="n">
        <v>0</v>
      </c>
      <c r="M52" s="96" t="n">
        <v>1604.52</v>
      </c>
    </row>
    <row r="53" ht="11.75" customHeight="1">
      <c r="A53" s="95" t="inlineStr">
        <is>
          <t>Consulting Fees - Admin and Finance</t>
        </is>
      </c>
      <c r="B53" s="96" t="n">
        <v>0</v>
      </c>
      <c r="C53" s="96" t="n">
        <v>0</v>
      </c>
      <c r="D53" s="96" t="n">
        <v>0</v>
      </c>
      <c r="E53" s="96" t="n">
        <v>0</v>
      </c>
      <c r="F53" s="96" t="n">
        <v>0</v>
      </c>
      <c r="G53" s="96" t="n">
        <v>0</v>
      </c>
      <c r="H53" s="96" t="n">
        <v>0</v>
      </c>
      <c r="I53" s="96" t="n">
        <v>119527</v>
      </c>
      <c r="J53" s="96" t="n">
        <v>119527</v>
      </c>
      <c r="K53" s="96" t="n">
        <v>119527</v>
      </c>
      <c r="L53" s="96" t="n">
        <v>110452</v>
      </c>
      <c r="M53" s="96" t="n">
        <v>144016.7</v>
      </c>
    </row>
    <row r="54" ht="11.75" customHeight="1">
      <c r="A54" s="95" t="inlineStr">
        <is>
          <t>Courier _AND_ Postage</t>
        </is>
      </c>
      <c r="B54" s="96" t="n">
        <v>0</v>
      </c>
      <c r="C54" s="96" t="n">
        <v>0</v>
      </c>
      <c r="D54" s="96" t="n">
        <v>0</v>
      </c>
      <c r="E54" s="96" t="n">
        <v>0</v>
      </c>
      <c r="F54" s="96" t="n">
        <v>0</v>
      </c>
      <c r="G54" s="96" t="n">
        <v>0</v>
      </c>
      <c r="H54" s="96" t="n">
        <v>0</v>
      </c>
      <c r="I54" s="96" t="n">
        <v>0</v>
      </c>
      <c r="J54" s="96" t="n">
        <v>0</v>
      </c>
      <c r="K54" s="96" t="n">
        <v>86.09</v>
      </c>
      <c r="L54" s="96" t="n">
        <v>0</v>
      </c>
      <c r="M54" s="96" t="n">
        <v>0</v>
      </c>
    </row>
    <row r="55" ht="11.75" customHeight="1">
      <c r="A55" s="95" t="inlineStr">
        <is>
          <t>Depreciation - Computer Equipment</t>
        </is>
      </c>
      <c r="B55" s="96" t="n">
        <v>0</v>
      </c>
      <c r="C55" s="96" t="n">
        <v>0</v>
      </c>
      <c r="D55" s="96" t="n">
        <v>0</v>
      </c>
      <c r="E55" s="96" t="n">
        <v>0</v>
      </c>
      <c r="F55" s="96" t="n">
        <v>0</v>
      </c>
      <c r="G55" s="96" t="n">
        <v>0</v>
      </c>
      <c r="H55" s="96" t="n">
        <v>0</v>
      </c>
      <c r="I55" s="96" t="n">
        <v>0</v>
      </c>
      <c r="J55" s="96" t="n">
        <v>3323.88</v>
      </c>
      <c r="K55" s="96" t="n">
        <v>3323.91</v>
      </c>
      <c r="L55" s="96" t="n">
        <v>3323.88</v>
      </c>
      <c r="M55" s="96" t="n">
        <v>3323.91</v>
      </c>
    </row>
    <row r="56" ht="11.75" customHeight="1">
      <c r="A56" s="95" t="inlineStr">
        <is>
          <t>Depreciation - Furniture and Fittings</t>
        </is>
      </c>
      <c r="B56" s="96" t="n">
        <v>0</v>
      </c>
      <c r="C56" s="96" t="n">
        <v>0</v>
      </c>
      <c r="D56" s="96" t="n">
        <v>0</v>
      </c>
      <c r="E56" s="96" t="n">
        <v>0</v>
      </c>
      <c r="F56" s="96" t="n">
        <v>0</v>
      </c>
      <c r="G56" s="96" t="n">
        <v>0</v>
      </c>
      <c r="H56" s="96" t="n">
        <v>0</v>
      </c>
      <c r="I56" s="96" t="n">
        <v>0</v>
      </c>
      <c r="J56" s="96" t="n">
        <v>547.67</v>
      </c>
      <c r="K56" s="96" t="n">
        <v>547.6799999999999</v>
      </c>
      <c r="L56" s="96" t="n">
        <v>547.67</v>
      </c>
      <c r="M56" s="96" t="n">
        <v>547.6799999999999</v>
      </c>
    </row>
    <row r="57" ht="11.75" customHeight="1">
      <c r="A57" s="95" t="inlineStr">
        <is>
          <t>Depreciation - Generator Fixed Asset</t>
        </is>
      </c>
      <c r="B57" s="96" t="n">
        <v>0</v>
      </c>
      <c r="C57" s="96" t="n">
        <v>0</v>
      </c>
      <c r="D57" s="96" t="n">
        <v>0</v>
      </c>
      <c r="E57" s="96" t="n">
        <v>0</v>
      </c>
      <c r="F57" s="96" t="n">
        <v>0</v>
      </c>
      <c r="G57" s="96" t="n">
        <v>0</v>
      </c>
      <c r="H57" s="96" t="n">
        <v>0</v>
      </c>
      <c r="I57" s="96" t="n">
        <v>0</v>
      </c>
      <c r="J57" s="96" t="n">
        <v>1188.69</v>
      </c>
      <c r="K57" s="96" t="n">
        <v>1188.7</v>
      </c>
      <c r="L57" s="96" t="n">
        <v>193.34</v>
      </c>
      <c r="M57" s="96" t="n">
        <v>193.33</v>
      </c>
    </row>
    <row r="58" ht="11.75" customHeight="1">
      <c r="A58" s="95" t="inlineStr">
        <is>
          <t>Electricity _AND_ Water</t>
        </is>
      </c>
      <c r="B58" s="96" t="n">
        <v>0</v>
      </c>
      <c r="C58" s="96" t="n">
        <v>0</v>
      </c>
      <c r="D58" s="96" t="n">
        <v>0</v>
      </c>
      <c r="E58" s="96" t="n">
        <v>0</v>
      </c>
      <c r="F58" s="96" t="n">
        <v>0</v>
      </c>
      <c r="G58" s="96" t="n">
        <v>0</v>
      </c>
      <c r="H58" s="96" t="n">
        <v>0</v>
      </c>
      <c r="I58" s="96" t="n">
        <v>7214.2</v>
      </c>
      <c r="J58" s="96" t="n">
        <v>6082.97</v>
      </c>
      <c r="K58" s="96" t="n">
        <v>5058.34</v>
      </c>
      <c r="L58" s="96" t="n">
        <v>6676.08</v>
      </c>
      <c r="M58" s="96" t="n">
        <v>7428.07</v>
      </c>
    </row>
    <row r="59" ht="11.75" customHeight="1">
      <c r="A59" s="95" t="inlineStr">
        <is>
          <t>Insurance - Santam</t>
        </is>
      </c>
      <c r="B59" s="96" t="n">
        <v>0</v>
      </c>
      <c r="C59" s="96" t="n">
        <v>0</v>
      </c>
      <c r="D59" s="96" t="n">
        <v>0</v>
      </c>
      <c r="E59" s="96" t="n">
        <v>0</v>
      </c>
      <c r="F59" s="96" t="n">
        <v>0</v>
      </c>
      <c r="G59" s="96" t="n">
        <v>0</v>
      </c>
      <c r="H59" s="96" t="n">
        <v>0</v>
      </c>
      <c r="I59" s="96" t="n">
        <v>2063.15</v>
      </c>
      <c r="J59" s="96" t="n">
        <v>2089.86</v>
      </c>
      <c r="K59" s="96" t="n">
        <v>0</v>
      </c>
      <c r="L59" s="96" t="n">
        <v>4275.67</v>
      </c>
      <c r="M59" s="96" t="n">
        <v>1458.74</v>
      </c>
    </row>
    <row r="60" ht="11.75" customHeight="1">
      <c r="A60" s="95" t="inlineStr">
        <is>
          <t>Legal Fees</t>
        </is>
      </c>
      <c r="B60" s="96" t="n">
        <v>0</v>
      </c>
      <c r="C60" s="96" t="n">
        <v>0</v>
      </c>
      <c r="D60" s="96" t="n">
        <v>0</v>
      </c>
      <c r="E60" s="96" t="n">
        <v>0</v>
      </c>
      <c r="F60" s="96" t="n">
        <v>0</v>
      </c>
      <c r="G60" s="96" t="n">
        <v>0</v>
      </c>
      <c r="H60" s="96" t="n">
        <v>0</v>
      </c>
      <c r="I60" s="96" t="n">
        <v>0</v>
      </c>
      <c r="J60" s="96" t="n">
        <v>0</v>
      </c>
      <c r="K60" s="96" t="n">
        <v>0</v>
      </c>
      <c r="L60" s="96" t="n">
        <v>5202.88</v>
      </c>
      <c r="M60" s="96" t="n">
        <v>0</v>
      </c>
    </row>
    <row r="61" ht="11.75" customHeight="1">
      <c r="A61" s="95" t="inlineStr">
        <is>
          <t>Motor Vehicle - Insurance _AND_ Licence</t>
        </is>
      </c>
      <c r="B61" s="96" t="n">
        <v>0</v>
      </c>
      <c r="C61" s="96" t="n">
        <v>0</v>
      </c>
      <c r="D61" s="96" t="n">
        <v>0</v>
      </c>
      <c r="E61" s="96" t="n">
        <v>0</v>
      </c>
      <c r="F61" s="96" t="n">
        <v>0</v>
      </c>
      <c r="G61" s="96" t="n">
        <v>0</v>
      </c>
      <c r="H61" s="96" t="n">
        <v>0</v>
      </c>
      <c r="I61" s="96" t="n">
        <v>0</v>
      </c>
      <c r="J61" s="96" t="n">
        <v>1069</v>
      </c>
      <c r="K61" s="96" t="n">
        <v>0</v>
      </c>
      <c r="L61" s="96" t="n">
        <v>0</v>
      </c>
      <c r="M61" s="96" t="n">
        <v>0</v>
      </c>
    </row>
    <row r="62" ht="11.75" customHeight="1">
      <c r="A62" s="95" t="inlineStr">
        <is>
          <t>Motor Vehicle - Petrol _AND_ Oil</t>
        </is>
      </c>
      <c r="B62" s="96" t="n">
        <v>0</v>
      </c>
      <c r="C62" s="96" t="n">
        <v>0</v>
      </c>
      <c r="D62" s="96" t="n">
        <v>0</v>
      </c>
      <c r="E62" s="96" t="n">
        <v>0</v>
      </c>
      <c r="F62" s="96" t="n">
        <v>0</v>
      </c>
      <c r="G62" s="96" t="n">
        <v>0</v>
      </c>
      <c r="H62" s="96" t="n">
        <v>0</v>
      </c>
      <c r="I62" s="96" t="n">
        <v>4022.51</v>
      </c>
      <c r="J62" s="96" t="n">
        <v>3175.51</v>
      </c>
      <c r="K62" s="96" t="n">
        <v>4892.22</v>
      </c>
      <c r="L62" s="96" t="n">
        <v>7124.28</v>
      </c>
      <c r="M62" s="96" t="n">
        <v>5589.51</v>
      </c>
    </row>
    <row r="63" ht="11.75" customHeight="1">
      <c r="A63" s="95" t="inlineStr">
        <is>
          <t>Motor Vehicle Expenses</t>
        </is>
      </c>
      <c r="B63" s="96" t="n">
        <v>0</v>
      </c>
      <c r="C63" s="96" t="n">
        <v>0</v>
      </c>
      <c r="D63" s="96" t="n">
        <v>0</v>
      </c>
      <c r="E63" s="96" t="n">
        <v>0</v>
      </c>
      <c r="F63" s="96" t="n">
        <v>0</v>
      </c>
      <c r="G63" s="96" t="n">
        <v>0</v>
      </c>
      <c r="H63" s="96" t="n">
        <v>0</v>
      </c>
      <c r="I63" s="96" t="n">
        <v>0</v>
      </c>
      <c r="J63" s="96" t="n">
        <v>0</v>
      </c>
      <c r="K63" s="96" t="n">
        <v>0</v>
      </c>
      <c r="L63" s="96" t="n">
        <v>362</v>
      </c>
      <c r="M63" s="96" t="n">
        <v>0</v>
      </c>
    </row>
    <row r="64" ht="11.75" customHeight="1">
      <c r="A64" s="95" t="inlineStr">
        <is>
          <t>PAYE Contributions</t>
        </is>
      </c>
      <c r="B64" s="96" t="n">
        <v>0</v>
      </c>
      <c r="C64" s="96" t="n">
        <v>0</v>
      </c>
      <c r="D64" s="96" t="n">
        <v>0</v>
      </c>
      <c r="E64" s="96" t="n">
        <v>0</v>
      </c>
      <c r="F64" s="96" t="n">
        <v>0</v>
      </c>
      <c r="G64" s="96" t="n">
        <v>0</v>
      </c>
      <c r="H64" s="96" t="n">
        <v>0</v>
      </c>
      <c r="I64" s="96" t="n">
        <v>0</v>
      </c>
      <c r="J64" s="96" t="n">
        <v>82763.78</v>
      </c>
      <c r="K64" s="96" t="n">
        <v>77215.96000000001</v>
      </c>
      <c r="L64" s="96" t="n">
        <v>76990.11</v>
      </c>
      <c r="M64" s="96" t="n">
        <v>75818.38</v>
      </c>
    </row>
    <row r="65" ht="11.75" customHeight="1">
      <c r="A65" s="95" t="inlineStr">
        <is>
          <t>Printing - Printer rental</t>
        </is>
      </c>
      <c r="B65" s="96" t="n">
        <v>0</v>
      </c>
      <c r="C65" s="96" t="n">
        <v>0</v>
      </c>
      <c r="D65" s="96" t="n">
        <v>0</v>
      </c>
      <c r="E65" s="96" t="n">
        <v>0</v>
      </c>
      <c r="F65" s="96" t="n">
        <v>0</v>
      </c>
      <c r="G65" s="96" t="n">
        <v>0</v>
      </c>
      <c r="H65" s="96" t="n">
        <v>1459.35</v>
      </c>
      <c r="I65" s="96" t="n">
        <v>1459.35</v>
      </c>
      <c r="J65" s="96" t="n">
        <v>704.96</v>
      </c>
      <c r="K65" s="96" t="n">
        <v>2190.96</v>
      </c>
      <c r="L65" s="96" t="n">
        <v>1777.93</v>
      </c>
      <c r="M65" s="96" t="n">
        <v>1375.3</v>
      </c>
    </row>
    <row r="66" ht="11.75" customHeight="1">
      <c r="A66" s="95" t="inlineStr">
        <is>
          <t>Printing _AND_ Stationery</t>
        </is>
      </c>
      <c r="B66" s="96" t="n">
        <v>0</v>
      </c>
      <c r="C66" s="96" t="n">
        <v>0</v>
      </c>
      <c r="D66" s="96" t="n">
        <v>0</v>
      </c>
      <c r="E66" s="96" t="n">
        <v>0</v>
      </c>
      <c r="F66" s="96" t="n">
        <v>0</v>
      </c>
      <c r="G66" s="96" t="n">
        <v>0</v>
      </c>
      <c r="H66" s="96" t="n">
        <v>0</v>
      </c>
      <c r="I66" s="96" t="n">
        <v>5699.74</v>
      </c>
      <c r="J66" s="96" t="n">
        <v>4327.12</v>
      </c>
      <c r="K66" s="96" t="n">
        <v>2190.86</v>
      </c>
      <c r="L66" s="96" t="n">
        <v>1173.91</v>
      </c>
      <c r="M66" s="96" t="n">
        <v>2299.13</v>
      </c>
    </row>
    <row r="67" ht="11.75" customHeight="1">
      <c r="A67" s="95" t="inlineStr">
        <is>
          <t>Rates</t>
        </is>
      </c>
      <c r="B67" s="96" t="n">
        <v>0</v>
      </c>
      <c r="C67" s="96" t="n">
        <v>0</v>
      </c>
      <c r="D67" s="96" t="n">
        <v>0</v>
      </c>
      <c r="E67" s="96" t="n">
        <v>0</v>
      </c>
      <c r="F67" s="96" t="n">
        <v>0</v>
      </c>
      <c r="G67" s="96" t="n">
        <v>0</v>
      </c>
      <c r="H67" s="96" t="n">
        <v>2871.04</v>
      </c>
      <c r="I67" s="96" t="n">
        <v>843.6</v>
      </c>
      <c r="J67" s="96" t="n">
        <v>843.6</v>
      </c>
      <c r="K67" s="96" t="n">
        <v>843.6</v>
      </c>
      <c r="L67" s="96" t="n">
        <v>843.6</v>
      </c>
      <c r="M67" s="96" t="n">
        <v>843.6</v>
      </c>
    </row>
    <row r="68" ht="11.75" customHeight="1">
      <c r="A68" s="95" t="inlineStr">
        <is>
          <t>Rent Paid</t>
        </is>
      </c>
      <c r="B68" s="96" t="n">
        <v>0</v>
      </c>
      <c r="C68" s="96" t="n">
        <v>0</v>
      </c>
      <c r="D68" s="96" t="n">
        <v>0</v>
      </c>
      <c r="E68" s="96" t="n">
        <v>0</v>
      </c>
      <c r="F68" s="96" t="n">
        <v>0</v>
      </c>
      <c r="G68" s="96" t="n">
        <v>0</v>
      </c>
      <c r="H68" s="96" t="n">
        <v>29600</v>
      </c>
      <c r="I68" s="96" t="n">
        <v>29600</v>
      </c>
      <c r="J68" s="96" t="n">
        <v>29600</v>
      </c>
      <c r="K68" s="96" t="n">
        <v>29600</v>
      </c>
      <c r="L68" s="96" t="n">
        <v>29600</v>
      </c>
      <c r="M68" s="96" t="n">
        <v>29600</v>
      </c>
    </row>
    <row r="69" ht="11.75" customHeight="1">
      <c r="A69" s="95" t="inlineStr">
        <is>
          <t>Repairs _AND_ Maintenance</t>
        </is>
      </c>
      <c r="B69" s="96" t="n">
        <v>0</v>
      </c>
      <c r="C69" s="96" t="n">
        <v>0</v>
      </c>
      <c r="D69" s="96" t="n">
        <v>0</v>
      </c>
      <c r="E69" s="96" t="n">
        <v>0</v>
      </c>
      <c r="F69" s="96" t="n">
        <v>0</v>
      </c>
      <c r="G69" s="96" t="n">
        <v>0</v>
      </c>
      <c r="H69" s="96" t="n">
        <v>682.61</v>
      </c>
      <c r="I69" s="96" t="n">
        <v>5400</v>
      </c>
      <c r="J69" s="96" t="n">
        <v>155</v>
      </c>
      <c r="K69" s="96" t="n">
        <v>2121.6</v>
      </c>
      <c r="L69" s="96" t="n">
        <v>750</v>
      </c>
      <c r="M69" s="96" t="n">
        <v>6352.8</v>
      </c>
    </row>
    <row r="70" ht="11.75" customHeight="1">
      <c r="A70" s="95" t="inlineStr">
        <is>
          <t>Salaries &amp; Wages - WCA</t>
        </is>
      </c>
      <c r="B70" s="96" t="n">
        <v>0</v>
      </c>
      <c r="C70" s="96" t="n">
        <v>0</v>
      </c>
      <c r="D70" s="96" t="n">
        <v>0</v>
      </c>
      <c r="E70" s="96" t="n">
        <v>0</v>
      </c>
      <c r="F70" s="96" t="n">
        <v>0</v>
      </c>
      <c r="G70" s="96" t="n">
        <v>0</v>
      </c>
      <c r="H70" s="96" t="n">
        <v>0</v>
      </c>
      <c r="I70" s="96" t="n">
        <v>0</v>
      </c>
      <c r="J70" s="96" t="n">
        <v>0</v>
      </c>
      <c r="K70" s="96" t="n">
        <v>5192.13</v>
      </c>
      <c r="L70" s="96" t="n">
        <v>0</v>
      </c>
      <c r="M70" s="96" t="n">
        <v>0</v>
      </c>
    </row>
    <row r="71" ht="11.75" customHeight="1">
      <c r="A71" s="95" t="inlineStr">
        <is>
          <t>Salaries _AND_ Wages</t>
        </is>
      </c>
      <c r="B71" s="96" t="n">
        <v>0</v>
      </c>
      <c r="C71" s="96" t="n">
        <v>0</v>
      </c>
      <c r="D71" s="96" t="n">
        <v>0</v>
      </c>
      <c r="E71" s="96" t="n">
        <v>0</v>
      </c>
      <c r="F71" s="96" t="n">
        <v>0</v>
      </c>
      <c r="G71" s="96" t="n">
        <v>0</v>
      </c>
      <c r="H71" s="96" t="n">
        <v>0</v>
      </c>
      <c r="I71" s="96" t="n">
        <v>0</v>
      </c>
      <c r="J71" s="96" t="n">
        <v>373109.3</v>
      </c>
      <c r="K71" s="96" t="n">
        <v>333418.54</v>
      </c>
      <c r="L71" s="96" t="n">
        <v>327361.08</v>
      </c>
      <c r="M71" s="96" t="n">
        <v>311179.66</v>
      </c>
    </row>
    <row r="72" ht="11.75" customHeight="1">
      <c r="A72" s="95" t="inlineStr">
        <is>
          <t>SDL Contributions</t>
        </is>
      </c>
      <c r="B72" s="96" t="n">
        <v>0</v>
      </c>
      <c r="C72" s="96" t="n">
        <v>0</v>
      </c>
      <c r="D72" s="96" t="n">
        <v>0</v>
      </c>
      <c r="E72" s="96" t="n">
        <v>0</v>
      </c>
      <c r="F72" s="96" t="n">
        <v>0</v>
      </c>
      <c r="G72" s="96" t="n">
        <v>0</v>
      </c>
      <c r="H72" s="96" t="n">
        <v>0</v>
      </c>
      <c r="I72" s="96" t="n">
        <v>0</v>
      </c>
      <c r="J72" s="96" t="n">
        <v>4434.64</v>
      </c>
      <c r="K72" s="96" t="n">
        <v>3980.49</v>
      </c>
      <c r="L72" s="96" t="n">
        <v>3918.5</v>
      </c>
      <c r="M72" s="96" t="n">
        <v>3744.13</v>
      </c>
    </row>
    <row r="73" ht="11.75" customHeight="1">
      <c r="A73" s="95" t="inlineStr">
        <is>
          <t>Secretarial fees - CIPC</t>
        </is>
      </c>
      <c r="B73" s="96" t="n">
        <v>0</v>
      </c>
      <c r="C73" s="96" t="n">
        <v>0</v>
      </c>
      <c r="D73" s="96" t="n">
        <v>0</v>
      </c>
      <c r="E73" s="96" t="n">
        <v>0</v>
      </c>
      <c r="F73" s="96" t="n">
        <v>0</v>
      </c>
      <c r="G73" s="96" t="n">
        <v>0</v>
      </c>
      <c r="H73" s="96" t="n">
        <v>0</v>
      </c>
      <c r="I73" s="96" t="n">
        <v>4000</v>
      </c>
      <c r="J73" s="96" t="n">
        <v>0</v>
      </c>
      <c r="K73" s="96" t="n">
        <v>0</v>
      </c>
      <c r="L73" s="96" t="n">
        <v>0</v>
      </c>
      <c r="M73" s="96" t="n">
        <v>0</v>
      </c>
    </row>
    <row r="74" ht="11.75" customHeight="1">
      <c r="A74" s="95" t="inlineStr">
        <is>
          <t>Security</t>
        </is>
      </c>
      <c r="B74" s="96" t="n">
        <v>0</v>
      </c>
      <c r="C74" s="96" t="n">
        <v>0</v>
      </c>
      <c r="D74" s="96" t="n">
        <v>0</v>
      </c>
      <c r="E74" s="96" t="n">
        <v>0</v>
      </c>
      <c r="F74" s="96" t="n">
        <v>0</v>
      </c>
      <c r="G74" s="96" t="n">
        <v>0</v>
      </c>
      <c r="H74" s="96" t="n">
        <v>0</v>
      </c>
      <c r="I74" s="96" t="n">
        <v>177.33</v>
      </c>
      <c r="J74" s="96" t="n">
        <v>177.33</v>
      </c>
      <c r="K74" s="96" t="n">
        <v>177.33</v>
      </c>
      <c r="L74" s="96" t="n">
        <v>177.33</v>
      </c>
      <c r="M74" s="96" t="n">
        <v>177.33</v>
      </c>
    </row>
    <row r="75" ht="11.75" customHeight="1">
      <c r="A75" s="95" t="inlineStr">
        <is>
          <t>Small Assets</t>
        </is>
      </c>
      <c r="B75" s="96" t="n">
        <v>0</v>
      </c>
      <c r="C75" s="96" t="n">
        <v>0</v>
      </c>
      <c r="D75" s="96" t="n">
        <v>0</v>
      </c>
      <c r="E75" s="96" t="n">
        <v>0</v>
      </c>
      <c r="F75" s="96" t="n">
        <v>0</v>
      </c>
      <c r="G75" s="96" t="n">
        <v>0</v>
      </c>
      <c r="H75" s="96" t="n">
        <v>0</v>
      </c>
      <c r="I75" s="96" t="n">
        <v>2304.35</v>
      </c>
      <c r="J75" s="96" t="n">
        <v>4172.17</v>
      </c>
      <c r="K75" s="96" t="n">
        <v>607.83</v>
      </c>
      <c r="L75" s="96" t="n">
        <v>1600</v>
      </c>
      <c r="M75" s="96" t="n">
        <v>833.91</v>
      </c>
    </row>
    <row r="76" ht="11.75" customHeight="1">
      <c r="A76" s="95" t="inlineStr">
        <is>
          <t>Staff Welfare _AND_ Refreshmts</t>
        </is>
      </c>
      <c r="B76" s="96" t="n">
        <v>0</v>
      </c>
      <c r="C76" s="96" t="n">
        <v>0</v>
      </c>
      <c r="D76" s="96" t="n">
        <v>0</v>
      </c>
      <c r="E76" s="96" t="n">
        <v>0</v>
      </c>
      <c r="F76" s="96" t="n">
        <v>0</v>
      </c>
      <c r="G76" s="96" t="n">
        <v>0</v>
      </c>
      <c r="H76" s="96" t="n">
        <v>0</v>
      </c>
      <c r="I76" s="96" t="n">
        <v>4892.56</v>
      </c>
      <c r="J76" s="96" t="n">
        <v>2814.73</v>
      </c>
      <c r="K76" s="96" t="n">
        <v>2227.4</v>
      </c>
      <c r="L76" s="96" t="n">
        <v>244.98</v>
      </c>
      <c r="M76" s="96" t="n">
        <v>0</v>
      </c>
    </row>
    <row r="77" ht="11.75" customHeight="1">
      <c r="A77" s="95" t="inlineStr">
        <is>
          <t>Subscriptions - Smartsheet</t>
        </is>
      </c>
      <c r="B77" s="96" t="n">
        <v>0</v>
      </c>
      <c r="C77" s="96" t="n">
        <v>0</v>
      </c>
      <c r="D77" s="96" t="n">
        <v>0</v>
      </c>
      <c r="E77" s="96" t="n">
        <v>0</v>
      </c>
      <c r="F77" s="96" t="n">
        <v>0</v>
      </c>
      <c r="G77" s="96" t="n">
        <v>0</v>
      </c>
      <c r="H77" s="96" t="n">
        <v>0</v>
      </c>
      <c r="I77" s="96" t="n">
        <v>0</v>
      </c>
      <c r="J77" s="96" t="n">
        <v>847</v>
      </c>
      <c r="K77" s="96" t="n">
        <v>937.23</v>
      </c>
      <c r="L77" s="96" t="n">
        <v>803.5</v>
      </c>
      <c r="M77" s="96" t="n">
        <v>605</v>
      </c>
    </row>
    <row r="78" ht="11.75" customHeight="1">
      <c r="A78" s="95" t="inlineStr">
        <is>
          <t>Subscriptions &amp; Licenses - Caseware</t>
        </is>
      </c>
      <c r="B78" s="96" t="n">
        <v>0</v>
      </c>
      <c r="C78" s="96" t="n">
        <v>0</v>
      </c>
      <c r="D78" s="96" t="n">
        <v>0</v>
      </c>
      <c r="E78" s="96" t="n">
        <v>0</v>
      </c>
      <c r="F78" s="96" t="n">
        <v>0</v>
      </c>
      <c r="G78" s="96" t="n">
        <v>0</v>
      </c>
      <c r="H78" s="96" t="n">
        <v>0</v>
      </c>
      <c r="I78" s="96" t="n">
        <v>0</v>
      </c>
      <c r="J78" s="96" t="n">
        <v>0</v>
      </c>
      <c r="K78" s="96" t="n">
        <v>0</v>
      </c>
      <c r="L78" s="96" t="n">
        <v>0</v>
      </c>
      <c r="M78" s="96" t="n">
        <v>10825.49</v>
      </c>
    </row>
    <row r="79" ht="11.75" customHeight="1">
      <c r="A79" s="95" t="inlineStr">
        <is>
          <t>Subscriptions &amp; Licenses - Sage payroll</t>
        </is>
      </c>
      <c r="B79" s="96" t="n">
        <v>0</v>
      </c>
      <c r="C79" s="96" t="n">
        <v>0</v>
      </c>
      <c r="D79" s="96" t="n">
        <v>0</v>
      </c>
      <c r="E79" s="96" t="n">
        <v>0</v>
      </c>
      <c r="F79" s="96" t="n">
        <v>0</v>
      </c>
      <c r="G79" s="96" t="n">
        <v>0</v>
      </c>
      <c r="H79" s="96" t="n">
        <v>747</v>
      </c>
      <c r="I79" s="96" t="n">
        <v>747</v>
      </c>
      <c r="J79" s="96" t="n">
        <v>747</v>
      </c>
      <c r="K79" s="96" t="n">
        <v>747</v>
      </c>
      <c r="L79" s="96" t="n">
        <v>747</v>
      </c>
      <c r="M79" s="96" t="n">
        <v>747</v>
      </c>
    </row>
    <row r="80" ht="11.75" customHeight="1">
      <c r="A80" s="95" t="inlineStr">
        <is>
          <t>Subscriptions &amp; Licenses - Xero</t>
        </is>
      </c>
      <c r="B80" s="96" t="n">
        <v>0</v>
      </c>
      <c r="C80" s="96" t="n">
        <v>0</v>
      </c>
      <c r="D80" s="96" t="n">
        <v>0</v>
      </c>
      <c r="E80" s="96" t="n">
        <v>0</v>
      </c>
      <c r="F80" s="96" t="n">
        <v>0</v>
      </c>
      <c r="G80" s="96" t="n">
        <v>0</v>
      </c>
      <c r="H80" s="96" t="n">
        <v>0</v>
      </c>
      <c r="I80" s="96" t="n">
        <v>600</v>
      </c>
      <c r="J80" s="96" t="n">
        <v>600</v>
      </c>
      <c r="K80" s="96" t="n">
        <v>600</v>
      </c>
      <c r="L80" s="96" t="n">
        <v>600</v>
      </c>
      <c r="M80" s="96" t="n">
        <v>600</v>
      </c>
    </row>
    <row r="81" ht="11.75" customHeight="1">
      <c r="A81" s="95" t="inlineStr">
        <is>
          <t>Subscriptions / Licenses</t>
        </is>
      </c>
      <c r="B81" s="96" t="n">
        <v>0</v>
      </c>
      <c r="C81" s="96" t="n">
        <v>0</v>
      </c>
      <c r="D81" s="96" t="n">
        <v>0</v>
      </c>
      <c r="E81" s="96" t="n">
        <v>0</v>
      </c>
      <c r="F81" s="96" t="n">
        <v>0</v>
      </c>
      <c r="G81" s="96" t="n">
        <v>0</v>
      </c>
      <c r="H81" s="96" t="n">
        <v>0</v>
      </c>
      <c r="I81" s="96" t="n">
        <v>526.3200000000001</v>
      </c>
      <c r="J81" s="96" t="n">
        <v>8349.65</v>
      </c>
      <c r="K81" s="96" t="n">
        <v>0</v>
      </c>
      <c r="L81" s="96" t="n">
        <v>0</v>
      </c>
      <c r="M81" s="96" t="n">
        <v>0</v>
      </c>
    </row>
    <row r="82" ht="11.75" customHeight="1">
      <c r="A82" s="95" t="inlineStr">
        <is>
          <t>UIF Company Contributions</t>
        </is>
      </c>
      <c r="B82" s="96" t="n">
        <v>0</v>
      </c>
      <c r="C82" s="96" t="n">
        <v>0</v>
      </c>
      <c r="D82" s="96" t="n">
        <v>0</v>
      </c>
      <c r="E82" s="96" t="n">
        <v>0</v>
      </c>
      <c r="F82" s="96" t="n">
        <v>0</v>
      </c>
      <c r="G82" s="96" t="n">
        <v>0</v>
      </c>
      <c r="H82" s="96" t="n">
        <v>0</v>
      </c>
      <c r="I82" s="96" t="n">
        <v>0</v>
      </c>
      <c r="J82" s="96" t="n">
        <v>2442.38</v>
      </c>
      <c r="K82" s="96" t="n">
        <v>2059.18</v>
      </c>
      <c r="L82" s="96" t="n">
        <v>2003.44</v>
      </c>
      <c r="M82" s="96" t="n">
        <v>1920.62</v>
      </c>
    </row>
    <row r="83" ht="11.75" customHeight="1">
      <c r="A83" s="95" t="inlineStr">
        <is>
          <t>UIF Employee Contribution</t>
        </is>
      </c>
      <c r="B83" s="96" t="n">
        <v>0</v>
      </c>
      <c r="C83" s="96" t="n">
        <v>0</v>
      </c>
      <c r="D83" s="96" t="n">
        <v>0</v>
      </c>
      <c r="E83" s="96" t="n">
        <v>0</v>
      </c>
      <c r="F83" s="96" t="n">
        <v>0</v>
      </c>
      <c r="G83" s="96" t="n">
        <v>0</v>
      </c>
      <c r="H83" s="96" t="n">
        <v>0</v>
      </c>
      <c r="I83" s="96" t="n">
        <v>0</v>
      </c>
      <c r="J83" s="96" t="n">
        <v>2442.38</v>
      </c>
      <c r="K83" s="96" t="n">
        <v>2059.18</v>
      </c>
      <c r="L83" s="96" t="n">
        <v>2003.44</v>
      </c>
      <c r="M83" s="96" t="n">
        <v>1920.62</v>
      </c>
    </row>
    <row r="84" ht="11.75" customHeight="1">
      <c r="A84" s="93" t="inlineStr">
        <is>
          <t>Total Operating Expenses</t>
        </is>
      </c>
      <c r="B84" s="94">
        <f>SUM(B42:B83)</f>
        <v/>
      </c>
      <c r="C84" s="94">
        <f>SUM(C42:C83)</f>
        <v/>
      </c>
      <c r="D84" s="94">
        <f>SUM(D42:D83)</f>
        <v/>
      </c>
      <c r="E84" s="94">
        <f>SUM(E42:E83)</f>
        <v/>
      </c>
      <c r="F84" s="94">
        <f>SUM(F42:F83)</f>
        <v/>
      </c>
      <c r="G84" s="94">
        <f>SUM(G42:G83)</f>
        <v/>
      </c>
      <c r="H84" s="94">
        <f>SUM(H42:H83)</f>
        <v/>
      </c>
      <c r="I84" s="94">
        <f>SUM(I42:I83)</f>
        <v/>
      </c>
      <c r="J84" s="94">
        <f>SUM(J42:J83)</f>
        <v/>
      </c>
      <c r="K84" s="94">
        <f>SUM(K42:K83)</f>
        <v/>
      </c>
      <c r="L84" s="94">
        <f>SUM(L42:L83)</f>
        <v/>
      </c>
      <c r="M84" s="94">
        <f>SUM(M42:M83)</f>
        <v/>
      </c>
    </row>
    <row r="85" ht="13.25" customHeight="1"/>
    <row r="86" ht="11.75" customHeight="1">
      <c r="A86" s="100" t="inlineStr">
        <is>
          <t>Net Profit</t>
        </is>
      </c>
      <c r="B86" s="101">
        <f>((B33 + B39) - B84)</f>
        <v/>
      </c>
      <c r="C86" s="101">
        <f>((C33 + C39) - C84)</f>
        <v/>
      </c>
      <c r="D86" s="101">
        <f>((D33 + D39) - D84)</f>
        <v/>
      </c>
      <c r="E86" s="101">
        <f>((E33 + E39) - E84)</f>
        <v/>
      </c>
      <c r="F86" s="101">
        <f>((F33 + F39) - F84)</f>
        <v/>
      </c>
      <c r="G86" s="101">
        <f>((G33 + G39) - G84)</f>
        <v/>
      </c>
      <c r="H86" s="101">
        <f>((H33 + H39) - H84)</f>
        <v/>
      </c>
      <c r="I86" s="101">
        <f>((I33 + I39) - I84)</f>
        <v/>
      </c>
      <c r="J86" s="101">
        <f>((J33 + J39) - J84)</f>
        <v/>
      </c>
      <c r="K86" s="101">
        <f>((K33 + K39) - K84)</f>
        <v/>
      </c>
      <c r="L86" s="101">
        <f>((L33 + L39) - L84)</f>
        <v/>
      </c>
      <c r="M86" s="101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showGridLines="0" topLeftCell="A5" zoomScale="164" zoomScaleNormal="110" workbookViewId="0">
      <selection activeCell="C31" sqref="C31:C32"/>
    </sheetView>
  </sheetViews>
  <sheetFormatPr baseColWidth="10" defaultColWidth="9.1640625" defaultRowHeight="13"/>
  <cols>
    <col width="12" customWidth="1" style="5" min="1" max="1"/>
    <col width="31.5" customWidth="1" style="5" min="2" max="2"/>
    <col width="15.6640625" customWidth="1" style="5" min="3" max="3"/>
    <col width="14.33203125" bestFit="1" customWidth="1" style="5" min="4" max="4"/>
    <col width="12.6640625" bestFit="1" customWidth="1" style="5" min="5" max="5"/>
    <col width="9.1640625" customWidth="1" style="5" min="6" max="6"/>
    <col width="9.1640625" customWidth="1" style="5" min="7" max="16384"/>
  </cols>
  <sheetData>
    <row r="1">
      <c r="C1" s="5" t="inlineStr">
        <is>
          <t>HF</t>
        </is>
      </c>
      <c r="D1" s="5" t="inlineStr">
        <is>
          <t>HV</t>
        </is>
      </c>
      <c r="F1" s="5" t="inlineStr">
        <is>
          <t>Units</t>
        </is>
      </c>
    </row>
    <row r="2" ht="10.5" customHeight="1">
      <c r="A2" s="6" t="inlineStr">
        <is>
          <t>7610/395</t>
        </is>
      </c>
      <c r="B2" s="6" t="inlineStr">
        <is>
          <t>HF CIP NHBRC</t>
        </is>
      </c>
      <c r="C2" s="63" t="n">
        <v>874505.75</v>
      </c>
      <c r="D2" s="7">
        <f>'TB HV 24'!D15</f>
        <v/>
      </c>
    </row>
    <row r="3" ht="10.5" customHeight="1">
      <c r="A3" s="6" t="inlineStr">
        <is>
          <t>7620/100</t>
        </is>
      </c>
      <c r="B3" s="6" t="inlineStr">
        <is>
          <t>Heron View Land</t>
        </is>
      </c>
      <c r="C3" s="63" t="n">
        <v>6870222.222222222</v>
      </c>
      <c r="D3" s="63">
        <f>26200000/F5*F3</f>
        <v/>
      </c>
      <c r="F3" s="5" t="n">
        <v>166</v>
      </c>
      <c r="G3" s="5" t="inlineStr">
        <is>
          <t>HV</t>
        </is>
      </c>
    </row>
    <row r="4" ht="10.5" customHeight="1">
      <c r="A4" s="6" t="inlineStr">
        <is>
          <t>7620/101</t>
        </is>
      </c>
      <c r="B4" s="6" t="inlineStr">
        <is>
          <t>HF CIP Bond Registration Fee</t>
        </is>
      </c>
      <c r="C4" s="63" t="n">
        <v>68427</v>
      </c>
      <c r="F4" s="5" t="n">
        <v>59</v>
      </c>
      <c r="G4" s="5" t="inlineStr">
        <is>
          <t>HF</t>
        </is>
      </c>
    </row>
    <row r="5" ht="10.5" customHeight="1">
      <c r="A5" s="6" t="inlineStr">
        <is>
          <t>7620/102</t>
        </is>
      </c>
      <c r="B5" s="6" t="inlineStr">
        <is>
          <t>HF CIP Transfer Fee</t>
        </is>
      </c>
      <c r="C5" s="63" t="n">
        <v>103812</v>
      </c>
      <c r="F5" s="5">
        <f>F3+F4</f>
        <v/>
      </c>
      <c r="G5" s="5" t="inlineStr">
        <is>
          <t>Total</t>
        </is>
      </c>
    </row>
    <row r="6" ht="10.5" customHeight="1">
      <c r="A6" s="6" t="inlineStr">
        <is>
          <t>7620/220</t>
        </is>
      </c>
      <c r="B6" s="6" t="inlineStr">
        <is>
          <t>HF CIP Architectural Designs</t>
        </is>
      </c>
      <c r="C6" s="63" t="n">
        <v>314087</v>
      </c>
      <c r="D6" s="7">
        <f>'TB HV 24'!D16</f>
        <v/>
      </c>
    </row>
    <row r="7" ht="10.5" customHeight="1">
      <c r="A7" s="6" t="inlineStr">
        <is>
          <t>7620/230</t>
        </is>
      </c>
      <c r="B7" s="6" t="inlineStr">
        <is>
          <t>HF CIP Construction Management</t>
        </is>
      </c>
      <c r="C7" s="63" t="n">
        <v>139500</v>
      </c>
      <c r="D7" s="7">
        <f>'TB HV 24'!D25</f>
        <v/>
      </c>
    </row>
    <row r="8" ht="10.5" customHeight="1">
      <c r="A8" s="6" t="inlineStr">
        <is>
          <t>7620/240</t>
        </is>
      </c>
      <c r="B8" s="6" t="inlineStr">
        <is>
          <t>HF CIP Civil Engineering</t>
        </is>
      </c>
      <c r="C8" s="63" t="n">
        <v>2244003.849777779</v>
      </c>
      <c r="D8" s="63" t="n">
        <v>6313637.950222222</v>
      </c>
    </row>
    <row r="9" ht="10.5" customHeight="1">
      <c r="A9" s="6" t="inlineStr">
        <is>
          <t>7620/245</t>
        </is>
      </c>
      <c r="B9" s="6" t="inlineStr">
        <is>
          <t>HF CIP Development fee</t>
        </is>
      </c>
      <c r="C9" s="63" t="n">
        <v>13807.78</v>
      </c>
    </row>
    <row r="10" ht="10.5" customHeight="1">
      <c r="A10" s="6" t="inlineStr">
        <is>
          <t>7620/250</t>
        </is>
      </c>
      <c r="B10" s="6" t="inlineStr">
        <is>
          <t>HF CIP Land Surveyor</t>
        </is>
      </c>
      <c r="C10" s="63" t="n">
        <v>197060.09</v>
      </c>
      <c r="D10" s="7">
        <f>'TB HV 24'!D17</f>
        <v/>
      </c>
    </row>
    <row r="11" ht="10.5" customHeight="1">
      <c r="A11" s="6" t="inlineStr">
        <is>
          <t>7620/255</t>
        </is>
      </c>
      <c r="B11" s="6" t="inlineStr">
        <is>
          <t>HF CIP Landscaping</t>
        </is>
      </c>
      <c r="C11" s="63" t="n">
        <v>7500</v>
      </c>
      <c r="D11" s="7">
        <f>'TB HV 24'!D18</f>
        <v/>
      </c>
    </row>
    <row r="12" ht="10.5" customHeight="1">
      <c r="A12" s="6" t="inlineStr">
        <is>
          <t>7620/260</t>
        </is>
      </c>
      <c r="B12" s="6" t="inlineStr">
        <is>
          <t>HF CIP Mechanical Engineers</t>
        </is>
      </c>
      <c r="C12" s="63" t="n">
        <v>67400</v>
      </c>
    </row>
    <row r="13" ht="10.5" customHeight="1">
      <c r="A13" s="6" t="inlineStr">
        <is>
          <t>7620/605</t>
        </is>
      </c>
      <c r="B13" s="6" t="inlineStr">
        <is>
          <t>HF CIP Structural Engineers</t>
        </is>
      </c>
      <c r="C13" s="63" t="n"/>
      <c r="D13" s="7">
        <f>'TB HV 24'!D22</f>
        <v/>
      </c>
    </row>
    <row r="14" ht="10.5" customHeight="1">
      <c r="A14" s="6" t="inlineStr">
        <is>
          <t>7620/265</t>
        </is>
      </c>
      <c r="B14" s="6" t="inlineStr">
        <is>
          <t>HF CIP Health &amp; Safety</t>
        </is>
      </c>
      <c r="C14" s="63" t="n">
        <v>20600</v>
      </c>
      <c r="D14" s="7">
        <f>'TB HV 24'!D26</f>
        <v/>
      </c>
    </row>
    <row r="15" ht="10.5" customHeight="1">
      <c r="A15" s="6" t="inlineStr">
        <is>
          <t>7620/270</t>
        </is>
      </c>
      <c r="B15" s="6" t="inlineStr">
        <is>
          <t>HF CIP Geotechnical</t>
        </is>
      </c>
      <c r="C15" s="63" t="n">
        <v>15175</v>
      </c>
    </row>
    <row r="16" ht="10.5" customHeight="1">
      <c r="A16" s="6" t="inlineStr">
        <is>
          <t>7620/275</t>
        </is>
      </c>
      <c r="B16" s="6" t="inlineStr">
        <is>
          <t>HF CIP Retaining Wall</t>
        </is>
      </c>
      <c r="C16" s="63" t="n">
        <v>570856.08</v>
      </c>
      <c r="D16" s="7">
        <f>'TB HV 24'!D23</f>
        <v/>
      </c>
    </row>
    <row r="17">
      <c r="A17" s="6" t="inlineStr">
        <is>
          <t>7620/220</t>
        </is>
      </c>
      <c r="B17" s="11" t="inlineStr">
        <is>
          <t>HV CIP Architectural Designs</t>
        </is>
      </c>
      <c r="C17" s="1" t="n"/>
      <c r="D17" s="1" t="n"/>
    </row>
    <row r="18">
      <c r="A18" s="11" t="inlineStr">
        <is>
          <t>7620/630</t>
        </is>
      </c>
      <c r="B18" s="11" t="inlineStr">
        <is>
          <t>HV CIP Health &amp; Safety</t>
        </is>
      </c>
      <c r="D18" s="1" t="n"/>
    </row>
    <row r="19">
      <c r="D19" s="1" t="n"/>
    </row>
    <row r="20" ht="10.5" customHeight="1">
      <c r="A20" s="6" t="inlineStr">
        <is>
          <t>7620/290</t>
        </is>
      </c>
      <c r="B20" s="6" t="inlineStr">
        <is>
          <t>HF CIP Town Planning</t>
        </is>
      </c>
      <c r="C20" s="63" t="n">
        <v>166550</v>
      </c>
      <c r="D20" s="1">
        <f>'TB HV 24'!D21</f>
        <v/>
      </c>
    </row>
    <row r="21" ht="10.5" customHeight="1">
      <c r="A21" s="6" t="inlineStr">
        <is>
          <t>7620/295</t>
        </is>
      </c>
      <c r="B21" s="6" t="inlineStr">
        <is>
          <t>HF CIP Traffic Planning</t>
        </is>
      </c>
      <c r="C21" s="63" t="n">
        <v>45000</v>
      </c>
    </row>
    <row r="22" ht="10.5" customHeight="1">
      <c r="A22" s="6" t="inlineStr">
        <is>
          <t>7620/600</t>
        </is>
      </c>
      <c r="B22" s="6" t="inlineStr">
        <is>
          <t>HF CIP Eco work</t>
        </is>
      </c>
      <c r="C22" s="63" t="n">
        <v>161000</v>
      </c>
    </row>
    <row r="23" ht="10.5" customHeight="1">
      <c r="A23" s="6" t="inlineStr">
        <is>
          <t>7620/630</t>
        </is>
      </c>
      <c r="B23" s="6" t="inlineStr">
        <is>
          <t>HF CIP CoCT development contribution</t>
        </is>
      </c>
      <c r="C23" s="63" t="n">
        <v>3252759.95</v>
      </c>
      <c r="D23" s="7">
        <f>'TB HV 24'!D24</f>
        <v/>
      </c>
    </row>
    <row r="24" ht="10.5" customHeight="1">
      <c r="A24" s="6" t="inlineStr">
        <is>
          <t>7620/640</t>
        </is>
      </c>
      <c r="B24" s="6" t="inlineStr">
        <is>
          <t>HF CIP Project costs</t>
        </is>
      </c>
      <c r="C24" s="7" t="n"/>
    </row>
    <row r="25" ht="10.5" customHeight="1">
      <c r="A25" s="8" t="inlineStr">
        <is>
          <t>7620/650</t>
        </is>
      </c>
      <c r="B25" s="8" t="inlineStr">
        <is>
          <t>HF CIP Electrical</t>
        </is>
      </c>
      <c r="C25" s="64" t="n">
        <v>985049.6800000001</v>
      </c>
      <c r="D25" s="7">
        <f>'TB HV 24'!D28</f>
        <v/>
      </c>
    </row>
    <row r="26" ht="10.5" customHeight="1">
      <c r="A26" s="120" t="inlineStr">
        <is>
          <t>7620/800</t>
        </is>
      </c>
      <c r="B26" s="120" t="inlineStr">
        <is>
          <t>HF CIP GL Conradie</t>
        </is>
      </c>
      <c r="C26" s="64" t="n">
        <v>1068455</v>
      </c>
    </row>
    <row r="28" ht="14" customHeight="1" thickBot="1">
      <c r="C28" s="121">
        <f>SUM(C2:C27)</f>
        <v/>
      </c>
      <c r="D28" s="121">
        <f>SUM(D2:D27)</f>
        <v/>
      </c>
    </row>
    <row r="29" ht="14" customHeight="1" thickTop="1"/>
    <row r="30" ht="10.5" customHeight="1">
      <c r="A30" s="6" t="inlineStr">
        <is>
          <t>7620/280</t>
        </is>
      </c>
      <c r="B30" s="6" t="inlineStr">
        <is>
          <t>HF CIP Construction CPC</t>
        </is>
      </c>
      <c r="C30" s="7" t="n"/>
      <c r="D30" s="7" t="n"/>
    </row>
    <row r="31" ht="10.5" customHeight="1">
      <c r="A31" s="6" t="inlineStr">
        <is>
          <t>7620/285</t>
        </is>
      </c>
      <c r="B31" s="6" t="inlineStr">
        <is>
          <t>HF CIP Structuring Fee - Invest</t>
        </is>
      </c>
      <c r="C31" s="63" t="n">
        <v>3850818.04</v>
      </c>
      <c r="D31" s="7">
        <f>'TB HV 24'!D20</f>
        <v/>
      </c>
    </row>
    <row r="32" ht="10.5" customHeight="1">
      <c r="A32" s="6" t="inlineStr">
        <is>
          <t>7620/287</t>
        </is>
      </c>
      <c r="B32" s="6" t="inlineStr">
        <is>
          <t>HF CIP Structuring Fee - CPSD</t>
        </is>
      </c>
      <c r="C32" s="63" t="n">
        <v>3553765.73</v>
      </c>
      <c r="D32" s="7">
        <f>'TB HV 24'!D27</f>
        <v/>
      </c>
    </row>
    <row r="35" ht="14" customHeight="1" thickBot="1">
      <c r="C35" s="121">
        <f>C28+C30+C31+C32</f>
        <v/>
      </c>
      <c r="D35" s="121">
        <f>D28+D31+D32</f>
        <v/>
      </c>
      <c r="E35" s="121">
        <f>C35+D35</f>
        <v/>
      </c>
    </row>
    <row r="36" ht="14" customHeight="1" thickTop="1"/>
    <row r="37">
      <c r="A37" s="9" t="inlineStr">
        <is>
          <t>Unit costs</t>
        </is>
      </c>
      <c r="B37" s="3">
        <f>SUM(B38:B44)</f>
        <v/>
      </c>
    </row>
    <row r="38">
      <c r="A38" s="10" t="inlineStr">
        <is>
          <t xml:space="preserve">Investor interest </t>
        </is>
      </c>
      <c r="B38" s="2" t="n"/>
    </row>
    <row r="39">
      <c r="A39" s="10" t="inlineStr">
        <is>
          <t>Attorney fees</t>
        </is>
      </c>
      <c r="B39" s="2" t="n"/>
    </row>
    <row r="40">
      <c r="A40" s="10" t="inlineStr">
        <is>
          <t>Commissions</t>
        </is>
      </c>
      <c r="B40" s="2" t="n"/>
    </row>
    <row r="41">
      <c r="A41" s="10" t="inlineStr">
        <is>
          <t>Purchaser variations</t>
        </is>
      </c>
      <c r="B41" s="2" t="n"/>
    </row>
    <row r="42">
      <c r="A42" s="10" t="inlineStr">
        <is>
          <t>C2M certificate of transfer</t>
        </is>
      </c>
      <c r="B42" s="2" t="n"/>
    </row>
    <row r="43">
      <c r="A43" s="10" t="inlineStr">
        <is>
          <t>Gifts</t>
        </is>
      </c>
      <c r="B43" s="2" t="n"/>
    </row>
  </sheetData>
  <pageMargins left="0.7" right="0.7" top="0.75" bottom="0.75" header="0.3" footer="0.3"/>
  <pageSetup orientation="portrait" paperSize="9" fitToHeight="0" fitToWidth="0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66"/>
  <sheetViews>
    <sheetView showGridLines="0" zoomScaleNormal="100" workbookViewId="0">
      <pane ySplit="5" topLeftCell="A10" activePane="bottomLeft" state="frozen"/>
      <selection pane="bottomLeft" activeCell="D15" sqref="D15"/>
    </sheetView>
  </sheetViews>
  <sheetFormatPr baseColWidth="10" defaultColWidth="9.1640625" defaultRowHeight="13"/>
  <cols>
    <col width="27.1640625" bestFit="1" customWidth="1" style="140" min="1" max="1"/>
    <col width="4.83203125" bestFit="1" customWidth="1" style="140" min="2" max="2"/>
    <col width="12.33203125" bestFit="1" customWidth="1" style="140" min="3" max="3"/>
    <col width="10.5" bestFit="1" customWidth="1" style="140" min="4" max="5"/>
    <col width="9.83203125" bestFit="1" customWidth="1" style="140" min="6" max="6"/>
    <col width="10.5" bestFit="1" customWidth="1" style="140" min="7" max="8"/>
    <col width="9.83203125" bestFit="1" customWidth="1" style="140" min="9" max="9"/>
    <col width="9.6640625" bestFit="1" customWidth="1" style="140" min="10" max="10"/>
    <col width="9.83203125" bestFit="1" customWidth="1" style="140" min="11" max="11"/>
    <col width="11.5" bestFit="1" customWidth="1" style="140" min="12" max="12"/>
    <col width="11.6640625" bestFit="1" customWidth="1" style="140" min="13" max="13"/>
    <col width="12.33203125" bestFit="1" customWidth="1" style="140" min="14" max="14"/>
    <col width="11.6640625" bestFit="1" customWidth="1" style="140" min="15" max="15"/>
    <col width="9.1640625" customWidth="1" style="140" min="16" max="16"/>
    <col width="9.1640625" customWidth="1" style="140" min="17" max="16384"/>
  </cols>
  <sheetData>
    <row r="1" ht="25.25" customHeight="1">
      <c r="A1" s="139" t="inlineStr">
        <is>
          <t>Profit and Loss</t>
        </is>
      </c>
    </row>
    <row r="2" ht="18" customHeight="1">
      <c r="A2" s="141" t="inlineStr">
        <is>
          <t>Heron View (Pty) Ltd</t>
        </is>
      </c>
    </row>
    <row r="3" ht="36.25" customHeight="1">
      <c r="A3" s="141" t="inlineStr">
        <is>
          <t>For the month ended 28 February 2024</t>
        </is>
      </c>
    </row>
    <row r="4" ht="13.25" customHeight="1"/>
    <row r="5" ht="10.5" customHeight="1">
      <c r="A5" s="20" t="inlineStr">
        <is>
          <t>Account</t>
        </is>
      </c>
      <c r="B5" s="20" t="n"/>
      <c r="C5" s="20" t="inlineStr">
        <is>
          <t>Total</t>
        </is>
      </c>
      <c r="D5" s="21" t="n">
        <v>45323</v>
      </c>
      <c r="E5" s="21" t="n">
        <v>45292</v>
      </c>
      <c r="F5" s="21" t="n">
        <v>45261</v>
      </c>
      <c r="G5" s="21" t="n">
        <v>45231</v>
      </c>
      <c r="H5" s="21" t="n">
        <v>45200</v>
      </c>
      <c r="I5" s="21" t="n">
        <v>45170</v>
      </c>
      <c r="J5" s="21" t="n">
        <v>45139</v>
      </c>
      <c r="K5" s="21" t="n">
        <v>45108</v>
      </c>
      <c r="L5" s="21" t="n">
        <v>45078</v>
      </c>
      <c r="M5" s="21" t="n">
        <v>45047</v>
      </c>
      <c r="N5" s="21" t="n">
        <v>45017</v>
      </c>
      <c r="O5" s="21" t="n">
        <v>44986</v>
      </c>
    </row>
    <row r="6" ht="10.5" customHeight="1">
      <c r="A6" s="22" t="n"/>
      <c r="B6" s="22" t="n"/>
      <c r="C6" s="22" t="n"/>
      <c r="D6" s="23" t="n"/>
      <c r="E6" s="23" t="n"/>
      <c r="F6" s="23" t="n"/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</row>
    <row r="7" ht="10.5" customHeight="1">
      <c r="A7" s="137" t="inlineStr">
        <is>
          <t>Income</t>
        </is>
      </c>
      <c r="B7" s="138" t="n"/>
      <c r="C7" s="138" t="n"/>
      <c r="D7" s="138" t="n"/>
      <c r="E7" s="138" t="n"/>
      <c r="F7" s="138" t="n"/>
      <c r="G7" s="138" t="n"/>
      <c r="H7" s="138" t="n"/>
      <c r="I7" s="138" t="n"/>
      <c r="J7" s="138" t="n"/>
      <c r="K7" s="138" t="n"/>
      <c r="L7" s="138" t="n"/>
      <c r="M7" s="138" t="n"/>
      <c r="N7" s="138" t="n"/>
      <c r="O7" s="138" t="n"/>
    </row>
    <row r="8" ht="10.5" customHeight="1">
      <c r="A8" s="24" t="inlineStr">
        <is>
          <t>Sales</t>
        </is>
      </c>
      <c r="B8" s="24" t="n"/>
      <c r="C8" s="25">
        <f>SUM(D8:O8)</f>
        <v/>
      </c>
      <c r="D8" s="26">
        <f>(4*1350000)+(4*1350000)+(5*1350000)+(4*1350000)+500000</f>
        <v/>
      </c>
      <c r="E8" s="26">
        <f>(4*1350000)+(4*1350000)+500000+2294260.87</f>
        <v/>
      </c>
      <c r="F8" s="26">
        <f>(3*1350000)+500000</f>
        <v/>
      </c>
      <c r="G8" s="26">
        <f>(6*1350000)+(3*1350000)+500000</f>
        <v/>
      </c>
      <c r="H8" s="26">
        <f>(6*1350000)+(3*1350000)+500000</f>
        <v/>
      </c>
      <c r="I8" s="26">
        <f>3*1350000+500000</f>
        <v/>
      </c>
      <c r="J8" s="26">
        <f>3*1350000</f>
        <v/>
      </c>
      <c r="K8" s="26" t="n">
        <v>0</v>
      </c>
      <c r="L8" s="26" t="n">
        <v>0</v>
      </c>
      <c r="M8" s="26" t="n">
        <v>0</v>
      </c>
      <c r="N8" s="26" t="n">
        <v>0</v>
      </c>
      <c r="O8" s="26" t="n">
        <v>0</v>
      </c>
    </row>
    <row r="9" ht="10.5" customHeight="1">
      <c r="A9" s="24" t="inlineStr">
        <is>
          <t>Sales - Heron View occupational rent</t>
        </is>
      </c>
      <c r="B9" s="24" t="n"/>
      <c r="C9" s="25">
        <f>SUM(D9:O9)</f>
        <v/>
      </c>
      <c r="D9" s="26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 t="n"/>
      <c r="O9" s="26" t="n"/>
    </row>
    <row r="10" ht="10.5" customHeight="1">
      <c r="A10" s="24" t="inlineStr">
        <is>
          <t>Bond Origination</t>
        </is>
      </c>
      <c r="B10" s="24" t="n"/>
      <c r="C10" s="25">
        <f>SUM(D10:O10)</f>
        <v/>
      </c>
      <c r="D10" s="26" t="n"/>
      <c r="E10" s="26" t="n"/>
      <c r="F10" s="26" t="n"/>
      <c r="G10" s="26" t="n"/>
      <c r="H10" s="26" t="n"/>
      <c r="I10" s="26" t="n"/>
      <c r="J10" s="26" t="n"/>
      <c r="K10" s="26" t="n"/>
      <c r="L10" s="26" t="n"/>
      <c r="M10" s="26" t="n"/>
      <c r="N10" s="26" t="n"/>
      <c r="O10" s="26" t="n"/>
    </row>
    <row r="11" ht="10.5" customHeight="1">
      <c r="A11" s="27" t="inlineStr">
        <is>
          <t xml:space="preserve">Total Income </t>
        </is>
      </c>
      <c r="B11" s="27" t="n"/>
      <c r="C11" s="28">
        <f>C8+C9+C10</f>
        <v/>
      </c>
      <c r="D11" s="28">
        <f>D8+D9+D10</f>
        <v/>
      </c>
      <c r="E11" s="28">
        <f>E8+E9+E10</f>
        <v/>
      </c>
      <c r="F11" s="28">
        <f>F8+F9+F10</f>
        <v/>
      </c>
      <c r="G11" s="28">
        <f>G8+G9+G10</f>
        <v/>
      </c>
      <c r="H11" s="28">
        <f>H8+H9+H10</f>
        <v/>
      </c>
      <c r="I11" s="28">
        <f>I8+I9+I10</f>
        <v/>
      </c>
      <c r="J11" s="28">
        <f>J8+J9+J10</f>
        <v/>
      </c>
      <c r="K11" s="28">
        <f>K8+K9+K10</f>
        <v/>
      </c>
      <c r="L11" s="28">
        <f>L8+L9+L10</f>
        <v/>
      </c>
      <c r="M11" s="28">
        <f>M8+M9+M10</f>
        <v/>
      </c>
      <c r="N11" s="28">
        <f>N8+N9+N10</f>
        <v/>
      </c>
      <c r="O11" s="28">
        <f>O8+O9+O10</f>
        <v/>
      </c>
    </row>
    <row r="12" ht="10.5" customHeight="1">
      <c r="A12" s="22" t="n"/>
      <c r="B12" s="22" t="n"/>
      <c r="C12" s="22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</row>
    <row r="13" ht="10.5" customHeight="1">
      <c r="A13" s="137" t="inlineStr">
        <is>
          <t>Cost of Sales</t>
        </is>
      </c>
      <c r="B13" s="138" t="n"/>
      <c r="C13" s="138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</row>
    <row r="14" ht="10.5" customHeight="1">
      <c r="A14" s="24" t="inlineStr">
        <is>
          <t>COS - Commission Heron View investors</t>
        </is>
      </c>
      <c r="B14" s="24" t="n"/>
      <c r="C14" s="29">
        <f>SUM(D14:O14)</f>
        <v/>
      </c>
      <c r="D14" s="26" t="n">
        <v>0</v>
      </c>
      <c r="E14" s="26" t="n">
        <v>0</v>
      </c>
      <c r="F14" s="26" t="n">
        <v>0</v>
      </c>
      <c r="G14" s="26" t="n">
        <v>0</v>
      </c>
      <c r="H14" s="26" t="n">
        <v>0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</row>
    <row r="15" ht="10.5" customHeight="1">
      <c r="A15" s="24" t="inlineStr">
        <is>
          <t>COS - Commission Heron View units</t>
        </is>
      </c>
      <c r="B15" s="24" t="n"/>
      <c r="C15" s="29">
        <f>SUM(D15:O15)</f>
        <v/>
      </c>
      <c r="D15" s="26">
        <f>1020000+261743.85</f>
        <v/>
      </c>
      <c r="E15" s="26">
        <f>480000+261743.85</f>
        <v/>
      </c>
      <c r="F15" s="26">
        <f>180000+261743.85</f>
        <v/>
      </c>
      <c r="G15" s="26">
        <f>540000+261743.85</f>
        <v/>
      </c>
      <c r="H15" s="26">
        <f>540000+261743.85</f>
        <v/>
      </c>
      <c r="I15" s="26">
        <f>180000+261743.85</f>
        <v/>
      </c>
      <c r="J15" s="26">
        <f>180000+261743.85</f>
        <v/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</row>
    <row r="16" ht="10.5" customHeight="1">
      <c r="A16" s="24" t="inlineStr">
        <is>
          <t>COS - Electricity</t>
        </is>
      </c>
      <c r="B16" s="24" t="n"/>
      <c r="C16" s="30">
        <f>SUM(D16:O16)</f>
        <v/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</row>
    <row r="17" ht="10.5" customHeight="1">
      <c r="A17" s="31" t="inlineStr">
        <is>
          <t>COS - Printing HV</t>
        </is>
      </c>
      <c r="B17" s="24" t="n"/>
      <c r="C17" s="25">
        <f>SUM(D17:O17)</f>
        <v/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</row>
    <row r="18" ht="10.5" customHeight="1">
      <c r="A18" s="24" t="inlineStr">
        <is>
          <t>COS - Rates clearance</t>
        </is>
      </c>
      <c r="B18" s="24" t="n"/>
      <c r="C18" s="32">
        <f>SUM(D18:O18)</f>
        <v/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>
        <f>44968.24</f>
        <v/>
      </c>
      <c r="L18" s="26" t="n">
        <v>0</v>
      </c>
      <c r="M18" s="26" t="n">
        <v>0</v>
      </c>
      <c r="N18" s="26" t="n">
        <v>0</v>
      </c>
      <c r="O18" s="26" t="n">
        <v>0</v>
      </c>
    </row>
    <row r="19" ht="10.5" customHeight="1">
      <c r="A19" s="24" t="inlineStr">
        <is>
          <t>COS - Construction</t>
        </is>
      </c>
      <c r="B19" s="24" t="n"/>
      <c r="C19" s="25">
        <f>SUM(D19:O19)</f>
        <v/>
      </c>
      <c r="D19" s="26" t="n"/>
      <c r="E19" s="26" t="n"/>
      <c r="F19" s="26" t="n"/>
      <c r="G19" s="26" t="n"/>
      <c r="H19" s="26" t="n"/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</row>
    <row r="20" ht="10.5" customHeight="1">
      <c r="A20" s="24" t="inlineStr">
        <is>
          <t>COS - Legal fees - Opening of Sec Title Fees</t>
        </is>
      </c>
      <c r="B20" s="24" t="n"/>
      <c r="C20" s="25">
        <f>SUM(D20:O20)</f>
        <v/>
      </c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>
        <v>14689.94</v>
      </c>
      <c r="M20" s="26" t="n"/>
      <c r="N20" s="26" t="n"/>
      <c r="O20" s="26" t="n"/>
    </row>
    <row r="21" ht="10.5" customHeight="1">
      <c r="A21" s="24" t="inlineStr">
        <is>
          <t>COS - Inverters</t>
        </is>
      </c>
      <c r="B21" s="24" t="n"/>
      <c r="C21" s="25">
        <f>SUM(D21:O21)</f>
        <v/>
      </c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>
        <v>0</v>
      </c>
      <c r="M21" s="26" t="n"/>
      <c r="N21" s="26" t="n"/>
      <c r="O21" s="26" t="n"/>
    </row>
    <row r="22" ht="10.5" customHeight="1">
      <c r="A22" s="24" t="inlineStr">
        <is>
          <t>COS - Showhouse - HV</t>
        </is>
      </c>
      <c r="B22" s="24" t="n"/>
      <c r="C22" s="25">
        <f>SUM(D22:O22)</f>
        <v/>
      </c>
      <c r="D22" s="26" t="n"/>
      <c r="E22" s="26" t="n"/>
      <c r="F22" s="26" t="n"/>
      <c r="G22" s="26" t="n"/>
      <c r="H22" s="26" t="n"/>
      <c r="I22" s="26" t="n"/>
      <c r="J22" s="26" t="n"/>
      <c r="K22" s="26">
        <f>45300.43+20+6212.85</f>
        <v/>
      </c>
      <c r="L22" s="26" t="n"/>
      <c r="M22" s="26" t="n"/>
      <c r="N22" s="26" t="n"/>
      <c r="O22" s="26" t="n"/>
    </row>
    <row r="23" ht="10.5" customHeight="1">
      <c r="A23" s="24" t="inlineStr">
        <is>
          <t>COS - Levies</t>
        </is>
      </c>
      <c r="B23" s="24" t="n"/>
      <c r="C23" s="33">
        <f>SUM(D23:O23)</f>
        <v/>
      </c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>
        <v>0</v>
      </c>
      <c r="N23" s="26" t="n"/>
      <c r="O23" s="26" t="n"/>
    </row>
    <row r="24" ht="10.5" customHeight="1">
      <c r="A24" s="24" t="inlineStr">
        <is>
          <t>COS - Legal fees</t>
        </is>
      </c>
      <c r="B24" s="24" t="n"/>
      <c r="C24" s="34">
        <f>SUM(D24:O24)</f>
        <v/>
      </c>
      <c r="D24" s="26">
        <f>510000+121504.98</f>
        <v/>
      </c>
      <c r="E24" s="26">
        <f>240000+121504.98</f>
        <v/>
      </c>
      <c r="F24" s="26">
        <f>90000+121504.98</f>
        <v/>
      </c>
      <c r="G24" s="26">
        <f>270000+121504.98</f>
        <v/>
      </c>
      <c r="H24" s="26">
        <f>270000+121504.98</f>
        <v/>
      </c>
      <c r="I24" s="26">
        <f>90000+121504.98</f>
        <v/>
      </c>
      <c r="J24" s="26">
        <f>90000+121504.98</f>
        <v/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</row>
    <row r="25" ht="10.5" customHeight="1">
      <c r="A25" s="27" t="inlineStr">
        <is>
          <t>Total Cost of Sales</t>
        </is>
      </c>
      <c r="B25" s="27" t="n"/>
      <c r="C25" s="28">
        <f>SUM(C14:C24)</f>
        <v/>
      </c>
      <c r="D25" s="28">
        <f>SUM(D14:D24)</f>
        <v/>
      </c>
      <c r="E25" s="28">
        <f>SUM(E14:E24)</f>
        <v/>
      </c>
      <c r="F25" s="28">
        <f>SUM(F14:F24)</f>
        <v/>
      </c>
      <c r="G25" s="28">
        <f>SUM(G14:G24)</f>
        <v/>
      </c>
      <c r="H25" s="28">
        <f>SUM(H14:H24)</f>
        <v/>
      </c>
      <c r="I25" s="28">
        <f>SUM(I14:I24)</f>
        <v/>
      </c>
      <c r="J25" s="28">
        <f>SUM(J14:J24)</f>
        <v/>
      </c>
      <c r="K25" s="28">
        <f>SUM(K14:K24)</f>
        <v/>
      </c>
      <c r="L25" s="28">
        <f>SUM(L14:L24)</f>
        <v/>
      </c>
      <c r="M25" s="28">
        <f>SUM(M14:M24)</f>
        <v/>
      </c>
      <c r="N25" s="28">
        <f>SUM(N14:N24)</f>
        <v/>
      </c>
      <c r="O25" s="28">
        <f>SUM(O14:O24)</f>
        <v/>
      </c>
    </row>
    <row r="26" ht="10.5" customHeight="1">
      <c r="A26" s="22" t="n"/>
      <c r="B26" s="22" t="n"/>
      <c r="C26" s="22" t="n"/>
      <c r="D26" s="23" t="n"/>
      <c r="E26" s="23" t="n"/>
      <c r="F26" s="23" t="n"/>
      <c r="G26" s="23" t="n"/>
      <c r="H26" s="23" t="n"/>
      <c r="I26" s="23" t="n"/>
      <c r="J26" s="23" t="n"/>
      <c r="K26" s="23" t="n"/>
      <c r="L26" s="23" t="n"/>
      <c r="M26" s="23" t="n"/>
      <c r="N26" s="23" t="n"/>
      <c r="O26" s="23" t="n"/>
    </row>
    <row r="27" ht="10.5" customHeight="1">
      <c r="A27" s="35" t="inlineStr">
        <is>
          <t>Gross Profit</t>
        </is>
      </c>
      <c r="B27" s="35" t="n"/>
      <c r="C27" s="36">
        <f>C11-C25</f>
        <v/>
      </c>
      <c r="D27" s="36">
        <f>D11-D25</f>
        <v/>
      </c>
      <c r="E27" s="36">
        <f>E11-E25</f>
        <v/>
      </c>
      <c r="F27" s="36">
        <f>F11-F25</f>
        <v/>
      </c>
      <c r="G27" s="36">
        <f>G11-G25</f>
        <v/>
      </c>
      <c r="H27" s="36">
        <f>H11-H25</f>
        <v/>
      </c>
      <c r="I27" s="36">
        <f>I11-I25</f>
        <v/>
      </c>
      <c r="J27" s="36">
        <f>J11-J25</f>
        <v/>
      </c>
      <c r="K27" s="36">
        <f>K11-K25</f>
        <v/>
      </c>
      <c r="L27" s="36">
        <f>L11-L25</f>
        <v/>
      </c>
      <c r="M27" s="36">
        <f>M11-M25</f>
        <v/>
      </c>
      <c r="N27" s="36">
        <f>N11-N25</f>
        <v/>
      </c>
      <c r="O27" s="36">
        <f>O11-O25</f>
        <v/>
      </c>
    </row>
    <row r="28" ht="13.25" customHeight="1"/>
    <row r="29" ht="13" customHeight="1">
      <c r="A29" s="137" t="inlineStr">
        <is>
          <t>Other Income</t>
        </is>
      </c>
      <c r="B29" s="138" t="n"/>
      <c r="C29" s="138" t="n"/>
      <c r="D29" s="138" t="n"/>
      <c r="E29" s="138" t="n"/>
      <c r="F29" s="138" t="n"/>
      <c r="G29" s="138" t="n"/>
      <c r="H29" s="138" t="n"/>
      <c r="I29" s="138" t="n"/>
      <c r="J29" s="138" t="n"/>
      <c r="K29" s="138" t="n"/>
      <c r="L29" s="138" t="n"/>
      <c r="M29" s="138" t="n"/>
      <c r="N29" s="138" t="n"/>
      <c r="O29" s="138" t="n"/>
    </row>
    <row r="30" ht="10.5" customHeight="1">
      <c r="A30" s="24" t="inlineStr">
        <is>
          <t>Interest Received - Momentum</t>
        </is>
      </c>
      <c r="B30" s="24" t="n"/>
      <c r="C30" s="25">
        <f>SUM(D30:O30)</f>
        <v/>
      </c>
      <c r="D30" s="26" t="n"/>
      <c r="E30" s="26" t="n"/>
      <c r="F30" s="26" t="n"/>
      <c r="G30" s="26" t="n"/>
      <c r="H30" s="26" t="n"/>
      <c r="I30" s="26" t="n"/>
      <c r="J30" s="26" t="n"/>
      <c r="K30" s="26" t="n"/>
      <c r="L30" s="15" t="n">
        <v>0</v>
      </c>
      <c r="M30" s="15" t="n">
        <v>0</v>
      </c>
      <c r="N30" s="14" t="n">
        <v>0</v>
      </c>
      <c r="O30" s="14" t="n">
        <v>0</v>
      </c>
    </row>
    <row r="31" ht="10.5" customHeight="1">
      <c r="A31" s="27" t="inlineStr">
        <is>
          <t>Total Other Income</t>
        </is>
      </c>
      <c r="B31" s="27" t="n"/>
      <c r="C31" s="28">
        <f>C30</f>
        <v/>
      </c>
      <c r="D31" s="28">
        <f>D30</f>
        <v/>
      </c>
      <c r="E31" s="28">
        <f>E30</f>
        <v/>
      </c>
      <c r="F31" s="28">
        <f>F30</f>
        <v/>
      </c>
      <c r="G31" s="28">
        <f>G30</f>
        <v/>
      </c>
      <c r="H31" s="28">
        <f>H30</f>
        <v/>
      </c>
      <c r="I31" s="28">
        <f>I30</f>
        <v/>
      </c>
      <c r="J31" s="28">
        <f>J30</f>
        <v/>
      </c>
      <c r="K31" s="28">
        <f>K30</f>
        <v/>
      </c>
      <c r="L31" s="13">
        <f>L30</f>
        <v/>
      </c>
      <c r="M31" s="13">
        <f>M30</f>
        <v/>
      </c>
      <c r="N31" s="13">
        <f>N30</f>
        <v/>
      </c>
      <c r="O31" s="13">
        <f>O30</f>
        <v/>
      </c>
    </row>
    <row r="32" ht="13.25" customHeight="1"/>
    <row r="33" ht="13" customHeight="1">
      <c r="A33" s="137" t="inlineStr">
        <is>
          <t>Operating Expenses</t>
        </is>
      </c>
      <c r="B33" s="138" t="n"/>
      <c r="C33" s="138" t="n"/>
      <c r="D33" s="138" t="n"/>
      <c r="E33" s="138" t="n"/>
      <c r="F33" s="138" t="n"/>
      <c r="G33" s="138" t="n"/>
      <c r="H33" s="138" t="n"/>
      <c r="I33" s="138" t="n"/>
      <c r="J33" s="138" t="n"/>
      <c r="K33" s="138" t="n"/>
      <c r="L33" s="138" t="n"/>
      <c r="M33" s="138" t="n"/>
      <c r="N33" s="138" t="n"/>
      <c r="O33" s="138" t="n"/>
    </row>
    <row r="34" ht="13" customHeight="1">
      <c r="A34" s="24" t="inlineStr">
        <is>
          <t>Accounting fees</t>
        </is>
      </c>
      <c r="B34" s="37" t="n"/>
      <c r="C34" s="25">
        <f>SUM(D34:O34)</f>
        <v/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6" t="n">
        <v>0</v>
      </c>
      <c r="N34" s="26" t="n">
        <v>0</v>
      </c>
      <c r="O34" s="26" t="n">
        <v>0</v>
      </c>
    </row>
    <row r="35" ht="10.5" customHeight="1">
      <c r="A35" s="24" t="inlineStr">
        <is>
          <t>Advertising _AND_ Promotions</t>
        </is>
      </c>
      <c r="B35" s="24" t="n"/>
      <c r="C35" s="38">
        <f>SUM(D35:O35)</f>
        <v/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7705</v>
      </c>
      <c r="L35" s="26" t="n">
        <v>1293.75</v>
      </c>
      <c r="M35" s="26" t="n">
        <v>5637.5</v>
      </c>
      <c r="N35" s="26" t="n">
        <v>0</v>
      </c>
      <c r="O35" s="26" t="n">
        <v>24975</v>
      </c>
    </row>
    <row r="36" ht="10.5" customHeight="1">
      <c r="A36" s="24" t="inlineStr">
        <is>
          <t>Advertising - Property24</t>
        </is>
      </c>
      <c r="B36" s="24" t="n"/>
      <c r="C36" s="38">
        <f>SUM(D36:O36)</f>
        <v/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26" t="n">
        <v>0</v>
      </c>
      <c r="N36" s="26" t="n">
        <v>0</v>
      </c>
      <c r="O36" s="26" t="n">
        <v>0</v>
      </c>
    </row>
    <row r="37" ht="10.5" customHeight="1">
      <c r="A37" s="24" t="inlineStr">
        <is>
          <t>Advertising - Pure Brand Activation</t>
        </is>
      </c>
      <c r="B37" s="24" t="n"/>
      <c r="C37" s="25">
        <f>SUM(D37:O37)</f>
        <v/>
      </c>
      <c r="D37" s="26" t="n">
        <v>0</v>
      </c>
      <c r="E37" s="26" t="n">
        <v>0</v>
      </c>
      <c r="F37" s="26" t="n">
        <v>0</v>
      </c>
      <c r="G37" s="26" t="n">
        <v>0</v>
      </c>
      <c r="H37" s="26" t="n">
        <v>0</v>
      </c>
      <c r="I37" s="26" t="n">
        <v>0</v>
      </c>
      <c r="J37" s="26" t="n">
        <v>0</v>
      </c>
      <c r="K37" s="26" t="n">
        <v>4602</v>
      </c>
      <c r="L37" s="26" t="n">
        <v>0</v>
      </c>
      <c r="M37" s="26" t="n">
        <v>0</v>
      </c>
      <c r="N37" s="26" t="n">
        <v>0</v>
      </c>
      <c r="O37" s="26" t="n">
        <v>0</v>
      </c>
    </row>
    <row r="38" ht="10.5" customHeight="1">
      <c r="A38" s="24" t="inlineStr">
        <is>
          <t>Bank Charges</t>
        </is>
      </c>
      <c r="B38" s="24" t="n"/>
      <c r="C38" s="39">
        <f>SUM(D38:O38)</f>
        <v/>
      </c>
      <c r="D38" s="26" t="n">
        <v>0</v>
      </c>
      <c r="E38" s="26" t="n">
        <v>0</v>
      </c>
      <c r="F38" s="26" t="n">
        <v>0</v>
      </c>
      <c r="G38" s="26" t="n">
        <v>0</v>
      </c>
      <c r="H38" s="26" t="n">
        <v>0</v>
      </c>
      <c r="I38" s="26" t="n">
        <v>0</v>
      </c>
      <c r="J38" s="26" t="n">
        <v>0</v>
      </c>
      <c r="K38" s="26" t="n">
        <v>0</v>
      </c>
      <c r="L38" s="26" t="n">
        <v>0</v>
      </c>
      <c r="M38" s="26" t="n">
        <v>0</v>
      </c>
      <c r="N38" s="26" t="n">
        <v>0</v>
      </c>
      <c r="O38" s="26" t="n">
        <v>0</v>
      </c>
    </row>
    <row r="39" ht="10.5" customHeight="1">
      <c r="A39" s="24" t="inlineStr">
        <is>
          <t>Consulting Fees - Admin and Finance</t>
        </is>
      </c>
      <c r="B39" s="24" t="n"/>
      <c r="C39" s="25">
        <f>SUM(D39:O39)</f>
        <v/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6" t="n">
        <v>0</v>
      </c>
      <c r="N39" s="26" t="n">
        <v>0</v>
      </c>
      <c r="O39" s="26" t="n">
        <v>0</v>
      </c>
    </row>
    <row r="40" ht="10.5" customHeight="1">
      <c r="A40" s="24" t="inlineStr">
        <is>
          <t>Consulting fees - Trustee</t>
        </is>
      </c>
      <c r="B40" s="24" t="n"/>
      <c r="C40" s="40">
        <f>SUM(D40:O40)</f>
        <v/>
      </c>
      <c r="D40" s="26" t="n">
        <v>7250</v>
      </c>
      <c r="E40" s="26" t="n">
        <v>7250</v>
      </c>
      <c r="F40" s="26" t="n">
        <v>7250</v>
      </c>
      <c r="G40" s="26" t="n">
        <v>7250</v>
      </c>
      <c r="H40" s="26" t="n">
        <v>7250</v>
      </c>
      <c r="I40" s="26" t="n">
        <v>7250</v>
      </c>
      <c r="J40" s="26" t="n">
        <v>7250</v>
      </c>
      <c r="K40" s="26" t="n">
        <v>7250</v>
      </c>
      <c r="L40" s="26" t="n">
        <v>7250</v>
      </c>
      <c r="M40" s="26" t="n">
        <v>0</v>
      </c>
      <c r="N40" s="26" t="n">
        <v>0</v>
      </c>
      <c r="O40" s="26" t="n">
        <v>0</v>
      </c>
    </row>
    <row r="41" ht="10.5" customHeight="1">
      <c r="A41" s="24" t="inlineStr">
        <is>
          <t>Electricity</t>
        </is>
      </c>
      <c r="B41" s="24" t="n"/>
      <c r="C41" s="41">
        <f>SUM(D41:O41)</f>
        <v/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6" t="n">
        <v>0</v>
      </c>
      <c r="N41" s="26" t="n">
        <v>0</v>
      </c>
      <c r="O41" s="26" t="n">
        <v>0</v>
      </c>
    </row>
    <row r="42" ht="10.5" customHeight="1">
      <c r="A42" s="24" t="inlineStr">
        <is>
          <t>Insurance</t>
        </is>
      </c>
      <c r="B42" s="24" t="n"/>
      <c r="C42" s="42">
        <f>SUM(D42:O42)</f>
        <v/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6" t="n">
        <v>0</v>
      </c>
      <c r="N42" s="26" t="n">
        <v>0</v>
      </c>
      <c r="O42" s="26" t="n">
        <v>0</v>
      </c>
    </row>
    <row r="43" ht="10.5" customHeight="1">
      <c r="A43" s="24" t="inlineStr">
        <is>
          <t>Interest Paid</t>
        </is>
      </c>
      <c r="B43" s="24" t="n"/>
      <c r="C43" s="43">
        <f>SUM(D43:O43)</f>
        <v/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6" t="n">
        <v>0</v>
      </c>
      <c r="N43" s="26" t="n">
        <v>0</v>
      </c>
      <c r="O43" s="26" t="n">
        <v>0</v>
      </c>
    </row>
    <row r="44" ht="10.5" customHeight="1">
      <c r="A44" s="24" t="inlineStr">
        <is>
          <t>Interest Paid - Investors @ 14%</t>
        </is>
      </c>
      <c r="B44" s="24" t="n"/>
      <c r="C44" s="40">
        <f>SUM(D44:O44)</f>
        <v/>
      </c>
      <c r="D44" s="108">
        <f>100000+2250000+524952.38</f>
        <v/>
      </c>
      <c r="E44" s="108">
        <f>100000+2250000+524952.38</f>
        <v/>
      </c>
      <c r="F44" s="108">
        <f>100000+524952.38</f>
        <v/>
      </c>
      <c r="G44" s="108">
        <f>100000+524952.38</f>
        <v/>
      </c>
      <c r="H44" s="108">
        <f>100000+524952.38</f>
        <v/>
      </c>
      <c r="I44" s="108">
        <f>100000+524952.38</f>
        <v/>
      </c>
      <c r="J44" s="108">
        <f>200000+524952.38</f>
        <v/>
      </c>
      <c r="K44" s="108" t="n">
        <v>0</v>
      </c>
      <c r="L44" s="108" t="n">
        <v>0</v>
      </c>
      <c r="M44" s="108" t="n">
        <v>0</v>
      </c>
      <c r="N44" s="108" t="n">
        <v>0</v>
      </c>
      <c r="O44" s="108" t="n">
        <v>0</v>
      </c>
    </row>
    <row r="45" ht="10.5" customHeight="1">
      <c r="A45" s="24" t="inlineStr">
        <is>
          <t>Interest Paid - Investors @ 15%</t>
        </is>
      </c>
      <c r="B45" s="24" t="n"/>
      <c r="C45" s="40">
        <f>SUM(D45:O45)</f>
        <v/>
      </c>
      <c r="D45" s="108" t="n">
        <v>100000</v>
      </c>
      <c r="E45" s="108" t="n">
        <v>100000</v>
      </c>
      <c r="F45" s="108" t="n">
        <v>100000</v>
      </c>
      <c r="G45" s="108" t="n">
        <v>100000</v>
      </c>
      <c r="H45" s="108" t="n">
        <v>100000</v>
      </c>
      <c r="I45" s="108" t="n">
        <v>100000</v>
      </c>
      <c r="J45" s="108" t="n">
        <v>0</v>
      </c>
      <c r="K45" s="108" t="n">
        <v>0</v>
      </c>
      <c r="L45" s="108" t="n">
        <v>0</v>
      </c>
      <c r="M45" s="108" t="n">
        <v>0</v>
      </c>
      <c r="N45" s="108" t="n">
        <v>0</v>
      </c>
      <c r="O45" s="108" t="n">
        <v>0</v>
      </c>
    </row>
    <row r="46" ht="10.5" customHeight="1">
      <c r="A46" s="24" t="inlineStr">
        <is>
          <t>Interest Paid - Investors @ 16%</t>
        </is>
      </c>
      <c r="B46" s="24" t="n"/>
      <c r="C46" s="40">
        <f>SUM(D46:O46)</f>
        <v/>
      </c>
      <c r="D46" s="108" t="n">
        <v>100000</v>
      </c>
      <c r="E46" s="108" t="n">
        <v>100000</v>
      </c>
      <c r="F46" s="108" t="n">
        <v>100000</v>
      </c>
      <c r="G46" s="108" t="n">
        <v>100000</v>
      </c>
      <c r="H46" s="108" t="n">
        <v>100000</v>
      </c>
      <c r="I46" s="108" t="n">
        <v>100000</v>
      </c>
      <c r="J46" s="108" t="n">
        <v>0</v>
      </c>
      <c r="K46" s="108" t="n">
        <v>0</v>
      </c>
      <c r="L46" s="108" t="n">
        <v>0</v>
      </c>
      <c r="M46" s="108" t="n">
        <v>0</v>
      </c>
      <c r="N46" s="108" t="n">
        <v>0</v>
      </c>
      <c r="O46" s="108" t="n">
        <v>0</v>
      </c>
    </row>
    <row r="47" ht="10.5" customHeight="1">
      <c r="A47" s="24" t="inlineStr">
        <is>
          <t>Interest Paid - Investors @ 18%</t>
        </is>
      </c>
      <c r="B47" s="24" t="n"/>
      <c r="C47" s="40">
        <f>SUM(D47:O47)</f>
        <v/>
      </c>
      <c r="D47" s="108" t="n">
        <v>100000</v>
      </c>
      <c r="E47" s="108" t="n">
        <v>100000</v>
      </c>
      <c r="F47" s="108" t="n">
        <v>100000</v>
      </c>
      <c r="G47" s="108" t="n">
        <v>100000</v>
      </c>
      <c r="H47" s="108" t="n">
        <v>100000</v>
      </c>
      <c r="I47" s="108" t="n">
        <v>100000</v>
      </c>
      <c r="J47" s="108" t="n">
        <v>0</v>
      </c>
      <c r="K47" s="108" t="n">
        <v>0</v>
      </c>
      <c r="L47" s="108" t="n">
        <v>0</v>
      </c>
      <c r="M47" s="108" t="n">
        <v>0</v>
      </c>
      <c r="N47" s="108" t="n">
        <v>0</v>
      </c>
      <c r="O47" s="108" t="n">
        <v>0</v>
      </c>
    </row>
    <row r="48" ht="10.5" customHeight="1">
      <c r="A48" s="24" t="inlineStr">
        <is>
          <t>Interest Paid - Investors @ 6.25%</t>
        </is>
      </c>
      <c r="B48" s="24" t="n"/>
      <c r="C48" s="40">
        <f>SUM(D48:O48)</f>
        <v/>
      </c>
      <c r="D48" s="108" t="n">
        <v>100000</v>
      </c>
      <c r="E48" s="108" t="n">
        <v>100000</v>
      </c>
      <c r="F48" s="108" t="n">
        <v>100000</v>
      </c>
      <c r="G48" s="108" t="n">
        <v>100000</v>
      </c>
      <c r="H48" s="108" t="n">
        <v>100000</v>
      </c>
      <c r="I48" s="108" t="n">
        <v>100000</v>
      </c>
      <c r="J48" s="108" t="n">
        <v>0</v>
      </c>
      <c r="K48" s="108" t="n">
        <v>0</v>
      </c>
      <c r="L48" s="108" t="n">
        <v>0</v>
      </c>
      <c r="M48" s="108" t="n">
        <v>0</v>
      </c>
      <c r="N48" s="108" t="n">
        <v>0</v>
      </c>
      <c r="O48" s="108" t="n">
        <v>0</v>
      </c>
    </row>
    <row r="49" ht="10.5" customHeight="1">
      <c r="A49" s="24" t="inlineStr">
        <is>
          <t>Interest Paid - Investors @ 6.5%</t>
        </is>
      </c>
      <c r="B49" s="24" t="n"/>
      <c r="C49" s="40">
        <f>SUM(D49:O49)</f>
        <v/>
      </c>
      <c r="D49" s="108" t="n">
        <v>100000</v>
      </c>
      <c r="E49" s="108" t="n">
        <v>100000</v>
      </c>
      <c r="F49" s="108" t="n">
        <v>100000</v>
      </c>
      <c r="G49" s="108" t="n">
        <v>100000</v>
      </c>
      <c r="H49" s="108" t="n">
        <v>100000</v>
      </c>
      <c r="I49" s="108" t="n">
        <v>100000</v>
      </c>
      <c r="J49" s="108" t="n">
        <v>0</v>
      </c>
      <c r="K49" s="108" t="n">
        <v>0</v>
      </c>
      <c r="L49" s="108" t="n">
        <v>0</v>
      </c>
      <c r="M49" s="108" t="n">
        <v>0</v>
      </c>
      <c r="N49" s="108" t="n">
        <v>0</v>
      </c>
      <c r="O49" s="108" t="n">
        <v>0</v>
      </c>
    </row>
    <row r="50" ht="10.5" customHeight="1">
      <c r="A50" s="24" t="inlineStr">
        <is>
          <t>Interest Paid - Investors @ 6.75%</t>
        </is>
      </c>
      <c r="B50" s="24" t="n"/>
      <c r="C50" s="40">
        <f>SUM(D50:O50)</f>
        <v/>
      </c>
      <c r="D50" s="108" t="n">
        <v>100000</v>
      </c>
      <c r="E50" s="108" t="n">
        <v>100000</v>
      </c>
      <c r="F50" s="108" t="n">
        <v>100000</v>
      </c>
      <c r="G50" s="108" t="n">
        <v>100000</v>
      </c>
      <c r="H50" s="108" t="n">
        <v>100000</v>
      </c>
      <c r="I50" s="108" t="n">
        <v>100000</v>
      </c>
      <c r="J50" s="108" t="n">
        <v>0</v>
      </c>
      <c r="K50" s="108" t="n">
        <v>0</v>
      </c>
      <c r="L50" s="108" t="n">
        <v>0</v>
      </c>
      <c r="M50" s="108" t="n">
        <v>0</v>
      </c>
      <c r="N50" s="108" t="n">
        <v>0</v>
      </c>
      <c r="O50" s="108" t="n">
        <v>0</v>
      </c>
    </row>
    <row r="51" ht="10.5" customHeight="1">
      <c r="A51" s="24" t="inlineStr">
        <is>
          <t>Interest Paid - Investors @ 7.00%</t>
        </is>
      </c>
      <c r="B51" s="24" t="n"/>
      <c r="C51" s="40">
        <f>SUM(D51:O51)</f>
        <v/>
      </c>
      <c r="D51" s="108" t="n">
        <v>100000</v>
      </c>
      <c r="E51" s="108" t="n">
        <v>100000</v>
      </c>
      <c r="F51" s="108" t="n">
        <v>100000</v>
      </c>
      <c r="G51" s="108" t="n">
        <v>100000</v>
      </c>
      <c r="H51" s="108" t="n">
        <v>100000</v>
      </c>
      <c r="I51" s="108" t="n">
        <v>100000</v>
      </c>
      <c r="J51" s="108" t="n">
        <v>0</v>
      </c>
      <c r="K51" s="108" t="n">
        <v>0</v>
      </c>
      <c r="L51" s="108" t="n">
        <v>0</v>
      </c>
      <c r="M51" s="108" t="n">
        <v>0</v>
      </c>
      <c r="N51" s="108" t="n">
        <v>0</v>
      </c>
      <c r="O51" s="108" t="n">
        <v>0</v>
      </c>
    </row>
    <row r="52" ht="10.5" customHeight="1">
      <c r="A52" s="24" t="inlineStr">
        <is>
          <t>Interest Paid - Investors @ 7.5%</t>
        </is>
      </c>
      <c r="B52" s="24" t="n"/>
      <c r="C52" s="40">
        <f>SUM(D52:O52)</f>
        <v/>
      </c>
      <c r="D52" s="108" t="n">
        <v>100000</v>
      </c>
      <c r="E52" s="108" t="n">
        <v>100000</v>
      </c>
      <c r="F52" s="108" t="n">
        <v>100000</v>
      </c>
      <c r="G52" s="108" t="n">
        <v>100000</v>
      </c>
      <c r="H52" s="108" t="n">
        <v>100000</v>
      </c>
      <c r="I52" s="108" t="n">
        <v>100000</v>
      </c>
      <c r="J52" s="108" t="n">
        <v>0</v>
      </c>
      <c r="K52" s="108" t="n">
        <v>0</v>
      </c>
      <c r="L52" s="108" t="n">
        <v>0</v>
      </c>
      <c r="M52" s="108" t="n">
        <v>0</v>
      </c>
      <c r="N52" s="108" t="n">
        <v>0</v>
      </c>
      <c r="O52" s="108" t="n">
        <v>0</v>
      </c>
    </row>
    <row r="53" ht="10.5" customHeight="1">
      <c r="A53" s="24" t="inlineStr">
        <is>
          <t>Momentum Admin Fee</t>
        </is>
      </c>
      <c r="B53" s="24" t="n"/>
      <c r="C53" s="44">
        <f>SUM(D53:O53)</f>
        <v/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>
        <v>0</v>
      </c>
      <c r="M53" s="26" t="n">
        <v>0</v>
      </c>
      <c r="N53" s="26" t="n">
        <v>0</v>
      </c>
      <c r="O53" s="26" t="n">
        <v>0</v>
      </c>
    </row>
    <row r="54" ht="10.5" customHeight="1">
      <c r="A54" s="24" t="inlineStr">
        <is>
          <t>Management fees - OMH</t>
        </is>
      </c>
      <c r="B54" s="24" t="n"/>
      <c r="C54" s="25">
        <f>SUM(D54:O54)</f>
        <v/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</row>
    <row r="55" ht="10.5" customHeight="1">
      <c r="A55" s="24" t="inlineStr">
        <is>
          <t>Rates - Heron</t>
        </is>
      </c>
      <c r="B55" s="24" t="n"/>
      <c r="C55" s="45">
        <f>SUM(D55:O55)</f>
        <v/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>
        <v>0</v>
      </c>
      <c r="O55" s="26" t="n">
        <v>0</v>
      </c>
    </row>
    <row r="56" ht="10.5" customHeight="1">
      <c r="A56" s="24" t="inlineStr">
        <is>
          <t>Refuse - Heron</t>
        </is>
      </c>
      <c r="B56" s="24" t="n"/>
      <c r="C56" s="45">
        <f>SUM(D56:O56)</f>
        <v/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>
        <v>0</v>
      </c>
    </row>
    <row r="57" ht="10.5" customHeight="1">
      <c r="A57" s="24" t="inlineStr">
        <is>
          <t>Levies</t>
        </is>
      </c>
      <c r="B57" s="24" t="n"/>
      <c r="C57" s="45">
        <f>SUM(D57:O57)</f>
        <v/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>
        <v>0</v>
      </c>
      <c r="M57" s="26" t="n"/>
      <c r="N57" s="26" t="n"/>
      <c r="O57" s="26" t="n"/>
    </row>
    <row r="58" ht="10.5" customHeight="1">
      <c r="A58" s="24" t="inlineStr">
        <is>
          <t>Repairs_AND_Maintenance</t>
        </is>
      </c>
      <c r="B58" s="24" t="n"/>
      <c r="C58" s="25">
        <f>SUM(D58:O58)</f>
        <v/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</row>
    <row r="59" ht="10.5" customHeight="1">
      <c r="A59" s="24" t="inlineStr">
        <is>
          <t>Security - ADT</t>
        </is>
      </c>
      <c r="B59" s="24" t="n"/>
      <c r="C59" s="42">
        <f>SUM(D59:O59)</f>
        <v/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>
        <v>0</v>
      </c>
      <c r="M59" s="26" t="n">
        <v>0</v>
      </c>
      <c r="N59" s="26" t="n">
        <v>0</v>
      </c>
      <c r="O59" s="26" t="n">
        <v>0</v>
      </c>
    </row>
    <row r="60" ht="10.5" customHeight="1">
      <c r="A60" s="24" t="inlineStr">
        <is>
          <t>Staff welfare</t>
        </is>
      </c>
      <c r="B60" s="24" t="n"/>
      <c r="C60" s="30">
        <f>SUM(D60:O60)</f>
        <v/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>
        <v>0</v>
      </c>
      <c r="N60" s="26" t="n"/>
      <c r="O60" s="26" t="n">
        <v>0</v>
      </c>
    </row>
    <row r="61" ht="10.5" customHeight="1">
      <c r="A61" s="24" t="inlineStr">
        <is>
          <t>Subscriptions - NHBRC</t>
        </is>
      </c>
      <c r="B61" s="24" t="n"/>
      <c r="C61" s="46">
        <f>SUM(D61:O61)</f>
        <v/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>
        <v>0</v>
      </c>
      <c r="O61" s="26" t="n">
        <v>0</v>
      </c>
    </row>
    <row r="62" ht="10.5" customHeight="1">
      <c r="A62" s="24" t="inlineStr">
        <is>
          <t>Subscriptions - Xero</t>
        </is>
      </c>
      <c r="B62" s="24" t="n"/>
      <c r="C62" s="46">
        <f>SUM(D62:O62)</f>
        <v/>
      </c>
      <c r="D62" s="26" t="n">
        <v>600</v>
      </c>
      <c r="E62" s="26" t="n">
        <v>600</v>
      </c>
      <c r="F62" s="26" t="n">
        <v>600</v>
      </c>
      <c r="G62" s="26" t="n">
        <v>600</v>
      </c>
      <c r="H62" s="26" t="n">
        <v>600</v>
      </c>
      <c r="I62" s="26" t="n">
        <v>600</v>
      </c>
      <c r="J62" s="26" t="n">
        <v>600</v>
      </c>
      <c r="K62" s="26" t="n">
        <v>600</v>
      </c>
      <c r="L62" s="26" t="n">
        <v>600</v>
      </c>
      <c r="M62" s="26" t="n">
        <v>600</v>
      </c>
      <c r="N62" s="26" t="n">
        <v>600</v>
      </c>
      <c r="O62" s="26" t="n">
        <v>600</v>
      </c>
    </row>
    <row r="63" ht="10.5" customHeight="1">
      <c r="A63" s="24" t="inlineStr">
        <is>
          <t>Water</t>
        </is>
      </c>
      <c r="B63" s="24" t="n"/>
      <c r="C63" s="32">
        <f>SUM(D63:O63)</f>
        <v/>
      </c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>
        <v>0</v>
      </c>
      <c r="N63" s="26" t="n">
        <v>0</v>
      </c>
      <c r="O63" s="26" t="n">
        <v>0</v>
      </c>
    </row>
    <row r="64" ht="10.5" customHeight="1">
      <c r="A64" s="27" t="inlineStr">
        <is>
          <t>Total Operating Expenses</t>
        </is>
      </c>
      <c r="B64" s="27" t="n"/>
      <c r="C64" s="28">
        <f>SUM(C34:C63)</f>
        <v/>
      </c>
      <c r="D64" s="28">
        <f>SUM(D34:D63)</f>
        <v/>
      </c>
      <c r="E64" s="28">
        <f>SUM(E34:E63)</f>
        <v/>
      </c>
      <c r="F64" s="28">
        <f>SUM(F34:F63)</f>
        <v/>
      </c>
      <c r="G64" s="28">
        <f>SUM(G34:G63)</f>
        <v/>
      </c>
      <c r="H64" s="28">
        <f>SUM(H34:H63)</f>
        <v/>
      </c>
      <c r="I64" s="28">
        <f>SUM(I34:I63)</f>
        <v/>
      </c>
      <c r="J64" s="28">
        <f>SUM(J34:J63)</f>
        <v/>
      </c>
      <c r="K64" s="28">
        <f>SUM(K34:K63)</f>
        <v/>
      </c>
      <c r="L64" s="28">
        <f>SUM(L34:L63)</f>
        <v/>
      </c>
      <c r="M64" s="28">
        <f>SUM(M34:M63)</f>
        <v/>
      </c>
      <c r="N64" s="28">
        <f>SUM(N34:N63)</f>
        <v/>
      </c>
      <c r="O64" s="28">
        <f>SUM(O34:O63)</f>
        <v/>
      </c>
    </row>
    <row r="65" ht="13.25" customHeight="1"/>
    <row r="66" ht="10.5" customHeight="1">
      <c r="A66" s="35" t="inlineStr">
        <is>
          <t>Net Profit</t>
        </is>
      </c>
      <c r="B66" s="35" t="n"/>
      <c r="C66" s="36">
        <f>((C27 + C31) - C64)</f>
        <v/>
      </c>
      <c r="D66" s="36">
        <f>((D27 + D31) - D64)</f>
        <v/>
      </c>
      <c r="E66" s="36">
        <f>((E27 + E31) - E64)</f>
        <v/>
      </c>
      <c r="F66" s="36">
        <f>((F27 + F31) - F64)</f>
        <v/>
      </c>
      <c r="G66" s="36">
        <f>((G27 + G31) - G64)</f>
        <v/>
      </c>
      <c r="H66" s="36">
        <f>((H27 + H31) - H64)</f>
        <v/>
      </c>
      <c r="I66" s="36">
        <f>((I27 + I31) - I64)</f>
        <v/>
      </c>
      <c r="J66" s="36">
        <f>((J27 + J31) - J64)</f>
        <v/>
      </c>
      <c r="K66" s="36">
        <f>((K27 + K31) - K64)</f>
        <v/>
      </c>
      <c r="L66" s="36">
        <f>((L27 + L31) - L64)</f>
        <v/>
      </c>
      <c r="M66" s="36">
        <f>((M27 + M31) - M64)</f>
        <v/>
      </c>
      <c r="N66" s="36">
        <f>((N27 + N31) - N64)</f>
        <v/>
      </c>
      <c r="O66" s="36">
        <f>((O27 + O31) - O64)</f>
        <v/>
      </c>
    </row>
  </sheetData>
  <mergeCells count="7">
    <mergeCell ref="A33:O33"/>
    <mergeCell ref="A1:O1"/>
    <mergeCell ref="A2:O2"/>
    <mergeCell ref="A3:O3"/>
    <mergeCell ref="A7:O7"/>
    <mergeCell ref="A13:O13"/>
    <mergeCell ref="A29:O29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5"/>
  <sheetViews>
    <sheetView showGridLines="0" zoomScaleNormal="100" workbookViewId="0">
      <pane ySplit="5" topLeftCell="A12" activePane="bottomLeft" state="frozen"/>
      <selection pane="bottomLeft" activeCell="K23" sqref="K23"/>
    </sheetView>
  </sheetViews>
  <sheetFormatPr baseColWidth="10" defaultColWidth="9.1640625" defaultRowHeight="13"/>
  <cols>
    <col width="27.1640625" bestFit="1" customWidth="1" style="140" min="1" max="1"/>
    <col width="4.83203125" bestFit="1" customWidth="1" style="140" min="2" max="2"/>
    <col width="11.33203125" bestFit="1" customWidth="1" style="140" min="3" max="3"/>
    <col width="14" bestFit="1" customWidth="1" style="140" min="4" max="4"/>
    <col width="10.83203125" bestFit="1" customWidth="1" style="140" min="5" max="5"/>
    <col width="11.1640625" bestFit="1" customWidth="1" style="140" min="6" max="6"/>
    <col width="10.83203125" bestFit="1" customWidth="1" style="140" min="7" max="7"/>
    <col width="9.83203125" bestFit="1" customWidth="1" style="140" min="8" max="9"/>
    <col width="10.5" bestFit="1" customWidth="1" style="140" min="10" max="15"/>
    <col width="9.1640625" customWidth="1" style="140" min="16" max="16"/>
    <col width="9.1640625" customWidth="1" style="140" min="17" max="16384"/>
  </cols>
  <sheetData>
    <row r="1" ht="25.25" customHeight="1">
      <c r="A1" s="139" t="inlineStr">
        <is>
          <t>Profit and Loss</t>
        </is>
      </c>
    </row>
    <row r="2" ht="18" customHeight="1">
      <c r="A2" s="141" t="inlineStr">
        <is>
          <t>Heron View (Pty) Ltd</t>
        </is>
      </c>
    </row>
    <row r="3" ht="36.25" customHeight="1">
      <c r="A3" s="141" t="inlineStr">
        <is>
          <t>For the month ended 29 February 2025</t>
        </is>
      </c>
    </row>
    <row r="4" ht="13.25" customHeight="1"/>
    <row r="5" ht="10.5" customHeight="1">
      <c r="A5" s="20" t="inlineStr">
        <is>
          <t>Account</t>
        </is>
      </c>
      <c r="B5" s="20" t="n"/>
      <c r="C5" s="20" t="inlineStr">
        <is>
          <t>Total</t>
        </is>
      </c>
      <c r="D5" s="21" t="n">
        <v>45689</v>
      </c>
      <c r="E5" s="21" t="n">
        <v>45658</v>
      </c>
      <c r="F5" s="21" t="n">
        <v>45627</v>
      </c>
      <c r="G5" s="21" t="n">
        <v>45597</v>
      </c>
      <c r="H5" s="21" t="n">
        <v>45566</v>
      </c>
      <c r="I5" s="21" t="n">
        <v>45536</v>
      </c>
      <c r="J5" s="21" t="n">
        <v>45505</v>
      </c>
      <c r="K5" s="21" t="n">
        <v>45474</v>
      </c>
      <c r="L5" s="21" t="n">
        <v>45444</v>
      </c>
      <c r="M5" s="21" t="n">
        <v>45413</v>
      </c>
      <c r="N5" s="21" t="n">
        <v>45383</v>
      </c>
      <c r="O5" s="21" t="n">
        <v>45352</v>
      </c>
    </row>
    <row r="6" ht="10.5" customHeight="1">
      <c r="A6" s="22" t="n"/>
      <c r="B6" s="22" t="n"/>
      <c r="C6" s="22" t="n"/>
      <c r="D6" s="23" t="n"/>
      <c r="E6" s="23" t="n"/>
      <c r="F6" s="23" t="n"/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</row>
    <row r="7" ht="10.5" customHeight="1">
      <c r="A7" s="137" t="inlineStr">
        <is>
          <t>Income</t>
        </is>
      </c>
      <c r="B7" s="138" t="n"/>
      <c r="C7" s="138" t="n"/>
      <c r="D7" s="138" t="n"/>
      <c r="E7" s="138" t="n"/>
      <c r="F7" s="138" t="n"/>
      <c r="G7" s="138" t="n"/>
      <c r="H7" s="138" t="n"/>
      <c r="I7" s="138" t="n"/>
      <c r="J7" s="138" t="n"/>
      <c r="K7" s="138" t="n"/>
      <c r="L7" s="138" t="n"/>
      <c r="M7" s="138" t="n"/>
      <c r="N7" s="138" t="n"/>
      <c r="O7" s="138" t="n"/>
    </row>
    <row r="8" ht="10.5" customHeight="1">
      <c r="A8" s="24" t="inlineStr">
        <is>
          <t>Sales</t>
        </is>
      </c>
      <c r="B8" s="24" t="n"/>
      <c r="C8" s="25">
        <f>SUM(D8:O8)</f>
        <v/>
      </c>
      <c r="D8" s="26" t="n"/>
      <c r="E8" s="26" t="n"/>
      <c r="F8" s="26" t="n"/>
      <c r="G8" s="26" t="n"/>
      <c r="H8" s="26" t="n">
        <v>0</v>
      </c>
      <c r="I8" s="26" t="n">
        <v>0</v>
      </c>
      <c r="J8" s="26">
        <f>(6*1350000)+(6*1350000)+(4*1350000)+(4*1350000)+500000</f>
        <v/>
      </c>
      <c r="K8" s="26">
        <f>(8*1350000)+(4*1350000)+(6*1350000)+(6*1350000)+(4*1350000)+(4*1350000)+500000</f>
        <v/>
      </c>
      <c r="L8" s="26">
        <f>(8*1350000)+(4*1350000)+(4*1350000)+500000</f>
        <v/>
      </c>
      <c r="M8" s="26">
        <f>(8*1350000)+500000</f>
        <v/>
      </c>
      <c r="N8" s="26">
        <f>(5*1350000)+(4*1350000)+(4*1350000)+500000</f>
        <v/>
      </c>
      <c r="O8" s="26">
        <f>(4*1350000)+(4*1350000)+(5*1350000)+(4*1350000)+(4*1350000)+(4*1350000)+500000</f>
        <v/>
      </c>
    </row>
    <row r="9" ht="10.5" customHeight="1">
      <c r="A9" s="24" t="inlineStr">
        <is>
          <t>Sales - Heron View occupational rent</t>
        </is>
      </c>
      <c r="B9" s="24" t="n"/>
      <c r="C9" s="25">
        <f>SUM(D9:O9)</f>
        <v/>
      </c>
      <c r="D9" s="26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 t="n"/>
      <c r="O9" s="26" t="n"/>
    </row>
    <row r="10" ht="10.5" customHeight="1">
      <c r="A10" s="24" t="inlineStr">
        <is>
          <t>Bond Origination</t>
        </is>
      </c>
      <c r="B10" s="24" t="n"/>
      <c r="C10" s="25">
        <f>SUM(D10:O10)</f>
        <v/>
      </c>
      <c r="D10" s="26" t="n"/>
      <c r="E10" s="26" t="n"/>
      <c r="F10" s="26" t="n"/>
      <c r="G10" s="26" t="n"/>
      <c r="H10" s="26" t="n"/>
      <c r="I10" s="26" t="n"/>
      <c r="J10" s="26" t="n"/>
      <c r="K10" s="26" t="n"/>
      <c r="L10" s="26" t="n"/>
      <c r="M10" s="26" t="n"/>
      <c r="N10" s="26" t="n"/>
      <c r="O10" s="26" t="n"/>
    </row>
    <row r="11" ht="10.5" customHeight="1">
      <c r="A11" s="27" t="inlineStr">
        <is>
          <t xml:space="preserve">Total Income </t>
        </is>
      </c>
      <c r="B11" s="27" t="n"/>
      <c r="C11" s="28">
        <f>C8+C9+C10</f>
        <v/>
      </c>
      <c r="D11" s="28">
        <f>D8+D9+D10</f>
        <v/>
      </c>
      <c r="E11" s="28">
        <f>E8+E9+E10</f>
        <v/>
      </c>
      <c r="F11" s="28">
        <f>F8+F9+F10</f>
        <v/>
      </c>
      <c r="G11" s="28">
        <f>G8+G9+G10</f>
        <v/>
      </c>
      <c r="H11" s="28">
        <f>H8+H9+H10</f>
        <v/>
      </c>
      <c r="I11" s="28">
        <f>I8+I9+I10</f>
        <v/>
      </c>
      <c r="J11" s="28">
        <f>J8+J9+J10</f>
        <v/>
      </c>
      <c r="K11" s="28">
        <f>K8+K9+K10</f>
        <v/>
      </c>
      <c r="L11" s="28">
        <f>L8+L9+L10</f>
        <v/>
      </c>
      <c r="M11" s="28">
        <f>M8+M9+M10</f>
        <v/>
      </c>
      <c r="N11" s="28">
        <f>N8+N9+N10</f>
        <v/>
      </c>
      <c r="O11" s="28">
        <f>O8+O9+O10</f>
        <v/>
      </c>
    </row>
    <row r="12" ht="10.5" customHeight="1">
      <c r="A12" s="22" t="n"/>
      <c r="B12" s="22" t="n"/>
      <c r="C12" s="22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</row>
    <row r="13" ht="10.5" customHeight="1">
      <c r="A13" s="137" t="inlineStr">
        <is>
          <t>Cost of Sales</t>
        </is>
      </c>
      <c r="B13" s="138" t="n"/>
      <c r="C13" s="138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</row>
    <row r="14" ht="10.5" customHeight="1">
      <c r="A14" s="24" t="inlineStr">
        <is>
          <t>COS - Commission Heron View investors</t>
        </is>
      </c>
      <c r="B14" s="24" t="n"/>
      <c r="C14" s="29">
        <f>SUM(D14:O14)</f>
        <v/>
      </c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>
        <v>0</v>
      </c>
      <c r="M14" s="26" t="n">
        <v>0</v>
      </c>
      <c r="N14" s="26" t="n">
        <v>0</v>
      </c>
      <c r="O14" s="26" t="n">
        <v>0</v>
      </c>
    </row>
    <row r="15" ht="10.5" customHeight="1">
      <c r="A15" s="24" t="inlineStr">
        <is>
          <t>COS - Commission Heron View units</t>
        </is>
      </c>
      <c r="B15" s="24" t="n"/>
      <c r="C15" s="29">
        <f>SUM(D15:O15)</f>
        <v/>
      </c>
      <c r="D15" s="26" t="n"/>
      <c r="E15" s="26" t="n"/>
      <c r="F15" s="26" t="n"/>
      <c r="G15" s="26" t="n"/>
      <c r="H15" s="26" t="n"/>
      <c r="I15" s="26" t="n"/>
      <c r="J15" s="26">
        <f>1200000+261743.8</f>
        <v/>
      </c>
      <c r="K15" s="26">
        <f>1920000+261743.85-1742956.96</f>
        <v/>
      </c>
      <c r="L15" s="26">
        <f>960000+261743.85</f>
        <v/>
      </c>
      <c r="M15" s="26">
        <f>480000+261743.85</f>
        <v/>
      </c>
      <c r="N15" s="26">
        <f>780000+261743.85</f>
        <v/>
      </c>
      <c r="O15" s="26">
        <f>1500000+261743.85</f>
        <v/>
      </c>
    </row>
    <row r="16" ht="10.5" customHeight="1">
      <c r="A16" s="24" t="inlineStr">
        <is>
          <t>COS - Electricity</t>
        </is>
      </c>
      <c r="B16" s="24" t="n"/>
      <c r="C16" s="30">
        <f>SUM(D16:O16)</f>
        <v/>
      </c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>
        <v>0</v>
      </c>
      <c r="M16" s="26" t="n">
        <v>0</v>
      </c>
      <c r="N16" s="26" t="n">
        <v>0</v>
      </c>
      <c r="O16" s="26" t="n">
        <v>0</v>
      </c>
    </row>
    <row r="17" ht="10.5" customHeight="1">
      <c r="A17" s="31" t="inlineStr">
        <is>
          <t>COS - Printing HV</t>
        </is>
      </c>
      <c r="B17" s="24" t="n"/>
      <c r="C17" s="25">
        <f>SUM(D17:O17)</f>
        <v/>
      </c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>
        <v>0</v>
      </c>
      <c r="M17" s="26" t="n">
        <v>0</v>
      </c>
      <c r="N17" s="26" t="n">
        <v>0</v>
      </c>
      <c r="O17" s="26" t="n">
        <v>0</v>
      </c>
    </row>
    <row r="18" ht="10.5" customHeight="1">
      <c r="A18" s="24" t="inlineStr">
        <is>
          <t>COS - Rates clearance</t>
        </is>
      </c>
      <c r="B18" s="24" t="n"/>
      <c r="C18" s="32">
        <f>SUM(D18:O18)</f>
        <v/>
      </c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>
        <v>0</v>
      </c>
      <c r="M18" s="26" t="n">
        <v>0</v>
      </c>
      <c r="N18" s="26" t="n">
        <v>0</v>
      </c>
      <c r="O18" s="26" t="n">
        <v>0</v>
      </c>
    </row>
    <row r="19" ht="10.5" customHeight="1">
      <c r="A19" s="24" t="inlineStr">
        <is>
          <t>COS - Construction</t>
        </is>
      </c>
      <c r="B19" s="24" t="n"/>
      <c r="C19" s="25">
        <f>SUM(D19:O19)</f>
        <v/>
      </c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>
        <v>0</v>
      </c>
      <c r="M19" s="26" t="n">
        <v>0</v>
      </c>
      <c r="N19" s="26" t="n">
        <v>0</v>
      </c>
      <c r="O19" s="26" t="n">
        <v>0</v>
      </c>
    </row>
    <row r="20" ht="10.5" customHeight="1">
      <c r="A20" s="24" t="inlineStr">
        <is>
          <t>COS - Inverters</t>
        </is>
      </c>
      <c r="B20" s="24" t="n"/>
      <c r="C20" s="25">
        <f>SUM(D20:O20)</f>
        <v/>
      </c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>
        <v>0</v>
      </c>
      <c r="M20" s="26" t="n">
        <v>0</v>
      </c>
      <c r="N20" s="26" t="n">
        <v>0</v>
      </c>
      <c r="O20" s="26" t="n">
        <v>0</v>
      </c>
    </row>
    <row r="21" ht="10.5" customHeight="1">
      <c r="A21" s="24" t="inlineStr">
        <is>
          <t>COS - Showhouse - HV</t>
        </is>
      </c>
      <c r="B21" s="24" t="n"/>
      <c r="C21" s="25">
        <f>SUM(D21:O21)</f>
        <v/>
      </c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>
        <v>0</v>
      </c>
      <c r="M21" s="26" t="n">
        <v>0</v>
      </c>
      <c r="N21" s="26" t="n">
        <v>0</v>
      </c>
      <c r="O21" s="26" t="n">
        <v>0</v>
      </c>
    </row>
    <row r="22" ht="10.5" customHeight="1">
      <c r="A22" s="24" t="inlineStr">
        <is>
          <t>COS - Levies</t>
        </is>
      </c>
      <c r="B22" s="24" t="n"/>
      <c r="C22" s="33">
        <f>SUM(D22:O22)</f>
        <v/>
      </c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>
        <v>0</v>
      </c>
      <c r="M22" s="26" t="n">
        <v>0</v>
      </c>
      <c r="N22" s="26" t="n">
        <v>0</v>
      </c>
      <c r="O22" s="26" t="n">
        <v>0</v>
      </c>
    </row>
    <row r="23" ht="10.5" customHeight="1">
      <c r="A23" s="24" t="inlineStr">
        <is>
          <t>COS - Legal fees</t>
        </is>
      </c>
      <c r="B23" s="24" t="n"/>
      <c r="C23" s="34">
        <f>SUM(D23:O23)</f>
        <v/>
      </c>
      <c r="D23" s="26" t="n"/>
      <c r="E23" s="26" t="n"/>
      <c r="F23" s="26" t="n"/>
      <c r="G23" s="26" t="n"/>
      <c r="H23" s="26" t="n"/>
      <c r="I23" s="26" t="n"/>
      <c r="J23" s="26">
        <f>600000+121504.98-0.04</f>
        <v/>
      </c>
      <c r="K23" s="26">
        <f>960000+121504.98-855595.4</f>
        <v/>
      </c>
      <c r="L23" s="26">
        <f>480000+121504.98</f>
        <v/>
      </c>
      <c r="M23" s="26">
        <f>240000+121504.98</f>
        <v/>
      </c>
      <c r="N23" s="26">
        <f>390000+121504.98</f>
        <v/>
      </c>
      <c r="O23" s="26">
        <f>750000+121504.98</f>
        <v/>
      </c>
    </row>
    <row r="24" ht="10.5" customHeight="1">
      <c r="A24" s="27" t="inlineStr">
        <is>
          <t>Total Cost of Sales</t>
        </is>
      </c>
      <c r="B24" s="27" t="n"/>
      <c r="C24" s="28">
        <f>SUM(C14:C23)</f>
        <v/>
      </c>
      <c r="D24" s="28">
        <f>SUM(D14:D23)</f>
        <v/>
      </c>
      <c r="E24" s="28">
        <f>SUM(E14:E23)</f>
        <v/>
      </c>
      <c r="F24" s="28">
        <f>SUM(F14:F23)</f>
        <v/>
      </c>
      <c r="G24" s="28">
        <f>SUM(G14:G23)</f>
        <v/>
      </c>
      <c r="H24" s="28">
        <f>SUM(H14:H23)</f>
        <v/>
      </c>
      <c r="I24" s="28">
        <f>SUM(I14:I23)</f>
        <v/>
      </c>
      <c r="J24" s="28">
        <f>SUM(J14:J23)</f>
        <v/>
      </c>
      <c r="K24" s="28">
        <f>SUM(K14:K23)</f>
        <v/>
      </c>
      <c r="L24" s="28">
        <f>SUM(L14:L23)</f>
        <v/>
      </c>
      <c r="M24" s="28">
        <f>SUM(M14:M23)</f>
        <v/>
      </c>
      <c r="N24" s="28">
        <f>SUM(N14:N23)</f>
        <v/>
      </c>
      <c r="O24" s="28">
        <f>SUM(O14:O23)</f>
        <v/>
      </c>
    </row>
    <row r="25" ht="10.5" customHeight="1">
      <c r="A25" s="22" t="n"/>
      <c r="B25" s="22" t="n"/>
      <c r="C25" s="22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O25" s="23" t="n"/>
    </row>
    <row r="26" ht="10.5" customHeight="1">
      <c r="A26" s="35" t="inlineStr">
        <is>
          <t>Gross Profit</t>
        </is>
      </c>
      <c r="B26" s="35" t="n"/>
      <c r="C26" s="36">
        <f>C11-C24</f>
        <v/>
      </c>
      <c r="D26" s="36">
        <f>D11-D24</f>
        <v/>
      </c>
      <c r="E26" s="36">
        <f>E11-E24</f>
        <v/>
      </c>
      <c r="F26" s="36">
        <f>F11-F24</f>
        <v/>
      </c>
      <c r="G26" s="36">
        <f>G11-G24</f>
        <v/>
      </c>
      <c r="H26" s="36">
        <f>H11-H24</f>
        <v/>
      </c>
      <c r="I26" s="36">
        <f>I11-I24</f>
        <v/>
      </c>
      <c r="J26" s="36">
        <f>J11-J24</f>
        <v/>
      </c>
      <c r="K26" s="36">
        <f>K11-K24</f>
        <v/>
      </c>
      <c r="L26" s="36">
        <f>L11-L24</f>
        <v/>
      </c>
      <c r="M26" s="36">
        <f>M11-M24</f>
        <v/>
      </c>
      <c r="N26" s="36">
        <f>N11-N24</f>
        <v/>
      </c>
      <c r="O26" s="36">
        <f>O11-O24</f>
        <v/>
      </c>
    </row>
    <row r="27" ht="13.25" customHeight="1"/>
    <row r="28" ht="13" customHeight="1">
      <c r="A28" s="137" t="inlineStr">
        <is>
          <t>Other Income</t>
        </is>
      </c>
      <c r="B28" s="138" t="n"/>
      <c r="C28" s="138" t="n"/>
      <c r="D28" s="138" t="n"/>
      <c r="E28" s="138" t="n"/>
      <c r="F28" s="138" t="n"/>
      <c r="G28" s="138" t="n"/>
      <c r="H28" s="138" t="n"/>
      <c r="I28" s="138" t="n"/>
      <c r="J28" s="138" t="n"/>
      <c r="K28" s="138" t="n"/>
      <c r="L28" s="138" t="n"/>
      <c r="M28" s="138" t="n"/>
      <c r="N28" s="138" t="n"/>
      <c r="O28" s="138" t="n"/>
    </row>
    <row r="29" ht="10.5" customHeight="1">
      <c r="A29" s="24" t="inlineStr">
        <is>
          <t>Interest Received - Momentum</t>
        </is>
      </c>
      <c r="B29" s="24" t="n"/>
      <c r="C29" s="25">
        <f>SUM(D29:O29)</f>
        <v/>
      </c>
      <c r="D29" s="26" t="n"/>
      <c r="E29" s="26" t="n"/>
      <c r="F29" s="26" t="n"/>
      <c r="G29" s="26" t="n"/>
      <c r="H29" s="26" t="n"/>
      <c r="I29" s="26" t="n"/>
      <c r="J29" s="26" t="n"/>
      <c r="K29" s="26" t="n"/>
      <c r="L29" s="15" t="n">
        <v>393902.07</v>
      </c>
      <c r="M29" s="15" t="n">
        <v>222525.45</v>
      </c>
      <c r="N29" s="14" t="n">
        <v>106209.22</v>
      </c>
      <c r="O29" s="14" t="n">
        <v>224301.32</v>
      </c>
    </row>
    <row r="30" ht="10.5" customHeight="1">
      <c r="A30" s="27" t="inlineStr">
        <is>
          <t>Total Other Income</t>
        </is>
      </c>
      <c r="B30" s="27" t="n"/>
      <c r="C30" s="28">
        <f>C29</f>
        <v/>
      </c>
      <c r="D30" s="28">
        <f>D29</f>
        <v/>
      </c>
      <c r="E30" s="28">
        <f>E29</f>
        <v/>
      </c>
      <c r="F30" s="28">
        <f>F29</f>
        <v/>
      </c>
      <c r="G30" s="28">
        <f>G29</f>
        <v/>
      </c>
      <c r="H30" s="28">
        <f>H29</f>
        <v/>
      </c>
      <c r="I30" s="28">
        <f>I29</f>
        <v/>
      </c>
      <c r="J30" s="28">
        <f>J29</f>
        <v/>
      </c>
      <c r="K30" s="28">
        <f>K29</f>
        <v/>
      </c>
      <c r="L30" s="13">
        <f>L29</f>
        <v/>
      </c>
      <c r="M30" s="13">
        <f>M29</f>
        <v/>
      </c>
      <c r="N30" s="13">
        <f>N29</f>
        <v/>
      </c>
      <c r="O30" s="13">
        <f>O29</f>
        <v/>
      </c>
    </row>
    <row r="31" ht="13.25" customHeight="1"/>
    <row r="32" ht="13" customHeight="1">
      <c r="A32" s="137" t="inlineStr">
        <is>
          <t>Operating Expenses</t>
        </is>
      </c>
      <c r="B32" s="138" t="n"/>
      <c r="C32" s="138" t="n"/>
      <c r="D32" s="138" t="n"/>
      <c r="E32" s="138" t="n"/>
      <c r="F32" s="138" t="n"/>
      <c r="G32" s="138" t="n"/>
      <c r="H32" s="138" t="n"/>
      <c r="I32" s="138" t="n"/>
      <c r="J32" s="138" t="n"/>
      <c r="K32" s="138" t="n"/>
      <c r="L32" s="138" t="n"/>
      <c r="M32" s="138" t="n"/>
      <c r="N32" s="138" t="n"/>
      <c r="O32" s="138" t="n"/>
    </row>
    <row r="33" ht="13" customHeight="1">
      <c r="A33" s="24" t="inlineStr">
        <is>
          <t>Accounting fees</t>
        </is>
      </c>
      <c r="B33" s="37" t="n"/>
      <c r="C33" s="25">
        <f>SUM(D33:O33)</f>
        <v/>
      </c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>
        <v>0</v>
      </c>
      <c r="O33" s="26" t="n">
        <v>0</v>
      </c>
    </row>
    <row r="34" ht="10.5" customHeight="1">
      <c r="A34" s="24" t="inlineStr">
        <is>
          <t>Advertising _AND_ Promotions</t>
        </is>
      </c>
      <c r="B34" s="24" t="n"/>
      <c r="C34" s="38">
        <f>SUM(D34:O34)</f>
        <v/>
      </c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>
        <v>39589.13</v>
      </c>
      <c r="M34" s="26" t="n">
        <v>52232.03</v>
      </c>
      <c r="N34" s="26" t="n">
        <v>23300</v>
      </c>
      <c r="O34" s="26" t="n">
        <v>22554.76</v>
      </c>
    </row>
    <row r="35" ht="10.5" customHeight="1">
      <c r="A35" s="24" t="inlineStr">
        <is>
          <t>Advertising - Property24</t>
        </is>
      </c>
      <c r="B35" s="24" t="n"/>
      <c r="C35" s="38">
        <f>SUM(D35:O35)</f>
        <v/>
      </c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>
        <v>0</v>
      </c>
      <c r="N35" s="26" t="n">
        <v>24960</v>
      </c>
      <c r="O35" s="26" t="n">
        <v>0</v>
      </c>
    </row>
    <row r="36" ht="10.5" customHeight="1">
      <c r="A36" s="31" t="inlineStr">
        <is>
          <t>Advertising - HV</t>
        </is>
      </c>
      <c r="B36" s="24" t="n"/>
      <c r="C36" s="25">
        <f>SUM(D36:O36)</f>
        <v/>
      </c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>
        <v>5637.5</v>
      </c>
      <c r="N36" s="26" t="n"/>
      <c r="O36" s="26" t="n">
        <v>24975</v>
      </c>
    </row>
    <row r="37" ht="10.5" customHeight="1">
      <c r="A37" s="24" t="inlineStr">
        <is>
          <t>Bank Charges</t>
        </is>
      </c>
      <c r="B37" s="24" t="n"/>
      <c r="C37" s="39">
        <f>SUM(D37:O37)</f>
        <v/>
      </c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>
        <v>0</v>
      </c>
      <c r="M37" s="26" t="n">
        <v>0</v>
      </c>
      <c r="N37" s="26" t="n">
        <v>0</v>
      </c>
      <c r="O37" s="26" t="n">
        <v>0</v>
      </c>
    </row>
    <row r="38" ht="10.5" customHeight="1">
      <c r="A38" s="24" t="inlineStr">
        <is>
          <t>Consulting Fees - Admin and Finance</t>
        </is>
      </c>
      <c r="B38" s="24" t="n"/>
      <c r="C38" s="25">
        <f>SUM(D38:O38)</f>
        <v/>
      </c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>
        <v>121658</v>
      </c>
      <c r="M38" s="26" t="n">
        <v>121658</v>
      </c>
      <c r="N38" s="26" t="n">
        <v>98308</v>
      </c>
      <c r="O38" s="26" t="n">
        <v>109218.57</v>
      </c>
    </row>
    <row r="39" ht="10.5" customHeight="1">
      <c r="A39" s="24" t="inlineStr">
        <is>
          <t>Consulting fees - Trustee</t>
        </is>
      </c>
      <c r="B39" s="24" t="n"/>
      <c r="C39" s="40">
        <f>SUM(D39:O39)</f>
        <v/>
      </c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>
        <v>4200</v>
      </c>
      <c r="M39" s="26" t="n">
        <v>4000</v>
      </c>
      <c r="N39" s="26" t="n">
        <v>4000</v>
      </c>
      <c r="O39" s="26" t="n">
        <v>4000</v>
      </c>
    </row>
    <row r="40" ht="10.5" customHeight="1">
      <c r="A40" s="24" t="inlineStr">
        <is>
          <t>Electricity</t>
        </is>
      </c>
      <c r="B40" s="24" t="n"/>
      <c r="C40" s="41">
        <f>SUM(D40:O40)</f>
        <v/>
      </c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>
        <v>0</v>
      </c>
      <c r="N40" s="26" t="n">
        <v>0</v>
      </c>
      <c r="O40" s="26" t="n">
        <v>0</v>
      </c>
    </row>
    <row r="41" ht="10.5" customHeight="1">
      <c r="A41" s="24" t="inlineStr">
        <is>
          <t>Insurance</t>
        </is>
      </c>
      <c r="B41" s="24" t="n"/>
      <c r="C41" s="42">
        <f>SUM(D41:O41)</f>
        <v/>
      </c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>
        <v>10741.66</v>
      </c>
      <c r="M41" s="26" t="n">
        <v>8823.9</v>
      </c>
      <c r="N41" s="26" t="n">
        <v>7350.33</v>
      </c>
      <c r="O41" s="26" t="n">
        <v>7350.33</v>
      </c>
    </row>
    <row r="42" ht="10.5" customHeight="1">
      <c r="A42" s="24" t="inlineStr">
        <is>
          <t>Interest Paid</t>
        </is>
      </c>
      <c r="B42" s="24" t="n"/>
      <c r="C42" s="43">
        <f>SUM(D42:O42)</f>
        <v/>
      </c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>
        <v>0</v>
      </c>
      <c r="O42" s="26" t="n">
        <v>0</v>
      </c>
    </row>
    <row r="43" ht="10.5" customHeight="1">
      <c r="A43" s="24" t="inlineStr">
        <is>
          <t>Interest Paid - Investors @ 14%</t>
        </is>
      </c>
      <c r="B43" s="24" t="n"/>
      <c r="C43" s="40">
        <f>SUM(D43:O43)</f>
        <v/>
      </c>
      <c r="D43" s="108" t="n"/>
      <c r="E43" s="108" t="n"/>
      <c r="F43" s="108" t="n"/>
      <c r="G43" s="108" t="n"/>
      <c r="H43" s="108" t="n"/>
      <c r="I43" s="108" t="n"/>
      <c r="J43" s="108">
        <f>100000+2250000+524952.75</f>
        <v/>
      </c>
      <c r="K43" s="108">
        <f>100000+2250000+524952.38</f>
        <v/>
      </c>
      <c r="L43" s="108">
        <f>130102.66+2250000+524952.38</f>
        <v/>
      </c>
      <c r="M43" s="108">
        <f>65550.67+2250000+524952.38</f>
        <v/>
      </c>
      <c r="N43" s="108">
        <f>2250000+524952.38</f>
        <v/>
      </c>
      <c r="O43" s="108">
        <f>40376.71+524952.38</f>
        <v/>
      </c>
    </row>
    <row r="44" ht="10.5" customHeight="1">
      <c r="A44" s="24" t="inlineStr">
        <is>
          <t>Interest Paid - Investors @ 15%</t>
        </is>
      </c>
      <c r="B44" s="24" t="n"/>
      <c r="C44" s="40">
        <f>SUM(D44:O44)</f>
        <v/>
      </c>
      <c r="D44" s="108" t="n"/>
      <c r="E44" s="108" t="n"/>
      <c r="F44" s="108" t="n"/>
      <c r="G44" s="108" t="n"/>
      <c r="H44" s="108" t="n"/>
      <c r="I44" s="108" t="n"/>
      <c r="J44" s="108" t="n">
        <v>100000</v>
      </c>
      <c r="K44" s="108" t="n">
        <v>100000</v>
      </c>
      <c r="L44" s="108" t="n">
        <v>100000</v>
      </c>
      <c r="M44" s="108" t="n">
        <v>117904.12</v>
      </c>
      <c r="N44" s="108" t="n">
        <v>55479.45</v>
      </c>
      <c r="O44" s="108" t="n">
        <v>106746.57</v>
      </c>
    </row>
    <row r="45" ht="10.5" customHeight="1">
      <c r="A45" s="24" t="inlineStr">
        <is>
          <t>Interest Paid - Investors @ 16%</t>
        </is>
      </c>
      <c r="B45" s="24" t="n"/>
      <c r="C45" s="40">
        <f>SUM(D45:O45)</f>
        <v/>
      </c>
      <c r="D45" s="108" t="n"/>
      <c r="E45" s="108" t="n"/>
      <c r="F45" s="108" t="n"/>
      <c r="G45" s="108" t="n"/>
      <c r="H45" s="108" t="n"/>
      <c r="I45" s="108" t="n"/>
      <c r="J45" s="108" t="n">
        <v>100000</v>
      </c>
      <c r="K45" s="108" t="n">
        <v>100000</v>
      </c>
      <c r="L45" s="108" t="n">
        <v>100000</v>
      </c>
      <c r="M45" s="108" t="n">
        <v>33052.06</v>
      </c>
      <c r="N45" s="108" t="n">
        <v>14451.92</v>
      </c>
      <c r="O45" s="108" t="n">
        <v>100000</v>
      </c>
    </row>
    <row r="46" ht="10.5" customHeight="1">
      <c r="A46" s="24" t="inlineStr">
        <is>
          <t>Interest Paid - Investors @ 18%</t>
        </is>
      </c>
      <c r="B46" s="24" t="n"/>
      <c r="C46" s="40">
        <f>SUM(D46:O46)</f>
        <v/>
      </c>
      <c r="D46" s="108" t="n"/>
      <c r="E46" s="108" t="n"/>
      <c r="F46" s="108" t="n"/>
      <c r="G46" s="108" t="n"/>
      <c r="H46" s="108" t="n"/>
      <c r="I46" s="108" t="n"/>
      <c r="J46" s="108" t="n">
        <v>100000</v>
      </c>
      <c r="K46" s="108" t="n">
        <v>100000</v>
      </c>
      <c r="L46" s="108" t="n">
        <v>100000</v>
      </c>
      <c r="M46" s="108" t="n">
        <v>214964.38</v>
      </c>
      <c r="N46" s="108" t="n">
        <v>1454819.17</v>
      </c>
      <c r="O46" s="108" t="n">
        <v>643019.1800000001</v>
      </c>
    </row>
    <row r="47" ht="10.5" customHeight="1">
      <c r="A47" s="24" t="inlineStr">
        <is>
          <t>Interest Paid - Investors @ 6.25%</t>
        </is>
      </c>
      <c r="B47" s="24" t="n"/>
      <c r="C47" s="40">
        <f>SUM(D47:O47)</f>
        <v/>
      </c>
      <c r="D47" s="108" t="n"/>
      <c r="E47" s="108" t="n"/>
      <c r="F47" s="108" t="n"/>
      <c r="G47" s="108" t="n"/>
      <c r="H47" s="108" t="n"/>
      <c r="I47" s="108" t="n"/>
      <c r="J47" s="108" t="n">
        <v>100000</v>
      </c>
      <c r="K47" s="108" t="n">
        <v>100000</v>
      </c>
      <c r="L47" s="108" t="n">
        <v>4041.1</v>
      </c>
      <c r="M47" s="108" t="n">
        <v>22371.58</v>
      </c>
      <c r="N47" s="108" t="n">
        <v>62219.17</v>
      </c>
      <c r="O47" s="108" t="n">
        <v>33493.15</v>
      </c>
    </row>
    <row r="48" ht="10.5" customHeight="1">
      <c r="A48" s="24" t="inlineStr">
        <is>
          <t>Interest Paid - Investors @ 6.5%</t>
        </is>
      </c>
      <c r="B48" s="24" t="n"/>
      <c r="C48" s="40">
        <f>SUM(D48:O48)</f>
        <v/>
      </c>
      <c r="D48" s="108" t="n"/>
      <c r="E48" s="108" t="n"/>
      <c r="F48" s="108" t="n"/>
      <c r="G48" s="108" t="n"/>
      <c r="H48" s="108" t="n"/>
      <c r="I48" s="108" t="n"/>
      <c r="J48" s="108" t="n">
        <v>100000</v>
      </c>
      <c r="K48" s="108" t="n">
        <v>100000</v>
      </c>
      <c r="L48" s="108" t="n">
        <v>5520.55</v>
      </c>
      <c r="M48" s="108" t="n">
        <v>15457.54</v>
      </c>
      <c r="N48" s="108" t="n">
        <v>37361.65</v>
      </c>
      <c r="O48" s="108" t="n">
        <v>3561.64</v>
      </c>
    </row>
    <row r="49" ht="10.5" customHeight="1">
      <c r="A49" s="24" t="inlineStr">
        <is>
          <t>Interest Paid - Investors @ 6.75%</t>
        </is>
      </c>
      <c r="B49" s="24" t="n"/>
      <c r="C49" s="40">
        <f>SUM(D49:O49)</f>
        <v/>
      </c>
      <c r="D49" s="108" t="n"/>
      <c r="E49" s="108" t="n"/>
      <c r="F49" s="108" t="n"/>
      <c r="G49" s="108" t="n"/>
      <c r="H49" s="108" t="n"/>
      <c r="I49" s="108" t="n"/>
      <c r="J49" s="108" t="n">
        <v>100000</v>
      </c>
      <c r="K49" s="108" t="n">
        <v>100000</v>
      </c>
      <c r="L49" s="108" t="n">
        <v>3014.39</v>
      </c>
      <c r="M49" s="108" t="n">
        <v>13389.04</v>
      </c>
      <c r="N49" s="108" t="n">
        <v>22913.02</v>
      </c>
      <c r="O49" s="108" t="n">
        <v>100000</v>
      </c>
    </row>
    <row r="50" ht="10.5" customHeight="1">
      <c r="A50" s="24" t="inlineStr">
        <is>
          <t>Interest Paid - Investors @ 7.00%</t>
        </is>
      </c>
      <c r="B50" s="24" t="n"/>
      <c r="C50" s="40">
        <f>SUM(D50:O50)</f>
        <v/>
      </c>
      <c r="D50" s="108" t="n"/>
      <c r="E50" s="108" t="n"/>
      <c r="F50" s="108" t="n"/>
      <c r="G50" s="108" t="n"/>
      <c r="H50" s="108" t="n"/>
      <c r="I50" s="108" t="n"/>
      <c r="J50" s="108" t="n">
        <v>100000</v>
      </c>
      <c r="K50" s="108" t="n">
        <v>100000</v>
      </c>
      <c r="L50" s="108" t="n">
        <v>650.9400000000001</v>
      </c>
      <c r="M50" s="108" t="n">
        <v>100000</v>
      </c>
      <c r="N50" s="108" t="n">
        <v>11027.39</v>
      </c>
      <c r="O50" s="108" t="n">
        <v>100000</v>
      </c>
    </row>
    <row r="51" ht="10.5" customHeight="1">
      <c r="A51" s="24" t="inlineStr">
        <is>
          <t>Interest Paid - Investors @ 7.5%</t>
        </is>
      </c>
      <c r="B51" s="24" t="n"/>
      <c r="C51" s="40">
        <f>SUM(D51:O51)</f>
        <v/>
      </c>
      <c r="D51" s="108" t="n"/>
      <c r="E51" s="108" t="n"/>
      <c r="F51" s="108" t="n"/>
      <c r="G51" s="108" t="n"/>
      <c r="H51" s="108" t="n"/>
      <c r="I51" s="108" t="n"/>
      <c r="J51" s="108" t="n">
        <v>100000</v>
      </c>
      <c r="K51" s="108" t="n">
        <v>100000</v>
      </c>
      <c r="L51" s="108" t="n">
        <v>430.32</v>
      </c>
      <c r="M51" s="108" t="n">
        <v>100000</v>
      </c>
      <c r="N51" s="108" t="n">
        <v>100000</v>
      </c>
      <c r="O51" s="108" t="n">
        <v>100000</v>
      </c>
    </row>
    <row r="52" ht="10.5" customHeight="1">
      <c r="A52" s="24" t="inlineStr">
        <is>
          <t>Momentum Admin Fee</t>
        </is>
      </c>
      <c r="B52" s="24" t="n"/>
      <c r="C52" s="44">
        <f>SUM(D52:O52)</f>
        <v/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>
        <v>10523.82</v>
      </c>
      <c r="M52" s="26" t="n">
        <v>5264.82</v>
      </c>
      <c r="N52" s="26" t="n">
        <v>8404.200000000001</v>
      </c>
      <c r="O52" s="26" t="n">
        <v>5169.64</v>
      </c>
    </row>
    <row r="53" ht="10.5" customHeight="1">
      <c r="A53" s="24" t="inlineStr">
        <is>
          <t>Management fees - OMH</t>
        </is>
      </c>
      <c r="B53" s="24" t="n"/>
      <c r="C53" s="25">
        <f>SUM(D53:O53)</f>
        <v/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</row>
    <row r="54" ht="10.5" customHeight="1">
      <c r="A54" s="24" t="inlineStr">
        <is>
          <t>Rates - Heron</t>
        </is>
      </c>
      <c r="B54" s="24" t="n"/>
      <c r="C54" s="45">
        <f>SUM(D54:O54)</f>
        <v/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>
        <v>0</v>
      </c>
      <c r="O54" s="26" t="n">
        <v>0</v>
      </c>
    </row>
    <row r="55" ht="10.5" customHeight="1">
      <c r="A55" s="24" t="inlineStr">
        <is>
          <t>Refuse - Heron</t>
        </is>
      </c>
      <c r="B55" s="24" t="n"/>
      <c r="C55" s="45">
        <f>SUM(D55:O55)</f>
        <v/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>
        <v>0</v>
      </c>
    </row>
    <row r="56" ht="10.5" customHeight="1">
      <c r="A56" s="24" t="inlineStr">
        <is>
          <t>Levies</t>
        </is>
      </c>
      <c r="B56" s="24" t="n"/>
      <c r="C56" s="45">
        <f>SUM(D56:O56)</f>
        <v/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>
        <v>71583.14999999999</v>
      </c>
      <c r="M56" s="26" t="n"/>
      <c r="N56" s="26" t="n"/>
      <c r="O56" s="26" t="n"/>
    </row>
    <row r="57" ht="10.5" customHeight="1">
      <c r="A57" s="24" t="inlineStr">
        <is>
          <t>Repairs_AND_Maintenance</t>
        </is>
      </c>
      <c r="B57" s="24" t="n"/>
      <c r="C57" s="25">
        <f>SUM(D57:O57)</f>
        <v/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</row>
    <row r="58" ht="10.5" customHeight="1">
      <c r="A58" s="24" t="inlineStr">
        <is>
          <t>Security - ADT</t>
        </is>
      </c>
      <c r="B58" s="24" t="n"/>
      <c r="C58" s="42">
        <f>SUM(D58:O58)</f>
        <v/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>
        <v>366.14</v>
      </c>
      <c r="M58" s="26" t="n">
        <v>328.38</v>
      </c>
      <c r="N58" s="26" t="n">
        <v>328.38</v>
      </c>
      <c r="O58" s="26" t="n">
        <v>328.38</v>
      </c>
    </row>
    <row r="59" ht="10.5" customHeight="1">
      <c r="A59" s="24" t="inlineStr">
        <is>
          <t>Staff welfare</t>
        </is>
      </c>
      <c r="B59" s="24" t="n"/>
      <c r="C59" s="30">
        <f>SUM(D59:O59)</f>
        <v/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>
        <v>0</v>
      </c>
      <c r="N59" s="26" t="n"/>
      <c r="O59" s="26" t="n">
        <v>0</v>
      </c>
    </row>
    <row r="60" ht="10.5" customHeight="1">
      <c r="A60" s="24" t="inlineStr">
        <is>
          <t>Subscriptions - NHBRC</t>
        </is>
      </c>
      <c r="B60" s="24" t="n"/>
      <c r="C60" s="46">
        <f>SUM(D60:O60)</f>
        <v/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>
        <v>0</v>
      </c>
      <c r="O60" s="26" t="n">
        <v>0</v>
      </c>
    </row>
    <row r="61" ht="10.5" customHeight="1">
      <c r="A61" s="24" t="inlineStr">
        <is>
          <t>Subscriptions - Xero</t>
        </is>
      </c>
      <c r="B61" s="24" t="n"/>
      <c r="C61" s="46">
        <f>SUM(D61:O61)</f>
        <v/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>
        <v>600</v>
      </c>
      <c r="M61" s="26" t="n">
        <v>600</v>
      </c>
      <c r="N61" s="26" t="n">
        <v>600</v>
      </c>
      <c r="O61" s="26" t="n">
        <v>600</v>
      </c>
    </row>
    <row r="62" ht="10.5" customHeight="1">
      <c r="A62" s="24" t="inlineStr">
        <is>
          <t>Water</t>
        </is>
      </c>
      <c r="B62" s="24" t="n"/>
      <c r="C62" s="32">
        <f>SUM(D62:O62)</f>
        <v/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>
        <v>0</v>
      </c>
      <c r="N62" s="26" t="n">
        <v>0</v>
      </c>
      <c r="O62" s="26" t="n">
        <v>0</v>
      </c>
    </row>
    <row r="63" ht="10.5" customHeight="1">
      <c r="A63" s="27" t="inlineStr">
        <is>
          <t>Total Operating Expenses</t>
        </is>
      </c>
      <c r="B63" s="27" t="n"/>
      <c r="C63" s="28">
        <f>SUM(C33:C62)</f>
        <v/>
      </c>
      <c r="D63" s="28">
        <f>SUM(D33:D62)</f>
        <v/>
      </c>
      <c r="E63" s="28">
        <f>SUM(E33:E62)</f>
        <v/>
      </c>
      <c r="F63" s="28">
        <f>SUM(F33:F62)</f>
        <v/>
      </c>
      <c r="G63" s="28">
        <f>SUM(G33:G62)</f>
        <v/>
      </c>
      <c r="H63" s="28">
        <f>SUM(H33:H62)</f>
        <v/>
      </c>
      <c r="I63" s="28">
        <f>SUM(I33:I62)</f>
        <v/>
      </c>
      <c r="J63" s="28">
        <f>SUM(J33:J62)</f>
        <v/>
      </c>
      <c r="K63" s="28">
        <f>SUM(K33:K62)</f>
        <v/>
      </c>
      <c r="L63" s="28">
        <f>SUM(L33:L62)</f>
        <v/>
      </c>
      <c r="M63" s="28">
        <f>SUM(M33:M62)</f>
        <v/>
      </c>
      <c r="N63" s="28">
        <f>SUM(N33:N62)</f>
        <v/>
      </c>
      <c r="O63" s="28">
        <f>SUM(O33:O62)</f>
        <v/>
      </c>
    </row>
    <row r="64" ht="13.25" customHeight="1"/>
    <row r="65" ht="10.5" customHeight="1">
      <c r="A65" s="35" t="inlineStr">
        <is>
          <t>Net Profit</t>
        </is>
      </c>
      <c r="B65" s="35" t="n"/>
      <c r="C65" s="36">
        <f>((C26 + C30) - C63)</f>
        <v/>
      </c>
      <c r="D65" s="36">
        <f>((D26 + D30) - D63)</f>
        <v/>
      </c>
      <c r="E65" s="36">
        <f>((E26 + E30) - E63)</f>
        <v/>
      </c>
      <c r="F65" s="36">
        <f>((F26 + F30) - F63)</f>
        <v/>
      </c>
      <c r="G65" s="36">
        <f>((G26 + G30) - G63)</f>
        <v/>
      </c>
      <c r="H65" s="36">
        <f>((H26 + H30) - H63)</f>
        <v/>
      </c>
      <c r="I65" s="36">
        <f>((I26 + I30) - I63)</f>
        <v/>
      </c>
      <c r="J65" s="36">
        <f>((J26 + J30) - J63)</f>
        <v/>
      </c>
      <c r="K65" s="36">
        <f>((K26 + K30) - K63)</f>
        <v/>
      </c>
      <c r="L65" s="36">
        <f>((L26 + L30) - L63)</f>
        <v/>
      </c>
      <c r="M65" s="36">
        <f>((M26 + M30) - M63)</f>
        <v/>
      </c>
      <c r="N65" s="36">
        <f>((N26 + N30) - N63)</f>
        <v/>
      </c>
      <c r="O65" s="36">
        <f>((O26 + O30) - O63)</f>
        <v/>
      </c>
    </row>
  </sheetData>
  <mergeCells count="7">
    <mergeCell ref="A32:O32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Normal="100" workbookViewId="0">
      <selection activeCell="E39" sqref="E39"/>
    </sheetView>
  </sheetViews>
  <sheetFormatPr baseColWidth="10" defaultColWidth="8.83203125" defaultRowHeight="12"/>
  <cols>
    <col width="14.1640625" customWidth="1" style="49" min="1" max="1"/>
    <col width="32.1640625" customWidth="1" style="49" min="2" max="2"/>
    <col width="15.6640625" customWidth="1" style="49" min="3" max="3"/>
    <col width="18.83203125" customWidth="1" style="49" min="4" max="4"/>
    <col width="19.6640625" customWidth="1" style="49" min="5" max="5"/>
    <col width="12.33203125" customWidth="1" style="49" min="6" max="6"/>
    <col width="8.83203125" customWidth="1" style="49" min="7" max="7"/>
    <col width="8.83203125" customWidth="1" style="49" min="8" max="16384"/>
  </cols>
  <sheetData>
    <row r="1" ht="18" customFormat="1" customHeight="1" s="143">
      <c r="A1" s="142" t="inlineStr">
        <is>
          <t>Trial Balance</t>
        </is>
      </c>
    </row>
    <row r="2" ht="15.5" customFormat="1" customHeight="1" s="145">
      <c r="A2" s="144" t="inlineStr">
        <is>
          <t>Heron View (Pty) Ltd</t>
        </is>
      </c>
    </row>
    <row r="3" ht="15.5" customFormat="1" customHeight="1" s="145">
      <c r="A3" s="144" t="n"/>
    </row>
    <row r="4" ht="13.25" customHeight="1"/>
    <row r="5" ht="13" customFormat="1" customHeight="1" s="52">
      <c r="A5" s="50" t="inlineStr">
        <is>
          <t>Account Code</t>
        </is>
      </c>
      <c r="B5" s="50" t="inlineStr">
        <is>
          <t>Account</t>
        </is>
      </c>
      <c r="C5" s="50" t="inlineStr">
        <is>
          <t>Account Type</t>
        </is>
      </c>
      <c r="D5" s="51" t="inlineStr">
        <is>
          <t>Debit - Year to date</t>
        </is>
      </c>
      <c r="E5" s="51" t="inlineStr">
        <is>
          <t>Credit - Year to date</t>
        </is>
      </c>
      <c r="F5" s="51" t="inlineStr">
        <is>
          <t>28 Feb 2023</t>
        </is>
      </c>
    </row>
    <row r="6" ht="11.75" customHeight="1">
      <c r="A6" s="53" t="inlineStr">
        <is>
          <t>2000/010</t>
        </is>
      </c>
      <c r="B6" s="53" t="inlineStr">
        <is>
          <t>COS - Heron View</t>
        </is>
      </c>
      <c r="C6" s="53" t="inlineStr">
        <is>
          <t>Direct Costs</t>
        </is>
      </c>
      <c r="D6" s="54" t="n">
        <v>0</v>
      </c>
      <c r="E6" s="53" t="n"/>
      <c r="F6" s="54" t="n">
        <v>678.59</v>
      </c>
    </row>
    <row r="7" ht="11.75" customHeight="1">
      <c r="A7" s="53" t="inlineStr">
        <is>
          <t>2000/041</t>
        </is>
      </c>
      <c r="B7" s="53" t="inlineStr">
        <is>
          <t>COS - Legal Fees Opening of Sec Title Fees</t>
        </is>
      </c>
      <c r="C7" s="53" t="inlineStr">
        <is>
          <t>Direct Costs</t>
        </is>
      </c>
      <c r="D7" s="54" t="n">
        <v>14689.94</v>
      </c>
      <c r="E7" s="53" t="n"/>
      <c r="F7" s="54" t="n"/>
    </row>
    <row r="8" ht="11.75" customHeight="1">
      <c r="A8" s="55" t="inlineStr">
        <is>
          <t>3050/000</t>
        </is>
      </c>
      <c r="B8" s="55" t="inlineStr">
        <is>
          <t>Advertising _AND_ Promotions</t>
        </is>
      </c>
      <c r="C8" s="55" t="inlineStr">
        <is>
          <t>Expense</t>
        </is>
      </c>
      <c r="D8" s="59" t="n">
        <v>31906.25</v>
      </c>
      <c r="E8" s="55" t="n"/>
      <c r="F8" s="56" t="n">
        <v>22025</v>
      </c>
    </row>
    <row r="9" ht="11.75" customHeight="1">
      <c r="A9" s="55" t="inlineStr">
        <is>
          <t>3050/200</t>
        </is>
      </c>
      <c r="B9" s="55" t="inlineStr">
        <is>
          <t>Advertising - Media24</t>
        </is>
      </c>
      <c r="C9" s="55" t="inlineStr">
        <is>
          <t>Expense</t>
        </is>
      </c>
      <c r="D9" s="56" t="n">
        <v>0</v>
      </c>
      <c r="E9" s="55" t="n"/>
      <c r="F9" s="56" t="n">
        <v>13500</v>
      </c>
    </row>
    <row r="10" ht="11.75" customHeight="1">
      <c r="A10" s="55" t="inlineStr">
        <is>
          <t>3050/300</t>
        </is>
      </c>
      <c r="B10" s="55" t="inlineStr">
        <is>
          <t>Advertising - Thinkink</t>
        </is>
      </c>
      <c r="C10" s="55" t="inlineStr">
        <is>
          <t>Expense</t>
        </is>
      </c>
      <c r="D10" s="56" t="n">
        <v>0</v>
      </c>
      <c r="E10" s="55" t="n"/>
      <c r="F10" s="56" t="n">
        <v>8263.91</v>
      </c>
    </row>
    <row r="11" ht="11.75" customHeight="1">
      <c r="A11" s="55" t="inlineStr">
        <is>
          <t>3050/400</t>
        </is>
      </c>
      <c r="B11" s="55" t="inlineStr">
        <is>
          <t>Advertising - Pure Brand Activation</t>
        </is>
      </c>
      <c r="C11" s="55" t="inlineStr">
        <is>
          <t>Expense</t>
        </is>
      </c>
      <c r="D11" s="56" t="n">
        <v>0</v>
      </c>
      <c r="E11" s="55" t="n"/>
      <c r="F11" s="56" t="n">
        <v>11726</v>
      </c>
    </row>
    <row r="12" ht="11.75" customHeight="1">
      <c r="A12" s="55" t="inlineStr">
        <is>
          <t>3351/000</t>
        </is>
      </c>
      <c r="B12" s="55" t="inlineStr">
        <is>
          <t>Consulting fees - Trustee</t>
        </is>
      </c>
      <c r="C12" s="55" t="inlineStr">
        <is>
          <t>Expense</t>
        </is>
      </c>
      <c r="D12" s="56" t="n">
        <v>7250</v>
      </c>
      <c r="E12" s="55" t="n"/>
      <c r="F12" s="56" t="n"/>
    </row>
    <row r="13" ht="11.75" customHeight="1">
      <c r="A13" s="55" t="inlineStr">
        <is>
          <t>4200/000</t>
        </is>
      </c>
      <c r="B13" s="55" t="inlineStr">
        <is>
          <t>Printing _AND_ Stationery</t>
        </is>
      </c>
      <c r="C13" s="55" t="inlineStr">
        <is>
          <t>Expense</t>
        </is>
      </c>
      <c r="D13" s="56" t="n">
        <v>0</v>
      </c>
      <c r="E13" s="55" t="n"/>
      <c r="F13" s="56" t="n">
        <v>3404.62</v>
      </c>
    </row>
    <row r="14" ht="11.75" customHeight="1">
      <c r="A14" s="55" t="inlineStr">
        <is>
          <t>4550/100</t>
        </is>
      </c>
      <c r="B14" s="55" t="inlineStr">
        <is>
          <t>Subscriptions - Xero</t>
        </is>
      </c>
      <c r="C14" s="55" t="inlineStr">
        <is>
          <t>Expense</t>
        </is>
      </c>
      <c r="D14" s="56" t="n">
        <v>2400</v>
      </c>
      <c r="E14" s="55" t="n"/>
      <c r="F14" s="56" t="n">
        <v>10200</v>
      </c>
    </row>
    <row r="15" ht="11.75" customHeight="1">
      <c r="A15" s="55" t="inlineStr">
        <is>
          <t>7610/395</t>
        </is>
      </c>
      <c r="B15" s="55" t="inlineStr">
        <is>
          <t>Heron CIP NHBRC</t>
        </is>
      </c>
      <c r="C15" s="55" t="inlineStr">
        <is>
          <t>Current Asset</t>
        </is>
      </c>
      <c r="D15" s="61" t="n">
        <v>1045976.86</v>
      </c>
      <c r="E15" s="55" t="n"/>
      <c r="F15" s="56" t="n">
        <v>439254.75</v>
      </c>
    </row>
    <row r="16" ht="11.75" customHeight="1">
      <c r="A16" s="55" t="inlineStr">
        <is>
          <t>7620/220</t>
        </is>
      </c>
      <c r="B16" s="55" t="inlineStr">
        <is>
          <t>Heron View CIP Architectural Designs</t>
        </is>
      </c>
      <c r="C16" s="55" t="inlineStr">
        <is>
          <t>Current Asset</t>
        </is>
      </c>
      <c r="D16" s="61" t="n">
        <v>737478.5</v>
      </c>
      <c r="E16" s="55" t="n"/>
      <c r="F16" s="56" t="n">
        <v>24400</v>
      </c>
    </row>
    <row r="17" ht="11.75" customHeight="1">
      <c r="A17" s="55" t="inlineStr">
        <is>
          <t>7620/250</t>
        </is>
      </c>
      <c r="B17" s="55" t="inlineStr">
        <is>
          <t>Heron View CIP Land Surveyor</t>
        </is>
      </c>
      <c r="C17" s="55" t="inlineStr">
        <is>
          <t>Current Asset</t>
        </is>
      </c>
      <c r="D17" s="61" t="n">
        <v>153472.03</v>
      </c>
      <c r="E17" s="55" t="n"/>
      <c r="F17" s="56" t="n">
        <v>19185</v>
      </c>
    </row>
    <row r="18" ht="11.75" customHeight="1">
      <c r="A18" s="55" t="inlineStr">
        <is>
          <t>7620/255</t>
        </is>
      </c>
      <c r="B18" s="55" t="inlineStr">
        <is>
          <t>Heron View CIP Landscaping</t>
        </is>
      </c>
      <c r="C18" s="55" t="inlineStr">
        <is>
          <t>Current Asset</t>
        </is>
      </c>
      <c r="D18" s="61" t="n">
        <v>114370.5</v>
      </c>
      <c r="E18" s="55" t="n"/>
      <c r="F18" s="56" t="n">
        <v>0</v>
      </c>
    </row>
    <row r="19" ht="11.75" customHeight="1">
      <c r="A19" s="55" t="inlineStr">
        <is>
          <t>7620/280</t>
        </is>
      </c>
      <c r="B19" s="55" t="inlineStr">
        <is>
          <t>Heron View CIP Site Establishment</t>
        </is>
      </c>
      <c r="C19" s="55" t="inlineStr">
        <is>
          <t>Current Asset</t>
        </is>
      </c>
      <c r="D19" s="56" t="n">
        <v>7187757.92</v>
      </c>
      <c r="E19" s="55" t="n"/>
      <c r="F19" s="56" t="n">
        <v>6423649.8</v>
      </c>
    </row>
    <row r="20" ht="11.75" customHeight="1">
      <c r="A20" s="55" t="inlineStr">
        <is>
          <t>7620/285</t>
        </is>
      </c>
      <c r="B20" s="55" t="inlineStr">
        <is>
          <t>Heron View CIP Structuring Fee - Invest</t>
        </is>
      </c>
      <c r="C20" s="55" t="inlineStr">
        <is>
          <t>Current Asset</t>
        </is>
      </c>
      <c r="D20" s="61" t="n">
        <v>1826086.96</v>
      </c>
      <c r="E20" s="55" t="n"/>
      <c r="F20" s="56" t="n">
        <v>0</v>
      </c>
    </row>
    <row r="21" ht="11.75" customHeight="1">
      <c r="A21" s="55" t="inlineStr">
        <is>
          <t>7620/290</t>
        </is>
      </c>
      <c r="B21" s="55" t="inlineStr">
        <is>
          <t>Heron View CIP Town Planning</t>
        </is>
      </c>
      <c r="C21" s="55" t="inlineStr">
        <is>
          <t>Current Asset</t>
        </is>
      </c>
      <c r="D21" s="61" t="n">
        <v>2834.7</v>
      </c>
      <c r="E21" s="55" t="n"/>
      <c r="F21" s="56" t="n"/>
    </row>
    <row r="22" ht="11.75" customHeight="1">
      <c r="A22" s="55" t="inlineStr">
        <is>
          <t>7620/605</t>
        </is>
      </c>
      <c r="B22" s="55" t="inlineStr">
        <is>
          <t>Heron View CIP Structural Engineers</t>
        </is>
      </c>
      <c r="C22" s="55" t="inlineStr">
        <is>
          <t>Current Asset</t>
        </is>
      </c>
      <c r="D22" s="61" t="n">
        <v>292753.14</v>
      </c>
      <c r="E22" s="55" t="n"/>
      <c r="F22" s="56" t="n">
        <v>0</v>
      </c>
    </row>
    <row r="23" ht="11.75" customHeight="1">
      <c r="A23" s="55" t="inlineStr">
        <is>
          <t>7620/610</t>
        </is>
      </c>
      <c r="B23" s="55" t="inlineStr">
        <is>
          <t>HV CIP Retaining wall</t>
        </is>
      </c>
      <c r="C23" s="55" t="inlineStr">
        <is>
          <t>Current Asset</t>
        </is>
      </c>
      <c r="D23" s="61" t="n">
        <v>66190.11</v>
      </c>
      <c r="E23" s="55" t="n"/>
      <c r="F23" s="56" t="n">
        <v>66190.11</v>
      </c>
    </row>
    <row r="24" ht="11.75" customHeight="1">
      <c r="A24" s="55" t="inlineStr">
        <is>
          <t>7620/630</t>
        </is>
      </c>
      <c r="B24" s="55" t="inlineStr">
        <is>
          <t>Heron CIP - CoCT development contribution</t>
        </is>
      </c>
      <c r="C24" s="55" t="inlineStr">
        <is>
          <t>Current Asset</t>
        </is>
      </c>
      <c r="D24" s="61" t="n">
        <v>1524185.76</v>
      </c>
      <c r="E24" s="55" t="n"/>
      <c r="F24" s="56" t="n">
        <v>1313735.84</v>
      </c>
    </row>
    <row r="25" ht="11.75" customHeight="1">
      <c r="A25" s="55" t="inlineStr">
        <is>
          <t>7620/650</t>
        </is>
      </c>
      <c r="B25" s="55" t="inlineStr">
        <is>
          <t>CIP - Construction Management</t>
        </is>
      </c>
      <c r="C25" s="55" t="inlineStr">
        <is>
          <t>Current Asset</t>
        </is>
      </c>
      <c r="D25" s="61" t="n">
        <v>76530</v>
      </c>
      <c r="E25" s="55" t="n"/>
      <c r="F25" s="56" t="n">
        <v>30280</v>
      </c>
    </row>
    <row r="26" ht="11.75" customHeight="1">
      <c r="A26" s="55" t="inlineStr">
        <is>
          <t>7620/660</t>
        </is>
      </c>
      <c r="B26" s="55" t="inlineStr">
        <is>
          <t>HV CIP Health &amp; Safety</t>
        </is>
      </c>
      <c r="C26" s="55" t="inlineStr">
        <is>
          <t>Current Asset</t>
        </is>
      </c>
      <c r="D26" s="61" t="n">
        <v>21600</v>
      </c>
      <c r="E26" s="55" t="n"/>
      <c r="F26" s="56" t="n">
        <v>14600</v>
      </c>
    </row>
    <row r="27" ht="11.75" customHeight="1">
      <c r="A27" s="55" t="inlineStr">
        <is>
          <t>7620/670</t>
        </is>
      </c>
      <c r="B27" s="55" t="inlineStr">
        <is>
          <t>HV CIP - Project costs CPSD</t>
        </is>
      </c>
      <c r="C27" s="55" t="inlineStr">
        <is>
          <t>Current Asset</t>
        </is>
      </c>
      <c r="D27" s="61">
        <f>684782.6+217391.3</f>
        <v/>
      </c>
      <c r="E27" s="55" t="n"/>
      <c r="F27" s="56" t="n">
        <v>684782.6</v>
      </c>
    </row>
    <row r="28" ht="11.75" customHeight="1">
      <c r="A28" s="55" t="inlineStr">
        <is>
          <t>7620/680</t>
        </is>
      </c>
      <c r="B28" s="55" t="inlineStr">
        <is>
          <t>HV CIP Electrical</t>
        </is>
      </c>
      <c r="C28" s="55" t="inlineStr">
        <is>
          <t>Current Asset</t>
        </is>
      </c>
      <c r="D28" s="61" t="n">
        <v>1130099.94</v>
      </c>
      <c r="E28" s="55" t="n"/>
      <c r="F28" s="56" t="n">
        <v>870391.34</v>
      </c>
    </row>
    <row r="29" ht="11.75" customHeight="1">
      <c r="A29" s="55" t="inlineStr">
        <is>
          <t>7620/690</t>
        </is>
      </c>
      <c r="B29" s="55" t="inlineStr">
        <is>
          <t>HV CIP Site Establishment</t>
        </is>
      </c>
      <c r="C29" s="55" t="inlineStr">
        <is>
          <t>Current Asset</t>
        </is>
      </c>
      <c r="D29" s="56" t="n">
        <v>20129115.75</v>
      </c>
      <c r="E29" s="55" t="n"/>
      <c r="F29" s="56" t="n">
        <v>40654.63</v>
      </c>
    </row>
    <row r="30" ht="11.75" customHeight="1">
      <c r="A30" s="55" t="inlineStr">
        <is>
          <t>5500/001</t>
        </is>
      </c>
      <c r="B30" s="55" t="inlineStr">
        <is>
          <t>Loan - Heron Fields</t>
        </is>
      </c>
      <c r="C30" s="55" t="inlineStr">
        <is>
          <t>Non-current Liability</t>
        </is>
      </c>
      <c r="D30" s="55" t="n"/>
      <c r="E30" s="56" t="n">
        <v>7749710.98</v>
      </c>
      <c r="F30" s="56" t="n">
        <v>-5651321.42</v>
      </c>
    </row>
    <row r="31" ht="11.75" customHeight="1">
      <c r="A31" s="55" t="inlineStr">
        <is>
          <t>9000/000</t>
        </is>
      </c>
      <c r="B31" s="55" t="inlineStr">
        <is>
          <t>Supplier Control Account</t>
        </is>
      </c>
      <c r="C31" s="55" t="inlineStr">
        <is>
          <t>Current Liability</t>
        </is>
      </c>
      <c r="D31" s="55" t="n"/>
      <c r="E31" s="56" t="n">
        <v>27150933.1</v>
      </c>
      <c r="F31" s="56" t="n">
        <v>-5763346.25</v>
      </c>
    </row>
    <row r="32" ht="11.75" customHeight="1">
      <c r="A32" s="55" t="inlineStr">
        <is>
          <t>9500/000</t>
        </is>
      </c>
      <c r="B32" s="55" t="inlineStr">
        <is>
          <t>Vat / Tax Control Account</t>
        </is>
      </c>
      <c r="C32" s="55" t="inlineStr">
        <is>
          <t>Current Liability</t>
        </is>
      </c>
      <c r="D32" s="56" t="n">
        <v>4421020.12</v>
      </c>
      <c r="E32" s="55" t="n"/>
      <c r="F32" s="56" t="n">
        <v>1417745.48</v>
      </c>
    </row>
    <row r="33" ht="11.75" customHeight="1">
      <c r="A33" s="55" t="inlineStr">
        <is>
          <t>5200/000</t>
        </is>
      </c>
      <c r="B33" s="55" t="inlineStr">
        <is>
          <t>Retained Earnings / Loss</t>
        </is>
      </c>
      <c r="C33" s="55" t="inlineStr">
        <is>
          <t>Equity</t>
        </is>
      </c>
      <c r="D33" s="56" t="n">
        <v>69798.12</v>
      </c>
      <c r="E33" s="55" t="n"/>
      <c r="F33" s="56" t="n">
        <v>0</v>
      </c>
    </row>
    <row r="34" ht="11.75" customHeight="1">
      <c r="A34" s="57" t="inlineStr">
        <is>
          <t>Total</t>
        </is>
      </c>
      <c r="B34" s="57" t="n"/>
      <c r="C34" s="57" t="n"/>
      <c r="D34" s="58">
        <f>SUM(D6:D33)</f>
        <v/>
      </c>
      <c r="E34" s="58">
        <f>SUM(E6:E33)</f>
        <v/>
      </c>
      <c r="F34" s="58">
        <f>SUM(F6:F33)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Normal="100" workbookViewId="0">
      <selection activeCell="D13" sqref="D13"/>
    </sheetView>
  </sheetViews>
  <sheetFormatPr baseColWidth="10" defaultColWidth="8.83203125" defaultRowHeight="12"/>
  <cols>
    <col width="14.1640625" customWidth="1" style="49" min="1" max="1"/>
    <col width="32.1640625" customWidth="1" style="49" min="2" max="2"/>
    <col width="15.6640625" customWidth="1" style="49" min="3" max="3"/>
    <col width="18.83203125" customWidth="1" style="49" min="4" max="4"/>
    <col width="19.6640625" customWidth="1" style="49" min="5" max="5"/>
    <col width="12.33203125" customWidth="1" style="49" min="6" max="6"/>
    <col width="8.83203125" customWidth="1" style="49" min="7" max="7"/>
    <col width="8.83203125" customWidth="1" style="49" min="8" max="16384"/>
  </cols>
  <sheetData>
    <row r="1" ht="18" customFormat="1" customHeight="1" s="143">
      <c r="A1" s="142" t="inlineStr">
        <is>
          <t>Trial Balance</t>
        </is>
      </c>
    </row>
    <row r="2" ht="15.5" customFormat="1" customHeight="1" s="145">
      <c r="A2" s="144" t="inlineStr">
        <is>
          <t>Heron View (Pty) Ltd</t>
        </is>
      </c>
    </row>
    <row r="3" ht="15.5" customFormat="1" customHeight="1" s="145">
      <c r="A3" s="144" t="inlineStr">
        <is>
          <t>As at 28 February 2023</t>
        </is>
      </c>
    </row>
    <row r="4" ht="13.25" customHeight="1"/>
    <row r="5" ht="13" customFormat="1" customHeight="1" s="52">
      <c r="A5" s="50" t="inlineStr">
        <is>
          <t>Account Code</t>
        </is>
      </c>
      <c r="B5" s="50" t="inlineStr">
        <is>
          <t>Account</t>
        </is>
      </c>
      <c r="C5" s="50" t="inlineStr">
        <is>
          <t>Account Type</t>
        </is>
      </c>
      <c r="D5" s="51" t="inlineStr">
        <is>
          <t>Debit - Year to date</t>
        </is>
      </c>
      <c r="E5" s="51" t="inlineStr">
        <is>
          <t>Credit - Year to date</t>
        </is>
      </c>
      <c r="F5" s="51" t="inlineStr">
        <is>
          <t>28 Feb 2022</t>
        </is>
      </c>
    </row>
    <row r="6" ht="11.75" customHeight="1">
      <c r="A6" s="53" t="inlineStr">
        <is>
          <t>2000/010</t>
        </is>
      </c>
      <c r="B6" s="53" t="inlineStr">
        <is>
          <t>COS - Heron View</t>
        </is>
      </c>
      <c r="C6" s="53" t="inlineStr">
        <is>
          <t>Direct Costs</t>
        </is>
      </c>
      <c r="D6" s="60" t="n">
        <v>678.59</v>
      </c>
      <c r="E6" s="53" t="n"/>
      <c r="F6" s="54" t="n">
        <v>0</v>
      </c>
    </row>
    <row r="7" ht="11.75" customHeight="1">
      <c r="A7" s="55" t="inlineStr">
        <is>
          <t>3050/000</t>
        </is>
      </c>
      <c r="B7" s="55" t="inlineStr">
        <is>
          <t>Advertising _AND_ Promotions</t>
        </is>
      </c>
      <c r="C7" s="55" t="inlineStr">
        <is>
          <t>Expense</t>
        </is>
      </c>
      <c r="D7" s="59" t="n">
        <v>22025</v>
      </c>
      <c r="E7" s="55" t="n"/>
      <c r="F7" s="56" t="n">
        <v>0</v>
      </c>
    </row>
    <row r="8" ht="11.75" customHeight="1">
      <c r="A8" s="55" t="inlineStr">
        <is>
          <t>3050/200</t>
        </is>
      </c>
      <c r="B8" s="55" t="inlineStr">
        <is>
          <t>Advertising - Media24</t>
        </is>
      </c>
      <c r="C8" s="55" t="inlineStr">
        <is>
          <t>Expense</t>
        </is>
      </c>
      <c r="D8" s="59" t="n">
        <v>13500</v>
      </c>
      <c r="E8" s="55" t="n"/>
      <c r="F8" s="56" t="n">
        <v>0</v>
      </c>
    </row>
    <row r="9" ht="11.75" customHeight="1">
      <c r="A9" s="55" t="inlineStr">
        <is>
          <t>3050/300</t>
        </is>
      </c>
      <c r="B9" s="55" t="inlineStr">
        <is>
          <t>Advertising - Thinkink</t>
        </is>
      </c>
      <c r="C9" s="55" t="inlineStr">
        <is>
          <t>Expense</t>
        </is>
      </c>
      <c r="D9" s="59" t="n">
        <v>8263.91</v>
      </c>
      <c r="E9" s="55" t="n"/>
      <c r="F9" s="56" t="n">
        <v>0</v>
      </c>
    </row>
    <row r="10" ht="11.75" customHeight="1">
      <c r="A10" s="55" t="inlineStr">
        <is>
          <t>3050/400</t>
        </is>
      </c>
      <c r="B10" s="55" t="inlineStr">
        <is>
          <t>Advertising - Pure Brand Activation</t>
        </is>
      </c>
      <c r="C10" s="55" t="inlineStr">
        <is>
          <t>Expense</t>
        </is>
      </c>
      <c r="D10" s="59" t="n">
        <v>11726</v>
      </c>
      <c r="E10" s="55" t="n"/>
      <c r="F10" s="56" t="n">
        <v>0</v>
      </c>
    </row>
    <row r="11" ht="11.75" customHeight="1">
      <c r="A11" s="55" t="inlineStr">
        <is>
          <t>4200/000</t>
        </is>
      </c>
      <c r="B11" s="55" t="inlineStr">
        <is>
          <t>Printing _AND_ Stationery</t>
        </is>
      </c>
      <c r="C11" s="55" t="inlineStr">
        <is>
          <t>Expense</t>
        </is>
      </c>
      <c r="D11" s="59" t="n">
        <v>3404.62</v>
      </c>
      <c r="E11" s="55" t="n"/>
      <c r="F11" s="56" t="n">
        <v>0</v>
      </c>
    </row>
    <row r="12" ht="11.75" customHeight="1">
      <c r="A12" s="55" t="inlineStr">
        <is>
          <t>4550/100</t>
        </is>
      </c>
      <c r="B12" s="55" t="inlineStr">
        <is>
          <t>Subscriptions - Xero</t>
        </is>
      </c>
      <c r="C12" s="55" t="inlineStr">
        <is>
          <t>Expense</t>
        </is>
      </c>
      <c r="D12" s="59" t="n">
        <v>10200</v>
      </c>
      <c r="E12" s="55" t="n"/>
      <c r="F12" s="56" t="n">
        <v>0</v>
      </c>
    </row>
    <row r="13" ht="11.75" customHeight="1">
      <c r="A13" s="55" t="inlineStr">
        <is>
          <t>7610/395</t>
        </is>
      </c>
      <c r="B13" s="55" t="inlineStr">
        <is>
          <t>Heron CIP NHBRC</t>
        </is>
      </c>
      <c r="C13" s="55" t="inlineStr">
        <is>
          <t>Current Asset</t>
        </is>
      </c>
      <c r="D13" s="56" t="n">
        <v>439254.75</v>
      </c>
      <c r="E13" s="55" t="n"/>
      <c r="F13" s="56" t="n">
        <v>0</v>
      </c>
    </row>
    <row r="14" ht="11.75" customHeight="1">
      <c r="A14" s="55" t="inlineStr">
        <is>
          <t>7620/220</t>
        </is>
      </c>
      <c r="B14" s="55" t="inlineStr">
        <is>
          <t>Heron View CIP Architectural Designs</t>
        </is>
      </c>
      <c r="C14" s="55" t="inlineStr">
        <is>
          <t>Current Asset</t>
        </is>
      </c>
      <c r="D14" s="56" t="n">
        <v>24400</v>
      </c>
      <c r="E14" s="55" t="n"/>
      <c r="F14" s="56" t="n">
        <v>0</v>
      </c>
    </row>
    <row r="15" ht="11.75" customHeight="1">
      <c r="A15" s="55" t="inlineStr">
        <is>
          <t>7620/250</t>
        </is>
      </c>
      <c r="B15" s="55" t="inlineStr">
        <is>
          <t>Heron View CIP Land Surveyor</t>
        </is>
      </c>
      <c r="C15" s="55" t="inlineStr">
        <is>
          <t>Current Asset</t>
        </is>
      </c>
      <c r="D15" s="56" t="n">
        <v>19185</v>
      </c>
      <c r="E15" s="55" t="n"/>
      <c r="F15" s="56" t="n">
        <v>0</v>
      </c>
    </row>
    <row r="16" ht="11.75" customHeight="1">
      <c r="A16" s="55" t="inlineStr">
        <is>
          <t>7620/280</t>
        </is>
      </c>
      <c r="B16" s="55" t="inlineStr">
        <is>
          <t>Heron View CIP Site Establishment</t>
        </is>
      </c>
      <c r="C16" s="55" t="inlineStr">
        <is>
          <t>Current Asset</t>
        </is>
      </c>
      <c r="D16" s="56" t="n">
        <v>6423649.8</v>
      </c>
      <c r="E16" s="55" t="n"/>
      <c r="F16" s="56" t="n">
        <v>0</v>
      </c>
    </row>
    <row r="17" ht="11.75" customHeight="1">
      <c r="A17" s="55" t="inlineStr">
        <is>
          <t>7620/610</t>
        </is>
      </c>
      <c r="B17" s="55" t="inlineStr">
        <is>
          <t>HV CIP Retaining wall</t>
        </is>
      </c>
      <c r="C17" s="55" t="inlineStr">
        <is>
          <t>Current Asset</t>
        </is>
      </c>
      <c r="D17" s="56" t="n">
        <v>66190.11</v>
      </c>
      <c r="E17" s="55" t="n"/>
      <c r="F17" s="56" t="n">
        <v>0</v>
      </c>
    </row>
    <row r="18" ht="11.75" customHeight="1">
      <c r="A18" s="55" t="inlineStr">
        <is>
          <t>7620/630</t>
        </is>
      </c>
      <c r="B18" s="55" t="inlineStr">
        <is>
          <t>Heron CIP - CoCT development contribution</t>
        </is>
      </c>
      <c r="C18" s="55" t="inlineStr">
        <is>
          <t>Current Asset</t>
        </is>
      </c>
      <c r="D18" s="56" t="n">
        <v>1313735.84</v>
      </c>
      <c r="E18" s="55" t="n"/>
      <c r="F18" s="56" t="n">
        <v>0</v>
      </c>
    </row>
    <row r="19" ht="11.75" customHeight="1">
      <c r="A19" s="55" t="inlineStr">
        <is>
          <t>7620/650</t>
        </is>
      </c>
      <c r="B19" s="55" t="inlineStr">
        <is>
          <t>CIP - Construction Management</t>
        </is>
      </c>
      <c r="C19" s="55" t="inlineStr">
        <is>
          <t>Current Asset</t>
        </is>
      </c>
      <c r="D19" s="56" t="n">
        <v>30280</v>
      </c>
      <c r="E19" s="55" t="n"/>
      <c r="F19" s="56" t="n">
        <v>0</v>
      </c>
    </row>
    <row r="20" ht="11.75" customHeight="1">
      <c r="A20" s="55" t="inlineStr">
        <is>
          <t>7620/660</t>
        </is>
      </c>
      <c r="B20" s="55" t="inlineStr">
        <is>
          <t>HV CIP Health &amp; Safety</t>
        </is>
      </c>
      <c r="C20" s="55" t="inlineStr">
        <is>
          <t>Current Asset</t>
        </is>
      </c>
      <c r="D20" s="56" t="n">
        <v>14600</v>
      </c>
      <c r="E20" s="55" t="n"/>
      <c r="F20" s="56" t="n">
        <v>0</v>
      </c>
    </row>
    <row r="21" ht="11.75" customHeight="1">
      <c r="A21" s="55" t="inlineStr">
        <is>
          <t>7620/670</t>
        </is>
      </c>
      <c r="B21" s="55" t="inlineStr">
        <is>
          <t>HV CIP - Project costs CPSD</t>
        </is>
      </c>
      <c r="C21" s="55" t="inlineStr">
        <is>
          <t>Current Asset</t>
        </is>
      </c>
      <c r="D21" s="56" t="n">
        <v>684782.6</v>
      </c>
      <c r="E21" s="55" t="n"/>
      <c r="F21" s="56" t="n">
        <v>0</v>
      </c>
    </row>
    <row r="22" ht="11.75" customHeight="1">
      <c r="A22" s="55" t="inlineStr">
        <is>
          <t>7620/680</t>
        </is>
      </c>
      <c r="B22" s="55" t="inlineStr">
        <is>
          <t>HV CIP Elextrical</t>
        </is>
      </c>
      <c r="C22" s="55" t="inlineStr">
        <is>
          <t>Current Asset</t>
        </is>
      </c>
      <c r="D22" s="56" t="n">
        <v>870391.34</v>
      </c>
      <c r="E22" s="55" t="n"/>
      <c r="F22" s="56" t="n">
        <v>0</v>
      </c>
    </row>
    <row r="23" ht="11.75" customHeight="1">
      <c r="A23" s="55" t="inlineStr">
        <is>
          <t>7620/690</t>
        </is>
      </c>
      <c r="B23" s="55" t="inlineStr">
        <is>
          <t>HV CIP Site Establishment</t>
        </is>
      </c>
      <c r="C23" s="55" t="inlineStr">
        <is>
          <t>Current Asset</t>
        </is>
      </c>
      <c r="D23" s="56" t="n">
        <v>40654.63</v>
      </c>
      <c r="E23" s="55" t="n"/>
      <c r="F23" s="56" t="n">
        <v>0</v>
      </c>
    </row>
    <row r="24" ht="11.75" customHeight="1">
      <c r="A24" s="55" t="inlineStr">
        <is>
          <t>5500/001</t>
        </is>
      </c>
      <c r="B24" s="55" t="inlineStr">
        <is>
          <t>Loan - Heron Fields</t>
        </is>
      </c>
      <c r="C24" s="55" t="inlineStr">
        <is>
          <t>Non-current Liability</t>
        </is>
      </c>
      <c r="D24" s="55" t="n"/>
      <c r="E24" s="56" t="n">
        <v>5651321.42</v>
      </c>
      <c r="F24" s="56" t="n">
        <v>0</v>
      </c>
    </row>
    <row r="25" ht="11.75" customHeight="1">
      <c r="A25" s="55" t="inlineStr">
        <is>
          <t>9000/000</t>
        </is>
      </c>
      <c r="B25" s="55" t="inlineStr">
        <is>
          <t>Supplier Control Account</t>
        </is>
      </c>
      <c r="C25" s="55" t="inlineStr">
        <is>
          <t>Current Liability</t>
        </is>
      </c>
      <c r="D25" s="55" t="n"/>
      <c r="E25" s="56" t="n">
        <v>5763346.25</v>
      </c>
      <c r="F25" s="56" t="n">
        <v>0</v>
      </c>
    </row>
    <row r="26" ht="11.75" customHeight="1">
      <c r="A26" s="55" t="inlineStr">
        <is>
          <t>9500/000</t>
        </is>
      </c>
      <c r="B26" s="55" t="inlineStr">
        <is>
          <t>Vat / Tax Control Account</t>
        </is>
      </c>
      <c r="C26" s="55" t="inlineStr">
        <is>
          <t>Current Liability</t>
        </is>
      </c>
      <c r="D26" s="56" t="n">
        <v>1417745.48</v>
      </c>
      <c r="E26" s="55" t="n"/>
      <c r="F26" s="56" t="n">
        <v>0</v>
      </c>
    </row>
    <row r="27" ht="11.75" customHeight="1">
      <c r="A27" s="57" t="inlineStr">
        <is>
          <t>Total</t>
        </is>
      </c>
      <c r="B27" s="57" t="n"/>
      <c r="C27" s="57" t="n"/>
      <c r="D27" s="58">
        <f>SUM(D6:D26)</f>
        <v/>
      </c>
      <c r="E27" s="58">
        <f>SUM(E6:E26)</f>
        <v/>
      </c>
      <c r="F27" s="58">
        <f>SUM(F6:F26)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User-PC</dc:creator>
  <dcterms:created xmlns:dcterms="http://purl.org/dc/terms/" xmlns:xsi="http://www.w3.org/2001/XMLSchema-instance" xsi:type="dcterms:W3CDTF">2022-11-25T13:48:44Z</dcterms:created>
  <dcterms:modified xmlns:dcterms="http://purl.org/dc/terms/" xmlns:xsi="http://www.w3.org/2001/XMLSchema-instance" xsi:type="dcterms:W3CDTF">2023-10-11T09:31:43Z</dcterms:modified>
  <cp:lastModifiedBy>Wayne Bruton</cp:lastModifiedBy>
</cp:coreProperties>
</file>