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B557D8FD-171B-0C46-9C0E-755ED35B16D9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C45" i="5"/>
  <c r="E45" i="5" s="1"/>
  <c r="D45" i="5"/>
  <c r="H1684" i="1"/>
  <c r="C50" i="5"/>
  <c r="E50" i="5" s="1"/>
  <c r="C43" i="5"/>
  <c r="E21" i="5" s="1"/>
  <c r="Q38" i="5"/>
  <c r="L38" i="5"/>
  <c r="G38" i="5"/>
  <c r="Q32" i="5"/>
  <c r="L32" i="5"/>
  <c r="G32" i="5"/>
  <c r="N27" i="5"/>
  <c r="L27" i="5"/>
  <c r="D27" i="5"/>
  <c r="T22" i="5"/>
  <c r="T27" i="5" s="1"/>
  <c r="S22" i="5"/>
  <c r="S27" i="5" s="1"/>
  <c r="R22" i="5"/>
  <c r="R27" i="5" s="1"/>
  <c r="Q22" i="5"/>
  <c r="Q27" i="5" s="1"/>
  <c r="O22" i="5"/>
  <c r="O27" i="5" s="1"/>
  <c r="N22" i="5"/>
  <c r="M22" i="5"/>
  <c r="M27" i="5" s="1"/>
  <c r="L22" i="5"/>
  <c r="J22" i="5"/>
  <c r="J27" i="5" s="1"/>
  <c r="I22" i="5"/>
  <c r="I27" i="5" s="1"/>
  <c r="H22" i="5"/>
  <c r="H27" i="5" s="1"/>
  <c r="G22" i="5"/>
  <c r="G27" i="5" s="1"/>
  <c r="D22" i="5"/>
  <c r="C22" i="5"/>
  <c r="C27" i="5" s="1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D82" i="4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82" i="4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E67" i="4"/>
  <c r="F67" i="4" s="1"/>
  <c r="G67" i="4" s="1"/>
  <c r="H67" i="4" s="1"/>
  <c r="I67" i="4" s="1"/>
  <c r="J67" i="4" s="1"/>
  <c r="K67" i="4" s="1"/>
  <c r="L67" i="4" s="1"/>
  <c r="M67" i="4" s="1"/>
  <c r="N67" i="4" s="1"/>
  <c r="C67" i="4"/>
  <c r="D67" i="4" s="1"/>
  <c r="D66" i="4"/>
  <c r="E66" i="4" s="1"/>
  <c r="F66" i="4" s="1"/>
  <c r="G66" i="4" s="1"/>
  <c r="H66" i="4" s="1"/>
  <c r="I66" i="4" s="1"/>
  <c r="J66" i="4" s="1"/>
  <c r="K66" i="4" s="1"/>
  <c r="L66" i="4" s="1"/>
  <c r="M66" i="4" s="1"/>
  <c r="C66" i="4"/>
  <c r="G64" i="4"/>
  <c r="H64" i="4" s="1"/>
  <c r="I64" i="4" s="1"/>
  <c r="J64" i="4" s="1"/>
  <c r="K64" i="4" s="1"/>
  <c r="L64" i="4" s="1"/>
  <c r="C64" i="4"/>
  <c r="D64" i="4" s="1"/>
  <c r="E64" i="4" s="1"/>
  <c r="F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F54" i="4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D54" i="4"/>
  <c r="E54" i="4" s="1"/>
  <c r="C54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E51" i="4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D51" i="4"/>
  <c r="C51" i="4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50" i="4"/>
  <c r="F49" i="4"/>
  <c r="G49" i="4" s="1"/>
  <c r="H49" i="4" s="1"/>
  <c r="I49" i="4" s="1"/>
  <c r="J49" i="4" s="1"/>
  <c r="K49" i="4" s="1"/>
  <c r="L49" i="4" s="1"/>
  <c r="M49" i="4" s="1"/>
  <c r="N49" i="4" s="1"/>
  <c r="D49" i="4"/>
  <c r="E49" i="4" s="1"/>
  <c r="C49" i="4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H42" i="4"/>
  <c r="I42" i="4" s="1"/>
  <c r="J42" i="4" s="1"/>
  <c r="K42" i="4" s="1"/>
  <c r="L42" i="4" s="1"/>
  <c r="M42" i="4" s="1"/>
  <c r="N42" i="4" s="1"/>
  <c r="D42" i="4"/>
  <c r="E42" i="4" s="1"/>
  <c r="F42" i="4" s="1"/>
  <c r="G42" i="4" s="1"/>
  <c r="C42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G29" i="4"/>
  <c r="H29" i="4" s="1"/>
  <c r="I29" i="4" s="1"/>
  <c r="J29" i="4" s="1"/>
  <c r="K29" i="4" s="1"/>
  <c r="L29" i="4" s="1"/>
  <c r="M29" i="4" s="1"/>
  <c r="N29" i="4" s="1"/>
  <c r="D29" i="4"/>
  <c r="E29" i="4" s="1"/>
  <c r="F29" i="4" s="1"/>
  <c r="C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D22" i="4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C11" i="4"/>
  <c r="D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9" i="3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E68" i="3"/>
  <c r="C68" i="3"/>
  <c r="D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C66" i="3"/>
  <c r="D66" i="3" s="1"/>
  <c r="E66" i="3" s="1"/>
  <c r="F66" i="3" s="1"/>
  <c r="G66" i="3" s="1"/>
  <c r="H66" i="3" s="1"/>
  <c r="H65" i="3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D65" i="3"/>
  <c r="E65" i="3" s="1"/>
  <c r="F65" i="3" s="1"/>
  <c r="G65" i="3" s="1"/>
  <c r="C65" i="3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C63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1" i="3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60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2" i="3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8" i="3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C44" i="3"/>
  <c r="D44" i="3" s="1"/>
  <c r="E44" i="3" s="1"/>
  <c r="F44" i="3" s="1"/>
  <c r="G44" i="3" s="1"/>
  <c r="H44" i="3" s="1"/>
  <c r="I44" i="3" s="1"/>
  <c r="J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K42" i="3"/>
  <c r="L42" i="3" s="1"/>
  <c r="M42" i="3" s="1"/>
  <c r="N42" i="3" s="1"/>
  <c r="C42" i="3"/>
  <c r="D42" i="3" s="1"/>
  <c r="E42" i="3" s="1"/>
  <c r="F42" i="3" s="1"/>
  <c r="G42" i="3" s="1"/>
  <c r="H42" i="3" s="1"/>
  <c r="I42" i="3" s="1"/>
  <c r="J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G40" i="3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D40" i="3"/>
  <c r="E40" i="3" s="1"/>
  <c r="F40" i="3" s="1"/>
  <c r="C40" i="3"/>
  <c r="C3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D30" i="3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C30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C23" i="3"/>
  <c r="D23" i="3" s="1"/>
  <c r="E23" i="3" s="1"/>
  <c r="F23" i="3" s="1"/>
  <c r="G23" i="3" s="1"/>
  <c r="H23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F20" i="3"/>
  <c r="G20" i="3" s="1"/>
  <c r="H20" i="3" s="1"/>
  <c r="I20" i="3" s="1"/>
  <c r="J20" i="3" s="1"/>
  <c r="K20" i="3" s="1"/>
  <c r="L20" i="3" s="1"/>
  <c r="M20" i="3" s="1"/>
  <c r="N20" i="3" s="1"/>
  <c r="C20" i="3"/>
  <c r="D20" i="3" s="1"/>
  <c r="E20" i="3" s="1"/>
  <c r="C19" i="3"/>
  <c r="D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8" i="3"/>
  <c r="C8" i="3"/>
  <c r="D7" i="3"/>
  <c r="E7" i="3" s="1"/>
  <c r="F7" i="3" s="1"/>
  <c r="G7" i="3" s="1"/>
  <c r="C7" i="3"/>
  <c r="C9" i="3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E61" i="2"/>
  <c r="C61" i="2"/>
  <c r="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K50" i="2"/>
  <c r="L50" i="2" s="1"/>
  <c r="M50" i="2" s="1"/>
  <c r="N50" i="2" s="1"/>
  <c r="O50" i="2" s="1"/>
  <c r="P50" i="2" s="1"/>
  <c r="G50" i="2"/>
  <c r="H50" i="2" s="1"/>
  <c r="I50" i="2" s="1"/>
  <c r="J50" i="2" s="1"/>
  <c r="C50" i="2"/>
  <c r="D50" i="2" s="1"/>
  <c r="E50" i="2" s="1"/>
  <c r="F50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1" i="2"/>
  <c r="F40" i="2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E40" i="2"/>
  <c r="C40" i="2"/>
  <c r="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0" i="2"/>
  <c r="D20" i="2" s="1"/>
  <c r="E20" i="2" s="1"/>
  <c r="F20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C15" i="2"/>
  <c r="D15" i="2" s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C36" i="4" s="1"/>
  <c r="I47" i="1"/>
  <c r="H47" i="1"/>
  <c r="I46" i="1"/>
  <c r="H46" i="1"/>
  <c r="I45" i="1"/>
  <c r="H45" i="1"/>
  <c r="I44" i="1"/>
  <c r="H44" i="1"/>
  <c r="C9" i="4" s="1"/>
  <c r="I43" i="1"/>
  <c r="H43" i="1"/>
  <c r="I42" i="1"/>
  <c r="H42" i="1"/>
  <c r="I41" i="1"/>
  <c r="H41" i="1"/>
  <c r="I40" i="1"/>
  <c r="H40" i="1"/>
  <c r="I39" i="1"/>
  <c r="H39" i="1"/>
  <c r="I38" i="1"/>
  <c r="H38" i="1"/>
  <c r="C14" i="2" s="1"/>
  <c r="I37" i="1"/>
  <c r="H37" i="1"/>
  <c r="C95" i="4" s="1"/>
  <c r="I36" i="1"/>
  <c r="H36" i="1"/>
  <c r="I35" i="1"/>
  <c r="H35" i="1"/>
  <c r="I34" i="1"/>
  <c r="H34" i="1"/>
  <c r="I33" i="1"/>
  <c r="H33" i="1"/>
  <c r="C89" i="4" s="1"/>
  <c r="D89" i="4" s="1"/>
  <c r="E89" i="4" s="1"/>
  <c r="F89" i="4" s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C73" i="4" s="1"/>
  <c r="I22" i="1"/>
  <c r="H22" i="1"/>
  <c r="I21" i="1"/>
  <c r="H21" i="1"/>
  <c r="C71" i="4" s="1"/>
  <c r="D71" i="4" s="1"/>
  <c r="E71" i="4" s="1"/>
  <c r="F71" i="4" s="1"/>
  <c r="I20" i="1"/>
  <c r="H20" i="1"/>
  <c r="I19" i="1"/>
  <c r="H19" i="1"/>
  <c r="I18" i="1"/>
  <c r="H18" i="1"/>
  <c r="C46" i="4" s="1"/>
  <c r="I17" i="1"/>
  <c r="H17" i="1"/>
  <c r="I16" i="1"/>
  <c r="H16" i="1"/>
  <c r="C43" i="4" s="1"/>
  <c r="I15" i="1"/>
  <c r="H15" i="1"/>
  <c r="C35" i="4" s="1"/>
  <c r="I14" i="1"/>
  <c r="H14" i="1"/>
  <c r="I13" i="1"/>
  <c r="H13" i="1"/>
  <c r="I12" i="1"/>
  <c r="H12" i="1"/>
  <c r="I11" i="1"/>
  <c r="H11" i="1"/>
  <c r="I10" i="1"/>
  <c r="H10" i="1"/>
  <c r="C30" i="4" s="1"/>
  <c r="I9" i="1"/>
  <c r="H9" i="1"/>
  <c r="C26" i="4" s="1"/>
  <c r="D26" i="4" s="1"/>
  <c r="E26" i="4" s="1"/>
  <c r="F26" i="4" s="1"/>
  <c r="I8" i="1"/>
  <c r="H8" i="1"/>
  <c r="C25" i="4" s="1"/>
  <c r="I7" i="1"/>
  <c r="H7" i="1"/>
  <c r="C21" i="2" s="1"/>
  <c r="D21" i="2" s="1"/>
  <c r="I6" i="1"/>
  <c r="H6" i="1"/>
  <c r="I5" i="1"/>
  <c r="H5" i="1"/>
  <c r="C70" i="4" s="1"/>
  <c r="D70" i="4" s="1"/>
  <c r="E70" i="4" s="1"/>
  <c r="F70" i="4" s="1"/>
  <c r="I4" i="1"/>
  <c r="H4" i="1"/>
  <c r="I3" i="1"/>
  <c r="H3" i="1"/>
  <c r="I2" i="1"/>
  <c r="H2" i="1"/>
  <c r="C49" i="2" s="1"/>
  <c r="D49" i="2" s="1"/>
  <c r="D25" i="4" l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47" i="5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P50" i="3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A68" i="3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A65" i="3"/>
  <c r="D35" i="4"/>
  <c r="D73" i="4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76" i="2"/>
  <c r="P74" i="2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V41" i="2"/>
  <c r="W41" i="2" s="1"/>
  <c r="X41" i="2" s="1"/>
  <c r="Y41" i="2" s="1"/>
  <c r="Z41" i="2" s="1"/>
  <c r="AA41" i="2" s="1"/>
  <c r="AB41" i="2" s="1"/>
  <c r="AC41" i="2" s="1"/>
  <c r="AD41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O58" i="3"/>
  <c r="E49" i="2"/>
  <c r="G20" i="2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E73" i="4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B21" i="5"/>
  <c r="L33" i="5"/>
  <c r="L34" i="5" s="1"/>
  <c r="G33" i="5"/>
  <c r="G34" i="5" s="1"/>
  <c r="Q33" i="5"/>
  <c r="Q34" i="5" s="1"/>
  <c r="B33" i="5"/>
  <c r="B34" i="5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E8" i="3"/>
  <c r="D9" i="3"/>
  <c r="O28" i="3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V31" i="3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V56" i="3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E47" i="5"/>
  <c r="D47" i="5"/>
  <c r="D76" i="2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E21" i="2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P77" i="2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G71" i="4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G89" i="4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P29" i="3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V52" i="3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R27" i="3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Q43" i="3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C48" i="5"/>
  <c r="C62" i="4"/>
  <c r="C7" i="4"/>
  <c r="C7" i="2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G39" i="5"/>
  <c r="B39" i="5"/>
  <c r="Q39" i="5"/>
  <c r="L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46" i="5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16" i="2"/>
  <c r="D14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V30" i="3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D13" i="3"/>
  <c r="C15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K44" i="3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B68" i="3"/>
  <c r="AC68" i="3" s="1"/>
  <c r="AD68" i="3" s="1"/>
  <c r="AE68" i="3" s="1"/>
  <c r="AF68" i="3" s="1"/>
  <c r="D32" i="3"/>
  <c r="E19" i="3"/>
  <c r="H7" i="3"/>
  <c r="V57" i="3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W55" i="3"/>
  <c r="X55" i="3" s="1"/>
  <c r="Y55" i="3" s="1"/>
  <c r="Z55" i="3" s="1"/>
  <c r="AA55" i="3" s="1"/>
  <c r="AB55" i="3" s="1"/>
  <c r="AC55" i="3" s="1"/>
  <c r="AD55" i="3" s="1"/>
  <c r="AE55" i="3" s="1"/>
  <c r="AF55" i="3" s="1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P67" i="3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B65" i="3"/>
  <c r="AC65" i="3" s="1"/>
  <c r="AD65" i="3" s="1"/>
  <c r="AE65" i="3" s="1"/>
  <c r="AF65" i="3" s="1"/>
  <c r="P62" i="3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59" i="3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C70" i="3"/>
  <c r="D39" i="3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C32" i="3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E22" i="4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E22" i="5"/>
  <c r="E27" i="5" s="1"/>
  <c r="AG24" i="4" l="1"/>
  <c r="G35" i="5"/>
  <c r="G36" i="5" s="1"/>
  <c r="AG50" i="4"/>
  <c r="AG38" i="4"/>
  <c r="Q40" i="5"/>
  <c r="Q42" i="5" s="1"/>
  <c r="L40" i="5"/>
  <c r="L42" i="5" s="1"/>
  <c r="E32" i="3"/>
  <c r="F19" i="3"/>
  <c r="D7" i="4"/>
  <c r="C12" i="4"/>
  <c r="C86" i="2"/>
  <c r="C35" i="3"/>
  <c r="C73" i="3" s="1"/>
  <c r="C107" i="4"/>
  <c r="D62" i="4"/>
  <c r="I7" i="3"/>
  <c r="B40" i="5"/>
  <c r="E39" i="3"/>
  <c r="D70" i="3"/>
  <c r="E13" i="3"/>
  <c r="D15" i="3"/>
  <c r="D35" i="3" s="1"/>
  <c r="D73" i="3" s="1"/>
  <c r="E14" i="2"/>
  <c r="D16" i="2"/>
  <c r="C55" i="4"/>
  <c r="D42" i="2"/>
  <c r="G40" i="5"/>
  <c r="G42" i="5" s="1"/>
  <c r="E55" i="4"/>
  <c r="F22" i="4"/>
  <c r="B35" i="5"/>
  <c r="B36" i="5" s="1"/>
  <c r="F8" i="3"/>
  <c r="E9" i="3"/>
  <c r="AG87" i="4"/>
  <c r="F42" i="2"/>
  <c r="D55" i="4"/>
  <c r="C42" i="2"/>
  <c r="E42" i="2"/>
  <c r="E44" i="5"/>
  <c r="Q35" i="5"/>
  <c r="Q36" i="5" s="1"/>
  <c r="D44" i="5"/>
  <c r="L35" i="5"/>
  <c r="L36" i="5" s="1"/>
  <c r="H20" i="2"/>
  <c r="G42" i="2"/>
  <c r="E48" i="5"/>
  <c r="B29" i="5"/>
  <c r="B22" i="5"/>
  <c r="B27" i="5" s="1"/>
  <c r="F49" i="2"/>
  <c r="E86" i="2"/>
  <c r="C18" i="4"/>
  <c r="D16" i="4"/>
  <c r="E46" i="5"/>
  <c r="D46" i="5"/>
  <c r="C10" i="2"/>
  <c r="D7" i="2"/>
  <c r="D48" i="5"/>
  <c r="E49" i="5"/>
  <c r="D49" i="5"/>
  <c r="D86" i="2"/>
  <c r="E51" i="5" l="1"/>
  <c r="B42" i="5"/>
  <c r="AG115" i="4" s="1"/>
  <c r="E7" i="2"/>
  <c r="D10" i="2"/>
  <c r="D45" i="2" s="1"/>
  <c r="D89" i="2" s="1"/>
  <c r="E15" i="3"/>
  <c r="E35" i="3" s="1"/>
  <c r="E73" i="3" s="1"/>
  <c r="F13" i="3"/>
  <c r="C45" i="2"/>
  <c r="C89" i="2" s="1"/>
  <c r="I20" i="2"/>
  <c r="H42" i="2"/>
  <c r="F86" i="2"/>
  <c r="G49" i="2"/>
  <c r="E70" i="3"/>
  <c r="F39" i="3"/>
  <c r="C58" i="4"/>
  <c r="C110" i="4" s="1"/>
  <c r="D12" i="4"/>
  <c r="E7" i="4"/>
  <c r="G8" i="3"/>
  <c r="F9" i="3"/>
  <c r="J7" i="3"/>
  <c r="E16" i="4"/>
  <c r="D18" i="4"/>
  <c r="E16" i="2"/>
  <c r="F14" i="2"/>
  <c r="G19" i="3"/>
  <c r="F32" i="3"/>
  <c r="F55" i="4"/>
  <c r="G22" i="4"/>
  <c r="D107" i="4"/>
  <c r="E62" i="4"/>
  <c r="D58" i="4" l="1"/>
  <c r="G32" i="3"/>
  <c r="H19" i="3"/>
  <c r="H8" i="3"/>
  <c r="G9" i="3"/>
  <c r="F16" i="2"/>
  <c r="G14" i="2"/>
  <c r="F7" i="4"/>
  <c r="E12" i="4"/>
  <c r="D110" i="4"/>
  <c r="I42" i="2"/>
  <c r="J20" i="2"/>
  <c r="E107" i="4"/>
  <c r="F62" i="4"/>
  <c r="F16" i="4"/>
  <c r="E18" i="4"/>
  <c r="G13" i="3"/>
  <c r="F15" i="3"/>
  <c r="G39" i="3"/>
  <c r="F70" i="3"/>
  <c r="G55" i="4"/>
  <c r="H22" i="4"/>
  <c r="K7" i="3"/>
  <c r="F35" i="3"/>
  <c r="G86" i="2"/>
  <c r="H49" i="2"/>
  <c r="E10" i="2"/>
  <c r="E45" i="2" s="1"/>
  <c r="E89" i="2" s="1"/>
  <c r="F7" i="2"/>
  <c r="F73" i="3" l="1"/>
  <c r="H13" i="3"/>
  <c r="G15" i="3"/>
  <c r="E58" i="4"/>
  <c r="E110" i="4" s="1"/>
  <c r="L7" i="3"/>
  <c r="F12" i="4"/>
  <c r="G7" i="4"/>
  <c r="F18" i="4"/>
  <c r="G16" i="4"/>
  <c r="G16" i="2"/>
  <c r="H14" i="2"/>
  <c r="H55" i="4"/>
  <c r="I22" i="4"/>
  <c r="F107" i="4"/>
  <c r="G62" i="4"/>
  <c r="G7" i="2"/>
  <c r="F10" i="2"/>
  <c r="F45" i="2" s="1"/>
  <c r="F89" i="2" s="1"/>
  <c r="G35" i="3"/>
  <c r="J42" i="2"/>
  <c r="K20" i="2"/>
  <c r="I8" i="3"/>
  <c r="H9" i="3"/>
  <c r="I49" i="2"/>
  <c r="H86" i="2"/>
  <c r="G70" i="3"/>
  <c r="H39" i="3"/>
  <c r="H32" i="3"/>
  <c r="I19" i="3"/>
  <c r="F58" i="4" l="1"/>
  <c r="G12" i="4"/>
  <c r="H7" i="4"/>
  <c r="F110" i="4"/>
  <c r="J8" i="3"/>
  <c r="I9" i="3"/>
  <c r="I55" i="4"/>
  <c r="J22" i="4"/>
  <c r="M7" i="3"/>
  <c r="G107" i="4"/>
  <c r="H62" i="4"/>
  <c r="L20" i="2"/>
  <c r="K42" i="2"/>
  <c r="H16" i="2"/>
  <c r="I14" i="2"/>
  <c r="I86" i="2"/>
  <c r="J49" i="2"/>
  <c r="H70" i="3"/>
  <c r="I39" i="3"/>
  <c r="G73" i="3"/>
  <c r="I32" i="3"/>
  <c r="J19" i="3"/>
  <c r="H16" i="4"/>
  <c r="G18" i="4"/>
  <c r="H15" i="3"/>
  <c r="H35" i="3" s="1"/>
  <c r="H73" i="3" s="1"/>
  <c r="I13" i="3"/>
  <c r="H7" i="2"/>
  <c r="G10" i="2"/>
  <c r="G45" i="2" s="1"/>
  <c r="G89" i="2" s="1"/>
  <c r="H18" i="4" l="1"/>
  <c r="I16" i="4"/>
  <c r="K8" i="3"/>
  <c r="J9" i="3"/>
  <c r="I16" i="2"/>
  <c r="J14" i="2"/>
  <c r="L42" i="2"/>
  <c r="M20" i="2"/>
  <c r="H107" i="4"/>
  <c r="I62" i="4"/>
  <c r="K22" i="4"/>
  <c r="J55" i="4"/>
  <c r="I70" i="3"/>
  <c r="J39" i="3"/>
  <c r="K49" i="2"/>
  <c r="J86" i="2"/>
  <c r="I7" i="4"/>
  <c r="H12" i="4"/>
  <c r="H58" i="4" s="1"/>
  <c r="H110" i="4" s="1"/>
  <c r="K19" i="3"/>
  <c r="J32" i="3"/>
  <c r="H10" i="2"/>
  <c r="H45" i="2" s="1"/>
  <c r="H89" i="2" s="1"/>
  <c r="I7" i="2"/>
  <c r="I15" i="3"/>
  <c r="I35" i="3" s="1"/>
  <c r="I73" i="3" s="1"/>
  <c r="J13" i="3"/>
  <c r="N7" i="3"/>
  <c r="G58" i="4"/>
  <c r="G110" i="4" s="1"/>
  <c r="I10" i="2" l="1"/>
  <c r="I45" i="2" s="1"/>
  <c r="I89" i="2" s="1"/>
  <c r="J7" i="2"/>
  <c r="K14" i="2"/>
  <c r="J16" i="2"/>
  <c r="J70" i="3"/>
  <c r="K39" i="3"/>
  <c r="L8" i="3"/>
  <c r="K9" i="3"/>
  <c r="I18" i="4"/>
  <c r="J16" i="4"/>
  <c r="K32" i="3"/>
  <c r="L19" i="3"/>
  <c r="K55" i="4"/>
  <c r="L22" i="4"/>
  <c r="O7" i="3"/>
  <c r="I12" i="4"/>
  <c r="I58" i="4" s="1"/>
  <c r="J7" i="4"/>
  <c r="L49" i="2"/>
  <c r="K86" i="2"/>
  <c r="I107" i="4"/>
  <c r="J62" i="4"/>
  <c r="J15" i="3"/>
  <c r="J35" i="3" s="1"/>
  <c r="J73" i="3" s="1"/>
  <c r="K13" i="3"/>
  <c r="M42" i="2"/>
  <c r="N20" i="2"/>
  <c r="P7" i="3" l="1"/>
  <c r="L55" i="4"/>
  <c r="M22" i="4"/>
  <c r="M8" i="3"/>
  <c r="L9" i="3"/>
  <c r="K70" i="3"/>
  <c r="L39" i="3"/>
  <c r="J107" i="4"/>
  <c r="K62" i="4"/>
  <c r="L32" i="3"/>
  <c r="M19" i="3"/>
  <c r="L14" i="2"/>
  <c r="K16" i="2"/>
  <c r="L86" i="2"/>
  <c r="M49" i="2"/>
  <c r="J18" i="4"/>
  <c r="K16" i="4"/>
  <c r="I110" i="4"/>
  <c r="J10" i="2"/>
  <c r="J45" i="2" s="1"/>
  <c r="J89" i="2" s="1"/>
  <c r="K7" i="2"/>
  <c r="N42" i="2"/>
  <c r="O20" i="2"/>
  <c r="K7" i="4"/>
  <c r="J12" i="4"/>
  <c r="J58" i="4" s="1"/>
  <c r="J110" i="4" s="1"/>
  <c r="K15" i="3"/>
  <c r="K35" i="3" s="1"/>
  <c r="K73" i="3" s="1"/>
  <c r="L13" i="3"/>
  <c r="L7" i="4" l="1"/>
  <c r="K12" i="4"/>
  <c r="M86" i="2"/>
  <c r="N49" i="2"/>
  <c r="O42" i="2"/>
  <c r="P20" i="2"/>
  <c r="L70" i="3"/>
  <c r="M39" i="3"/>
  <c r="L35" i="3"/>
  <c r="L73" i="3" s="1"/>
  <c r="N8" i="3"/>
  <c r="M9" i="3"/>
  <c r="M55" i="4"/>
  <c r="N22" i="4"/>
  <c r="M13" i="3"/>
  <c r="L15" i="3"/>
  <c r="K10" i="2"/>
  <c r="K45" i="2" s="1"/>
  <c r="K89" i="2" s="1"/>
  <c r="L7" i="2"/>
  <c r="M32" i="3"/>
  <c r="N19" i="3"/>
  <c r="K107" i="4"/>
  <c r="L62" i="4"/>
  <c r="M14" i="2"/>
  <c r="L16" i="2"/>
  <c r="L16" i="4"/>
  <c r="K18" i="4"/>
  <c r="Q7" i="3"/>
  <c r="N39" i="3" l="1"/>
  <c r="M70" i="3"/>
  <c r="M16" i="2"/>
  <c r="N14" i="2"/>
  <c r="Q20" i="2"/>
  <c r="P42" i="2"/>
  <c r="M16" i="4"/>
  <c r="L18" i="4"/>
  <c r="L107" i="4"/>
  <c r="M62" i="4"/>
  <c r="N55" i="4"/>
  <c r="O22" i="4"/>
  <c r="N86" i="2"/>
  <c r="O49" i="2"/>
  <c r="M35" i="3"/>
  <c r="M73" i="3" s="1"/>
  <c r="N13" i="3"/>
  <c r="M15" i="3"/>
  <c r="N32" i="3"/>
  <c r="O19" i="3"/>
  <c r="O8" i="3"/>
  <c r="N9" i="3"/>
  <c r="K58" i="4"/>
  <c r="K110" i="4" s="1"/>
  <c r="R7" i="3"/>
  <c r="M7" i="2"/>
  <c r="L10" i="2"/>
  <c r="L45" i="2" s="1"/>
  <c r="L89" i="2" s="1"/>
  <c r="L12" i="4"/>
  <c r="M7" i="4"/>
  <c r="O86" i="2" l="1"/>
  <c r="P49" i="2"/>
  <c r="O13" i="3"/>
  <c r="N15" i="3"/>
  <c r="Q42" i="2"/>
  <c r="R20" i="2"/>
  <c r="S7" i="3"/>
  <c r="O14" i="2"/>
  <c r="N16" i="2"/>
  <c r="P8" i="3"/>
  <c r="O9" i="3"/>
  <c r="P19" i="3"/>
  <c r="O32" i="3"/>
  <c r="N16" i="4"/>
  <c r="M18" i="4"/>
  <c r="N35" i="3"/>
  <c r="N73" i="3" s="1"/>
  <c r="O55" i="4"/>
  <c r="P22" i="4"/>
  <c r="L58" i="4"/>
  <c r="L110" i="4" s="1"/>
  <c r="M107" i="4"/>
  <c r="N62" i="4"/>
  <c r="N7" i="4"/>
  <c r="M12" i="4"/>
  <c r="M58" i="4" s="1"/>
  <c r="M110" i="4" s="1"/>
  <c r="N7" i="2"/>
  <c r="M10" i="2"/>
  <c r="M45" i="2" s="1"/>
  <c r="M89" i="2" s="1"/>
  <c r="O39" i="3"/>
  <c r="N70" i="3"/>
  <c r="O7" i="4" l="1"/>
  <c r="N12" i="4"/>
  <c r="P32" i="3"/>
  <c r="Q19" i="3"/>
  <c r="O16" i="4"/>
  <c r="N18" i="4"/>
  <c r="N107" i="4"/>
  <c r="O62" i="4"/>
  <c r="S20" i="2"/>
  <c r="R42" i="2"/>
  <c r="T7" i="3"/>
  <c r="P13" i="3"/>
  <c r="O15" i="3"/>
  <c r="O35" i="3" s="1"/>
  <c r="O73" i="3" s="1"/>
  <c r="O70" i="3"/>
  <c r="P39" i="3"/>
  <c r="Q8" i="3"/>
  <c r="P9" i="3"/>
  <c r="P86" i="2"/>
  <c r="Q49" i="2"/>
  <c r="P55" i="4"/>
  <c r="Q22" i="4"/>
  <c r="N10" i="2"/>
  <c r="N45" i="2" s="1"/>
  <c r="N89" i="2" s="1"/>
  <c r="O7" i="2"/>
  <c r="P14" i="2"/>
  <c r="O16" i="2"/>
  <c r="O107" i="4" l="1"/>
  <c r="P62" i="4"/>
  <c r="Q13" i="3"/>
  <c r="P15" i="3"/>
  <c r="P70" i="3"/>
  <c r="Q39" i="3"/>
  <c r="P16" i="4"/>
  <c r="O18" i="4"/>
  <c r="R19" i="3"/>
  <c r="Q32" i="3"/>
  <c r="Q86" i="2"/>
  <c r="R49" i="2"/>
  <c r="U7" i="3"/>
  <c r="P35" i="3"/>
  <c r="P73" i="3" s="1"/>
  <c r="P7" i="2"/>
  <c r="O10" i="2"/>
  <c r="O45" i="2" s="1"/>
  <c r="O89" i="2" s="1"/>
  <c r="Q55" i="4"/>
  <c r="R22" i="4"/>
  <c r="Q14" i="2"/>
  <c r="P16" i="2"/>
  <c r="R8" i="3"/>
  <c r="Q9" i="3"/>
  <c r="N58" i="4"/>
  <c r="N110" i="4" s="1"/>
  <c r="S42" i="2"/>
  <c r="T20" i="2"/>
  <c r="O12" i="4"/>
  <c r="O58" i="4" s="1"/>
  <c r="O110" i="4" s="1"/>
  <c r="P7" i="4"/>
  <c r="P12" i="4" l="1"/>
  <c r="Q7" i="4"/>
  <c r="P10" i="2"/>
  <c r="P45" i="2" s="1"/>
  <c r="P89" i="2" s="1"/>
  <c r="Q7" i="2"/>
  <c r="P18" i="4"/>
  <c r="Q16" i="4"/>
  <c r="Q70" i="3"/>
  <c r="R39" i="3"/>
  <c r="V7" i="3"/>
  <c r="R86" i="2"/>
  <c r="S49" i="2"/>
  <c r="Q15" i="3"/>
  <c r="Q35" i="3" s="1"/>
  <c r="R13" i="3"/>
  <c r="Q16" i="2"/>
  <c r="R14" i="2"/>
  <c r="T42" i="2"/>
  <c r="U20" i="2"/>
  <c r="P107" i="4"/>
  <c r="Q62" i="4"/>
  <c r="S8" i="3"/>
  <c r="R9" i="3"/>
  <c r="S22" i="4"/>
  <c r="R55" i="4"/>
  <c r="S19" i="3"/>
  <c r="R32" i="3"/>
  <c r="Q73" i="3" l="1"/>
  <c r="R70" i="3"/>
  <c r="S39" i="3"/>
  <c r="R15" i="3"/>
  <c r="S13" i="3"/>
  <c r="Q18" i="4"/>
  <c r="R16" i="4"/>
  <c r="Q107" i="4"/>
  <c r="R62" i="4"/>
  <c r="S55" i="4"/>
  <c r="T22" i="4"/>
  <c r="R35" i="3"/>
  <c r="Q10" i="2"/>
  <c r="Q45" i="2" s="1"/>
  <c r="Q89" i="2" s="1"/>
  <c r="R7" i="2"/>
  <c r="T49" i="2"/>
  <c r="S86" i="2"/>
  <c r="U42" i="2"/>
  <c r="V20" i="2"/>
  <c r="T8" i="3"/>
  <c r="S9" i="3"/>
  <c r="W7" i="3"/>
  <c r="Q12" i="4"/>
  <c r="Q58" i="4" s="1"/>
  <c r="Q110" i="4" s="1"/>
  <c r="R7" i="4"/>
  <c r="S32" i="3"/>
  <c r="T19" i="3"/>
  <c r="R16" i="2"/>
  <c r="S14" i="2"/>
  <c r="P58" i="4"/>
  <c r="P110" i="4" s="1"/>
  <c r="R73" i="3" l="1"/>
  <c r="R107" i="4"/>
  <c r="S62" i="4"/>
  <c r="R12" i="4"/>
  <c r="S7" i="4"/>
  <c r="R18" i="4"/>
  <c r="S16" i="4"/>
  <c r="S7" i="2"/>
  <c r="R10" i="2"/>
  <c r="R45" i="2" s="1"/>
  <c r="R89" i="2" s="1"/>
  <c r="U49" i="2"/>
  <c r="T86" i="2"/>
  <c r="S15" i="3"/>
  <c r="S35" i="3" s="1"/>
  <c r="T13" i="3"/>
  <c r="X7" i="3"/>
  <c r="S16" i="2"/>
  <c r="T14" i="2"/>
  <c r="U8" i="3"/>
  <c r="T9" i="3"/>
  <c r="T55" i="4"/>
  <c r="U22" i="4"/>
  <c r="S70" i="3"/>
  <c r="T39" i="3"/>
  <c r="T32" i="3"/>
  <c r="U19" i="3"/>
  <c r="W20" i="2"/>
  <c r="V42" i="2"/>
  <c r="U14" i="2" l="1"/>
  <c r="T16" i="2"/>
  <c r="T70" i="3"/>
  <c r="U39" i="3"/>
  <c r="S10" i="2"/>
  <c r="S45" i="2" s="1"/>
  <c r="S89" i="2" s="1"/>
  <c r="T7" i="2"/>
  <c r="T16" i="4"/>
  <c r="S18" i="4"/>
  <c r="Y7" i="3"/>
  <c r="U13" i="3"/>
  <c r="T15" i="3"/>
  <c r="T7" i="4"/>
  <c r="S12" i="4"/>
  <c r="T35" i="3"/>
  <c r="T73" i="3" s="1"/>
  <c r="R58" i="4"/>
  <c r="R110" i="4" s="1"/>
  <c r="X20" i="2"/>
  <c r="W42" i="2"/>
  <c r="V8" i="3"/>
  <c r="U9" i="3"/>
  <c r="S107" i="4"/>
  <c r="T62" i="4"/>
  <c r="U55" i="4"/>
  <c r="V22" i="4"/>
  <c r="U32" i="3"/>
  <c r="V19" i="3"/>
  <c r="S73" i="3"/>
  <c r="V49" i="2"/>
  <c r="U86" i="2"/>
  <c r="S58" i="4" l="1"/>
  <c r="S110" i="4" s="1"/>
  <c r="V55" i="4"/>
  <c r="W22" i="4"/>
  <c r="T18" i="4"/>
  <c r="U16" i="4"/>
  <c r="U7" i="2"/>
  <c r="T10" i="2"/>
  <c r="T45" i="2" s="1"/>
  <c r="T89" i="2" s="1"/>
  <c r="T107" i="4"/>
  <c r="U62" i="4"/>
  <c r="U7" i="4"/>
  <c r="T12" i="4"/>
  <c r="T58" i="4" s="1"/>
  <c r="V86" i="2"/>
  <c r="W49" i="2"/>
  <c r="U35" i="3"/>
  <c r="U73" i="3" s="1"/>
  <c r="U70" i="3"/>
  <c r="V39" i="3"/>
  <c r="U15" i="3"/>
  <c r="V13" i="3"/>
  <c r="W8" i="3"/>
  <c r="V9" i="3"/>
  <c r="V32" i="3"/>
  <c r="W19" i="3"/>
  <c r="Y20" i="2"/>
  <c r="X42" i="2"/>
  <c r="Z7" i="3"/>
  <c r="U16" i="2"/>
  <c r="V14" i="2"/>
  <c r="U107" i="4" l="1"/>
  <c r="V62" i="4"/>
  <c r="W39" i="3"/>
  <c r="V70" i="3"/>
  <c r="Y42" i="2"/>
  <c r="Z20" i="2"/>
  <c r="V7" i="2"/>
  <c r="U10" i="2"/>
  <c r="U45" i="2" s="1"/>
  <c r="U89" i="2" s="1"/>
  <c r="V16" i="4"/>
  <c r="U18" i="4"/>
  <c r="W86" i="2"/>
  <c r="X49" i="2"/>
  <c r="V16" i="2"/>
  <c r="W14" i="2"/>
  <c r="W32" i="3"/>
  <c r="X19" i="3"/>
  <c r="X8" i="3"/>
  <c r="W9" i="3"/>
  <c r="T110" i="4"/>
  <c r="W55" i="4"/>
  <c r="X22" i="4"/>
  <c r="AA7" i="3"/>
  <c r="W13" i="3"/>
  <c r="V15" i="3"/>
  <c r="V35" i="3" s="1"/>
  <c r="V73" i="3" s="1"/>
  <c r="V7" i="4"/>
  <c r="U12" i="4"/>
  <c r="U58" i="4" s="1"/>
  <c r="U110" i="4" s="1"/>
  <c r="Y22" i="4" l="1"/>
  <c r="X55" i="4"/>
  <c r="W15" i="3"/>
  <c r="X13" i="3"/>
  <c r="AB7" i="3"/>
  <c r="W7" i="2"/>
  <c r="V10" i="2"/>
  <c r="V45" i="2" s="1"/>
  <c r="V89" i="2" s="1"/>
  <c r="Z42" i="2"/>
  <c r="AA20" i="2"/>
  <c r="W16" i="2"/>
  <c r="X14" i="2"/>
  <c r="Y49" i="2"/>
  <c r="X86" i="2"/>
  <c r="V12" i="4"/>
  <c r="V58" i="4" s="1"/>
  <c r="W7" i="4"/>
  <c r="W35" i="3"/>
  <c r="W70" i="3"/>
  <c r="X39" i="3"/>
  <c r="Y8" i="3"/>
  <c r="X9" i="3"/>
  <c r="V107" i="4"/>
  <c r="W62" i="4"/>
  <c r="X32" i="3"/>
  <c r="Y19" i="3"/>
  <c r="W16" i="4"/>
  <c r="V18" i="4"/>
  <c r="V110" i="4" l="1"/>
  <c r="Z8" i="3"/>
  <c r="Y9" i="3"/>
  <c r="W12" i="4"/>
  <c r="X7" i="4"/>
  <c r="W10" i="2"/>
  <c r="W45" i="2" s="1"/>
  <c r="W89" i="2" s="1"/>
  <c r="X7" i="2"/>
  <c r="Y86" i="2"/>
  <c r="Z49" i="2"/>
  <c r="W107" i="4"/>
  <c r="X62" i="4"/>
  <c r="Y13" i="3"/>
  <c r="X15" i="3"/>
  <c r="X35" i="3" s="1"/>
  <c r="X73" i="3" s="1"/>
  <c r="X70" i="3"/>
  <c r="Y39" i="3"/>
  <c r="X16" i="2"/>
  <c r="Y14" i="2"/>
  <c r="X16" i="4"/>
  <c r="W18" i="4"/>
  <c r="AA42" i="2"/>
  <c r="AB20" i="2"/>
  <c r="AC7" i="3"/>
  <c r="Z19" i="3"/>
  <c r="Y32" i="3"/>
  <c r="W73" i="3"/>
  <c r="Y55" i="4"/>
  <c r="Z22" i="4"/>
  <c r="Z14" i="2" l="1"/>
  <c r="Y16" i="2"/>
  <c r="AA19" i="3"/>
  <c r="Z32" i="3"/>
  <c r="AA49" i="2"/>
  <c r="Z86" i="2"/>
  <c r="Y7" i="2"/>
  <c r="X10" i="2"/>
  <c r="X45" i="2" s="1"/>
  <c r="X89" i="2" s="1"/>
  <c r="Y7" i="4"/>
  <c r="X12" i="4"/>
  <c r="Z39" i="3"/>
  <c r="Y70" i="3"/>
  <c r="Y15" i="3"/>
  <c r="Z13" i="3"/>
  <c r="W58" i="4"/>
  <c r="W110" i="4" s="1"/>
  <c r="AA22" i="4"/>
  <c r="Z55" i="4"/>
  <c r="AB42" i="2"/>
  <c r="AC20" i="2"/>
  <c r="X107" i="4"/>
  <c r="Y62" i="4"/>
  <c r="Y35" i="3"/>
  <c r="Y73" i="3" s="1"/>
  <c r="AD7" i="3"/>
  <c r="X18" i="4"/>
  <c r="Y16" i="4"/>
  <c r="AA8" i="3"/>
  <c r="Z9" i="3"/>
  <c r="AA55" i="4" l="1"/>
  <c r="AB22" i="4"/>
  <c r="AE7" i="3"/>
  <c r="AA13" i="3"/>
  <c r="Z15" i="3"/>
  <c r="AA86" i="2"/>
  <c r="AB49" i="2"/>
  <c r="Y107" i="4"/>
  <c r="Z62" i="4"/>
  <c r="Z35" i="3"/>
  <c r="Z73" i="3" s="1"/>
  <c r="AA32" i="3"/>
  <c r="AB19" i="3"/>
  <c r="Y10" i="2"/>
  <c r="Y45" i="2" s="1"/>
  <c r="Y89" i="2" s="1"/>
  <c r="Z7" i="2"/>
  <c r="AC42" i="2"/>
  <c r="AD20" i="2"/>
  <c r="AD42" i="2" s="1"/>
  <c r="Z70" i="3"/>
  <c r="AA39" i="3"/>
  <c r="Y18" i="4"/>
  <c r="Z16" i="4"/>
  <c r="X58" i="4"/>
  <c r="X110" i="4" s="1"/>
  <c r="AB8" i="3"/>
  <c r="AA9" i="3"/>
  <c r="Y12" i="4"/>
  <c r="Z7" i="4"/>
  <c r="Z16" i="2"/>
  <c r="AA14" i="2"/>
  <c r="AC49" i="2" l="1"/>
  <c r="AB86" i="2"/>
  <c r="AA7" i="2"/>
  <c r="Z10" i="2"/>
  <c r="Z45" i="2" s="1"/>
  <c r="Z89" i="2" s="1"/>
  <c r="AC8" i="3"/>
  <c r="AB9" i="3"/>
  <c r="AA15" i="3"/>
  <c r="AA35" i="3" s="1"/>
  <c r="AB13" i="3"/>
  <c r="AA16" i="2"/>
  <c r="AB14" i="2"/>
  <c r="Z18" i="4"/>
  <c r="AA16" i="4"/>
  <c r="AA70" i="3"/>
  <c r="AB39" i="3"/>
  <c r="AF7" i="3"/>
  <c r="AB32" i="3"/>
  <c r="AC19" i="3"/>
  <c r="Z107" i="4"/>
  <c r="AA62" i="4"/>
  <c r="AB55" i="4"/>
  <c r="AC22" i="4"/>
  <c r="Z12" i="4"/>
  <c r="Z58" i="4" s="1"/>
  <c r="Z110" i="4" s="1"/>
  <c r="AA7" i="4"/>
  <c r="Y58" i="4"/>
  <c r="Y110" i="4" s="1"/>
  <c r="AA73" i="3" l="1"/>
  <c r="AD8" i="3"/>
  <c r="AC9" i="3"/>
  <c r="AB16" i="4"/>
  <c r="AA18" i="4"/>
  <c r="AA12" i="4"/>
  <c r="AB7" i="4"/>
  <c r="AB70" i="3"/>
  <c r="AC39" i="3"/>
  <c r="AA10" i="2"/>
  <c r="AA45" i="2" s="1"/>
  <c r="AA89" i="2" s="1"/>
  <c r="AB7" i="2"/>
  <c r="AA107" i="4"/>
  <c r="AB62" i="4"/>
  <c r="AC14" i="2"/>
  <c r="AB16" i="2"/>
  <c r="AC13" i="3"/>
  <c r="AB15" i="3"/>
  <c r="AB35" i="3" s="1"/>
  <c r="AB73" i="3" s="1"/>
  <c r="AD22" i="4"/>
  <c r="AC55" i="4"/>
  <c r="AC32" i="3"/>
  <c r="AD19" i="3"/>
  <c r="AC86" i="2"/>
  <c r="AD49" i="2"/>
  <c r="AD86" i="2" s="1"/>
  <c r="AC15" i="3" l="1"/>
  <c r="AD13" i="3"/>
  <c r="AC7" i="4"/>
  <c r="AB12" i="4"/>
  <c r="AC16" i="2"/>
  <c r="AD14" i="2"/>
  <c r="AD16" i="2" s="1"/>
  <c r="AA58" i="4"/>
  <c r="AA110" i="4" s="1"/>
  <c r="AB18" i="4"/>
  <c r="AC16" i="4"/>
  <c r="AB107" i="4"/>
  <c r="AC62" i="4"/>
  <c r="AC7" i="2"/>
  <c r="AB10" i="2"/>
  <c r="AB45" i="2" s="1"/>
  <c r="AB89" i="2" s="1"/>
  <c r="AC35" i="3"/>
  <c r="AC73" i="3" s="1"/>
  <c r="AD32" i="3"/>
  <c r="AE19" i="3"/>
  <c r="AE8" i="3"/>
  <c r="AD9" i="3"/>
  <c r="AD55" i="4"/>
  <c r="AE22" i="4"/>
  <c r="AC70" i="3"/>
  <c r="AD39" i="3"/>
  <c r="AE39" i="3" l="1"/>
  <c r="AD70" i="3"/>
  <c r="AC10" i="2"/>
  <c r="AC45" i="2" s="1"/>
  <c r="AC89" i="2" s="1"/>
  <c r="AD7" i="2"/>
  <c r="AD10" i="2" s="1"/>
  <c r="AD45" i="2" s="1"/>
  <c r="AD89" i="2" s="1"/>
  <c r="AB58" i="4"/>
  <c r="AB110" i="4" s="1"/>
  <c r="AE55" i="4"/>
  <c r="AF22" i="4"/>
  <c r="AD7" i="4"/>
  <c r="AC12" i="4"/>
  <c r="AE32" i="3"/>
  <c r="AF19" i="3"/>
  <c r="AF32" i="3" s="1"/>
  <c r="AC107" i="4"/>
  <c r="AD62" i="4"/>
  <c r="AE13" i="3"/>
  <c r="AD15" i="3"/>
  <c r="AD35" i="3" s="1"/>
  <c r="AD73" i="3" s="1"/>
  <c r="AF8" i="3"/>
  <c r="AF9" i="3" s="1"/>
  <c r="AE9" i="3"/>
  <c r="AD16" i="4"/>
  <c r="AC18" i="4"/>
  <c r="AC58" i="4" l="1"/>
  <c r="AC110" i="4" s="1"/>
  <c r="AD12" i="4"/>
  <c r="AE7" i="4"/>
  <c r="AF55" i="4"/>
  <c r="AG22" i="4"/>
  <c r="AG55" i="4" s="1"/>
  <c r="AF13" i="3"/>
  <c r="AF15" i="3" s="1"/>
  <c r="AF35" i="3" s="1"/>
  <c r="AF73" i="3" s="1"/>
  <c r="AE15" i="3"/>
  <c r="AE35" i="3" s="1"/>
  <c r="AE73" i="3" s="1"/>
  <c r="AD107" i="4"/>
  <c r="AE62" i="4"/>
  <c r="AE16" i="4"/>
  <c r="AD18" i="4"/>
  <c r="AE70" i="3"/>
  <c r="AF39" i="3"/>
  <c r="AF70" i="3" s="1"/>
  <c r="AF16" i="4" l="1"/>
  <c r="AE18" i="4"/>
  <c r="AE12" i="4"/>
  <c r="AE58" i="4" s="1"/>
  <c r="AF7" i="4"/>
  <c r="AE107" i="4"/>
  <c r="AF62" i="4"/>
  <c r="AD58" i="4"/>
  <c r="AD110" i="4" s="1"/>
  <c r="AF107" i="4" l="1"/>
  <c r="AG62" i="4"/>
  <c r="AG107" i="4" s="1"/>
  <c r="AG7" i="4"/>
  <c r="AG12" i="4" s="1"/>
  <c r="AF12" i="4"/>
  <c r="AE110" i="4"/>
  <c r="AG16" i="4"/>
  <c r="AG18" i="4" s="1"/>
  <c r="AF18" i="4"/>
  <c r="AF58" i="4" l="1"/>
  <c r="AF110" i="4" s="1"/>
  <c r="AG58" i="4"/>
  <c r="AG110" i="4" s="1"/>
  <c r="AG114" i="4" s="1"/>
  <c r="AG1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tc={54A7AF46-346E-1E41-BA67-C7728649D6DA}</author>
    <author>tc={92399C11-AF5C-304C-BA1E-E08CC0913EAB}</author>
    <author>tc={C9F3A4F8-BE5C-FA4F-9024-2B6F23BBA272}</author>
  </authors>
  <commentList>
    <comment ref="B38" authorId="0" shapeId="0" xr:uid="{54A7AF46-346E-1E41-BA67-C7728649D6D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Rental Income and Occupational Rent be include here?</t>
      </text>
    </comment>
    <comment ref="C45" authorId="1" shapeId="0" xr:uid="{92399C11-AF5C-304C-BA1E-E08CC0913EA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not be R800,000 as visible in data tab?</t>
      </text>
    </comment>
    <comment ref="D45" authorId="2" shapeId="0" xr:uid="{C9F3A4F8-BE5C-FA4F-9024-2B6F23BBA272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not put this formula in too? Also, should Rent Salaries and Wages Category be changed to COS or Operating Expenses</t>
      </text>
    </comment>
  </commentList>
</comments>
</file>

<file path=xl/sharedStrings.xml><?xml version="1.0" encoding="utf-8"?>
<sst xmlns="http://schemas.openxmlformats.org/spreadsheetml/2006/main" count="8950" uniqueCount="203">
  <si>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</si>
  <si>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</si>
  <si>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</si>
  <si>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</si>
  <si>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</si>
  <si>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</si>
  <si>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</si>
  <si>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</si>
  <si>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</si>
  <si>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</si>
  <si>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</si>
  <si>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</si>
  <si>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</si>
  <si>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</si>
  <si>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</si>
  <si>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</si>
  <si>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</si>
  <si>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</si>
  <si>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</si>
  <si>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</si>
  <si>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</si>
  <si>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</si>
  <si>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</si>
  <si>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</si>
  <si>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</si>
  <si>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</si>
  <si>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</si>
  <si>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</si>
  <si>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</si>
  <si>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</si>
  <si>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</si>
  <si>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</si>
  <si>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</si>
  <si>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</si>
  <si>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</si>
  <si>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</si>
  <si>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</si>
  <si>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</si>
  <si>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</si>
  <si>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</si>
  <si>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</si>
  <si>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</si>
  <si>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</si>
  <si>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</si>
  <si>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</si>
  <si>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</si>
  <si>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</si>
  <si>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</si>
  <si>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</si>
  <si>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</si>
  <si>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</si>
  <si>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</si>
  <si>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</si>
  <si>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</si>
  <si>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</si>
  <si>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</si>
  <si>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</si>
  <si>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</si>
  <si>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</si>
  <si>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</si>
  <si>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</si>
  <si>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</si>
  <si>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</si>
  <si>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</si>
  <si>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</si>
  <si>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</si>
  <si>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</si>
  <si>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</si>
  <si>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</si>
  <si>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</si>
  <si>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</si>
  <si>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</si>
  <si>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</si>
  <si>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</si>
  <si>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</si>
  <si>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</si>
  <si>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</si>
  <si>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</si>
  <si>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</si>
  <si>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</si>
  <si>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</si>
  <si>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</si>
  <si>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</si>
  <si>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</si>
  <si>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</si>
  <si>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</si>
  <si>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</si>
  <si>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</si>
  <si>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</si>
  <si>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</si>
  <si>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</si>
  <si>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</si>
  <si>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</si>
  <si>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</si>
  <si>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</si>
  <si>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</si>
  <si>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</si>
  <si>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</si>
  <si>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</si>
  <si>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</si>
  <si>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</si>
  <si>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</si>
  <si>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</si>
  <si>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</si>
  <si>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</si>
  <si>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</si>
  <si>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</si>
  <si>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</si>
  <si>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</si>
  <si>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</si>
  <si>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</si>
  <si>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</si>
  <si>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</si>
  <si>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</si>
  <si>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</si>
  <si>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</si>
  <si>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</si>
  <si>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</si>
  <si>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</si>
  <si>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</si>
  <si>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</si>
  <si>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</si>
  <si>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</si>
  <si>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</si>
  <si>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</si>
  <si>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</si>
  <si>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</si>
  <si>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</si>
  <si>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</si>
  <si>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</si>
  <si>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</si>
  <si>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</si>
  <si>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</si>
  <si>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</si>
  <si>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</si>
  <si>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</si>
  <si>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</si>
  <si>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</si>
  <si>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</si>
  <si>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</si>
  <si>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</si>
  <si>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</si>
  <si>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</si>
  <si>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</si>
  <si>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</si>
  <si>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</si>
  <si>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</si>
  <si>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</si>
  <si>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</si>
  <si>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</si>
  <si>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</si>
  <si>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</si>
  <si>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</si>
  <si>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</si>
  <si>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</si>
  <si>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</si>
  <si>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</si>
  <si>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</si>
  <si>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</si>
  <si>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</si>
  <si>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</si>
  <si>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</si>
  <si>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</si>
  <si>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</si>
  <si>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</si>
  <si>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</si>
  <si>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</si>
  <si>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</si>
  <si>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</si>
  <si>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</si>
  <si>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</si>
  <si>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</si>
  <si>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</si>
  <si>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</si>
  <si>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</si>
  <si>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</si>
  <si>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</si>
  <si>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</si>
  <si>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</si>
  <si>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</si>
  <si>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</si>
  <si>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</si>
  <si>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</si>
  <si>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</si>
  <si>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</si>
  <si>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</si>
  <si>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</si>
  <si>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</si>
  <si>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</si>
  <si>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</si>
  <si>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</si>
  <si>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</si>
  <si>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</si>
  <si>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</si>
  <si>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</si>
  <si>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</si>
  <si>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</si>
  <si>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</si>
  <si>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</si>
  <si>
    <t>P&amp;L</t>
  </si>
  <si>
    <t>Diff</t>
  </si>
  <si>
    <t>Will be out by Salary Toggle until I change it to COS or Operating Expenses</t>
  </si>
  <si>
    <t>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</si>
</sst>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\R\ #,##0.00"/>
    <numFmt numFmtId="165" formatCode="yyyy\-mm\-dd"/>
    <numFmt numFmtId="166" formatCode="dd\ mmm\ yy"/>
    <numFmt numFmtId="167" formatCode="#,##0.00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sz val="12"/>
      <color theme="0"/>
      <name val="Calibri"/>
      <family val="2"/>
    </font>
    <font>
      <sz val="12"/>
      <color theme="0"/>
      <name val="Calibri (Body)"/>
    </font>
    <font>
      <sz val="11"/>
      <color theme="0"/>
      <name val="Calibri (Body)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0" fillId="7" borderId="0" xfId="0" applyNumberFormat="1" applyFill="1"/>
    <xf numFmtId="43" fontId="0" fillId="7" borderId="0" xfId="1" applyFont="1" applyFill="1"/>
    <xf numFmtId="0" fontId="7" fillId="8" borderId="0" xfId="0" applyFont="1" applyFill="1" applyAlignment="1">
      <alignment horizontal="center"/>
    </xf>
    <xf numFmtId="43" fontId="0" fillId="0" borderId="7" xfId="0" applyNumberFormat="1" applyBorder="1"/>
    <xf numFmtId="43" fontId="0" fillId="0" borderId="8" xfId="1" applyFont="1" applyBorder="1"/>
    <xf numFmtId="43" fontId="0" fillId="0" borderId="9" xfId="0" applyNumberFormat="1" applyBorder="1"/>
    <xf numFmtId="164" fontId="3" fillId="2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0" fillId="0" borderId="0" xfId="0" applyNumberFormat="1"/>
    <xf numFmtId="164" fontId="9" fillId="8" borderId="0" xfId="0" applyNumberFormat="1" applyFont="1" applyFill="1"/>
    <xf numFmtId="164" fontId="10" fillId="8" borderId="4" xfId="0" applyNumberFormat="1" applyFont="1" applyFill="1" applyBorder="1" applyAlignment="1">
      <alignment horizontal="center"/>
    </xf>
    <xf numFmtId="0" fontId="11" fillId="8" borderId="5" xfId="0" applyFont="1" applyFill="1" applyBorder="1"/>
    <xf numFmtId="0" fontId="11" fillId="8" borderId="6" xfId="0" applyFont="1" applyFill="1" applyBorder="1"/>
    <xf numFmtId="0" fontId="0" fillId="8" borderId="0" xfId="0" applyFill="1"/>
    <xf numFmtId="164" fontId="0" fillId="8" borderId="0" xfId="0" applyNumberFormat="1" applyFill="1"/>
    <xf numFmtId="164" fontId="12" fillId="0" borderId="0" xfId="0" applyNumberFormat="1" applyFont="1"/>
    <xf numFmtId="0" fontId="12" fillId="8" borderId="0" xfId="0" applyFont="1" applyFill="1"/>
    <xf numFmtId="164" fontId="12" fillId="8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yne Bruton" id="{9A05D1D9-2EC2-244D-A232-8A3BE8823F92}" userId="S::wayne@opportunity.co.za::133a3310-1d9d-4924-ae06-df6b57239a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" dT="2023-11-26T08:40:15.46" personId="{9A05D1D9-2EC2-244D-A232-8A3BE8823F92}" id="{54A7AF46-346E-1E41-BA67-C7728649D6DA}">
    <text>Should Rental Income and Occupational Rent be include here?</text>
  </threadedComment>
  <threadedComment ref="C45" dT="2023-11-26T08:35:36.00" personId="{9A05D1D9-2EC2-244D-A232-8A3BE8823F92}" id="{92399C11-AF5C-304C-BA1E-E08CC0913EAB}">
    <text>Should this not be R800,000 as visible in data tab?</text>
  </threadedComment>
  <threadedComment ref="D45" dT="2023-11-26T08:36:15.70" personId="{9A05D1D9-2EC2-244D-A232-8A3BE8823F92}" id="{C9F3A4F8-BE5C-FA4F-9024-2B6F23BBA272}">
    <text>Should I not put this formula in too? Also, should Rent Salaries and Wages Category be changed to COS or Operating Expenses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4"/>
  <sheetViews>
    <sheetView workbookViewId="0">
      <pane ySplit="1" topLeftCell="A1330" activePane="bottomLeft" state="frozen"/>
      <selection pane="bottomLeft" activeCell="B1330" sqref="B1330:B1682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hidden="1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hidden="1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hidden="1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127</v>
      </c>
      <c r="B1330" t="s">
        <v>18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hidden="1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hidden="1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hidden="1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hidden="1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hidden="1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hidden="1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hidden="1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hidden="1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hidden="1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hidden="1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hidden="1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hidden="1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hidden="1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hidden="1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hidden="1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hidden="1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hidden="1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hidden="1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hidden="1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hidden="1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hidden="1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hidden="1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hidden="1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hidden="1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hidden="1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x14ac:dyDescent="0.2">
      <c r="A1364" t="s">
        <v>127</v>
      </c>
      <c r="B1364" t="s">
        <v>18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hidden="1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hidden="1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hidden="1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hidden="1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hidden="1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hidden="1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hidden="1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hidden="1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hidden="1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hidden="1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hidden="1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hidden="1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hidden="1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hidden="1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hidden="1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hidden="1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hidden="1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hidden="1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hidden="1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hidden="1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hidden="1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hidden="1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hidden="1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hidden="1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hidden="1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hidden="1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hidden="1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hidden="1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x14ac:dyDescent="0.2">
      <c r="A1393" t="s">
        <v>127</v>
      </c>
      <c r="B1393" t="s">
        <v>18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hidden="1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hidden="1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hidden="1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hidden="1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hidden="1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hidden="1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hidden="1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hidden="1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hidden="1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hidden="1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hidden="1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hidden="1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hidden="1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hidden="1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hidden="1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hidden="1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hidden="1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hidden="1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hidden="1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hidden="1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hidden="1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hidden="1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hidden="1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hidden="1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hidden="1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hidden="1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hidden="1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hidden="1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x14ac:dyDescent="0.2">
      <c r="A1422" t="s">
        <v>127</v>
      </c>
      <c r="B1422" t="s">
        <v>18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hidden="1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hidden="1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hidden="1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hidden="1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hidden="1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hidden="1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hidden="1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hidden="1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hidden="1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hidden="1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hidden="1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hidden="1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hidden="1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hidden="1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hidden="1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hidden="1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hidden="1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hidden="1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hidden="1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hidden="1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hidden="1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hidden="1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hidden="1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hidden="1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hidden="1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hidden="1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hidden="1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hidden="1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x14ac:dyDescent="0.2">
      <c r="A1451" t="s">
        <v>127</v>
      </c>
      <c r="B1451" t="s">
        <v>18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hidden="1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hidden="1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hidden="1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hidden="1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hidden="1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hidden="1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hidden="1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hidden="1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hidden="1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hidden="1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hidden="1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hidden="1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hidden="1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hidden="1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hidden="1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hidden="1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hidden="1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hidden="1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hidden="1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hidden="1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hidden="1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hidden="1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hidden="1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hidden="1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hidden="1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hidden="1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hidden="1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hidden="1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hidden="1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hidden="1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hidden="1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hidden="1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hidden="1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hidden="1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hidden="1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hidden="1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hidden="1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hidden="1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hidden="1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hidden="1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hidden="1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hidden="1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hidden="1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hidden="1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hidden="1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hidden="1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x14ac:dyDescent="0.2">
      <c r="A1499" t="s">
        <v>127</v>
      </c>
      <c r="B1499" t="s">
        <v>18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hidden="1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hidden="1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hidden="1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hidden="1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hidden="1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hidden="1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hidden="1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hidden="1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hidden="1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hidden="1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hidden="1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hidden="1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hidden="1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hidden="1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hidden="1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hidden="1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hidden="1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hidden="1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hidden="1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hidden="1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hidden="1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hidden="1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hidden="1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hidden="1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hidden="1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hidden="1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hidden="1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hidden="1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hidden="1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hidden="1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hidden="1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hidden="1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hidden="1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hidden="1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hidden="1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hidden="1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hidden="1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hidden="1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hidden="1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hidden="1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hidden="1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hidden="1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hidden="1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hidden="1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hidden="1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hidden="1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hidden="1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hidden="1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hidden="1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hidden="1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hidden="1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hidden="1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x14ac:dyDescent="0.2">
      <c r="A1552" t="s">
        <v>127</v>
      </c>
      <c r="B1552" t="s">
        <v>18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hidden="1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hidden="1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hidden="1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hidden="1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hidden="1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hidden="1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hidden="1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hidden="1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hidden="1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hidden="1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hidden="1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hidden="1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hidden="1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hidden="1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hidden="1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hidden="1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hidden="1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hidden="1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hidden="1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hidden="1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hidden="1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hidden="1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hidden="1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hidden="1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hidden="1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hidden="1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hidden="1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hidden="1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hidden="1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hidden="1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hidden="1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hidden="1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hidden="1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hidden="1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hidden="1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hidden="1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hidden="1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hidden="1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hidden="1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hidden="1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hidden="1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hidden="1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hidden="1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hidden="1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hidden="1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hidden="1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hidden="1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hidden="1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hidden="1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x14ac:dyDescent="0.2">
      <c r="A1602" t="s">
        <v>127</v>
      </c>
      <c r="B1602" t="s">
        <v>18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hidden="1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hidden="1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hidden="1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hidden="1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hidden="1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hidden="1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hidden="1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hidden="1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hidden="1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hidden="1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hidden="1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hidden="1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hidden="1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hidden="1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hidden="1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hidden="1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hidden="1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hidden="1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hidden="1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hidden="1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hidden="1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hidden="1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hidden="1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hidden="1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hidden="1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hidden="1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hidden="1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hidden="1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hidden="1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hidden="1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hidden="1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hidden="1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hidden="1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hidden="1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hidden="1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hidden="1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hidden="1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hidden="1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hidden="1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hidden="1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hidden="1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hidden="1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x14ac:dyDescent="0.2">
      <c r="A1645" t="s">
        <v>127</v>
      </c>
      <c r="B1645" t="s">
        <v>18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hidden="1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hidden="1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hidden="1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hidden="1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hidden="1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hidden="1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hidden="1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hidden="1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hidden="1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hidden="1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hidden="1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hidden="1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hidden="1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hidden="1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hidden="1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hidden="1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hidden="1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hidden="1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hidden="1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x14ac:dyDescent="0.2">
      <c r="A1665" t="s">
        <v>127</v>
      </c>
      <c r="B1665" t="s">
        <v>18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hidden="1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683" si="52">IF(F1666=0, G1666, F1666)</f>
        <v>43700000</v>
      </c>
      <c r="I1666" s="1">
        <f t="shared" ref="I1666:I1683" si="53">E1666+0</f>
        <v>45504</v>
      </c>
    </row>
    <row r="1667" spans="1:9" hidden="1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hidden="1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hidden="1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hidden="1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hidden="1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hidden="1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hidden="1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hidden="1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hidden="1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hidden="1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hidden="1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hidden="1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hidden="1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hidden="1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hidden="1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x14ac:dyDescent="0.2">
      <c r="A1682" t="s">
        <v>127</v>
      </c>
      <c r="B1682" t="s">
        <v>18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hidden="1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  <row r="1684" spans="1:9" x14ac:dyDescent="0.2">
      <c r="H1684" s="18">
        <f>SUBTOTAL(9,H2:H1683)</f>
        <v>25272544</v>
      </c>
    </row>
  </sheetData>
  <autoFilter ref="A1:I1683" xr:uid="{00000000-0001-0000-0000-000000000000}">
    <filterColumn colId="0">
      <filters>
        <filter val="Rent Salaries and Wag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W65" activePane="bottomRight" state="frozen"/>
      <selection pane="topRight"/>
      <selection pane="bottomLeft"/>
      <selection pane="bottomRight" activeCell="A78" sqref="A78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tabSelected="1" workbookViewId="0">
      <pane xSplit="1" ySplit="5" topLeftCell="H45" activePane="bottomRight" state="frozen"/>
      <selection pane="topRight"/>
      <selection pane="bottomLeft"/>
      <selection pane="bottomRight" activeCell="A64" sqref="A64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s="44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s="4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H116"/>
  <sheetViews>
    <sheetView workbookViewId="0">
      <pane xSplit="1" ySplit="5" topLeftCell="V63" activePane="bottomRight" state="frozen"/>
      <selection pane="topRight"/>
      <selection pane="bottomLeft"/>
      <selection pane="bottomRight" activeCell="A74" sqref="A74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3" max="33" width="18.33203125" bestFit="1" customWidth="1"/>
    <col min="34" max="34" width="17.83203125" bestFit="1" customWidth="1"/>
  </cols>
  <sheetData>
    <row r="1" spans="1:34" x14ac:dyDescent="0.2">
      <c r="A1" t="s">
        <v>140</v>
      </c>
    </row>
    <row r="2" spans="1:34" x14ac:dyDescent="0.2">
      <c r="A2" t="s">
        <v>147</v>
      </c>
    </row>
    <row r="5" spans="1:34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148</v>
      </c>
    </row>
    <row r="6" spans="1:34" x14ac:dyDescent="0.2">
      <c r="A6" s="4" t="s">
        <v>16</v>
      </c>
    </row>
    <row r="7" spans="1:34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  <c r="AG7" s="2">
        <f>AF7+SUMIFS(data!$H$1:$H$1683, data!$A$1:$A$1683, Heron!$A7,  data!$E$1:$E$1683, Heron!AG$5)+SUMIFS('NSST Print'!$C$43,'NSST Print'!$F$43,Heron!$A7)-SUMIFS('NSST Print'!$C$44:$C$50,'NSST Print'!$F$44:$F$50,Heron!$A7)</f>
        <v>0</v>
      </c>
    </row>
    <row r="8" spans="1:34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  <c r="AG8" s="2">
        <f>AF8+SUMIFS(data!$H$1:$H$1683, data!$A$1:$A$1683, Heron!$A8,  data!$E$1:$E$1683, Heron!AG$5)+SUMIFS('NSST Print'!$C$43,'NSST Print'!$F$43,Heron!$A8)-SUMIFS('NSST Print'!$C$44:$C$50,'NSST Print'!$F$44:$F$50,Heron!$A8)</f>
        <v>72860386.939999998</v>
      </c>
    </row>
    <row r="9" spans="1:34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2">
        <f>AE9+SUMIFS(data!$H$1:$H$1683, data!$A$1:$A$1683, Heron!$A9,  data!$E$1:$E$1683, Heron!AF$5)</f>
        <v>244536.24000000002</v>
      </c>
      <c r="AG9" s="18">
        <f>AF9+SUMIFS(data!$H$1:$H$1683, data!$A$1:$A$1683, Heron!$A9,  data!$E$1:$E$1683, Heron!AG$5)+SUMIFS('NSST Print'!$C$43,'NSST Print'!$F$43,Heron!$A9)-SUMIFS('NSST Print'!$C$44:$C$50,'NSST Print'!$F$44:$F$50,Heron!$A9)</f>
        <v>244536.24000000002</v>
      </c>
    </row>
    <row r="10" spans="1:34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2">
        <f>AE10+SUMIFS(data!$H$1:$H$1683, data!$A$1:$A$1683, Heron!$A10,  data!$E$1:$E$1683, Heron!AF$5)</f>
        <v>78825.8</v>
      </c>
      <c r="AG10" s="18">
        <f>AF10+SUMIFS(data!$H$1:$H$1683, data!$A$1:$A$1683, Heron!$A10,  data!$E$1:$E$1683, Heron!AG$5)+SUMIFS('NSST Print'!$C$43,'NSST Print'!$F$43,Heron!$A10)-SUMIFS('NSST Print'!$C$44:$C$50,'NSST Print'!$F$44:$F$50,Heron!$A10)</f>
        <v>78825.8</v>
      </c>
    </row>
    <row r="11" spans="1:34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  <c r="AG11" s="2">
        <f>AF11+SUMIFS(data!$H$1:$H$1683, data!$A$1:$A$1683, Heron!$A11,  data!$E$1:$E$1683, Heron!AG$5)+SUMIFS('NSST Print'!$C$43,'NSST Print'!$F$43,Heron!$A11)-SUMIFS('NSST Print'!$C$44:$C$50,'NSST Print'!$F$44:$F$50,Heron!$A11)</f>
        <v>234181786.97</v>
      </c>
      <c r="AH11" s="36"/>
    </row>
    <row r="12" spans="1:34" ht="16" x14ac:dyDescent="0.2">
      <c r="A12" s="5" t="s">
        <v>141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87848008.879999995</v>
      </c>
      <c r="W12" s="6">
        <f t="shared" si="0"/>
        <v>101812600.19</v>
      </c>
      <c r="X12" s="6">
        <f t="shared" si="0"/>
        <v>107677191.5</v>
      </c>
      <c r="Y12" s="6">
        <f t="shared" si="0"/>
        <v>122586043.67999999</v>
      </c>
      <c r="Z12" s="6">
        <f t="shared" si="0"/>
        <v>147350634.99000001</v>
      </c>
      <c r="AA12" s="6">
        <f t="shared" si="0"/>
        <v>182926090.35999998</v>
      </c>
      <c r="AB12" s="6">
        <f t="shared" si="0"/>
        <v>201450944.63999999</v>
      </c>
      <c r="AC12" s="6">
        <f t="shared" si="0"/>
        <v>214065535.94999999</v>
      </c>
      <c r="AD12" s="6">
        <f t="shared" si="0"/>
        <v>236165535.94999999</v>
      </c>
      <c r="AE12" s="6">
        <f t="shared" si="0"/>
        <v>279865535.94999999</v>
      </c>
      <c r="AF12" s="6">
        <f t="shared" si="0"/>
        <v>307365535.94999999</v>
      </c>
      <c r="AG12" s="6">
        <f t="shared" si="0"/>
        <v>307365535.94999999</v>
      </c>
    </row>
    <row r="15" spans="1:34" x14ac:dyDescent="0.2">
      <c r="A15" s="4" t="s">
        <v>51</v>
      </c>
    </row>
    <row r="16" spans="1:34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  <c r="AG16" s="2">
        <f>AF16+SUMIFS(data!$H$1:$H$1683, data!$A$1:$A$1683, Heron!$A16,  data!$E$1:$E$1683, Heron!AG$5)+SUMIFS('NSST Print'!$C$43,'NSST Print'!$F$43,Heron!$A16)-SUMIFS('NSST Print'!$C$44:$C$50,'NSST Print'!$F$44:$F$50,Heron!$A16)</f>
        <v>3764831.17</v>
      </c>
    </row>
    <row r="17" spans="1:33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2">
        <f>AE17+SUMIFS(data!$H$1:$H$1683, data!$A$1:$A$1683, Heron!$A17,  data!$E$1:$E$1683, Heron!AF$5)</f>
        <v>128513.07</v>
      </c>
      <c r="AG17" s="18">
        <f>AF17+SUMIFS(data!$H$1:$H$1683, data!$A$1:$A$1683, Heron!$A17,  data!$E$1:$E$1683, Heron!AG$5)+SUMIFS('NSST Print'!$C$43,'NSST Print'!$F$43,Heron!$A17)-SUMIFS('NSST Print'!$C$44:$C$50,'NSST Print'!$F$44:$F$50,Heron!$A17)</f>
        <v>128513.07</v>
      </c>
    </row>
    <row r="18" spans="1:33" ht="16" x14ac:dyDescent="0.2">
      <c r="A18" s="5" t="s">
        <v>142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3893344.2399999998</v>
      </c>
      <c r="AE18" s="6">
        <f t="shared" si="1"/>
        <v>3893344.2399999998</v>
      </c>
      <c r="AF18" s="6">
        <f t="shared" si="1"/>
        <v>3893344.2399999998</v>
      </c>
      <c r="AG18" s="6">
        <f t="shared" si="1"/>
        <v>3893344.2399999998</v>
      </c>
    </row>
    <row r="21" spans="1:33" x14ac:dyDescent="0.2">
      <c r="A21" s="4" t="s">
        <v>18</v>
      </c>
    </row>
    <row r="22" spans="1:33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  <c r="AG22" s="2">
        <f>AF22+SUMIFS(data!$H$1:$H$1683, data!$A$1:$A$1683, Heron!$A22,  data!$E$1:$E$1683, Heron!AG$5)+SUMIFS('NSST Print'!$C$43,'NSST Print'!$F$43,Heron!$A22)-SUMIFS('NSST Print'!$C$44:$C$50,'NSST Print'!$F$44:$F$50,Heron!$A22)</f>
        <v>4776945.71</v>
      </c>
    </row>
    <row r="23" spans="1:33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  <c r="AG23" s="2">
        <f>AF23+SUMIFS(data!$H$1:$H$1683, data!$A$1:$A$1683, Heron!$A23,  data!$E$1:$E$1683, Heron!AG$5)+SUMIFS('NSST Print'!$C$43,'NSST Print'!$F$43,Heron!$A23)-SUMIFS('NSST Print'!$C$44:$C$50,'NSST Print'!$F$44:$F$50,Heron!$A23)</f>
        <v>4171637.88</v>
      </c>
    </row>
    <row r="24" spans="1:33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  <c r="AG24" s="2">
        <f>AF24+SUMIFS(data!$H$1:$H$1683, data!$A$1:$A$1683, Heron!$A24,  data!$E$1:$E$1683, Heron!AG$5)+SUMIFS('NSST Print'!$C$43,'NSST Print'!$F$43,Heron!$A24)-SUMIFS('NSST Print'!$C$44:$C$50,'NSST Print'!$F$44:$F$50,Heron!$A24)</f>
        <v>11730077.48</v>
      </c>
    </row>
    <row r="25" spans="1:33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  <c r="AG25" s="2">
        <f>AF25+SUMIFS(data!$H$1:$H$1683, data!$A$1:$A$1683, Heron!$A25,  data!$E$1:$E$1683,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  <c r="AG26" s="2">
        <f>AF26+SUMIFS(data!$H$1:$H$1683, data!$A$1:$A$1683, Heron!$A26,  data!$E$1:$E$1683, Heron!AG$5)+SUMIFS('NSST Print'!$C$43,'NSST Print'!$F$43,Heron!$A26)-SUMIFS('NSST Print'!$C$44:$C$50,'NSST Print'!$F$44:$F$50,Heron!$A26)</f>
        <v>0</v>
      </c>
    </row>
    <row r="27" spans="1:33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  <c r="AG27" s="2">
        <f>AF27+SUMIFS(data!$H$1:$H$1683, data!$A$1:$A$1683, Heron!$A27,  data!$E$1:$E$1683, Heron!AG$5)+SUMIFS('NSST Print'!$C$43,'NSST Print'!$F$43,Heron!$A27)-SUMIFS('NSST Print'!$C$44:$C$50,'NSST Print'!$F$44:$F$50,Heron!$A27)</f>
        <v>436.96</v>
      </c>
    </row>
    <row r="28" spans="1:33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  <c r="AG28" s="2">
        <f>AF28+SUMIFS(data!$H$1:$H$1683, data!$A$1:$A$1683, Heron!$A28,  data!$E$1:$E$1683, Heron!AG$5)+SUMIFS('NSST Print'!$C$43,'NSST Print'!$F$43,Heron!$A28)-SUMIFS('NSST Print'!$C$44:$C$50,'NSST Print'!$F$44:$F$50,Heron!$A28)</f>
        <v>836.96</v>
      </c>
    </row>
    <row r="29" spans="1:33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  <c r="AG29" s="2">
        <f>AF29+SUMIFS(data!$H$1:$H$1683, data!$A$1:$A$1683, Heron!$A29,  data!$E$1:$E$1683,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  <c r="AG30" s="2">
        <f>AF30+SUMIFS(data!$H$1:$H$1683, data!$A$1:$A$1683, Heron!$A30,  data!$E$1:$E$1683,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  <c r="AG31" s="2">
        <f>AF31+SUMIFS(data!$H$1:$H$1683, data!$A$1:$A$1683, Heron!$A31,  data!$E$1:$E$1683, Heron!AG$5)+SUMIFS('NSST Print'!$C$43,'NSST Print'!$F$43,Heron!$A31)-SUMIFS('NSST Print'!$C$44:$C$50,'NSST Print'!$F$44:$F$50,Heron!$A31)</f>
        <v>33235472.939999998</v>
      </c>
    </row>
    <row r="32" spans="1:33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  <c r="AG32" s="2">
        <f>AF32+SUMIFS(data!$H$1:$H$1683, data!$A$1:$A$1683, Heron!$A32,  data!$E$1:$E$1683,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  <c r="AG33" s="2">
        <f>AF33+SUMIFS(data!$H$1:$H$1683, data!$A$1:$A$1683, Heron!$A33,  data!$E$1:$E$1683,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  <c r="AG34" s="2">
        <f>AF34+SUMIFS(data!$H$1:$H$1683, data!$A$1:$A$1683, Heron!$A34,  data!$E$1:$E$1683,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  <c r="AG35" s="2">
        <f>AF35+SUMIFS(data!$H$1:$H$1683, data!$A$1:$A$1683, Heron!$A35,  data!$E$1:$E$1683, Heron!AG$5)+SUMIFS('NSST Print'!$C$43,'NSST Print'!$F$43,Heron!$A35)-SUMIFS('NSST Print'!$C$44:$C$50,'NSST Print'!$F$44:$F$50,Heron!$A35)</f>
        <v>20565.22</v>
      </c>
    </row>
    <row r="36" spans="1:33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  <c r="AG36" s="2">
        <f>AF36+SUMIFS(data!$H$1:$H$1683, data!$A$1:$A$1683, Heron!$A36,  data!$E$1:$E$1683, Heron!AG$5)+SUMIFS('NSST Print'!$C$43,'NSST Print'!$F$43,Heron!$A36)-SUMIFS('NSST Print'!$C$44:$C$50,'NSST Print'!$F$44:$F$50,Heron!$A36)</f>
        <v>11169.12</v>
      </c>
    </row>
    <row r="37" spans="1:33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  <c r="AG37" s="2">
        <f>AF37+SUMIFS(data!$H$1:$H$1683, data!$A$1:$A$1683, Heron!$A37,  data!$E$1:$E$1683,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  <c r="AG38" s="2">
        <f>AF38+SUMIFS(data!$H$1:$H$1683, data!$A$1:$A$1683, Heron!$A38,  data!$E$1:$E$1683, Heron!AG$5)+SUMIFS('NSST Print'!$C$43,'NSST Print'!$F$43,Heron!$A38)-SUMIFS('NSST Print'!$C$44:$C$50,'NSST Print'!$F$44:$F$50,Heron!$A38)</f>
        <v>125993169.75000001</v>
      </c>
    </row>
    <row r="39" spans="1:33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  <c r="AG39" s="2">
        <f>AF39+SUMIFS(data!$H$1:$H$1683, data!$A$1:$A$1683, Heron!$A39,  data!$E$1:$E$1683,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  <c r="AG40" s="2">
        <f>AF40+SUMIFS(data!$H$1:$H$1683, data!$A$1:$A$1683, Heron!$A40,  data!$E$1:$E$1683, Heron!AG$5)+SUMIFS('NSST Print'!$C$43,'NSST Print'!$F$43,Heron!$A40)-SUMIFS('NSST Print'!$C$44:$C$50,'NSST Print'!$F$44:$F$50,Heron!$A40)</f>
        <v>37948.81</v>
      </c>
    </row>
    <row r="41" spans="1:33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  <c r="AG41" s="2">
        <f>AF41+SUMIFS(data!$H$1:$H$1683, data!$A$1:$A$1683, Heron!$A41,  data!$E$1:$E$1683, Heron!AG$5)+SUMIFS('NSST Print'!$C$43,'NSST Print'!$F$43,Heron!$A41)-SUMIFS('NSST Print'!$C$44:$C$50,'NSST Print'!$F$44:$F$50,Heron!$A41)</f>
        <v>45300.43</v>
      </c>
    </row>
    <row r="42" spans="1:33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  <c r="AG42" s="2">
        <f>AF42+SUMIFS(data!$H$1:$H$1683, data!$A$1:$A$1683, Heron!$A42,  data!$E$1:$E$1683,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  <c r="AG43" s="2">
        <f>AF43+SUMIFS(data!$H$1:$H$1683, data!$A$1:$A$1683, Heron!$A43,  data!$E$1:$E$1683, Heron!AG$5)+SUMIFS('NSST Print'!$C$43,'NSST Print'!$F$43,Heron!$A43)-SUMIFS('NSST Print'!$C$44:$C$50,'NSST Print'!$F$44:$F$50,Heron!$A43)</f>
        <v>7942281.620000001</v>
      </c>
    </row>
    <row r="44" spans="1:33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  <c r="AG44" s="2">
        <f>AF44+SUMIFS(data!$H$1:$H$1683, data!$A$1:$A$1683, Heron!$A44,  data!$E$1:$E$1683,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  <c r="AG45" s="2">
        <f>AF45+SUMIFS(data!$H$1:$H$1683, data!$A$1:$A$1683, Heron!$A45,  data!$E$1:$E$1683,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  <c r="AG46" s="2">
        <f>AF46+SUMIFS(data!$H$1:$H$1683, data!$A$1:$A$1683, Heron!$A46,  data!$E$1:$E$1683,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  <c r="AG47" s="2">
        <f>AF47+SUMIFS(data!$H$1:$H$1683, data!$A$1:$A$1683, Heron!$A47,  data!$E$1:$E$1683, Heron!AG$5)+SUMIFS('NSST Print'!$C$43,'NSST Print'!$F$43,Heron!$A47)-SUMIFS('NSST Print'!$C$44:$C$50,'NSST Print'!$F$44:$F$50,Heron!$A47)</f>
        <v>54603.5</v>
      </c>
    </row>
    <row r="48" spans="1:33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  <c r="AG48" s="2">
        <f>AF48+SUMIFS(data!$H$1:$H$1683, data!$A$1:$A$1683, Heron!$A48,  data!$E$1:$E$1683, Heron!AG$5)+SUMIFS('NSST Print'!$C$43,'NSST Print'!$F$43,Heron!$A48)-SUMIFS('NSST Print'!$C$44:$C$50,'NSST Print'!$F$44:$F$50,Heron!$A48)</f>
        <v>29471.38</v>
      </c>
    </row>
    <row r="49" spans="1:33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  <c r="AG49" s="2">
        <f>AF49+SUMIFS(data!$H$1:$H$1683, data!$A$1:$A$1683, Heron!$A49,  data!$E$1:$E$1683, Heron!AG$5)+SUMIFS('NSST Print'!$C$43,'NSST Print'!$F$43,Heron!$A49)-SUMIFS('NSST Print'!$C$44:$C$50,'NSST Print'!$F$44:$F$50,Heron!$A49)</f>
        <v>6212.85</v>
      </c>
    </row>
    <row r="50" spans="1:33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  <c r="AG50" s="2">
        <f>AF50+SUMIFS(data!$H$1:$H$1683, data!$A$1:$A$1683, Heron!$A50,  data!$E$1:$E$1683,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  <c r="AG51" s="2">
        <f>AF51+SUMIFS(data!$H$1:$H$1683, data!$A$1:$A$1683, Heron!$A51,  data!$E$1:$E$1683,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  <c r="AG52" s="2">
        <f>AF52+SUMIFS(data!$H$1:$H$1683, data!$A$1:$A$1683, Heron!$A52,  data!$E$1:$E$1683, Heron!AG$5)+SUMIFS('NSST Print'!$C$43,'NSST Print'!$F$43,Heron!$A52)-SUMIFS('NSST Print'!$C$44:$C$50,'NSST Print'!$F$44:$F$50,Heron!$A52)</f>
        <v>26200000</v>
      </c>
    </row>
    <row r="53" spans="1:33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  <c r="AG53" s="2">
        <f>AF53+SUMIFS(data!$H$1:$H$1683, data!$A$1:$A$1683, Heron!$A53,  data!$E$1:$E$1683,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  <c r="AG54" s="2">
        <f>AF54+SUMIFS(data!$H$1:$H$1683, data!$A$1:$A$1683, Heron!$A54,  data!$E$1:$E$1683, Heron!AG$5)+SUMIFS('NSST Print'!$C$43,'NSST Print'!$F$43,Heron!$A54)-SUMIFS('NSST Print'!$C$44:$C$50,'NSST Print'!$F$44:$F$50,Heron!$A54)</f>
        <v>5361342.92</v>
      </c>
    </row>
    <row r="55" spans="1:33" ht="16" x14ac:dyDescent="0.2">
      <c r="A55" s="5" t="s">
        <v>143</v>
      </c>
      <c r="C55" s="6">
        <f t="shared" ref="C55:AG55" si="2">SUM(C22:C54)</f>
        <v>1067480.45</v>
      </c>
      <c r="D55" s="6">
        <f t="shared" si="2"/>
        <v>3458432.4499999997</v>
      </c>
      <c r="E55" s="6">
        <f t="shared" si="2"/>
        <v>7315949.5</v>
      </c>
      <c r="F55" s="6">
        <f t="shared" si="2"/>
        <v>9985144.9100000001</v>
      </c>
      <c r="G55" s="6">
        <f t="shared" si="2"/>
        <v>14029093.6</v>
      </c>
      <c r="H55" s="6">
        <f t="shared" si="2"/>
        <v>18690934.389999997</v>
      </c>
      <c r="I55" s="6">
        <f t="shared" si="2"/>
        <v>24922272.009999998</v>
      </c>
      <c r="J55" s="6">
        <f t="shared" si="2"/>
        <v>29604229.850000001</v>
      </c>
      <c r="K55" s="6">
        <f t="shared" si="2"/>
        <v>33788802.729999997</v>
      </c>
      <c r="L55" s="6">
        <f t="shared" si="2"/>
        <v>38597112.530000001</v>
      </c>
      <c r="M55" s="6">
        <f t="shared" si="2"/>
        <v>40907730.649999991</v>
      </c>
      <c r="N55" s="6">
        <f t="shared" si="2"/>
        <v>44664324.379999973</v>
      </c>
      <c r="O55" s="6">
        <f t="shared" si="2"/>
        <v>48907612.389999978</v>
      </c>
      <c r="P55" s="6">
        <f t="shared" si="2"/>
        <v>53042532.099999987</v>
      </c>
      <c r="Q55" s="6">
        <f t="shared" si="2"/>
        <v>57657190.949999996</v>
      </c>
      <c r="R55" s="6">
        <f t="shared" si="2"/>
        <v>60876772.589999989</v>
      </c>
      <c r="S55" s="6">
        <f t="shared" si="2"/>
        <v>64525073.459999993</v>
      </c>
      <c r="T55" s="6">
        <f t="shared" si="2"/>
        <v>67270495.019999966</v>
      </c>
      <c r="U55" s="6">
        <f t="shared" si="2"/>
        <v>72693631.369999975</v>
      </c>
      <c r="V55" s="6">
        <f t="shared" si="2"/>
        <v>137674411.65999997</v>
      </c>
      <c r="W55" s="6">
        <f t="shared" si="2"/>
        <v>139758611.53299996</v>
      </c>
      <c r="X55" s="6">
        <f t="shared" si="2"/>
        <v>141405413.68599996</v>
      </c>
      <c r="Y55" s="6">
        <f t="shared" si="2"/>
        <v>143399613.55899996</v>
      </c>
      <c r="Z55" s="6">
        <f t="shared" si="2"/>
        <v>146203813.43199995</v>
      </c>
      <c r="AA55" s="6">
        <f t="shared" si="2"/>
        <v>152475042.00499997</v>
      </c>
      <c r="AB55" s="6">
        <f t="shared" si="2"/>
        <v>158224567.86799997</v>
      </c>
      <c r="AC55" s="6">
        <f t="shared" si="2"/>
        <v>164228638.48099998</v>
      </c>
      <c r="AD55" s="6">
        <f t="shared" si="2"/>
        <v>171551321.11399999</v>
      </c>
      <c r="AE55" s="6">
        <f t="shared" si="2"/>
        <v>176081021.34699997</v>
      </c>
      <c r="AF55" s="6">
        <f t="shared" si="2"/>
        <v>261249124.41999999</v>
      </c>
      <c r="AG55" s="6">
        <f t="shared" si="2"/>
        <v>256346432</v>
      </c>
    </row>
    <row r="58" spans="1:33" ht="16" x14ac:dyDescent="0.2">
      <c r="A58" s="5" t="s">
        <v>144</v>
      </c>
      <c r="C58" s="7">
        <f t="shared" ref="C58:AG58" si="3">+C12+C18-(C55)</f>
        <v>-1059782.3799999999</v>
      </c>
      <c r="D58" s="7">
        <f t="shared" si="3"/>
        <v>-3417166.2199999997</v>
      </c>
      <c r="E58" s="7">
        <f t="shared" si="3"/>
        <v>-7254768.7300000004</v>
      </c>
      <c r="F58" s="7">
        <f t="shared" si="3"/>
        <v>-9864009.8000000007</v>
      </c>
      <c r="G58" s="7">
        <f t="shared" si="3"/>
        <v>-13857957.379999999</v>
      </c>
      <c r="H58" s="7">
        <f t="shared" si="3"/>
        <v>-18470784.469999995</v>
      </c>
      <c r="I58" s="7">
        <f t="shared" si="3"/>
        <v>-24671183.319999997</v>
      </c>
      <c r="J58" s="7">
        <f t="shared" si="3"/>
        <v>-29321277.290000003</v>
      </c>
      <c r="K58" s="7">
        <f t="shared" si="3"/>
        <v>-19556125.639999997</v>
      </c>
      <c r="L58" s="7">
        <f t="shared" si="3"/>
        <v>-15400723.649999999</v>
      </c>
      <c r="M58" s="7">
        <f t="shared" si="3"/>
        <v>-6641410.4199999869</v>
      </c>
      <c r="N58" s="7">
        <f t="shared" si="3"/>
        <v>-7552031.7499999776</v>
      </c>
      <c r="O58" s="7">
        <f t="shared" si="3"/>
        <v>-2362496.6499999762</v>
      </c>
      <c r="P58" s="7">
        <f t="shared" si="3"/>
        <v>3935242.8600000143</v>
      </c>
      <c r="Q58" s="7">
        <f t="shared" si="3"/>
        <v>4460268.3999999985</v>
      </c>
      <c r="R58" s="7">
        <f t="shared" si="3"/>
        <v>2877980.1300000027</v>
      </c>
      <c r="S58" s="7">
        <f t="shared" si="3"/>
        <v>1188333.8699999973</v>
      </c>
      <c r="T58" s="7">
        <f t="shared" si="3"/>
        <v>5491275.3800000399</v>
      </c>
      <c r="U58" s="7">
        <f t="shared" si="3"/>
        <v>13447305.200000018</v>
      </c>
      <c r="V58" s="7">
        <f t="shared" si="3"/>
        <v>-47037140.329999968</v>
      </c>
      <c r="W58" s="7">
        <f t="shared" si="3"/>
        <v>-35156748.892999962</v>
      </c>
      <c r="X58" s="7">
        <f t="shared" si="3"/>
        <v>-30938959.735999957</v>
      </c>
      <c r="Y58" s="7">
        <f t="shared" si="3"/>
        <v>-18024307.42899996</v>
      </c>
      <c r="Z58" s="7">
        <f t="shared" si="3"/>
        <v>3936084.008000046</v>
      </c>
      <c r="AA58" s="7">
        <f t="shared" si="3"/>
        <v>33688913.445000023</v>
      </c>
      <c r="AB58" s="7">
        <f t="shared" si="3"/>
        <v>46676660.302000016</v>
      </c>
      <c r="AC58" s="7">
        <f t="shared" si="3"/>
        <v>53732231.899000019</v>
      </c>
      <c r="AD58" s="7">
        <f t="shared" si="3"/>
        <v>68507559.076000005</v>
      </c>
      <c r="AE58" s="7">
        <f t="shared" si="3"/>
        <v>107677858.84300002</v>
      </c>
      <c r="AF58" s="7">
        <f t="shared" si="3"/>
        <v>50009755.770000011</v>
      </c>
      <c r="AG58" s="7">
        <f t="shared" si="3"/>
        <v>54912448.189999998</v>
      </c>
    </row>
    <row r="61" spans="1:33" x14ac:dyDescent="0.2">
      <c r="A61" s="4" t="s">
        <v>9</v>
      </c>
    </row>
    <row r="62" spans="1:33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  <c r="AG62" s="2">
        <f>AF62+SUMIFS(data!$H$1:$H$1683, data!$A$1:$A$1683, Heron!$A62,  data!$E$1:$E$1683, Heron!AG$5)+SUMIFS('NSST Print'!$C$43,'NSST Print'!$F$43,Heron!$A62)-SUMIFS('NSST Print'!$C$44:$C$50,'NSST Print'!$F$44:$F$50,Heron!$A62)</f>
        <v>3200</v>
      </c>
    </row>
    <row r="63" spans="1:33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  <c r="AG63" s="2">
        <f>AF63+SUMIFS(data!$H$1:$H$1683, data!$A$1:$A$1683, Heron!$A63,  data!$E$1:$E$1683, Heron!AG$5)+SUMIFS('NSST Print'!$C$43,'NSST Print'!$F$43,Heron!$A63)-SUMIFS('NSST Print'!$C$44:$C$50,'NSST Print'!$F$44:$F$50,Heron!$A63)</f>
        <v>15024.96</v>
      </c>
    </row>
    <row r="64" spans="1:33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  <c r="AG64" s="2">
        <f>AF64+SUMIFS(data!$H$1:$H$1683, data!$A$1:$A$1683, Heron!$A64,  data!$E$1:$E$1683, Heron!AG$5)+SUMIFS('NSST Print'!$C$43,'NSST Print'!$F$43,Heron!$A64)-SUMIFS('NSST Print'!$C$44:$C$50,'NSST Print'!$F$44:$F$50,Heron!$A64)</f>
        <v>13500</v>
      </c>
    </row>
    <row r="65" spans="1:33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  <c r="AG65" s="2">
        <f>AF65+SUMIFS(data!$H$1:$H$1683, data!$A$1:$A$1683, Heron!$A65,  data!$E$1:$E$1683, Heron!AG$5)+SUMIFS('NSST Print'!$C$43,'NSST Print'!$F$43,Heron!$A65)-SUMIFS('NSST Print'!$C$44:$C$50,'NSST Print'!$F$44:$F$50,Heron!$A65)</f>
        <v>188592</v>
      </c>
    </row>
    <row r="66" spans="1:33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  <c r="AG66" s="2">
        <f>AF66+SUMIFS(data!$H$1:$H$1683, data!$A$1:$A$1683, Heron!$A66,  data!$E$1:$E$1683, Heron!AG$5)+SUMIFS('NSST Print'!$C$43,'NSST Print'!$F$43,Heron!$A66)-SUMIFS('NSST Print'!$C$44:$C$50,'NSST Print'!$F$44:$F$50,Heron!$A66)</f>
        <v>26295.1</v>
      </c>
    </row>
    <row r="67" spans="1:33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  <c r="AG67" s="2">
        <f>AF67+SUMIFS(data!$H$1:$H$1683, data!$A$1:$A$1683, Heron!$A67,  data!$E$1:$E$1683, Heron!AG$5)+SUMIFS('NSST Print'!$C$43,'NSST Print'!$F$43,Heron!$A67)-SUMIFS('NSST Print'!$C$44:$C$50,'NSST Print'!$F$44:$F$50,Heron!$A67)</f>
        <v>28750</v>
      </c>
    </row>
    <row r="68" spans="1:33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  <c r="AG68" s="2">
        <f>AF68+SUMIFS(data!$H$1:$H$1683, data!$A$1:$A$1683, Heron!$A68,  data!$E$1:$E$1683, Heron!AG$5)+SUMIFS('NSST Print'!$C$43,'NSST Print'!$F$43,Heron!$A68)-SUMIFS('NSST Print'!$C$44:$C$50,'NSST Print'!$F$44:$F$50,Heron!$A68)</f>
        <v>26118.91</v>
      </c>
    </row>
    <row r="69" spans="1:33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  <c r="AG69" s="2">
        <f>AF69+SUMIFS(data!$H$1:$H$1683, data!$A$1:$A$1683, Heron!$A69,  data!$E$1:$E$1683, Heron!AG$5)+SUMIFS('NSST Print'!$C$43,'NSST Print'!$F$43,Heron!$A69)-SUMIFS('NSST Print'!$C$44:$C$50,'NSST Print'!$F$44:$F$50,Heron!$A69)</f>
        <v>694221.26</v>
      </c>
    </row>
    <row r="70" spans="1:33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  <c r="AG70" s="2">
        <f>AF70+SUMIFS(data!$H$1:$H$1683, data!$A$1:$A$1683, Heron!$A70,  data!$E$1:$E$1683, Heron!AG$5)+SUMIFS('NSST Print'!$C$43,'NSST Print'!$F$43,Heron!$A70)-SUMIFS('NSST Print'!$C$44:$C$50,'NSST Print'!$F$44:$F$50,Heron!$A70)</f>
        <v>13105.74</v>
      </c>
    </row>
    <row r="71" spans="1:33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  <c r="AG71" s="2">
        <f>AF71+SUMIFS(data!$H$1:$H$1683, data!$A$1:$A$1683, Heron!$A71,  data!$E$1:$E$1683, Heron!AG$5)+SUMIFS('NSST Print'!$C$43,'NSST Print'!$F$43,Heron!$A71)-SUMIFS('NSST Print'!$C$44:$C$50,'NSST Print'!$F$44:$F$50,Heron!$A71)</f>
        <v>67543.740000000005</v>
      </c>
    </row>
    <row r="72" spans="1:33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  <c r="AG72" s="2">
        <f>AF72+SUMIFS(data!$H$1:$H$1683, data!$A$1:$A$1683, Heron!$A72,  data!$E$1:$E$1683, Heron!AG$5)+SUMIFS('NSST Print'!$C$43,'NSST Print'!$F$43,Heron!$A72)-SUMIFS('NSST Print'!$C$44:$C$50,'NSST Print'!$F$44:$F$50,Heron!$A72)</f>
        <v>68358.77</v>
      </c>
    </row>
    <row r="73" spans="1:33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  <c r="AG73" s="2">
        <f>AF73+SUMIFS(data!$H$1:$H$1683, data!$A$1:$A$1683, Heron!$A73,  data!$E$1:$E$1683, Heron!AG$5)+SUMIFS('NSST Print'!$C$43,'NSST Print'!$F$43,Heron!$A73)-SUMIFS('NSST Print'!$C$44:$C$50,'NSST Print'!$F$44:$F$50,Heron!$A73)</f>
        <v>213640.56</v>
      </c>
    </row>
    <row r="74" spans="1:33" s="44" customFormat="1" x14ac:dyDescent="0.2">
      <c r="A74" s="44" t="s">
        <v>36</v>
      </c>
      <c r="C74" s="45">
        <f>SUMIFS(data!$H$1:$H$1683, data!$A$1:$A$1683, Heron!$A74, data!$E$1:$E$1683, Heron!C$5)</f>
        <v>67644.039999999994</v>
      </c>
      <c r="D74" s="45">
        <f>C74+SUMIFS(data!$H$1:$H$1683, data!$A$1:$A$1683, Heron!$A74,  data!$E$1:$E$1683, Heron!D$5)</f>
        <v>146415.69</v>
      </c>
      <c r="E74" s="45">
        <f>D74+SUMIFS(data!$H$1:$H$1683, data!$A$1:$A$1683, Heron!$A74,  data!$E$1:$E$1683, Heron!E$5)</f>
        <v>232840.68</v>
      </c>
      <c r="F74" s="45">
        <f>E74+SUMIFS(data!$H$1:$H$1683, data!$A$1:$A$1683, Heron!$A74,  data!$E$1:$E$1683, Heron!F$5)</f>
        <v>319265.68</v>
      </c>
      <c r="G74" s="45">
        <f>F74+SUMIFS(data!$H$1:$H$1683, data!$A$1:$A$1683, Heron!$A74,  data!$E$1:$E$1683, Heron!G$5)</f>
        <v>405690.68</v>
      </c>
      <c r="H74" s="45">
        <f>G74+SUMIFS(data!$H$1:$H$1683, data!$A$1:$A$1683, Heron!$A74,  data!$E$1:$E$1683, Heron!H$5)</f>
        <v>489440.68</v>
      </c>
      <c r="I74" s="45">
        <f>H74+SUMIFS(data!$H$1:$H$1683, data!$A$1:$A$1683, Heron!$A74,  data!$E$1:$E$1683, Heron!I$5)</f>
        <v>579990.67999999993</v>
      </c>
      <c r="J74" s="45">
        <f>I74+SUMIFS(data!$H$1:$H$1683, data!$A$1:$A$1683, Heron!$A74,  data!$E$1:$E$1683, Heron!J$5)</f>
        <v>670540.67999999993</v>
      </c>
      <c r="K74" s="45">
        <f>J74+SUMIFS(data!$H$1:$H$1683, data!$A$1:$A$1683, Heron!$A74,  data!$E$1:$E$1683, Heron!K$5)</f>
        <v>751540.67999999993</v>
      </c>
      <c r="L74" s="45">
        <f>K74+SUMIFS(data!$H$1:$H$1683, data!$A$1:$A$1683, Heron!$A74,  data!$E$1:$E$1683, Heron!L$5)</f>
        <v>854353.10999999987</v>
      </c>
      <c r="M74" s="45">
        <f>L74+SUMIFS(data!$H$1:$H$1683, data!$A$1:$A$1683, Heron!$A74,  data!$E$1:$E$1683, Heron!M$5)</f>
        <v>937165.5399999998</v>
      </c>
      <c r="N74" s="45">
        <f>M74+SUMIFS(data!$H$1:$H$1683, data!$A$1:$A$1683, Heron!$A74,  data!$E$1:$E$1683, Heron!N$5)</f>
        <v>1040907.5399999998</v>
      </c>
      <c r="O74" s="45">
        <f>N74+SUMIFS(data!$H$1:$H$1683, data!$A$1:$A$1683, Heron!$A74,  data!$E$1:$E$1683, Heron!O$5)</f>
        <v>1150126.1099999999</v>
      </c>
      <c r="P74" s="45">
        <f>O74+SUMIFS(data!$H$1:$H$1683, data!$A$1:$A$1683, Heron!$A74,  data!$E$1:$E$1683, Heron!P$5)</f>
        <v>1248434.1099999999</v>
      </c>
      <c r="Q74" s="45">
        <f>P74+SUMIFS(data!$H$1:$H$1683, data!$A$1:$A$1683, Heron!$A74,  data!$E$1:$E$1683, Heron!Q$5)</f>
        <v>1370092.1099999999</v>
      </c>
      <c r="R74" s="45">
        <f>Q74+SUMIFS(data!$H$1:$H$1683, data!$A$1:$A$1683, Heron!$A74,  data!$E$1:$E$1683, Heron!R$5)</f>
        <v>1491750.1099999999</v>
      </c>
      <c r="S74" s="45">
        <f>R74+SUMIFS(data!$H$1:$H$1683, data!$A$1:$A$1683, Heron!$A74,  data!$E$1:$E$1683, Heron!S$5)</f>
        <v>1613408.1099999999</v>
      </c>
      <c r="T74" s="45">
        <f>S74+SUMIFS(data!$H$1:$H$1683, data!$A$1:$A$1683, Heron!$A74,  data!$E$1:$E$1683, Heron!T$5)</f>
        <v>1735491.1099999999</v>
      </c>
      <c r="U74" s="45">
        <f>T74+SUMIFS(data!$H$1:$H$1683, data!$A$1:$A$1683, Heron!$A74,  data!$E$1:$E$1683, Heron!U$5)</f>
        <v>1864324.1099999999</v>
      </c>
      <c r="V74" s="45">
        <f>U74+SUMIFS(data!$H$1:$H$1683, data!$A$1:$A$1683, Heron!$A74,  data!$E$1:$E$1683, Heron!V$5)</f>
        <v>1979657.1099999999</v>
      </c>
      <c r="W74" s="45">
        <f>V74+SUMIFS(data!$H$1:$H$1683, data!$A$1:$A$1683, Heron!$A74,  data!$E$1:$E$1683, Heron!W$5)</f>
        <v>1979657.1099999999</v>
      </c>
      <c r="X74" s="45">
        <f>W74+SUMIFS(data!$H$1:$H$1683, data!$A$1:$A$1683, Heron!$A74,  data!$E$1:$E$1683, Heron!X$5)</f>
        <v>1979657.1099999999</v>
      </c>
      <c r="Y74" s="45">
        <f>X74+SUMIFS(data!$H$1:$H$1683, data!$A$1:$A$1683, Heron!$A74,  data!$E$1:$E$1683, Heron!Y$5)</f>
        <v>1979657.1099999999</v>
      </c>
      <c r="Z74" s="45">
        <f>Y74+SUMIFS(data!$H$1:$H$1683, data!$A$1:$A$1683, Heron!$A74,  data!$E$1:$E$1683, Heron!Z$5)</f>
        <v>1979657.1099999999</v>
      </c>
      <c r="AA74" s="45">
        <f>Z74+SUMIFS(data!$H$1:$H$1683, data!$A$1:$A$1683, Heron!$A74,  data!$E$1:$E$1683, Heron!AA$5)</f>
        <v>2198094.25</v>
      </c>
      <c r="AB74" s="45">
        <f>AA74+SUMIFS(data!$H$1:$H$1683, data!$A$1:$A$1683, Heron!$A74,  data!$E$1:$E$1683, Heron!AB$5)</f>
        <v>2394710.25</v>
      </c>
      <c r="AC74" s="45">
        <f>AB74+SUMIFS(data!$H$1:$H$1683, data!$A$1:$A$1683, Heron!$A74,  data!$E$1:$E$1683, Heron!AC$5)</f>
        <v>2638026.25</v>
      </c>
      <c r="AD74" s="45">
        <f>AC74+SUMIFS(data!$H$1:$H$1683, data!$A$1:$A$1683, Heron!$A74,  data!$E$1:$E$1683, Heron!AD$5)</f>
        <v>2881342.25</v>
      </c>
      <c r="AE74" s="45">
        <f>AD74+SUMIFS(data!$H$1:$H$1683, data!$A$1:$A$1683, Heron!$A74,  data!$E$1:$E$1683, Heron!AE$5)</f>
        <v>2881342.25</v>
      </c>
      <c r="AF74" s="45">
        <f>AE74+SUMIFS(data!$H$1:$H$1683, data!$A$1:$A$1683, Heron!$A74,  data!$E$1:$E$1683, Heron!AF$5)</f>
        <v>2881342.25</v>
      </c>
      <c r="AG74" s="45">
        <f>AF74+SUMIFS(data!$H$1:$H$1683, data!$A$1:$A$1683, Heron!$A74,  data!$E$1:$E$1683, Heron!AG$5)+SUMIFS('NSST Print'!$C$43,'NSST Print'!$F$43,Heron!$A74)-SUMIFS('NSST Print'!$C$44:$C$50,'NSST Print'!$F$44:$F$50,Heron!$A74)</f>
        <v>2881342.25</v>
      </c>
    </row>
    <row r="75" spans="1:33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  <c r="AG75" s="2">
        <f>AF75+SUMIFS(data!$H$1:$H$1683, data!$A$1:$A$1683, Heron!$A75,  data!$E$1:$E$1683, Heron!AG$5)+SUMIFS('NSST Print'!$C$43,'NSST Print'!$F$43,Heron!$A75)-SUMIFS('NSST Print'!$C$44:$C$50,'NSST Print'!$F$44:$F$50,Heron!$A75)</f>
        <v>196250</v>
      </c>
    </row>
    <row r="76" spans="1:33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  <c r="AG76" s="2">
        <f>AF76+SUMIFS(data!$H$1:$H$1683, data!$A$1:$A$1683, Heron!$A76,  data!$E$1:$E$1683, Heron!AG$5)+SUMIFS('NSST Print'!$C$43,'NSST Print'!$F$43,Heron!$A76)-SUMIFS('NSST Print'!$C$44:$C$50,'NSST Print'!$F$44:$F$50,Heron!$A76)</f>
        <v>76865.829999999987</v>
      </c>
    </row>
    <row r="77" spans="1:33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  <c r="AG77" s="2">
        <f>AF77+SUMIFS(data!$H$1:$H$1683, data!$A$1:$A$1683, Heron!$A77,  data!$E$1:$E$1683, Heron!AG$5)+SUMIFS('NSST Print'!$C$43,'NSST Print'!$F$43,Heron!$A77)-SUMIFS('NSST Print'!$C$44:$C$50,'NSST Print'!$F$44:$F$50,Heron!$A77)</f>
        <v>39.47</v>
      </c>
    </row>
    <row r="78" spans="1:33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  <c r="AG78" s="2">
        <f>AF78+SUMIFS(data!$H$1:$H$1683, data!$A$1:$A$1683, Heron!$A78,  data!$E$1:$E$1683, Heron!AG$5)+SUMIFS('NSST Print'!$C$43,'NSST Print'!$F$43,Heron!$A78)-SUMIFS('NSST Print'!$C$44:$C$50,'NSST Print'!$F$44:$F$50,Heron!$A78)</f>
        <v>199.99</v>
      </c>
    </row>
    <row r="79" spans="1:33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  <c r="AG79" s="2">
        <f>AF79+SUMIFS(data!$H$1:$H$1683, data!$A$1:$A$1683, Heron!$A79,  data!$E$1:$E$1683, Heron!AG$5)+SUMIFS('NSST Print'!$C$43,'NSST Print'!$F$43,Heron!$A79)-SUMIFS('NSST Print'!$C$44:$C$50,'NSST Print'!$F$44:$F$50,Heron!$A79)</f>
        <v>160875.42000000001</v>
      </c>
    </row>
    <row r="80" spans="1:33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  <c r="AG80" s="2">
        <f>AF80+SUMIFS(data!$H$1:$H$1683, data!$A$1:$A$1683, Heron!$A80,  data!$E$1:$E$1683, Heron!AG$5)+SUMIFS('NSST Print'!$C$43,'NSST Print'!$F$43,Heron!$A80)-SUMIFS('NSST Print'!$C$44:$C$50,'NSST Print'!$F$44:$F$50,Heron!$A80)</f>
        <v>-479.1600000000002</v>
      </c>
    </row>
    <row r="81" spans="1:33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  <c r="AG81" s="2">
        <f>AF81+SUMIFS(data!$H$1:$H$1683, data!$A$1:$A$1683, Heron!$A81,  data!$E$1:$E$1683, Heron!AG$5)+SUMIFS('NSST Print'!$C$43,'NSST Print'!$F$43,Heron!$A81)-SUMIFS('NSST Print'!$C$44:$C$50,'NSST Print'!$F$44:$F$50,Heron!$A81)</f>
        <v>5709.59</v>
      </c>
    </row>
    <row r="82" spans="1:33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  <c r="AG82" s="2">
        <f>AF82+SUMIFS(data!$H$1:$H$1683, data!$A$1:$A$1683, Heron!$A82,  data!$E$1:$E$1683, Heron!AG$5)+SUMIFS('NSST Print'!$C$43,'NSST Print'!$F$43,Heron!$A82)-SUMIFS('NSST Print'!$C$44:$C$50,'NSST Print'!$F$44:$F$50,Heron!$A82)</f>
        <v>19334.379999999997</v>
      </c>
    </row>
    <row r="83" spans="1:33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  <c r="AG83" s="2">
        <f>AF83+SUMIFS(data!$H$1:$H$1683, data!$A$1:$A$1683, Heron!$A83,  data!$E$1:$E$1683, Heron!AG$5)+SUMIFS('NSST Print'!$C$43,'NSST Print'!$F$43,Heron!$A83)-SUMIFS('NSST Print'!$C$44:$C$50,'NSST Print'!$F$44:$F$50,Heron!$A83)</f>
        <v>9131.51</v>
      </c>
    </row>
    <row r="84" spans="1:33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  <c r="AG84" s="2">
        <f>AF84+SUMIFS(data!$H$1:$H$1683, data!$A$1:$A$1683, Heron!$A84,  data!$E$1:$E$1683, Heron!AG$5)+SUMIFS('NSST Print'!$C$43,'NSST Print'!$F$43,Heron!$A84)-SUMIFS('NSST Print'!$C$44:$C$50,'NSST Print'!$F$44:$F$50,Heron!$A84)</f>
        <v>21608373.959999997</v>
      </c>
    </row>
    <row r="85" spans="1:33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  <c r="AG85" s="2">
        <f>AF85+SUMIFS(data!$H$1:$H$1683, data!$A$1:$A$1683, Heron!$A85,  data!$E$1:$E$1683, Heron!AG$5)+SUMIFS('NSST Print'!$C$43,'NSST Print'!$F$43,Heron!$A85)-SUMIFS('NSST Print'!$C$44:$C$50,'NSST Print'!$F$44:$F$50,Heron!$A85)</f>
        <v>2914321.8499999996</v>
      </c>
    </row>
    <row r="86" spans="1:33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  <c r="AG86" s="2">
        <f>AF86+SUMIFS(data!$H$1:$H$1683, data!$A$1:$A$1683, Heron!$A86,  data!$E$1:$E$1683, Heron!AG$5)+SUMIFS('NSST Print'!$C$43,'NSST Print'!$F$43,Heron!$A86)-SUMIFS('NSST Print'!$C$44:$C$50,'NSST Print'!$F$44:$F$50,Heron!$A86)</f>
        <v>1308879.75</v>
      </c>
    </row>
    <row r="87" spans="1:33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  <c r="AG87" s="2">
        <f>AF87+SUMIFS(data!$H$1:$H$1683, data!$A$1:$A$1683, Heron!$A87,  data!$E$1:$E$1683, Heron!AG$5)+SUMIFS('NSST Print'!$C$43,'NSST Print'!$F$43,Heron!$A87)-SUMIFS('NSST Print'!$C$44:$C$50,'NSST Print'!$F$44:$F$50,Heron!$A87)</f>
        <v>16226367.379999999</v>
      </c>
    </row>
    <row r="88" spans="1:33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  <c r="AG88" s="2">
        <f>AF88+SUMIFS(data!$H$1:$H$1683, data!$A$1:$A$1683, Heron!$A88,  data!$E$1:$E$1683, Heron!AG$5)+SUMIFS('NSST Print'!$C$43,'NSST Print'!$F$43,Heron!$A88)-SUMIFS('NSST Print'!$C$44:$C$50,'NSST Print'!$F$44:$F$50,Heron!$A88)</f>
        <v>1695007.7199999997</v>
      </c>
    </row>
    <row r="89" spans="1:33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  <c r="AG89" s="2">
        <f>AF89+SUMIFS(data!$H$1:$H$1683, data!$A$1:$A$1683, Heron!$A89,  data!$E$1:$E$1683, Heron!AG$5)+SUMIFS('NSST Print'!$C$43,'NSST Print'!$F$43,Heron!$A89)-SUMIFS('NSST Print'!$C$44:$C$50,'NSST Print'!$F$44:$F$50,Heron!$A89)</f>
        <v>1002793.21</v>
      </c>
    </row>
    <row r="90" spans="1:33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  <c r="AG90" s="2">
        <f>AF90+SUMIFS(data!$H$1:$H$1683, data!$A$1:$A$1683, Heron!$A90,  data!$E$1:$E$1683, Heron!AG$5)+SUMIFS('NSST Print'!$C$43,'NSST Print'!$F$43,Heron!$A90)-SUMIFS('NSST Print'!$C$44:$C$50,'NSST Print'!$F$44:$F$50,Heron!$A90)</f>
        <v>961664.09</v>
      </c>
    </row>
    <row r="91" spans="1:33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43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  <c r="AG91" s="2">
        <f>AF91+SUMIFS(data!$H$1:$H$1683, data!$A$1:$A$1683, Heron!$A91,  data!$E$1:$E$1683, Heron!AG$5)+SUMIFS('NSST Print'!$C$43,'NSST Print'!$F$43,Heron!$A91)-SUMIFS('NSST Print'!$C$44:$C$50,'NSST Print'!$F$44:$F$50,Heron!$A91)</f>
        <v>939385.2300000001</v>
      </c>
    </row>
    <row r="92" spans="1:33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  <c r="AG92" s="2">
        <f>AF92+SUMIFS(data!$H$1:$H$1683, data!$A$1:$A$1683, Heron!$A92,  data!$E$1:$E$1683, Heron!AG$5)+SUMIFS('NSST Print'!$C$43,'NSST Print'!$F$43,Heron!$A92)-SUMIFS('NSST Print'!$C$44:$C$50,'NSST Print'!$F$44:$F$50,Heron!$A92)</f>
        <v>1007778.63</v>
      </c>
    </row>
    <row r="93" spans="1:33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  <c r="AG93" s="2">
        <f>AF93+SUMIFS(data!$H$1:$H$1683, data!$A$1:$A$1683, Heron!$A93,  data!$E$1:$E$1683, Heron!AG$5)+SUMIFS('NSST Print'!$C$43,'NSST Print'!$F$43,Heron!$A93)-SUMIFS('NSST Print'!$C$44:$C$50,'NSST Print'!$F$44:$F$50,Heron!$A93)</f>
        <v>59196.61</v>
      </c>
    </row>
    <row r="94" spans="1:33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  <c r="AG94" s="2">
        <f>AF94+SUMIFS(data!$H$1:$H$1683, data!$A$1:$A$1683, Heron!$A94,  data!$E$1:$E$1683, Heron!AG$5)+SUMIFS('NSST Print'!$C$43,'NSST Print'!$F$43,Heron!$A94)-SUMIFS('NSST Print'!$C$44:$C$50,'NSST Print'!$F$44:$F$50,Heron!$A94)</f>
        <v>65789.049999999988</v>
      </c>
    </row>
    <row r="95" spans="1:33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  <c r="AG95" s="2">
        <f>AF95+SUMIFS(data!$H$1:$H$1683, data!$A$1:$A$1683, Heron!$A95,  data!$E$1:$E$1683, Heron!AG$5)+SUMIFS('NSST Print'!$C$43,'NSST Print'!$F$43,Heron!$A95)-SUMIFS('NSST Print'!$C$44:$C$50,'NSST Print'!$F$44:$F$50,Heron!$A95)</f>
        <v>3050.77</v>
      </c>
    </row>
    <row r="96" spans="1:33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  <c r="AG96" s="2">
        <f>AF96+SUMIFS(data!$H$1:$H$1683, data!$A$1:$A$1683, Heron!$A96,  data!$E$1:$E$1683, Heron!AG$5)+SUMIFS('NSST Print'!$C$43,'NSST Print'!$F$43,Heron!$A96)-SUMIFS('NSST Print'!$C$44:$C$50,'NSST Print'!$F$44:$F$50,Heron!$A96)</f>
        <v>166897.59</v>
      </c>
    </row>
    <row r="97" spans="1:33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  <c r="AG97" s="2">
        <f>AF97+SUMIFS(data!$H$1:$H$1683, data!$A$1:$A$1683, Heron!$A97,  data!$E$1:$E$1683, Heron!AG$5)+SUMIFS('NSST Print'!$C$43,'NSST Print'!$F$43,Heron!$A97)-SUMIFS('NSST Print'!$C$44:$C$50,'NSST Print'!$F$44:$F$50,Heron!$A97)</f>
        <v>13813.470000000001</v>
      </c>
    </row>
    <row r="98" spans="1:33" s="41" customFormat="1" x14ac:dyDescent="0.2">
      <c r="A98" s="41" t="s">
        <v>52</v>
      </c>
      <c r="C98" s="42">
        <f>SUMIFS(data!$H$1:$H$1683, data!$A$1:$A$1683, Heron!$A98, data!$E$1:$E$1683, Heron!C$5)</f>
        <v>0</v>
      </c>
      <c r="D98" s="42">
        <f>C98+SUMIFS(data!$H$1:$H$1683, data!$A$1:$A$1683, Heron!$A98,  data!$E$1:$E$1683, Heron!D$5)</f>
        <v>0</v>
      </c>
      <c r="E98" s="42">
        <f>D98+SUMIFS(data!$H$1:$H$1683, data!$A$1:$A$1683, Heron!$A98,  data!$E$1:$E$1683, Heron!E$5)</f>
        <v>0</v>
      </c>
      <c r="F98" s="42">
        <f>E98+SUMIFS(data!$H$1:$H$1683, data!$A$1:$A$1683, Heron!$A98,  data!$E$1:$E$1683, Heron!F$5)</f>
        <v>0</v>
      </c>
      <c r="G98" s="42">
        <f>F98+SUMIFS(data!$H$1:$H$1683, data!$A$1:$A$1683, Heron!$A98,  data!$E$1:$E$1683, Heron!G$5)</f>
        <v>0</v>
      </c>
      <c r="H98" s="42">
        <f>G98+SUMIFS(data!$H$1:$H$1683, data!$A$1:$A$1683, Heron!$A98,  data!$E$1:$E$1683, Heron!H$5)</f>
        <v>0</v>
      </c>
      <c r="I98" s="42">
        <f>H98+SUMIFS(data!$H$1:$H$1683, data!$A$1:$A$1683, Heron!$A98,  data!$E$1:$E$1683, Heron!I$5)</f>
        <v>0</v>
      </c>
      <c r="J98" s="42">
        <f>I98+SUMIFS(data!$H$1:$H$1683, data!$A$1:$A$1683, Heron!$A98,  data!$E$1:$E$1683, Heron!J$5)</f>
        <v>400000</v>
      </c>
      <c r="K98" s="42">
        <f>J98+SUMIFS(data!$H$1:$H$1683, data!$A$1:$A$1683, Heron!$A98,  data!$E$1:$E$1683, Heron!K$5)</f>
        <v>400000</v>
      </c>
      <c r="L98" s="42">
        <f>K98+SUMIFS(data!$H$1:$H$1683, data!$A$1:$A$1683, Heron!$A98,  data!$E$1:$E$1683, Heron!L$5)</f>
        <v>400000</v>
      </c>
      <c r="M98" s="42">
        <f>L98+SUMIFS(data!$H$1:$H$1683, data!$A$1:$A$1683, Heron!$A98,  data!$E$1:$E$1683, Heron!M$5)</f>
        <v>400000</v>
      </c>
      <c r="N98" s="42">
        <f>M98+SUMIFS(data!$H$1:$H$1683, data!$A$1:$A$1683, Heron!$A98,  data!$E$1:$E$1683, Heron!N$5)</f>
        <v>400000</v>
      </c>
      <c r="O98" s="42">
        <f>N98+SUMIFS(data!$H$1:$H$1683, data!$A$1:$A$1683, Heron!$A98,  data!$E$1:$E$1683, Heron!O$5)</f>
        <v>400000</v>
      </c>
      <c r="P98" s="42">
        <f>O98+SUMIFS(data!$H$1:$H$1683, data!$A$1:$A$1683, Heron!$A98,  data!$E$1:$E$1683, Heron!P$5)</f>
        <v>400000</v>
      </c>
      <c r="Q98" s="42">
        <f>P98+SUMIFS(data!$H$1:$H$1683, data!$A$1:$A$1683, Heron!$A98,  data!$E$1:$E$1683, Heron!Q$5)</f>
        <v>400000</v>
      </c>
      <c r="R98" s="42">
        <f>Q98+SUMIFS(data!$H$1:$H$1683, data!$A$1:$A$1683, Heron!$A98,  data!$E$1:$E$1683, Heron!R$5)</f>
        <v>750000</v>
      </c>
      <c r="S98" s="42">
        <f>R98+SUMIFS(data!$H$1:$H$1683, data!$A$1:$A$1683, Heron!$A98,  data!$E$1:$E$1683, Heron!S$5)</f>
        <v>750000</v>
      </c>
      <c r="T98" s="42">
        <f>S98+SUMIFS(data!$H$1:$H$1683, data!$A$1:$A$1683, Heron!$A98,  data!$E$1:$E$1683, Heron!T$5)</f>
        <v>800000</v>
      </c>
      <c r="U98" s="42">
        <f>T98+SUMIFS(data!$H$1:$H$1683, data!$A$1:$A$1683, Heron!$A98,  data!$E$1:$E$1683, Heron!U$5)</f>
        <v>800000</v>
      </c>
      <c r="V98" s="42">
        <f>U98+SUMIFS(data!$H$1:$H$1683, data!$A$1:$A$1683, Heron!$A98,  data!$E$1:$E$1683, Heron!V$5)</f>
        <v>800000</v>
      </c>
      <c r="W98" s="42">
        <f>V98+SUMIFS(data!$H$1:$H$1683, data!$A$1:$A$1683, Heron!$A98,  data!$E$1:$E$1683, Heron!W$5)</f>
        <v>800000</v>
      </c>
      <c r="X98" s="42">
        <f>W98+SUMIFS(data!$H$1:$H$1683, data!$A$1:$A$1683, Heron!$A98,  data!$E$1:$E$1683, Heron!X$5)</f>
        <v>800000</v>
      </c>
      <c r="Y98" s="42">
        <f>X98+SUMIFS(data!$H$1:$H$1683, data!$A$1:$A$1683, Heron!$A98,  data!$E$1:$E$1683, Heron!Y$5)</f>
        <v>800000</v>
      </c>
      <c r="Z98" s="42">
        <f>Y98+SUMIFS(data!$H$1:$H$1683, data!$A$1:$A$1683, Heron!$A98,  data!$E$1:$E$1683, Heron!Z$5)</f>
        <v>800000</v>
      </c>
      <c r="AA98" s="42">
        <f>Z98+SUMIFS(data!$H$1:$H$1683, data!$A$1:$A$1683, Heron!$A98,  data!$E$1:$E$1683, Heron!AA$5)</f>
        <v>800000</v>
      </c>
      <c r="AB98" s="42">
        <f>AA98+SUMIFS(data!$H$1:$H$1683, data!$A$1:$A$1683, Heron!$A98,  data!$E$1:$E$1683, Heron!AB$5)</f>
        <v>800000</v>
      </c>
      <c r="AC98" s="42">
        <f>AB98+SUMIFS(data!$H$1:$H$1683, data!$A$1:$A$1683, Heron!$A98,  data!$E$1:$E$1683, Heron!AC$5)</f>
        <v>800000</v>
      </c>
      <c r="AD98" s="42">
        <f>AC98+SUMIFS(data!$H$1:$H$1683, data!$A$1:$A$1683, Heron!$A98,  data!$E$1:$E$1683, Heron!AD$5)</f>
        <v>800000</v>
      </c>
      <c r="AE98" s="42">
        <f>AD98+SUMIFS(data!$H$1:$H$1683, data!$A$1:$A$1683, Heron!$A98,  data!$E$1:$E$1683, Heron!AE$5)</f>
        <v>800000</v>
      </c>
      <c r="AF98" s="42">
        <f>AE98+SUMIFS(data!$H$1:$H$1683, data!$A$1:$A$1683, Heron!$A98,  data!$E$1:$E$1683, Heron!AF$5)</f>
        <v>800000</v>
      </c>
      <c r="AG98" s="42">
        <f>AF98+SUMIFS(data!$H$1:$H$1683, data!$A$1:$A$1683, Heron!$A98,  data!$E$1:$E$1683, Heron!AG$5)+SUMIFS('NSST Print'!$C$43,'NSST Print'!$F$43,Heron!$A98)-SUMIFS('NSST Print'!$C$44:$C$50,'NSST Print'!$F$44:$F$50,Heron!$A98)</f>
        <v>800000</v>
      </c>
    </row>
    <row r="99" spans="1:33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  <c r="AG99" s="2">
        <f>AF99+SUMIFS(data!$H$1:$H$1683, data!$A$1:$A$1683, Heron!$A99,  data!$E$1:$E$1683, Heron!AG$5)+SUMIFS('NSST Print'!$C$43,'NSST Print'!$F$43,Heron!$A99)-SUMIFS('NSST Print'!$C$44:$C$50,'NSST Print'!$F$44:$F$50,Heron!$A99)</f>
        <v>106264.73999999999</v>
      </c>
    </row>
    <row r="100" spans="1:33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  <c r="AG100" s="2">
        <f>AF100+SUMIFS(data!$H$1:$H$1683, data!$A$1:$A$1683, Heron!$A100,  data!$E$1:$E$1683, Heron!AG$5)+SUMIFS('NSST Print'!$C$43,'NSST Print'!$F$43,Heron!$A100)-SUMIFS('NSST Print'!$C$44:$C$50,'NSST Print'!$F$44:$F$50,Heron!$A100)</f>
        <v>20</v>
      </c>
    </row>
    <row r="101" spans="1:33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  <c r="AG101" s="2">
        <f>AF101+SUMIFS(data!$H$1:$H$1683, data!$A$1:$A$1683, Heron!$A101,  data!$E$1:$E$1683,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  <c r="AG102" s="2">
        <f>AF102+SUMIFS(data!$H$1:$H$1683, data!$A$1:$A$1683, Heron!$A102,  data!$E$1:$E$1683,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  <c r="AG103" s="2">
        <f>AF103+SUMIFS(data!$H$1:$H$1683, data!$A$1:$A$1683, Heron!$A103,  data!$E$1:$E$1683, Heron!AG$5)+SUMIFS('NSST Print'!$C$43,'NSST Print'!$F$43,Heron!$A103)-SUMIFS('NSST Print'!$C$44:$C$50,'NSST Print'!$F$44:$F$50,Heron!$A103)</f>
        <v>72830.759999999995</v>
      </c>
    </row>
    <row r="104" spans="1:33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  <c r="AG104" s="2">
        <f>AF104+SUMIFS(data!$H$1:$H$1683, data!$A$1:$A$1683, Heron!$A104,  data!$E$1:$E$1683, Heron!AG$5)+SUMIFS('NSST Print'!$C$43,'NSST Print'!$F$43,Heron!$A104)-SUMIFS('NSST Print'!$C$44:$C$50,'NSST Print'!$F$44:$F$50,Heron!$A104)</f>
        <v>11096.190000000004</v>
      </c>
    </row>
    <row r="105" spans="1:33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  <c r="AG105" s="2">
        <f>AF105+SUMIFS(data!$H$1:$H$1683, data!$A$1:$A$1683, Heron!$A105,  data!$E$1:$E$1683,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  <c r="AG106" s="2">
        <f>AF106+SUMIFS(data!$H$1:$H$1683, data!$A$1:$A$1683, Heron!$A106,  data!$E$1:$E$1683,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145</v>
      </c>
      <c r="C107" s="6">
        <f t="shared" ref="C107:AG107" si="4">SUM(C62:C106)</f>
        <v>90910.48</v>
      </c>
      <c r="D107" s="6">
        <f t="shared" si="4"/>
        <v>270707.57999999996</v>
      </c>
      <c r="E107" s="6">
        <f t="shared" si="4"/>
        <v>472378.75</v>
      </c>
      <c r="F107" s="6">
        <f t="shared" si="4"/>
        <v>661316.49999999988</v>
      </c>
      <c r="G107" s="6">
        <f t="shared" si="4"/>
        <v>829337.33</v>
      </c>
      <c r="H107" s="6">
        <f t="shared" si="4"/>
        <v>1009433.3099999999</v>
      </c>
      <c r="I107" s="6">
        <f t="shared" si="4"/>
        <v>1164467.4600000004</v>
      </c>
      <c r="J107" s="6">
        <f t="shared" si="4"/>
        <v>1704555.04</v>
      </c>
      <c r="K107" s="6">
        <f t="shared" si="4"/>
        <v>4513091.6500000004</v>
      </c>
      <c r="L107" s="6">
        <f t="shared" si="4"/>
        <v>6374561.4400000013</v>
      </c>
      <c r="M107" s="6">
        <f t="shared" si="4"/>
        <v>8410546.9699999988</v>
      </c>
      <c r="N107" s="6">
        <f t="shared" si="4"/>
        <v>8823313.3299999982</v>
      </c>
      <c r="O107" s="6">
        <f t="shared" si="4"/>
        <v>10435879.959999999</v>
      </c>
      <c r="P107" s="6">
        <f t="shared" si="4"/>
        <v>12212665.259999996</v>
      </c>
      <c r="Q107" s="6">
        <f t="shared" si="4"/>
        <v>13058203.449999999</v>
      </c>
      <c r="R107" s="6">
        <f t="shared" si="4"/>
        <v>13820856.009999996</v>
      </c>
      <c r="S107" s="6">
        <f t="shared" si="4"/>
        <v>14548162.779999996</v>
      </c>
      <c r="T107" s="6">
        <f t="shared" si="4"/>
        <v>15577007.989999995</v>
      </c>
      <c r="U107" s="6">
        <f t="shared" si="4"/>
        <v>17381838.489999998</v>
      </c>
      <c r="V107" s="6">
        <f t="shared" si="4"/>
        <v>19327497.030000001</v>
      </c>
      <c r="W107" s="6">
        <f t="shared" si="4"/>
        <v>20990104.880000003</v>
      </c>
      <c r="X107" s="6">
        <f t="shared" si="4"/>
        <v>22652712.729999997</v>
      </c>
      <c r="Y107" s="6">
        <f t="shared" si="4"/>
        <v>26565320.580000002</v>
      </c>
      <c r="Z107" s="6">
        <f t="shared" si="4"/>
        <v>30477928.429999996</v>
      </c>
      <c r="AA107" s="6">
        <f t="shared" si="4"/>
        <v>33240363.07</v>
      </c>
      <c r="AB107" s="6">
        <f t="shared" si="4"/>
        <v>38729845.289999992</v>
      </c>
      <c r="AC107" s="6">
        <f t="shared" si="4"/>
        <v>42819797.639999993</v>
      </c>
      <c r="AD107" s="6">
        <f t="shared" si="4"/>
        <v>46382933.009999998</v>
      </c>
      <c r="AE107" s="6">
        <f t="shared" si="4"/>
        <v>50057885.389999993</v>
      </c>
      <c r="AF107" s="6">
        <f t="shared" si="4"/>
        <v>53732838.139999993</v>
      </c>
      <c r="AG107" s="6">
        <f t="shared" si="4"/>
        <v>53732838.139999993</v>
      </c>
    </row>
    <row r="110" spans="1:33" ht="16" x14ac:dyDescent="0.2">
      <c r="A110" s="5" t="s">
        <v>146</v>
      </c>
      <c r="C110" s="8">
        <f t="shared" ref="C110:AG110" si="5">+C58-C107</f>
        <v>-1150692.8599999999</v>
      </c>
      <c r="D110" s="8">
        <f t="shared" si="5"/>
        <v>-3687873.8</v>
      </c>
      <c r="E110" s="8">
        <f t="shared" si="5"/>
        <v>-7727147.4800000004</v>
      </c>
      <c r="F110" s="8">
        <f t="shared" si="5"/>
        <v>-10525326.300000001</v>
      </c>
      <c r="G110" s="8">
        <f t="shared" si="5"/>
        <v>-14687294.709999999</v>
      </c>
      <c r="H110" s="8">
        <f t="shared" si="5"/>
        <v>-19480217.779999994</v>
      </c>
      <c r="I110" s="8">
        <f t="shared" si="5"/>
        <v>-25835650.779999997</v>
      </c>
      <c r="J110" s="8">
        <f t="shared" si="5"/>
        <v>-31025832.330000002</v>
      </c>
      <c r="K110" s="8">
        <f t="shared" si="5"/>
        <v>-24069217.289999999</v>
      </c>
      <c r="L110" s="8">
        <f t="shared" si="5"/>
        <v>-21775285.09</v>
      </c>
      <c r="M110" s="8">
        <f t="shared" si="5"/>
        <v>-15051957.389999986</v>
      </c>
      <c r="N110" s="8">
        <f t="shared" si="5"/>
        <v>-16375345.079999976</v>
      </c>
      <c r="O110" s="8">
        <f t="shared" si="5"/>
        <v>-12798376.609999975</v>
      </c>
      <c r="P110" s="8">
        <f t="shared" si="5"/>
        <v>-8277422.3999999817</v>
      </c>
      <c r="Q110" s="8">
        <f t="shared" si="5"/>
        <v>-8597935.0500000007</v>
      </c>
      <c r="R110" s="8">
        <f t="shared" si="5"/>
        <v>-10942875.879999993</v>
      </c>
      <c r="S110" s="8">
        <f t="shared" si="5"/>
        <v>-13359828.909999998</v>
      </c>
      <c r="T110" s="8">
        <f t="shared" si="5"/>
        <v>-10085732.609999955</v>
      </c>
      <c r="U110" s="8">
        <f t="shared" si="5"/>
        <v>-3934533.2899999805</v>
      </c>
      <c r="V110" s="8">
        <f t="shared" si="5"/>
        <v>-66364637.35999997</v>
      </c>
      <c r="W110" s="8">
        <f t="shared" si="5"/>
        <v>-56146853.772999965</v>
      </c>
      <c r="X110" s="8">
        <f t="shared" si="5"/>
        <v>-53591672.465999953</v>
      </c>
      <c r="Y110" s="8">
        <f t="shared" si="5"/>
        <v>-44589628.008999959</v>
      </c>
      <c r="Z110" s="8">
        <f t="shared" si="5"/>
        <v>-26541844.42199995</v>
      </c>
      <c r="AA110" s="8">
        <f t="shared" si="5"/>
        <v>448550.37500002235</v>
      </c>
      <c r="AB110" s="8">
        <f t="shared" si="5"/>
        <v>7946815.0120000243</v>
      </c>
      <c r="AC110" s="8">
        <f t="shared" si="5"/>
        <v>10912434.259000026</v>
      </c>
      <c r="AD110" s="8">
        <f t="shared" si="5"/>
        <v>22124626.066000007</v>
      </c>
      <c r="AE110" s="8">
        <f t="shared" si="5"/>
        <v>57619973.453000031</v>
      </c>
      <c r="AF110" s="8">
        <f t="shared" si="5"/>
        <v>-3723082.3699999824</v>
      </c>
      <c r="AG110" s="8">
        <f t="shared" si="5"/>
        <v>1179610.0500000045</v>
      </c>
    </row>
    <row r="112" spans="1:33" x14ac:dyDescent="0.2">
      <c r="AG112" s="19">
        <v>0</v>
      </c>
    </row>
    <row r="113" spans="32:34" ht="16" thickBot="1" x14ac:dyDescent="0.25">
      <c r="AG113" s="20" t="s">
        <v>202</v>
      </c>
    </row>
    <row r="114" spans="32:34" x14ac:dyDescent="0.2">
      <c r="AF114" t="s">
        <v>199</v>
      </c>
      <c r="AG114" s="21">
        <f>AG110-AG112</f>
        <v>1179610.0500000045</v>
      </c>
    </row>
    <row r="115" spans="32:34" x14ac:dyDescent="0.2">
      <c r="AF115" t="s">
        <v>148</v>
      </c>
      <c r="AG115" s="22">
        <f>+'NSST Print'!B42</f>
        <v>-22492933.949999928</v>
      </c>
    </row>
    <row r="116" spans="32:34" ht="16" thickBot="1" x14ac:dyDescent="0.25">
      <c r="AF116" t="s">
        <v>200</v>
      </c>
      <c r="AG116" s="23">
        <f>AG114-AG115</f>
        <v>23672543.999999933</v>
      </c>
      <c r="AH116" t="s">
        <v>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opLeftCell="A28" workbookViewId="0">
      <selection activeCell="D45" sqref="D45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7"/>
      <c r="B1" s="28"/>
      <c r="C1" s="28"/>
      <c r="D1" s="28"/>
      <c r="E1" s="10" t="s">
        <v>149</v>
      </c>
      <c r="F1" s="27"/>
      <c r="G1" s="28"/>
      <c r="H1" s="28"/>
      <c r="I1" s="28"/>
      <c r="J1" s="10" t="s">
        <v>149</v>
      </c>
      <c r="K1" s="27"/>
      <c r="L1" s="28"/>
      <c r="M1" s="28"/>
      <c r="N1" s="28"/>
      <c r="O1" s="10" t="s">
        <v>149</v>
      </c>
      <c r="P1" s="27"/>
      <c r="Q1" s="28"/>
      <c r="R1" s="28"/>
      <c r="S1" s="28"/>
      <c r="T1" s="10" t="s">
        <v>149</v>
      </c>
    </row>
    <row r="2" spans="1:20" ht="21" x14ac:dyDescent="0.25">
      <c r="A2" s="31" t="s">
        <v>150</v>
      </c>
      <c r="B2" s="25"/>
      <c r="C2" s="25"/>
      <c r="D2" s="25"/>
      <c r="E2" s="26"/>
      <c r="F2" s="32" t="s">
        <v>150</v>
      </c>
      <c r="G2" s="25"/>
      <c r="H2" s="25"/>
      <c r="I2" s="25"/>
      <c r="J2" s="26"/>
      <c r="K2" s="33" t="s">
        <v>150</v>
      </c>
      <c r="L2" s="25"/>
      <c r="M2" s="25"/>
      <c r="N2" s="25"/>
      <c r="O2" s="26"/>
      <c r="P2" s="34" t="s">
        <v>150</v>
      </c>
      <c r="Q2" s="25"/>
      <c r="R2" s="25"/>
      <c r="S2" s="25"/>
      <c r="T2" s="26"/>
    </row>
    <row r="3" spans="1:20" ht="16" x14ac:dyDescent="0.2">
      <c r="A3" s="11" t="s">
        <v>151</v>
      </c>
      <c r="B3" s="35">
        <v>45230</v>
      </c>
      <c r="C3" s="25"/>
      <c r="D3" s="25"/>
      <c r="E3" s="26"/>
      <c r="F3" s="11" t="s">
        <v>151</v>
      </c>
      <c r="G3" s="35">
        <v>45199</v>
      </c>
      <c r="H3" s="25"/>
      <c r="I3" s="25"/>
      <c r="J3" s="26"/>
      <c r="K3" s="11" t="s">
        <v>151</v>
      </c>
      <c r="L3" s="35">
        <v>45169</v>
      </c>
      <c r="M3" s="25"/>
      <c r="N3" s="25"/>
      <c r="O3" s="26"/>
      <c r="P3" s="11" t="s">
        <v>151</v>
      </c>
      <c r="Q3" s="35">
        <v>45138</v>
      </c>
      <c r="R3" s="25"/>
      <c r="S3" s="25"/>
      <c r="T3" s="26"/>
    </row>
    <row r="4" spans="1:20" ht="16" x14ac:dyDescent="0.2">
      <c r="A4" s="11" t="s">
        <v>2</v>
      </c>
      <c r="B4" s="29" t="s">
        <v>152</v>
      </c>
      <c r="C4" s="25"/>
      <c r="D4" s="25"/>
      <c r="E4" s="26"/>
      <c r="F4" s="11" t="s">
        <v>2</v>
      </c>
      <c r="G4" s="29" t="s">
        <v>152</v>
      </c>
      <c r="H4" s="25"/>
      <c r="I4" s="25"/>
      <c r="J4" s="26"/>
      <c r="K4" s="11" t="s">
        <v>2</v>
      </c>
      <c r="L4" s="29" t="s">
        <v>152</v>
      </c>
      <c r="M4" s="25"/>
      <c r="N4" s="25"/>
      <c r="O4" s="26"/>
      <c r="P4" s="11" t="s">
        <v>2</v>
      </c>
      <c r="Q4" s="29" t="s">
        <v>152</v>
      </c>
      <c r="R4" s="25"/>
      <c r="S4" s="25"/>
      <c r="T4" s="26"/>
    </row>
    <row r="5" spans="1:20" ht="21" x14ac:dyDescent="0.25">
      <c r="A5" s="31" t="s">
        <v>153</v>
      </c>
      <c r="B5" s="25"/>
      <c r="C5" s="25"/>
      <c r="D5" s="25"/>
      <c r="E5" s="26"/>
      <c r="F5" s="32" t="s">
        <v>153</v>
      </c>
      <c r="G5" s="25"/>
      <c r="H5" s="25"/>
      <c r="I5" s="25"/>
      <c r="J5" s="26"/>
      <c r="K5" s="33" t="s">
        <v>153</v>
      </c>
      <c r="L5" s="25"/>
      <c r="M5" s="25"/>
      <c r="N5" s="25"/>
      <c r="O5" s="26"/>
      <c r="P5" s="34" t="s">
        <v>153</v>
      </c>
      <c r="Q5" s="25"/>
      <c r="R5" s="25"/>
      <c r="S5" s="25"/>
      <c r="T5" s="26"/>
    </row>
    <row r="6" spans="1:20" ht="16" x14ac:dyDescent="0.2">
      <c r="A6" s="11" t="s">
        <v>154</v>
      </c>
      <c r="B6" s="29">
        <v>236217976.38999999</v>
      </c>
      <c r="C6" s="25"/>
      <c r="D6" s="25"/>
      <c r="E6" s="26"/>
      <c r="F6" s="11" t="s">
        <v>154</v>
      </c>
      <c r="G6" s="29">
        <v>236217976.38999999</v>
      </c>
      <c r="H6" s="25"/>
      <c r="I6" s="25"/>
      <c r="J6" s="26"/>
      <c r="K6" s="11" t="s">
        <v>154</v>
      </c>
      <c r="L6" s="29">
        <v>236217976.38999999</v>
      </c>
      <c r="M6" s="25"/>
      <c r="N6" s="25"/>
      <c r="O6" s="26"/>
      <c r="P6" s="11" t="s">
        <v>154</v>
      </c>
      <c r="Q6" s="29">
        <v>236217976.38999999</v>
      </c>
      <c r="R6" s="25"/>
      <c r="S6" s="25"/>
      <c r="T6" s="26"/>
    </row>
    <row r="7" spans="1:20" ht="16" x14ac:dyDescent="0.2">
      <c r="A7" s="11" t="s">
        <v>155</v>
      </c>
      <c r="B7" s="29">
        <v>224974730.58999991</v>
      </c>
      <c r="C7" s="25"/>
      <c r="D7" s="25"/>
      <c r="E7" s="26"/>
      <c r="F7" s="11" t="s">
        <v>155</v>
      </c>
      <c r="G7" s="29">
        <v>220574730.58999979</v>
      </c>
      <c r="H7" s="25"/>
      <c r="I7" s="25"/>
      <c r="J7" s="26"/>
      <c r="K7" s="11" t="s">
        <v>155</v>
      </c>
      <c r="L7" s="29">
        <v>200736189.0099999</v>
      </c>
      <c r="M7" s="25"/>
      <c r="N7" s="25"/>
      <c r="O7" s="26"/>
      <c r="P7" s="11" t="s">
        <v>155</v>
      </c>
      <c r="Q7" s="29">
        <v>192806295.0699999</v>
      </c>
      <c r="R7" s="25"/>
      <c r="S7" s="25"/>
      <c r="T7" s="26"/>
    </row>
    <row r="8" spans="1:20" ht="16" x14ac:dyDescent="0.2">
      <c r="A8" s="11" t="s">
        <v>156</v>
      </c>
      <c r="B8" s="29">
        <v>183658541.48999989</v>
      </c>
      <c r="C8" s="25"/>
      <c r="D8" s="25"/>
      <c r="E8" s="26"/>
      <c r="F8" s="11" t="s">
        <v>156</v>
      </c>
      <c r="G8" s="29">
        <v>174877063.31999999</v>
      </c>
      <c r="H8" s="25"/>
      <c r="I8" s="25"/>
      <c r="J8" s="26"/>
      <c r="K8" s="11" t="s">
        <v>156</v>
      </c>
      <c r="L8" s="29">
        <v>168728087.2899999</v>
      </c>
      <c r="M8" s="25"/>
      <c r="N8" s="25"/>
      <c r="O8" s="26"/>
      <c r="P8" s="11" t="s">
        <v>156</v>
      </c>
      <c r="Q8" s="29">
        <v>161967570.8499999</v>
      </c>
      <c r="R8" s="25"/>
      <c r="S8" s="25"/>
      <c r="T8" s="26"/>
    </row>
    <row r="9" spans="1:20" ht="16" x14ac:dyDescent="0.2">
      <c r="A9" s="11" t="s">
        <v>157</v>
      </c>
      <c r="B9" s="29">
        <v>41316189.099999987</v>
      </c>
      <c r="C9" s="25"/>
      <c r="D9" s="25"/>
      <c r="E9" s="26"/>
      <c r="F9" s="11" t="s">
        <v>157</v>
      </c>
      <c r="G9" s="29">
        <v>45697667.270000003</v>
      </c>
      <c r="H9" s="25"/>
      <c r="I9" s="25"/>
      <c r="J9" s="26"/>
      <c r="K9" s="11" t="s">
        <v>157</v>
      </c>
      <c r="L9" s="29">
        <v>32008101.719999999</v>
      </c>
      <c r="M9" s="25"/>
      <c r="N9" s="25"/>
      <c r="O9" s="26"/>
      <c r="P9" s="11" t="s">
        <v>157</v>
      </c>
      <c r="Q9" s="29">
        <v>30838724.219999999</v>
      </c>
      <c r="R9" s="25"/>
      <c r="S9" s="25"/>
      <c r="T9" s="26"/>
    </row>
    <row r="10" spans="1:20" ht="16" x14ac:dyDescent="0.2">
      <c r="A10" s="11" t="s">
        <v>158</v>
      </c>
      <c r="B10" s="29">
        <v>6265190.7899999991</v>
      </c>
      <c r="C10" s="25"/>
      <c r="D10" s="25"/>
      <c r="E10" s="26"/>
      <c r="F10" s="11" t="s">
        <v>158</v>
      </c>
      <c r="G10" s="29">
        <v>6265190.7899999991</v>
      </c>
      <c r="H10" s="25"/>
      <c r="I10" s="25"/>
      <c r="J10" s="26"/>
      <c r="K10" s="11" t="s">
        <v>158</v>
      </c>
      <c r="L10" s="29">
        <v>6265190.7899999991</v>
      </c>
      <c r="M10" s="25"/>
      <c r="N10" s="25"/>
      <c r="O10" s="26"/>
      <c r="P10" s="11" t="s">
        <v>158</v>
      </c>
      <c r="Q10" s="29">
        <v>6265190.7899999991</v>
      </c>
      <c r="R10" s="25"/>
      <c r="S10" s="25"/>
      <c r="T10" s="26"/>
    </row>
    <row r="11" spans="1:20" ht="16" x14ac:dyDescent="0.2">
      <c r="A11" s="11" t="s">
        <v>159</v>
      </c>
      <c r="B11" s="29">
        <v>4950301.830000001</v>
      </c>
      <c r="C11" s="25"/>
      <c r="D11" s="25"/>
      <c r="E11" s="26"/>
      <c r="F11" s="11" t="s">
        <v>159</v>
      </c>
      <c r="G11" s="29">
        <v>5950301.830000001</v>
      </c>
      <c r="H11" s="25"/>
      <c r="I11" s="25"/>
      <c r="J11" s="26"/>
      <c r="K11" s="11" t="s">
        <v>159</v>
      </c>
      <c r="L11" s="29">
        <v>5961222.1900000023</v>
      </c>
      <c r="M11" s="25"/>
      <c r="N11" s="25"/>
      <c r="O11" s="26"/>
      <c r="P11" s="11" t="s">
        <v>159</v>
      </c>
      <c r="Q11" s="29">
        <v>5978055.0100000007</v>
      </c>
      <c r="R11" s="25"/>
      <c r="S11" s="25"/>
      <c r="T11" s="26"/>
    </row>
    <row r="12" spans="1:20" ht="16" x14ac:dyDescent="0.2">
      <c r="A12" s="11" t="s">
        <v>160</v>
      </c>
      <c r="B12" s="29">
        <v>57707056.030000001</v>
      </c>
      <c r="C12" s="25"/>
      <c r="D12" s="25"/>
      <c r="E12" s="26"/>
      <c r="F12" s="11" t="s">
        <v>160</v>
      </c>
      <c r="G12" s="29">
        <v>57707056.030000001</v>
      </c>
      <c r="H12" s="25"/>
      <c r="I12" s="25"/>
      <c r="J12" s="26"/>
      <c r="K12" s="11" t="s">
        <v>160</v>
      </c>
      <c r="L12" s="29">
        <v>47817976.390000001</v>
      </c>
      <c r="M12" s="25"/>
      <c r="N12" s="25"/>
      <c r="O12" s="26"/>
      <c r="P12" s="11" t="s">
        <v>160</v>
      </c>
      <c r="Q12" s="29">
        <v>42334809.210000001</v>
      </c>
      <c r="R12" s="25"/>
      <c r="S12" s="25"/>
      <c r="T12" s="26"/>
    </row>
    <row r="13" spans="1:20" ht="16" x14ac:dyDescent="0.2">
      <c r="A13" s="11" t="s">
        <v>161</v>
      </c>
      <c r="B13" s="29">
        <v>121851485.4599999</v>
      </c>
      <c r="C13" s="25"/>
      <c r="D13" s="25"/>
      <c r="E13" s="26"/>
      <c r="F13" s="11" t="s">
        <v>161</v>
      </c>
      <c r="G13" s="29">
        <v>113070007.29000001</v>
      </c>
      <c r="H13" s="25"/>
      <c r="I13" s="25"/>
      <c r="J13" s="26"/>
      <c r="K13" s="11" t="s">
        <v>161</v>
      </c>
      <c r="L13" s="29">
        <v>116810110.8999999</v>
      </c>
      <c r="M13" s="25"/>
      <c r="N13" s="25"/>
      <c r="O13" s="26"/>
      <c r="P13" s="11" t="s">
        <v>161</v>
      </c>
      <c r="Q13" s="29">
        <v>115532761.6399999</v>
      </c>
      <c r="R13" s="25"/>
      <c r="S13" s="25"/>
      <c r="T13" s="26"/>
    </row>
    <row r="14" spans="1:20" ht="21" x14ac:dyDescent="0.25">
      <c r="A14" s="31" t="s">
        <v>162</v>
      </c>
      <c r="B14" s="25"/>
      <c r="C14" s="25"/>
      <c r="D14" s="25"/>
      <c r="E14" s="26"/>
      <c r="F14" s="32" t="s">
        <v>162</v>
      </c>
      <c r="G14" s="25"/>
      <c r="H14" s="25"/>
      <c r="I14" s="25"/>
      <c r="J14" s="26"/>
      <c r="K14" s="33" t="s">
        <v>162</v>
      </c>
      <c r="L14" s="25"/>
      <c r="M14" s="25"/>
      <c r="N14" s="25"/>
      <c r="O14" s="26"/>
      <c r="P14" s="34" t="s">
        <v>162</v>
      </c>
      <c r="Q14" s="25"/>
      <c r="R14" s="25"/>
      <c r="S14" s="25"/>
      <c r="T14" s="26"/>
    </row>
    <row r="15" spans="1:20" ht="16" x14ac:dyDescent="0.2">
      <c r="A15" s="13" t="s">
        <v>163</v>
      </c>
      <c r="B15" s="30">
        <v>541</v>
      </c>
      <c r="C15" s="25"/>
      <c r="D15" s="25"/>
      <c r="E15" s="26"/>
      <c r="F15" s="13" t="s">
        <v>163</v>
      </c>
      <c r="G15" s="30">
        <v>537</v>
      </c>
      <c r="H15" s="25"/>
      <c r="I15" s="25"/>
      <c r="J15" s="26"/>
      <c r="K15" s="13" t="s">
        <v>163</v>
      </c>
      <c r="L15" s="30">
        <v>502</v>
      </c>
      <c r="M15" s="25"/>
      <c r="N15" s="25"/>
      <c r="O15" s="26"/>
      <c r="P15" s="13" t="s">
        <v>163</v>
      </c>
      <c r="Q15" s="30">
        <v>487</v>
      </c>
      <c r="R15" s="25"/>
      <c r="S15" s="25"/>
      <c r="T15" s="26"/>
    </row>
    <row r="16" spans="1:20" ht="16" x14ac:dyDescent="0.2">
      <c r="A16" s="13" t="s">
        <v>164</v>
      </c>
      <c r="B16" s="30">
        <v>172</v>
      </c>
      <c r="C16" s="25"/>
      <c r="D16" s="25"/>
      <c r="E16" s="26"/>
      <c r="F16" s="13" t="s">
        <v>164</v>
      </c>
      <c r="G16" s="30">
        <v>172</v>
      </c>
      <c r="H16" s="25"/>
      <c r="I16" s="25"/>
      <c r="J16" s="26"/>
      <c r="K16" s="13" t="s">
        <v>164</v>
      </c>
      <c r="L16" s="30">
        <v>146</v>
      </c>
      <c r="M16" s="25"/>
      <c r="N16" s="25"/>
      <c r="O16" s="26"/>
      <c r="P16" s="13" t="s">
        <v>164</v>
      </c>
      <c r="Q16" s="30">
        <v>136</v>
      </c>
      <c r="R16" s="25"/>
      <c r="S16" s="25"/>
      <c r="T16" s="26"/>
    </row>
    <row r="17" spans="1:20" ht="16" x14ac:dyDescent="0.2">
      <c r="A17" s="13" t="s">
        <v>165</v>
      </c>
      <c r="B17" s="30">
        <v>369</v>
      </c>
      <c r="C17" s="25"/>
      <c r="D17" s="25"/>
      <c r="E17" s="26"/>
      <c r="F17" s="13" t="s">
        <v>165</v>
      </c>
      <c r="G17" s="30">
        <v>365</v>
      </c>
      <c r="H17" s="25"/>
      <c r="I17" s="25"/>
      <c r="J17" s="26"/>
      <c r="K17" s="13" t="s">
        <v>165</v>
      </c>
      <c r="L17" s="30">
        <v>356</v>
      </c>
      <c r="M17" s="25"/>
      <c r="N17" s="25"/>
      <c r="O17" s="26"/>
      <c r="P17" s="13" t="s">
        <v>165</v>
      </c>
      <c r="Q17" s="30">
        <v>351</v>
      </c>
      <c r="R17" s="25"/>
      <c r="S17" s="25"/>
      <c r="T17" s="26"/>
    </row>
    <row r="18" spans="1:20" ht="21" x14ac:dyDescent="0.25">
      <c r="A18" s="31" t="s">
        <v>166</v>
      </c>
      <c r="B18" s="25"/>
      <c r="C18" s="25"/>
      <c r="D18" s="25"/>
      <c r="E18" s="26"/>
      <c r="F18" s="32" t="s">
        <v>166</v>
      </c>
      <c r="G18" s="25"/>
      <c r="H18" s="25"/>
      <c r="I18" s="25"/>
      <c r="J18" s="26"/>
      <c r="K18" s="33" t="s">
        <v>166</v>
      </c>
      <c r="L18" s="25"/>
      <c r="M18" s="25"/>
      <c r="N18" s="25"/>
      <c r="O18" s="26"/>
      <c r="P18" s="34" t="s">
        <v>166</v>
      </c>
      <c r="Q18" s="25"/>
      <c r="R18" s="25"/>
      <c r="S18" s="25"/>
      <c r="T18" s="26"/>
    </row>
    <row r="19" spans="1:20" ht="16" x14ac:dyDescent="0.2">
      <c r="A19" s="11"/>
      <c r="B19" s="12" t="s">
        <v>167</v>
      </c>
      <c r="C19" s="12" t="s">
        <v>168</v>
      </c>
      <c r="D19" s="12" t="s">
        <v>169</v>
      </c>
      <c r="E19" s="12" t="s">
        <v>170</v>
      </c>
      <c r="F19" s="11"/>
      <c r="G19" s="12" t="s">
        <v>167</v>
      </c>
      <c r="H19" s="12" t="s">
        <v>168</v>
      </c>
      <c r="I19" s="12" t="s">
        <v>169</v>
      </c>
      <c r="J19" s="12" t="s">
        <v>170</v>
      </c>
      <c r="K19" s="11"/>
      <c r="L19" s="12" t="s">
        <v>167</v>
      </c>
      <c r="M19" s="12" t="s">
        <v>168</v>
      </c>
      <c r="N19" s="12" t="s">
        <v>169</v>
      </c>
      <c r="O19" s="12" t="s">
        <v>170</v>
      </c>
      <c r="P19" s="11"/>
      <c r="Q19" s="12" t="s">
        <v>167</v>
      </c>
      <c r="R19" s="12" t="s">
        <v>168</v>
      </c>
      <c r="S19" s="12" t="s">
        <v>169</v>
      </c>
      <c r="T19" s="12" t="s">
        <v>170</v>
      </c>
    </row>
    <row r="20" spans="1:20" ht="16" x14ac:dyDescent="0.2">
      <c r="A20" s="13" t="s">
        <v>171</v>
      </c>
      <c r="B20" s="14">
        <v>225</v>
      </c>
      <c r="C20" s="14">
        <v>65</v>
      </c>
      <c r="D20" s="14">
        <v>12</v>
      </c>
      <c r="E20" s="14">
        <v>148</v>
      </c>
      <c r="F20" s="13" t="s">
        <v>171</v>
      </c>
      <c r="G20" s="14">
        <v>225</v>
      </c>
      <c r="H20" s="14">
        <v>64</v>
      </c>
      <c r="I20" s="14">
        <v>10</v>
      </c>
      <c r="J20" s="14">
        <v>151</v>
      </c>
      <c r="K20" s="13" t="s">
        <v>171</v>
      </c>
      <c r="L20" s="14">
        <v>225</v>
      </c>
      <c r="M20" s="14">
        <v>55</v>
      </c>
      <c r="N20" s="14">
        <v>15</v>
      </c>
      <c r="O20" s="14">
        <v>155</v>
      </c>
      <c r="P20" s="13" t="s">
        <v>171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172</v>
      </c>
      <c r="B21" s="11">
        <f>SUMIFS(data!$H$1:$H$1683,data!$A$1:$A$1683,"Sales - Heron View Sales")+SUMIFS(data!$H$1:$H$1683,data!$A$1:$A$1683,"Sales - Heron Fields")+C43</f>
        <v>307042173.90999997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172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172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172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173</v>
      </c>
      <c r="B22" s="11">
        <f>B21*0.05</f>
        <v>15352108.695499999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173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173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173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174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174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174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174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175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175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175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175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176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176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176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176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177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178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178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178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179</v>
      </c>
      <c r="B27" s="11">
        <f>B21-SUM(B22:B26)</f>
        <v>282423570.64928257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179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179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179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31" t="s">
        <v>180</v>
      </c>
      <c r="B28" s="25"/>
      <c r="C28" s="25"/>
      <c r="D28" s="25"/>
      <c r="E28" s="26"/>
      <c r="F28" s="32" t="s">
        <v>180</v>
      </c>
      <c r="G28" s="25"/>
      <c r="H28" s="25"/>
      <c r="I28" s="25"/>
      <c r="J28" s="26"/>
      <c r="K28" s="33" t="s">
        <v>180</v>
      </c>
      <c r="L28" s="25"/>
      <c r="M28" s="25"/>
      <c r="N28" s="25"/>
      <c r="O28" s="26"/>
      <c r="P28" s="34" t="s">
        <v>180</v>
      </c>
      <c r="Q28" s="25"/>
      <c r="R28" s="25"/>
      <c r="S28" s="25"/>
      <c r="T28" s="26"/>
    </row>
    <row r="29" spans="1:20" ht="16" x14ac:dyDescent="0.2">
      <c r="A29" s="11" t="s">
        <v>181</v>
      </c>
      <c r="B29" s="29">
        <f>49312869.6334321+C48</f>
        <v>49312869.633432098</v>
      </c>
      <c r="C29" s="25"/>
      <c r="D29" s="25"/>
      <c r="E29" s="26"/>
      <c r="F29" s="11" t="s">
        <v>181</v>
      </c>
      <c r="G29" s="29">
        <v>49312869.63343215</v>
      </c>
      <c r="H29" s="25"/>
      <c r="I29" s="25"/>
      <c r="J29" s="26"/>
      <c r="K29" s="11" t="s">
        <v>181</v>
      </c>
      <c r="L29" s="29">
        <v>49312869.63343215</v>
      </c>
      <c r="M29" s="25"/>
      <c r="N29" s="25"/>
      <c r="O29" s="26"/>
      <c r="P29" s="11" t="s">
        <v>181</v>
      </c>
      <c r="Q29" s="29">
        <v>49312869.633432157</v>
      </c>
      <c r="R29" s="25"/>
      <c r="S29" s="25"/>
      <c r="T29" s="26"/>
    </row>
    <row r="30" spans="1:20" ht="16" x14ac:dyDescent="0.2">
      <c r="A30" s="11" t="s">
        <v>182</v>
      </c>
      <c r="B30" s="29">
        <v>13205884.249983091</v>
      </c>
      <c r="C30" s="25"/>
      <c r="D30" s="25"/>
      <c r="E30" s="26"/>
      <c r="F30" s="11" t="s">
        <v>182</v>
      </c>
      <c r="G30" s="29">
        <v>13205884.249983091</v>
      </c>
      <c r="H30" s="25"/>
      <c r="I30" s="25"/>
      <c r="J30" s="26"/>
      <c r="K30" s="11" t="s">
        <v>182</v>
      </c>
      <c r="L30" s="29">
        <v>11719526.737626379</v>
      </c>
      <c r="M30" s="25"/>
      <c r="N30" s="25"/>
      <c r="O30" s="26"/>
      <c r="P30" s="11" t="s">
        <v>182</v>
      </c>
      <c r="Q30" s="29">
        <v>10931250.92070185</v>
      </c>
      <c r="R30" s="25"/>
      <c r="S30" s="25"/>
      <c r="T30" s="26"/>
    </row>
    <row r="31" spans="1:20" ht="21" x14ac:dyDescent="0.25">
      <c r="A31" s="31" t="s">
        <v>183</v>
      </c>
      <c r="B31" s="25"/>
      <c r="C31" s="25"/>
      <c r="D31" s="25"/>
      <c r="E31" s="26"/>
      <c r="F31" s="32" t="s">
        <v>183</v>
      </c>
      <c r="G31" s="25"/>
      <c r="H31" s="25"/>
      <c r="I31" s="25"/>
      <c r="J31" s="26"/>
      <c r="K31" s="33" t="s">
        <v>183</v>
      </c>
      <c r="L31" s="25"/>
      <c r="M31" s="25"/>
      <c r="N31" s="25"/>
      <c r="O31" s="26"/>
      <c r="P31" s="34" t="s">
        <v>183</v>
      </c>
      <c r="Q31" s="25"/>
      <c r="R31" s="25"/>
      <c r="S31" s="25"/>
      <c r="T31" s="26"/>
    </row>
    <row r="32" spans="1:20" ht="16" x14ac:dyDescent="0.2">
      <c r="A32" s="11" t="s">
        <v>128</v>
      </c>
      <c r="B32" s="29">
        <f>B9+SUMIFS(data!$H$1:$H$1683,data!$A$1:$A$1683,'NSST Print'!$A$32,data!$E$1:$E$1683,'NSST Print'!B3)</f>
        <v>45716189.099999987</v>
      </c>
      <c r="C32" s="25"/>
      <c r="D32" s="25"/>
      <c r="E32" s="26"/>
      <c r="F32" s="11" t="s">
        <v>128</v>
      </c>
      <c r="G32" s="29">
        <f>G9+SUMIFS(data!$H$1:$H$1683,data!$A$1:$A$1683,'NSST Print'!$A$32,data!$E$1:$E$1683,'NSST Print'!G3)</f>
        <v>45697667.270000003</v>
      </c>
      <c r="H32" s="25"/>
      <c r="I32" s="25"/>
      <c r="J32" s="26"/>
      <c r="K32" s="11" t="s">
        <v>128</v>
      </c>
      <c r="L32" s="29">
        <f>L9+SUMIFS(data!$H$1:$H$1683,data!$A$1:$A$1683,'NSST Print'!$A$32,data!$E$1:$E$1683,'NSST Print'!L3)</f>
        <v>32008101.719999999</v>
      </c>
      <c r="M32" s="25"/>
      <c r="N32" s="25"/>
      <c r="O32" s="26"/>
      <c r="P32" s="11" t="s">
        <v>128</v>
      </c>
      <c r="Q32" s="29">
        <f>Q9+SUMIFS(data!$H$1:$H$1683,data!$A$1:$A$1683,'NSST Print'!$A$32,data!$E$1:$E$1683,'NSST Print'!Q3)</f>
        <v>30838724.219999999</v>
      </c>
      <c r="R32" s="25"/>
      <c r="S32" s="25"/>
      <c r="T32" s="26"/>
    </row>
    <row r="33" spans="1:20" ht="16" x14ac:dyDescent="0.2">
      <c r="A33" s="11" t="s">
        <v>126</v>
      </c>
      <c r="B33" s="29">
        <f>SUMIFS(data!$H$1:$H$1683,data!$A$1:$A$1683,'NSST Print'!$A$33,data!$E$1:$E$1683,'NSST Print'!B3)+C43+C51+SUMIFS(data!$H$1:$H$1683,data!$A$1:$A$1683,"Momentum Interest")+SUMIFS(data!$H$1:$H$1683,data!$A$1:$A$1683,"Attorneys Deposit")+SUMIFS(data!$H$1:$H$1683,data!$A$1:$A$1683,"FNB Bank Account")</f>
        <v>58843478.509999998</v>
      </c>
      <c r="C33" s="25"/>
      <c r="D33" s="25"/>
      <c r="E33" s="26"/>
      <c r="F33" s="11" t="s">
        <v>126</v>
      </c>
      <c r="G33" s="29">
        <f>SUMIFS(data!$H$1:$H$1683,data!$A$1:$A$1683,'NSST Print'!$A$33,data!$E$1:$E$1683,'NSST Print'!G3)+C43+C51+SUMIFS(data!$H$1:$H$1683,data!$A$1:$A$1683,"Momentum Interest")+SUMIFS(data!$H$1:$H$1683,data!$A$1:$A$1683,"Attorneys Deposit")+SUMIFS(data!$H$1:$H$1683,data!$A$1:$A$1683,"FNB Bank Account")</f>
        <v>25560085.609999999</v>
      </c>
      <c r="H33" s="25"/>
      <c r="I33" s="25"/>
      <c r="J33" s="26"/>
      <c r="K33" s="11" t="s">
        <v>126</v>
      </c>
      <c r="L33" s="29">
        <f>SUMIFS(data!$H$1:$H$1683,data!$A$1:$A$1683,'NSST Print'!$A$33,data!$E$1:$E$1683,'NSST Print'!L3)+C43+C51+SUMIFS(data!$H$1:$H$1683,data!$A$1:$A$1683,"Momentum Interest")+SUMIFS(data!$H$1:$H$1683,data!$A$1:$A$1683,"Attorneys Deposit")+SUMIFS(data!$H$1:$H$1683,data!$A$1:$A$1683,"FNB Bank Account")</f>
        <v>25560085.609999999</v>
      </c>
      <c r="M33" s="25"/>
      <c r="N33" s="25"/>
      <c r="O33" s="26"/>
      <c r="P33" s="11" t="s">
        <v>126</v>
      </c>
      <c r="Q33" s="29">
        <f>SUMIFS(data!$H$1:$H$1683,data!$A$1:$A$1683,'NSST Print'!$A$33,data!$E$1:$E$1683,'NSST Print'!Q3)+C43+C51+SUMIFS(data!$H$1:$H$1683,data!$A$1:$A$1683,"Momentum Interest")+SUMIFS(data!$H$1:$H$1683,data!$A$1:$A$1683,"Attorneys Deposit")+SUMIFS(data!$H$1:$H$1683,data!$A$1:$A$1683,"FNB Bank Account")</f>
        <v>25560085.609999999</v>
      </c>
      <c r="R33" s="25"/>
      <c r="S33" s="25"/>
      <c r="T33" s="26"/>
    </row>
    <row r="34" spans="1:20" ht="16" x14ac:dyDescent="0.2">
      <c r="A34" s="11" t="s">
        <v>184</v>
      </c>
      <c r="B34" s="29">
        <f>B32+B33</f>
        <v>104559667.60999998</v>
      </c>
      <c r="C34" s="25"/>
      <c r="D34" s="25"/>
      <c r="E34" s="26"/>
      <c r="F34" s="11" t="s">
        <v>184</v>
      </c>
      <c r="G34" s="29">
        <f>G32+G33</f>
        <v>71257752.879999995</v>
      </c>
      <c r="H34" s="25"/>
      <c r="I34" s="25"/>
      <c r="J34" s="26"/>
      <c r="K34" s="11" t="s">
        <v>184</v>
      </c>
      <c r="L34" s="29">
        <f>L32+L33</f>
        <v>57568187.329999998</v>
      </c>
      <c r="M34" s="25"/>
      <c r="N34" s="25"/>
      <c r="O34" s="26"/>
      <c r="P34" s="11" t="s">
        <v>184</v>
      </c>
      <c r="Q34" s="29">
        <f>Q32+Q33</f>
        <v>56398809.829999998</v>
      </c>
      <c r="R34" s="25"/>
      <c r="S34" s="25"/>
      <c r="T34" s="26"/>
    </row>
    <row r="35" spans="1:20" ht="16" x14ac:dyDescent="0.2">
      <c r="A35" s="11" t="s">
        <v>185</v>
      </c>
      <c r="B35" s="29">
        <f>SUMIFS(data!$H$1:$H$1683, data!$A$1:$A$1683, "Cost To Complete Project", data!$E$1:$E$1683, 'NSST Print'!B3)-SUM(C44:C50)</f>
        <v>111276914.61</v>
      </c>
      <c r="C35" s="25"/>
      <c r="D35" s="25"/>
      <c r="E35" s="26"/>
      <c r="F35" s="11" t="s">
        <v>185</v>
      </c>
      <c r="G35" s="29">
        <f>SUMIFS(data!$H$1:$H$1683, data!$A$1:$A$1683, "Cost To Complete Project", data!$E$1:$E$1683, 'NSST Print'!G3)-SUM(C44:C50)</f>
        <v>-6502692.4200000009</v>
      </c>
      <c r="H35" s="25"/>
      <c r="I35" s="25"/>
      <c r="J35" s="26"/>
      <c r="K35" s="11" t="s">
        <v>185</v>
      </c>
      <c r="L35" s="29">
        <f>SUMIFS(data!$H$1:$H$1683, data!$A$1:$A$1683, "Cost To Complete Project", data!$E$1:$E$1683, 'NSST Print'!L3)-SUM(C44:C50)</f>
        <v>-6502692.4200000009</v>
      </c>
      <c r="M35" s="25"/>
      <c r="N35" s="25"/>
      <c r="O35" s="26"/>
      <c r="P35" s="11" t="s">
        <v>185</v>
      </c>
      <c r="Q35" s="29">
        <f>SUMIFS(data!$H$1:$H$1683, data!$A$1:$A$1683, "Cost To Complete Project", data!$E$1:$E$1683, 'NSST Print'!Q3)-SUM(C44:C50)</f>
        <v>-6502692.4200000009</v>
      </c>
      <c r="R35" s="25"/>
      <c r="S35" s="25"/>
      <c r="T35" s="26"/>
    </row>
    <row r="36" spans="1:20" ht="16" x14ac:dyDescent="0.2">
      <c r="A36" s="11" t="s">
        <v>186</v>
      </c>
      <c r="B36" s="29">
        <f>B34-B35</f>
        <v>-6717247.0000000149</v>
      </c>
      <c r="C36" s="25"/>
      <c r="D36" s="25"/>
      <c r="E36" s="26"/>
      <c r="F36" s="11" t="s">
        <v>186</v>
      </c>
      <c r="G36" s="29">
        <f>G34-G35</f>
        <v>77760445.299999997</v>
      </c>
      <c r="H36" s="25"/>
      <c r="I36" s="25"/>
      <c r="J36" s="26"/>
      <c r="K36" s="11" t="s">
        <v>186</v>
      </c>
      <c r="L36" s="29">
        <f>L34-L35</f>
        <v>64070879.75</v>
      </c>
      <c r="M36" s="25"/>
      <c r="N36" s="25"/>
      <c r="O36" s="26"/>
      <c r="P36" s="11" t="s">
        <v>186</v>
      </c>
      <c r="Q36" s="29">
        <f>Q34-Q35</f>
        <v>62901502.25</v>
      </c>
      <c r="R36" s="25"/>
      <c r="S36" s="25"/>
      <c r="T36" s="26"/>
    </row>
    <row r="37" spans="1:20" ht="21" x14ac:dyDescent="0.25">
      <c r="A37" s="31" t="s">
        <v>187</v>
      </c>
      <c r="B37" s="25"/>
      <c r="C37" s="25"/>
      <c r="D37" s="25"/>
      <c r="E37" s="26"/>
      <c r="F37" s="32" t="s">
        <v>187</v>
      </c>
      <c r="G37" s="25"/>
      <c r="H37" s="25"/>
      <c r="I37" s="25"/>
      <c r="J37" s="26"/>
      <c r="K37" s="33" t="s">
        <v>187</v>
      </c>
      <c r="L37" s="25"/>
      <c r="M37" s="25"/>
      <c r="N37" s="25"/>
      <c r="O37" s="26"/>
      <c r="P37" s="34" t="s">
        <v>187</v>
      </c>
      <c r="Q37" s="25"/>
      <c r="R37" s="25"/>
      <c r="S37" s="25"/>
      <c r="T37" s="26"/>
    </row>
    <row r="38" spans="1:20" ht="16" x14ac:dyDescent="0.2">
      <c r="A38" s="11" t="s">
        <v>188</v>
      </c>
      <c r="B38" s="38">
        <f>B21+SUMIFS(data!$H$1:$H$1683,data!$A$1:$A$1683,"Sales - Heron Fields occupational rent")+SUMIFS(data!$H$1:$H$1683,data!$A$1:$A$1683,"Sales - Heron View Occupational Rent")+SUMIFS(data!$H$1:$H$1683,data!$A$1:$A$1683,"Rental Income")</f>
        <v>307494049.01999998</v>
      </c>
      <c r="C38" s="39"/>
      <c r="D38" s="39"/>
      <c r="E38" s="40"/>
      <c r="F38" s="11" t="s">
        <v>188</v>
      </c>
      <c r="G38" s="29">
        <f>G21</f>
        <v>307042173.9130435</v>
      </c>
      <c r="H38" s="25"/>
      <c r="I38" s="25"/>
      <c r="J38" s="26"/>
      <c r="K38" s="11" t="s">
        <v>188</v>
      </c>
      <c r="L38" s="29">
        <f>L21</f>
        <v>307042173.9130435</v>
      </c>
      <c r="M38" s="25"/>
      <c r="N38" s="25"/>
      <c r="O38" s="26"/>
      <c r="P38" s="11" t="s">
        <v>188</v>
      </c>
      <c r="Q38" s="29">
        <f>Q21</f>
        <v>307042173.9130435</v>
      </c>
      <c r="R38" s="25"/>
      <c r="S38" s="25"/>
      <c r="T38" s="26"/>
    </row>
    <row r="39" spans="1:20" ht="16" x14ac:dyDescent="0.2">
      <c r="A39" s="11" t="s">
        <v>189</v>
      </c>
      <c r="B39" s="29">
        <f>SUMIFS(data!$H$1:$H$1683,data!$A$1:$A$1683,"Interest Received - Momentum")</f>
        <v>3764831.17</v>
      </c>
      <c r="C39" s="25"/>
      <c r="D39" s="25"/>
      <c r="E39" s="26"/>
      <c r="F39" s="11" t="s">
        <v>189</v>
      </c>
      <c r="G39" s="29">
        <f>SUMIFS(data!$H$1:$H$1683,data!$A$1:$A$1683,"Interest Received - Momentum")</f>
        <v>3764831.17</v>
      </c>
      <c r="H39" s="25"/>
      <c r="I39" s="25"/>
      <c r="J39" s="26"/>
      <c r="K39" s="11" t="s">
        <v>189</v>
      </c>
      <c r="L39" s="29">
        <f>SUMIFS(data!$H$1:$H$1683,data!$A$1:$A$1683,"Interest Received - Momentum")</f>
        <v>3764831.17</v>
      </c>
      <c r="M39" s="25"/>
      <c r="N39" s="25"/>
      <c r="O39" s="26"/>
      <c r="P39" s="11" t="s">
        <v>189</v>
      </c>
      <c r="Q39" s="29">
        <f>SUMIFS(data!$H$1:$H$1683,data!$A$1:$A$1683,"Interest Received - Momentum")</f>
        <v>3764831.17</v>
      </c>
      <c r="R39" s="25"/>
      <c r="S39" s="25"/>
      <c r="T39" s="26"/>
    </row>
    <row r="40" spans="1:20" ht="16" x14ac:dyDescent="0.2">
      <c r="A40" s="11" t="s">
        <v>190</v>
      </c>
      <c r="B40" s="29">
        <f>SUMIFS(data!$H$1:$H$1683,data!$B$1:$B$1683,"Operating Expenses")+SUMIFS(data!$H$1:$H$1683,data!$B$1:$B$1683,"COS")-SUM(C44:C50)</f>
        <v>333751814.13999993</v>
      </c>
      <c r="C40" s="25"/>
      <c r="D40" s="25"/>
      <c r="E40" s="26"/>
      <c r="F40" s="11" t="s">
        <v>190</v>
      </c>
      <c r="G40" s="29">
        <f>SUMIFS(data!$H$1:$H$1683,data!$B$1:$B$1683,"Operating Expenses")+SUMIFS(data!$H$1:$H$1683,data!$B$1:$B$1683,"COS")-SUM(C44:C50)</f>
        <v>333751814.13999993</v>
      </c>
      <c r="H40" s="25"/>
      <c r="I40" s="25"/>
      <c r="J40" s="26"/>
      <c r="K40" s="11" t="s">
        <v>190</v>
      </c>
      <c r="L40" s="29">
        <f>SUMIFS(data!$H$1:$H$1683,data!$B$1:$B$1683,"Operating Expenses")+SUMIFS(data!$H$1:$H$1683,data!$B$1:$B$1683,"COS")-SUM(C44:C50)</f>
        <v>333751814.13999993</v>
      </c>
      <c r="M40" s="25"/>
      <c r="N40" s="25"/>
      <c r="O40" s="26"/>
      <c r="P40" s="11" t="s">
        <v>190</v>
      </c>
      <c r="Q40" s="29">
        <f>SUMIFS(data!$H$1:$H$1683,data!$B$1:$B$1683,"Operating Expenses")+SUMIFS(data!$H$1:$H$1683,data!$B$1:$B$1683,"COS")-SUM(C44:C50)</f>
        <v>333751814.13999993</v>
      </c>
      <c r="R40" s="25"/>
      <c r="S40" s="25"/>
      <c r="T40" s="26"/>
    </row>
    <row r="41" spans="1:20" ht="16" hidden="1" x14ac:dyDescent="0.2">
      <c r="A41" s="11" t="s">
        <v>191</v>
      </c>
      <c r="B41" s="29">
        <v>0</v>
      </c>
      <c r="C41" s="25"/>
      <c r="D41" s="25"/>
      <c r="E41" s="26"/>
      <c r="F41" s="11" t="s">
        <v>191</v>
      </c>
      <c r="G41" s="29">
        <v>0</v>
      </c>
      <c r="H41" s="25"/>
      <c r="I41" s="25"/>
      <c r="J41" s="26"/>
      <c r="K41" s="11" t="s">
        <v>191</v>
      </c>
      <c r="L41" s="29">
        <v>0</v>
      </c>
      <c r="M41" s="25"/>
      <c r="N41" s="25"/>
      <c r="O41" s="26"/>
      <c r="P41" s="11" t="s">
        <v>191</v>
      </c>
      <c r="Q41" s="29">
        <v>0</v>
      </c>
      <c r="R41" s="25"/>
      <c r="S41" s="25"/>
      <c r="T41" s="26"/>
    </row>
    <row r="42" spans="1:20" ht="16" x14ac:dyDescent="0.2">
      <c r="A42" s="15" t="s">
        <v>192</v>
      </c>
      <c r="B42" s="24">
        <f>B38+B39-B40-B41</f>
        <v>-22492933.949999928</v>
      </c>
      <c r="C42" s="25"/>
      <c r="D42" s="25"/>
      <c r="E42" s="26"/>
      <c r="F42" s="15" t="s">
        <v>192</v>
      </c>
      <c r="G42" s="24">
        <f>G38+G39-G40-G41</f>
        <v>-22944809.05695641</v>
      </c>
      <c r="H42" s="25"/>
      <c r="I42" s="25"/>
      <c r="J42" s="26"/>
      <c r="K42" s="15" t="s">
        <v>192</v>
      </c>
      <c r="L42" s="24">
        <f>L38+L39-L40-L41</f>
        <v>-22944809.05695641</v>
      </c>
      <c r="M42" s="25"/>
      <c r="N42" s="25"/>
      <c r="O42" s="26"/>
      <c r="P42" s="15" t="s">
        <v>192</v>
      </c>
      <c r="Q42" s="24">
        <f>Q38+Q39-Q40-Q41</f>
        <v>-22944809.05695641</v>
      </c>
      <c r="R42" s="25"/>
      <c r="S42" s="25"/>
      <c r="T42" s="26"/>
    </row>
    <row r="43" spans="1:20" ht="16" x14ac:dyDescent="0.2">
      <c r="A43" s="16" t="s">
        <v>193</v>
      </c>
      <c r="B43" s="17">
        <v>0</v>
      </c>
      <c r="C43" s="16">
        <f>E53*B43</f>
        <v>0</v>
      </c>
      <c r="D43" s="16"/>
      <c r="E43" s="16"/>
      <c r="F43" s="16" t="s">
        <v>106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194</v>
      </c>
      <c r="B44" s="17">
        <v>0.05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4902692.4200000009</v>
      </c>
      <c r="D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"&lt;="&amp;B3)))-C44</f>
        <v>93151155.980000019</v>
      </c>
      <c r="E44" s="16">
        <f t="shared" ref="E44:E50" si="0">C44/$E$20</f>
        <v>33126.300135135141</v>
      </c>
      <c r="F44" s="16" t="s">
        <v>63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195</v>
      </c>
      <c r="B45" s="9">
        <v>4</v>
      </c>
      <c r="C45" s="37">
        <f>400000*B45</f>
        <v>1600000</v>
      </c>
      <c r="D45" s="37">
        <f>(SUMIFS(data!$H$1:$H$1683,data!$A$1:$A$1683,"Rent Salaries and Wages")-SUMIFS(data!$H$1:$H$1683,data!$A$1:$A$1683,"Rent Salaries and Wages",data!$I$1:$I$1683,"&lt;="&amp;'NSST Print'!B3))-C45</f>
        <v>6400000</v>
      </c>
      <c r="E45" s="16">
        <f t="shared" si="0"/>
        <v>10810.81081081081</v>
      </c>
      <c r="F45" s="16" t="s">
        <v>195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0</v>
      </c>
      <c r="C46" s="16">
        <f>(SUMIFS(data!$H$1:$H$1683,data!$A$1:$A$1683,"CPSD")-SUMIFS(data!$H$1:$H$1683,data!$A$1:$A$1683,"CPSD",data!$I$1:$I$1683,"&lt;="&amp;'NSST Print'!B3))*B46</f>
        <v>0</v>
      </c>
      <c r="D46" s="16">
        <f>(SUMIFS(data!$H$1:$H$1683,data!$A$1:$A$1683,"CPSD")-SUMIFS(data!$H$1:$H$1683,data!$A$1:$A$1683,"CPSD",data!$I$1:$I$1683,"&lt;="&amp;'NSST Print'!B3))-C46</f>
        <v>3140378.8100000005</v>
      </c>
      <c r="E46" s="16">
        <f t="shared" si="0"/>
        <v>0</v>
      </c>
      <c r="F46" s="16" t="s">
        <v>122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0</v>
      </c>
      <c r="C47" s="16">
        <f>(SUMIFS(data!$H$1:$H$1683,data!$A$1:$A$1683,"Opp Invest")-SUMIFS(data!$H$1:$H$1683,data!$A$1:$A$1683,"Opp Invest",data!$I$1:$I$1683,"&lt;="&amp;'NSST Print'!B3))*B47</f>
        <v>0</v>
      </c>
      <c r="D47" s="16">
        <f>(SUMIFS(data!$H$1:$H$1683,data!$A$1:$A$1683,"Opp Invest")-SUMIFS(data!$H$1:$H$1683,data!$A$1:$A$1683,"Opp Invest",data!$I$1:$I$1683,"&lt;="&amp;'NSST Print'!B3))-C47</f>
        <v>3929143.0199999977</v>
      </c>
      <c r="E47" s="16">
        <f t="shared" si="0"/>
        <v>0</v>
      </c>
      <c r="F47" s="16" t="s">
        <v>125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196</v>
      </c>
      <c r="B48" s="17">
        <v>0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0</v>
      </c>
      <c r="D48" s="16">
        <f>(SUMPRODUCT(ISNUMBER(SEARCH("Interest Paid - Investors",data!$A$2:$A$1683))*(data!$H$2:$H$1683))-SUMPRODUCT( --(ISNUMBER(SEARCH("Interest Paid - Investors", data!$A$2:$A$1683))), --(data!$I$2:$I$1683 &lt;= B3), data!$H$2:$H$1683 ))-C48</f>
        <v>32815021.059999995</v>
      </c>
      <c r="E48" s="16">
        <f t="shared" si="0"/>
        <v>0</v>
      </c>
      <c r="F48" s="16" t="s">
        <v>43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197</v>
      </c>
      <c r="B49" s="17">
        <v>0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0</v>
      </c>
      <c r="D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Print'!B3)))-C49</f>
        <v>10878341.119999999</v>
      </c>
      <c r="E49" s="16">
        <f t="shared" si="0"/>
        <v>0</v>
      </c>
      <c r="F49" s="16" t="s">
        <v>97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178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97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198</v>
      </c>
      <c r="B51" s="17">
        <v>1</v>
      </c>
      <c r="C51" s="16">
        <f>SUMIFS(data!$H$1:$H$1683,data!$A$1:$A$1683,"Early Exit Loan")*B51</f>
        <v>16771234.67</v>
      </c>
      <c r="D51" s="16"/>
      <c r="E51" s="16">
        <f>SUM(E44:E50)</f>
        <v>43937.110945945955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172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172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172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172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B10:E10"/>
    <mergeCell ref="G10:J10"/>
    <mergeCell ref="L10:O10"/>
    <mergeCell ref="Q10:T10"/>
    <mergeCell ref="B11:E11"/>
    <mergeCell ref="G11:J11"/>
    <mergeCell ref="L11:O11"/>
    <mergeCell ref="Q11:T11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A28:E28"/>
    <mergeCell ref="F28:J28"/>
    <mergeCell ref="K28:O28"/>
    <mergeCell ref="P28:T28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A37:E37"/>
    <mergeCell ref="F37:J37"/>
    <mergeCell ref="K37:O37"/>
    <mergeCell ref="P37:T37"/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2023-11-26T07:51:35Z</dcterms:created>
  <dcterms:modified xsi:type="dcterms:W3CDTF">2023-11-27T16:02:30Z</dcterms:modified>
</cp:coreProperties>
</file>