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10271034-43FA-CB40-8078-2A86043547F8}" xr6:coauthVersionLast="47" xr6:coauthVersionMax="47" xr10:uidLastSave="{00000000-0000-0000-0000-000000000000}"/>
  <bookViews>
    <workbookView xWindow="4340" yWindow="500" windowWidth="24460" windowHeight="15980" activeTab="1" xr2:uid="{00000000-000D-0000-FFFF-FFFF00000000}"/>
  </bookViews>
  <sheets>
    <sheet name="CPC CREDITORS" sheetId="1" state="hidden" r:id="rId1"/>
    <sheet name="Heron Fields" sheetId="2" r:id="rId2"/>
    <sheet name="CPC" sheetId="3" r:id="rId3"/>
    <sheet name="Cost of Sales Summary" sheetId="4" state="hidden" r:id="rId4"/>
    <sheet name="CPC 24" sheetId="5" r:id="rId5"/>
    <sheet name="CPC 25" sheetId="6" r:id="rId6"/>
    <sheet name="DEVELOPERS FEES" sheetId="7" r:id="rId7"/>
    <sheet name="2023 Xero HF" sheetId="8" r:id="rId8"/>
    <sheet name="Sheet2" sheetId="9" r:id="rId9"/>
    <sheet name="2024 Xero HF  " sheetId="10" r:id="rId10"/>
    <sheet name="2025 Xero HF" sheetId="11" r:id="rId11"/>
    <sheet name="TB HF 2024" sheetId="12" r:id="rId12"/>
    <sheet name="TB HF 2023" sheetId="13" r:id="rId13"/>
    <sheet name="TB HF 2022" sheetId="14" r:id="rId14"/>
  </sheets>
  <definedNames>
    <definedName name="CurrentPeriod">#REF!</definedName>
    <definedName name="Cust002">"Drill to YTD Sales Document Summary||AE-SQL-AR12-3-3||StartingDate;EndingDate;9||ActiveSheet||1"</definedName>
    <definedName name="End_Date">#REF!</definedName>
    <definedName name="ENG_BI_CORE_LOCATION">"C:\Pastel19\Custom\SageIntelligence\"</definedName>
    <definedName name="ENG_BI_EXE_FULL_PATH">"C:\Pastel19\Custom\SageIntelligence\BICORE.EXE"</definedName>
    <definedName name="ENG_BI_EXE_NAME" hidden="1">"BICORE.EXE"</definedName>
    <definedName name="ENG_BI_EXEC_CMD_ARGS" hidden="1">"03304607806807307506509408508403605007003304907412708906908707207908410406808007306906508506509205805707708308707008708405405412513207506708409808107006604906113012310412111410912309811710506807007206509307207707908006208107008305306207308709506908708"</definedName>
    <definedName name="ENG_BI_EXEC_CMD_ARGS_2" hidden="1">"90510501291230991171141141250981161100690670850650870880870880910680650880680830690770620540590640610600510580600580580590530560500680590510560640510540630570600640510640660500490570600520600590530570540680590500600640510500550590530580560680640511251"</definedName>
    <definedName name="ENG_BI_EXEC_CMD_ARGS_3" hidden="1">"32096113122098112110099085074078075072080069073061105115125132102113117107109106104080069088084078085067083082081066082089072070084074087066084081062068063092072070084074092072069087070093084065087089069085099074078095070084089050053130123104121117102"</definedName>
    <definedName name="ENG_BI_EXEC_CMD_ARGS_4" hidden="1">"113106100089115105087101118118117101089102115123097119110118110092101118123102115065070101113115110132124079091069070087069072085065091074077087066050126"</definedName>
    <definedName name="ENG_BI_GEN_LIC" hidden="1">"0"</definedName>
    <definedName name="ENG_BI_GEN_LIC_WS" hidden="1">"True"</definedName>
    <definedName name="ENG_BI_LANG_CODE" hidden="1">"en"</definedName>
    <definedName name="ENG_BI_LBI" hidden="1">"KXRLU1PPH6"</definedName>
    <definedName name="ENG_BI_PROFILE_PATH" hidden="1">"\\alchemex-srv\Alchemex\SMIRepos\MAS500\Financial Reports 2-3 (MAS 500)\BICORE_profiler_20120205_123642.csv"</definedName>
    <definedName name="ENG_BI_REPOS_FILE" hidden="1">"C:\PASTEL19\CUSTOM\REGISTRATION\alchemex.svd"</definedName>
    <definedName name="ENG_BI_REPOS_PATH" hidden="1">"C:\PASTEL19\CUSTOM\REGISTRATION\"</definedName>
    <definedName name="ENG_BI_TLA" hidden="1">"155;104;10;168;238;99;85;63;190;139;88;114;206;17;98;50;233;159;211;252;236;185;248;250;164;80;95;116;75;125;251;45"</definedName>
    <definedName name="ENG_BI_TLA2" hidden="1">"240;104;90;82;254;98;195;154;139;176;159;100;129;121;220;117;161;64;183;18;250;163;165;31;85;187;88;233;226;254;128;124"</definedName>
    <definedName name="FiscYrEnd">#REF!</definedName>
    <definedName name="INFO_BI_EXE_NAME" hidden="1">"BICORE.EXE"</definedName>
    <definedName name="INFO_EXE_SERVER_PATH" hidden="1">"C:\Pastel19\Custom\SageIntelligence\BICORE.EXE"</definedName>
    <definedName name="INFO_INSTANCE_ID" hidden="1">"0"</definedName>
    <definedName name="INFO_INSTANCE_NAME" hidden="1">"Management Pack D-2-7_20210827_11_00_52_000.xls"</definedName>
    <definedName name="INFO_REPORT_CODE" hidden="1">"P10-FI01-2-3"</definedName>
    <definedName name="INFO_REPORT_ID" hidden="1">"2"</definedName>
    <definedName name="INFO_REPORT_NAAM" hidden="1">"Financial Reports 2-0 (MAS 500)"</definedName>
    <definedName name="INFO_REPORT_NAME" hidden="1">"Management Pack D-2-7"</definedName>
    <definedName name="INFO_RUN_USER" hidden="1">""</definedName>
    <definedName name="INFO_RUN_WORKSTATION" hidden="1">"VBS32"</definedName>
    <definedName name="LayoutNumPeriods">#REF!</definedName>
    <definedName name="RawData" localSheetId="9">#REF!</definedName>
    <definedName name="RawData" localSheetId="10">#REF!</definedName>
    <definedName name="RawData">#REF!</definedName>
    <definedName name="Retained_Earnings">#REF!</definedName>
    <definedName name="SelectedDate">#REF!</definedName>
    <definedName name="SV_AUTO_CONN_CATALOG" hidden="1">"PAS19INVEST21"</definedName>
    <definedName name="SV_AUTO_CONN_SERVER" hidden="1">""</definedName>
    <definedName name="SV_DBTYPE">"19"</definedName>
    <definedName name="SV_ENCPT_AUTO_CONN_PASSWORD" hidden="1">"083096084083070038"</definedName>
    <definedName name="SV_ENCPT_AUTO_CONN_USER" hidden="1">"095094088070084"</definedName>
    <definedName name="SV_ENCPT_LOGON_PWD" hidden="1">"078104085088070"</definedName>
    <definedName name="SV_ENCPT_LOGON_USER" hidden="1">"095094088070084074070071067085080086"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"P10-FI01-2-3"</definedName>
    <definedName name="SV_REPORT_ID">"2"</definedName>
    <definedName name="SV_REPORT_NAME">"Management Pack D-2-7"</definedName>
    <definedName name="SV_REPOSCODE">""</definedName>
    <definedName name="SV_SOLUTION_ID">"33"</definedName>
    <definedName name="SV_TENANT_CODE">"PAS19INVEST21"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4" l="1"/>
  <c r="E63" i="14"/>
  <c r="D63" i="14"/>
  <c r="F94" i="13"/>
  <c r="E94" i="13"/>
  <c r="D94" i="13"/>
  <c r="F89" i="12"/>
  <c r="E89" i="12"/>
  <c r="D89" i="12"/>
  <c r="E65" i="11"/>
  <c r="D65" i="11"/>
  <c r="K63" i="11"/>
  <c r="J63" i="11"/>
  <c r="I63" i="11"/>
  <c r="H63" i="11"/>
  <c r="G63" i="11"/>
  <c r="F63" i="11"/>
  <c r="E63" i="11"/>
  <c r="D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N46" i="11"/>
  <c r="C46" i="11"/>
  <c r="C45" i="11"/>
  <c r="C44" i="11"/>
  <c r="O43" i="11"/>
  <c r="O63" i="11" s="1"/>
  <c r="M43" i="11"/>
  <c r="M63" i="11" s="1"/>
  <c r="L43" i="11"/>
  <c r="L63" i="11" s="1"/>
  <c r="C43" i="11"/>
  <c r="C42" i="11"/>
  <c r="C41" i="11"/>
  <c r="C40" i="11"/>
  <c r="C39" i="11"/>
  <c r="C38" i="11"/>
  <c r="C37" i="11"/>
  <c r="C36" i="11"/>
  <c r="C35" i="11"/>
  <c r="C34" i="11"/>
  <c r="C33" i="11"/>
  <c r="C63" i="11" s="1"/>
  <c r="O30" i="11"/>
  <c r="N30" i="11"/>
  <c r="M30" i="11"/>
  <c r="L30" i="11"/>
  <c r="K30" i="11"/>
  <c r="J30" i="11"/>
  <c r="I30" i="11"/>
  <c r="H30" i="11"/>
  <c r="G30" i="11"/>
  <c r="F30" i="11"/>
  <c r="E30" i="11"/>
  <c r="D30" i="11"/>
  <c r="C29" i="11"/>
  <c r="C30" i="11" s="1"/>
  <c r="H26" i="11"/>
  <c r="H65" i="11" s="1"/>
  <c r="G26" i="11"/>
  <c r="G65" i="11" s="1"/>
  <c r="F26" i="11"/>
  <c r="F65" i="11" s="1"/>
  <c r="M24" i="11"/>
  <c r="L24" i="11"/>
  <c r="K24" i="11"/>
  <c r="J24" i="11"/>
  <c r="J26" i="11" s="1"/>
  <c r="I24" i="11"/>
  <c r="H24" i="11"/>
  <c r="G24" i="11"/>
  <c r="F24" i="11"/>
  <c r="E24" i="11"/>
  <c r="D24" i="11"/>
  <c r="C23" i="11"/>
  <c r="C22" i="11"/>
  <c r="C21" i="11"/>
  <c r="C20" i="11"/>
  <c r="C19" i="11"/>
  <c r="C18" i="11"/>
  <c r="C17" i="11"/>
  <c r="C16" i="11"/>
  <c r="O15" i="11"/>
  <c r="O24" i="11" s="1"/>
  <c r="O26" i="11" s="1"/>
  <c r="O65" i="11" s="1"/>
  <c r="N15" i="11"/>
  <c r="N24" i="11" s="1"/>
  <c r="N26" i="11" s="1"/>
  <c r="M15" i="11"/>
  <c r="C14" i="11"/>
  <c r="O11" i="11"/>
  <c r="N11" i="11"/>
  <c r="M11" i="11"/>
  <c r="M26" i="11" s="1"/>
  <c r="M65" i="11" s="1"/>
  <c r="L11" i="11"/>
  <c r="L26" i="11" s="1"/>
  <c r="L65" i="11" s="1"/>
  <c r="K11" i="11"/>
  <c r="K26" i="11" s="1"/>
  <c r="K65" i="11" s="1"/>
  <c r="J11" i="11"/>
  <c r="I11" i="11"/>
  <c r="I26" i="11" s="1"/>
  <c r="H11" i="11"/>
  <c r="G11" i="11"/>
  <c r="F11" i="11"/>
  <c r="E11" i="11"/>
  <c r="E26" i="11" s="1"/>
  <c r="D11" i="11"/>
  <c r="D26" i="11" s="1"/>
  <c r="C10" i="11"/>
  <c r="N9" i="11"/>
  <c r="C9" i="11" s="1"/>
  <c r="N8" i="11"/>
  <c r="C8" i="11"/>
  <c r="C11" i="11" s="1"/>
  <c r="O69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K34" i="10"/>
  <c r="C34" i="10" s="1"/>
  <c r="C67" i="10" s="1"/>
  <c r="O31" i="10"/>
  <c r="N31" i="10"/>
  <c r="M31" i="10"/>
  <c r="L31" i="10"/>
  <c r="K31" i="10"/>
  <c r="J31" i="10"/>
  <c r="I31" i="10"/>
  <c r="H31" i="10"/>
  <c r="G31" i="10"/>
  <c r="F31" i="10"/>
  <c r="E31" i="10"/>
  <c r="D31" i="10"/>
  <c r="K29" i="10"/>
  <c r="C29" i="10" s="1"/>
  <c r="C31" i="10" s="1"/>
  <c r="L26" i="10"/>
  <c r="L69" i="10" s="1"/>
  <c r="K26" i="10"/>
  <c r="K69" i="10" s="1"/>
  <c r="J26" i="10"/>
  <c r="J69" i="10" s="1"/>
  <c r="O24" i="10"/>
  <c r="N24" i="10"/>
  <c r="M24" i="10"/>
  <c r="L24" i="10"/>
  <c r="K24" i="10"/>
  <c r="J24" i="10"/>
  <c r="H24" i="10"/>
  <c r="G24" i="10"/>
  <c r="I23" i="10"/>
  <c r="F23" i="10"/>
  <c r="L21" i="2" s="1"/>
  <c r="C23" i="10"/>
  <c r="C22" i="10"/>
  <c r="C21" i="10"/>
  <c r="C20" i="10"/>
  <c r="C19" i="10"/>
  <c r="C18" i="10"/>
  <c r="C17" i="10"/>
  <c r="C16" i="10"/>
  <c r="I15" i="10"/>
  <c r="H15" i="10"/>
  <c r="O20" i="2" s="1"/>
  <c r="G15" i="10"/>
  <c r="F15" i="10"/>
  <c r="E15" i="10"/>
  <c r="E24" i="10" s="1"/>
  <c r="D15" i="10"/>
  <c r="C14" i="10"/>
  <c r="O11" i="10"/>
  <c r="O26" i="10" s="1"/>
  <c r="N11" i="10"/>
  <c r="N26" i="10" s="1"/>
  <c r="N69" i="10" s="1"/>
  <c r="M11" i="10"/>
  <c r="M26" i="10" s="1"/>
  <c r="M69" i="10" s="1"/>
  <c r="L11" i="10"/>
  <c r="K11" i="10"/>
  <c r="J11" i="10"/>
  <c r="I11" i="10"/>
  <c r="H11" i="10"/>
  <c r="G11" i="10"/>
  <c r="F11" i="10"/>
  <c r="E11" i="10"/>
  <c r="D11" i="10"/>
  <c r="C10" i="10"/>
  <c r="N9" i="10"/>
  <c r="C9" i="10"/>
  <c r="N8" i="10"/>
  <c r="C8" i="10"/>
  <c r="C11" i="10" s="1"/>
  <c r="I1" i="9"/>
  <c r="O66" i="8"/>
  <c r="N66" i="8"/>
  <c r="M66" i="8"/>
  <c r="L66" i="8"/>
  <c r="K66" i="8"/>
  <c r="J66" i="8"/>
  <c r="F66" i="8"/>
  <c r="C65" i="8"/>
  <c r="C64" i="8"/>
  <c r="I63" i="8"/>
  <c r="H63" i="8"/>
  <c r="G63" i="8"/>
  <c r="F63" i="8"/>
  <c r="E63" i="8" s="1"/>
  <c r="D63" i="8" s="1"/>
  <c r="L56" i="2" s="1"/>
  <c r="C62" i="8"/>
  <c r="C61" i="8"/>
  <c r="I60" i="8"/>
  <c r="H60" i="8" s="1"/>
  <c r="G60" i="8" s="1"/>
  <c r="F59" i="8"/>
  <c r="E59" i="8" s="1"/>
  <c r="D59" i="8" s="1"/>
  <c r="C59" i="8"/>
  <c r="C58" i="8"/>
  <c r="C57" i="8"/>
  <c r="C56" i="8"/>
  <c r="F55" i="8"/>
  <c r="E55" i="8"/>
  <c r="D55" i="8" s="1"/>
  <c r="C55" i="8" s="1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G40" i="8"/>
  <c r="F40" i="8"/>
  <c r="K42" i="2" s="1"/>
  <c r="C40" i="8"/>
  <c r="H39" i="8"/>
  <c r="C39" i="8"/>
  <c r="C38" i="8"/>
  <c r="C37" i="8"/>
  <c r="C36" i="8"/>
  <c r="C35" i="8"/>
  <c r="I34" i="8"/>
  <c r="H34" i="8"/>
  <c r="G34" i="8"/>
  <c r="F34" i="8"/>
  <c r="E34" i="8" s="1"/>
  <c r="D34" i="8" s="1"/>
  <c r="M38" i="2" s="1"/>
  <c r="C33" i="8"/>
  <c r="C32" i="8"/>
  <c r="C31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C27" i="8"/>
  <c r="N24" i="8"/>
  <c r="N68" i="8" s="1"/>
  <c r="M24" i="8"/>
  <c r="M68" i="8" s="1"/>
  <c r="L24" i="8"/>
  <c r="L68" i="8" s="1"/>
  <c r="E24" i="8"/>
  <c r="O22" i="8"/>
  <c r="N22" i="8"/>
  <c r="M22" i="8"/>
  <c r="L22" i="8"/>
  <c r="K22" i="8"/>
  <c r="J22" i="8"/>
  <c r="I22" i="8"/>
  <c r="H22" i="8"/>
  <c r="G22" i="8"/>
  <c r="F22" i="8"/>
  <c r="E22" i="8"/>
  <c r="D22" i="8"/>
  <c r="C21" i="8"/>
  <c r="C20" i="8"/>
  <c r="C19" i="8"/>
  <c r="C18" i="8"/>
  <c r="C17" i="8"/>
  <c r="C16" i="8"/>
  <c r="C15" i="8"/>
  <c r="C14" i="8"/>
  <c r="C22" i="8" s="1"/>
  <c r="O11" i="8"/>
  <c r="O24" i="8" s="1"/>
  <c r="N11" i="8"/>
  <c r="M11" i="8"/>
  <c r="L11" i="8"/>
  <c r="K11" i="8"/>
  <c r="K24" i="8" s="1"/>
  <c r="K68" i="8" s="1"/>
  <c r="J11" i="8"/>
  <c r="J24" i="8" s="1"/>
  <c r="J68" i="8" s="1"/>
  <c r="I11" i="8"/>
  <c r="I24" i="8" s="1"/>
  <c r="H11" i="8"/>
  <c r="H24" i="8" s="1"/>
  <c r="G11" i="8"/>
  <c r="G24" i="8" s="1"/>
  <c r="F11" i="8"/>
  <c r="F24" i="8" s="1"/>
  <c r="F68" i="8" s="1"/>
  <c r="E11" i="8"/>
  <c r="C10" i="8"/>
  <c r="C9" i="8"/>
  <c r="D8" i="8"/>
  <c r="D11" i="8" s="1"/>
  <c r="D24" i="8" s="1"/>
  <c r="C8" i="8"/>
  <c r="C11" i="8" s="1"/>
  <c r="B36" i="7"/>
  <c r="D31" i="7"/>
  <c r="C31" i="7"/>
  <c r="M14" i="2" s="1"/>
  <c r="C30" i="7"/>
  <c r="C25" i="7"/>
  <c r="C24" i="7"/>
  <c r="C22" i="7"/>
  <c r="C21" i="7"/>
  <c r="C20" i="7"/>
  <c r="C19" i="7"/>
  <c r="C15" i="7"/>
  <c r="C14" i="7"/>
  <c r="C13" i="7"/>
  <c r="C12" i="7"/>
  <c r="C11" i="7"/>
  <c r="C10" i="7"/>
  <c r="C9" i="7"/>
  <c r="C8" i="7"/>
  <c r="L17" i="2" s="1"/>
  <c r="C7" i="7"/>
  <c r="C6" i="7"/>
  <c r="F5" i="7"/>
  <c r="C5" i="7"/>
  <c r="C4" i="7"/>
  <c r="D3" i="7"/>
  <c r="C3" i="7"/>
  <c r="C2" i="7"/>
  <c r="C27" i="7" s="1"/>
  <c r="M84" i="6"/>
  <c r="L84" i="6"/>
  <c r="K84" i="6"/>
  <c r="J84" i="6"/>
  <c r="I84" i="6"/>
  <c r="H84" i="6"/>
  <c r="G84" i="6"/>
  <c r="F84" i="6"/>
  <c r="E84" i="6"/>
  <c r="D84" i="6"/>
  <c r="C84" i="6"/>
  <c r="B84" i="6"/>
  <c r="M39" i="6"/>
  <c r="L39" i="6"/>
  <c r="K39" i="6"/>
  <c r="J39" i="6"/>
  <c r="I39" i="6"/>
  <c r="H39" i="6"/>
  <c r="G39" i="6"/>
  <c r="F39" i="6"/>
  <c r="E39" i="6"/>
  <c r="D39" i="6"/>
  <c r="C39" i="6"/>
  <c r="B39" i="6"/>
  <c r="M31" i="6"/>
  <c r="L31" i="6"/>
  <c r="K31" i="6"/>
  <c r="J31" i="6"/>
  <c r="I31" i="6"/>
  <c r="H31" i="6"/>
  <c r="G31" i="6"/>
  <c r="F31" i="6"/>
  <c r="E31" i="6"/>
  <c r="D31" i="6"/>
  <c r="C31" i="6"/>
  <c r="B31" i="6"/>
  <c r="M9" i="6"/>
  <c r="L9" i="6"/>
  <c r="L33" i="6" s="1"/>
  <c r="L86" i="6" s="1"/>
  <c r="K9" i="6"/>
  <c r="K33" i="6" s="1"/>
  <c r="K86" i="6" s="1"/>
  <c r="J9" i="6"/>
  <c r="J33" i="6" s="1"/>
  <c r="J86" i="6" s="1"/>
  <c r="I9" i="6"/>
  <c r="I33" i="6" s="1"/>
  <c r="I86" i="6" s="1"/>
  <c r="H9" i="6"/>
  <c r="H33" i="6" s="1"/>
  <c r="H86" i="6" s="1"/>
  <c r="G9" i="6"/>
  <c r="F9" i="6"/>
  <c r="E9" i="6"/>
  <c r="D9" i="6"/>
  <c r="D33" i="6" s="1"/>
  <c r="D86" i="6" s="1"/>
  <c r="C9" i="6"/>
  <c r="C33" i="6" s="1"/>
  <c r="C86" i="6" s="1"/>
  <c r="B9" i="6"/>
  <c r="B33" i="6" s="1"/>
  <c r="B86" i="6" s="1"/>
  <c r="M84" i="5"/>
  <c r="L84" i="5"/>
  <c r="K84" i="5"/>
  <c r="J84" i="5"/>
  <c r="I84" i="5"/>
  <c r="H84" i="5"/>
  <c r="G84" i="5"/>
  <c r="F84" i="5"/>
  <c r="E84" i="5"/>
  <c r="D84" i="5"/>
  <c r="C84" i="5"/>
  <c r="B84" i="5"/>
  <c r="M39" i="5"/>
  <c r="L39" i="5"/>
  <c r="K39" i="5"/>
  <c r="J39" i="5"/>
  <c r="I39" i="5"/>
  <c r="H39" i="5"/>
  <c r="G39" i="5"/>
  <c r="F39" i="5"/>
  <c r="E39" i="5"/>
  <c r="D39" i="5"/>
  <c r="C39" i="5"/>
  <c r="B39" i="5"/>
  <c r="M31" i="5"/>
  <c r="L31" i="5"/>
  <c r="K31" i="5"/>
  <c r="J31" i="5"/>
  <c r="I31" i="5"/>
  <c r="H31" i="5"/>
  <c r="G31" i="5"/>
  <c r="F31" i="5"/>
  <c r="E31" i="5"/>
  <c r="D31" i="5"/>
  <c r="C31" i="5"/>
  <c r="B31" i="5"/>
  <c r="M9" i="5"/>
  <c r="L9" i="5"/>
  <c r="L33" i="5" s="1"/>
  <c r="L86" i="5" s="1"/>
  <c r="K9" i="5"/>
  <c r="K33" i="5" s="1"/>
  <c r="K86" i="5" s="1"/>
  <c r="J9" i="5"/>
  <c r="J33" i="5" s="1"/>
  <c r="J86" i="5" s="1"/>
  <c r="I9" i="5"/>
  <c r="I33" i="5" s="1"/>
  <c r="I86" i="5" s="1"/>
  <c r="H9" i="5"/>
  <c r="H33" i="5" s="1"/>
  <c r="H86" i="5" s="1"/>
  <c r="G9" i="5"/>
  <c r="F9" i="5"/>
  <c r="E9" i="5"/>
  <c r="D9" i="5"/>
  <c r="D33" i="5" s="1"/>
  <c r="D86" i="5" s="1"/>
  <c r="C9" i="5"/>
  <c r="C33" i="5" s="1"/>
  <c r="C86" i="5" s="1"/>
  <c r="B9" i="5"/>
  <c r="B33" i="5" s="1"/>
  <c r="B86" i="5" s="1"/>
  <c r="D439" i="4"/>
  <c r="C439" i="4"/>
  <c r="B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7" i="4"/>
  <c r="D66" i="4"/>
  <c r="D65" i="4"/>
  <c r="D64" i="4"/>
  <c r="D63" i="4"/>
  <c r="D62" i="4"/>
  <c r="D61" i="4"/>
  <c r="D60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144" i="3"/>
  <c r="C144" i="3"/>
  <c r="B144" i="3"/>
  <c r="D72" i="3"/>
  <c r="C72" i="3"/>
  <c r="B72" i="3"/>
  <c r="C65" i="3"/>
  <c r="B65" i="3"/>
  <c r="B146" i="3" s="1"/>
  <c r="D63" i="3"/>
  <c r="D65" i="3" s="1"/>
  <c r="D146" i="3" s="1"/>
  <c r="C63" i="3"/>
  <c r="B63" i="3"/>
  <c r="D14" i="3"/>
  <c r="C14" i="3"/>
  <c r="B14" i="3"/>
  <c r="N56" i="2"/>
  <c r="M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I52" i="2"/>
  <c r="H52" i="2"/>
  <c r="B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P42" i="2"/>
  <c r="O42" i="2"/>
  <c r="N42" i="2"/>
  <c r="L42" i="2"/>
  <c r="I42" i="2"/>
  <c r="H42" i="2"/>
  <c r="G42" i="2"/>
  <c r="F42" i="2"/>
  <c r="D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L38" i="2"/>
  <c r="K38" i="2"/>
  <c r="J38" i="2"/>
  <c r="E38" i="2"/>
  <c r="P34" i="2"/>
  <c r="O34" i="2"/>
  <c r="N34" i="2"/>
  <c r="M34" i="2"/>
  <c r="L34" i="2"/>
  <c r="K34" i="2"/>
  <c r="K31" i="2" s="1"/>
  <c r="J34" i="2"/>
  <c r="I34" i="2"/>
  <c r="H34" i="2"/>
  <c r="G34" i="2"/>
  <c r="F34" i="2"/>
  <c r="E34" i="2"/>
  <c r="D34" i="2"/>
  <c r="C34" i="2"/>
  <c r="C31" i="2" s="1"/>
  <c r="B34" i="2"/>
  <c r="P33" i="2"/>
  <c r="O33" i="2"/>
  <c r="N33" i="2"/>
  <c r="M33" i="2"/>
  <c r="L33" i="2"/>
  <c r="K33" i="2"/>
  <c r="J33" i="2"/>
  <c r="J31" i="2" s="1"/>
  <c r="I33" i="2"/>
  <c r="H33" i="2"/>
  <c r="G33" i="2"/>
  <c r="F33" i="2"/>
  <c r="E33" i="2"/>
  <c r="D33" i="2"/>
  <c r="C33" i="2"/>
  <c r="B33" i="2"/>
  <c r="B31" i="2" s="1"/>
  <c r="P32" i="2"/>
  <c r="O32" i="2"/>
  <c r="N32" i="2"/>
  <c r="N31" i="2" s="1"/>
  <c r="M32" i="2"/>
  <c r="L32" i="2"/>
  <c r="L31" i="2" s="1"/>
  <c r="K32" i="2"/>
  <c r="J32" i="2"/>
  <c r="I32" i="2"/>
  <c r="I31" i="2" s="1"/>
  <c r="H32" i="2"/>
  <c r="H31" i="2" s="1"/>
  <c r="G32" i="2"/>
  <c r="F32" i="2"/>
  <c r="E32" i="2"/>
  <c r="D32" i="2"/>
  <c r="D31" i="2" s="1"/>
  <c r="C32" i="2"/>
  <c r="B32" i="2"/>
  <c r="P31" i="2"/>
  <c r="O31" i="2"/>
  <c r="M31" i="2"/>
  <c r="G31" i="2"/>
  <c r="F31" i="2"/>
  <c r="E31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P21" i="2"/>
  <c r="O21" i="2"/>
  <c r="M21" i="2"/>
  <c r="J21" i="2"/>
  <c r="I21" i="2"/>
  <c r="H21" i="2"/>
  <c r="G21" i="2"/>
  <c r="F21" i="2"/>
  <c r="E21" i="2"/>
  <c r="D21" i="2"/>
  <c r="C21" i="2"/>
  <c r="B21" i="2"/>
  <c r="P20" i="2"/>
  <c r="G20" i="2"/>
  <c r="F20" i="2"/>
  <c r="D20" i="2"/>
  <c r="C20" i="2"/>
  <c r="B20" i="2"/>
  <c r="N19" i="2"/>
  <c r="M19" i="2"/>
  <c r="K19" i="2"/>
  <c r="J19" i="2"/>
  <c r="I19" i="2"/>
  <c r="H19" i="2"/>
  <c r="G19" i="2"/>
  <c r="F19" i="2"/>
  <c r="E19" i="2"/>
  <c r="D19" i="2"/>
  <c r="C19" i="2"/>
  <c r="B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D17" i="2"/>
  <c r="C17" i="2"/>
  <c r="M16" i="2"/>
  <c r="L16" i="2"/>
  <c r="K16" i="2"/>
  <c r="E16" i="2"/>
  <c r="D16" i="2"/>
  <c r="C16" i="2"/>
  <c r="B16" i="2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P14" i="2"/>
  <c r="N14" i="2"/>
  <c r="K14" i="2"/>
  <c r="J14" i="2"/>
  <c r="I14" i="2"/>
  <c r="H14" i="2"/>
  <c r="F14" i="2"/>
  <c r="C14" i="2"/>
  <c r="B14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P7" i="2"/>
  <c r="O7" i="2"/>
  <c r="N7" i="2"/>
  <c r="M7" i="2"/>
  <c r="M4" i="2" s="1"/>
  <c r="L7" i="2"/>
  <c r="L4" i="2" s="1"/>
  <c r="K7" i="2"/>
  <c r="J7" i="2"/>
  <c r="I7" i="2"/>
  <c r="H7" i="2"/>
  <c r="G7" i="2"/>
  <c r="F7" i="2"/>
  <c r="E7" i="2"/>
  <c r="D7" i="2"/>
  <c r="C7" i="2"/>
  <c r="B7" i="2"/>
  <c r="N6" i="2"/>
  <c r="M6" i="2"/>
  <c r="L6" i="2"/>
  <c r="K6" i="2"/>
  <c r="I6" i="2"/>
  <c r="I4" i="2" s="1"/>
  <c r="F6" i="2"/>
  <c r="F4" i="2" s="1"/>
  <c r="E6" i="2"/>
  <c r="E4" i="2" s="1"/>
  <c r="D6" i="2"/>
  <c r="D4" i="2" s="1"/>
  <c r="C6" i="2"/>
  <c r="K4" i="2"/>
  <c r="C4" i="2"/>
  <c r="I66" i="1"/>
  <c r="I68" i="1" s="1"/>
  <c r="H66" i="1"/>
  <c r="G66" i="1"/>
  <c r="F66" i="1"/>
  <c r="E66" i="1"/>
  <c r="D66" i="1"/>
  <c r="C66" i="1"/>
  <c r="I40" i="1"/>
  <c r="H40" i="1"/>
  <c r="H70" i="1" s="1"/>
  <c r="G40" i="1"/>
  <c r="F40" i="1"/>
  <c r="E40" i="1"/>
  <c r="E70" i="1" s="1"/>
  <c r="D40" i="1"/>
  <c r="C40" i="1"/>
  <c r="I36" i="1"/>
  <c r="H36" i="1"/>
  <c r="G36" i="1"/>
  <c r="F36" i="1"/>
  <c r="E36" i="1"/>
  <c r="D36" i="1"/>
  <c r="D70" i="1" s="1"/>
  <c r="C36" i="1"/>
  <c r="I25" i="1"/>
  <c r="H25" i="1"/>
  <c r="G25" i="1"/>
  <c r="F25" i="1"/>
  <c r="E25" i="1"/>
  <c r="D25" i="1"/>
  <c r="C25" i="1"/>
  <c r="C68" i="1" s="1"/>
  <c r="I17" i="1"/>
  <c r="H17" i="1"/>
  <c r="G17" i="1"/>
  <c r="F17" i="1"/>
  <c r="E17" i="1"/>
  <c r="D17" i="1"/>
  <c r="D68" i="1" s="1"/>
  <c r="C17" i="1"/>
  <c r="E60" i="8" l="1"/>
  <c r="G66" i="8"/>
  <c r="C34" i="7"/>
  <c r="L13" i="2"/>
  <c r="D13" i="2"/>
  <c r="C13" i="2"/>
  <c r="C9" i="2" s="1"/>
  <c r="C29" i="2" s="1"/>
  <c r="N13" i="2"/>
  <c r="O13" i="2"/>
  <c r="O9" i="2" s="1"/>
  <c r="M13" i="2"/>
  <c r="G13" i="2"/>
  <c r="P13" i="2"/>
  <c r="P9" i="2" s="1"/>
  <c r="N9" i="2"/>
  <c r="N65" i="11"/>
  <c r="C24" i="8"/>
  <c r="I70" i="1"/>
  <c r="D38" i="2"/>
  <c r="G33" i="6"/>
  <c r="G86" i="6" s="1"/>
  <c r="C15" i="10"/>
  <c r="C24" i="10" s="1"/>
  <c r="C26" i="10" s="1"/>
  <c r="C69" i="10" s="1"/>
  <c r="C70" i="1"/>
  <c r="C63" i="8"/>
  <c r="I56" i="2"/>
  <c r="P56" i="2"/>
  <c r="H56" i="2"/>
  <c r="O56" i="2"/>
  <c r="G56" i="2"/>
  <c r="K56" i="2"/>
  <c r="C56" i="2"/>
  <c r="J56" i="2"/>
  <c r="B56" i="2"/>
  <c r="I65" i="11"/>
  <c r="K20" i="2"/>
  <c r="J20" i="2"/>
  <c r="M20" i="2"/>
  <c r="L20" i="2"/>
  <c r="L19" i="2"/>
  <c r="N63" i="11"/>
  <c r="L9" i="2"/>
  <c r="L29" i="2" s="1"/>
  <c r="E68" i="1"/>
  <c r="P17" i="2"/>
  <c r="H17" i="2"/>
  <c r="O17" i="2"/>
  <c r="G17" i="2"/>
  <c r="J17" i="2"/>
  <c r="B17" i="2"/>
  <c r="B13" i="2" s="1"/>
  <c r="B9" i="2" s="1"/>
  <c r="I17" i="2"/>
  <c r="H20" i="2"/>
  <c r="E33" i="5"/>
  <c r="E86" i="5" s="1"/>
  <c r="M33" i="5"/>
  <c r="M86" i="5" s="1"/>
  <c r="O16" i="2"/>
  <c r="G16" i="2"/>
  <c r="N16" i="2"/>
  <c r="F16" i="2"/>
  <c r="F13" i="2" s="1"/>
  <c r="F9" i="2" s="1"/>
  <c r="F29" i="2" s="1"/>
  <c r="I16" i="2"/>
  <c r="I13" i="2" s="1"/>
  <c r="I9" i="2" s="1"/>
  <c r="I29" i="2" s="1"/>
  <c r="P16" i="2"/>
  <c r="H16" i="2"/>
  <c r="H13" i="2" s="1"/>
  <c r="H9" i="2" s="1"/>
  <c r="D8" i="7"/>
  <c r="D27" i="7" s="1"/>
  <c r="D34" i="7" s="1"/>
  <c r="M52" i="2"/>
  <c r="E52" i="2"/>
  <c r="L52" i="2"/>
  <c r="D52" i="2"/>
  <c r="C52" i="2"/>
  <c r="K52" i="2"/>
  <c r="O52" i="2"/>
  <c r="G52" i="2"/>
  <c r="N52" i="2"/>
  <c r="F52" i="2"/>
  <c r="I24" i="10"/>
  <c r="I26" i="10" s="1"/>
  <c r="I69" i="10" s="1"/>
  <c r="E20" i="2"/>
  <c r="J65" i="11"/>
  <c r="C34" i="8"/>
  <c r="O38" i="2"/>
  <c r="G38" i="2"/>
  <c r="N38" i="2"/>
  <c r="F38" i="2"/>
  <c r="D66" i="8"/>
  <c r="D68" i="8" s="1"/>
  <c r="I38" i="2"/>
  <c r="P38" i="2"/>
  <c r="H38" i="2"/>
  <c r="F68" i="1"/>
  <c r="F70" i="1"/>
  <c r="G70" i="1"/>
  <c r="I20" i="2"/>
  <c r="B38" i="2"/>
  <c r="J52" i="2"/>
  <c r="E56" i="2"/>
  <c r="C146" i="3"/>
  <c r="F33" i="5"/>
  <c r="F86" i="5" s="1"/>
  <c r="E33" i="6"/>
  <c r="E86" i="6" s="1"/>
  <c r="M33" i="6"/>
  <c r="M86" i="6" s="1"/>
  <c r="H66" i="8"/>
  <c r="H68" i="8" s="1"/>
  <c r="G26" i="10"/>
  <c r="G69" i="10" s="1"/>
  <c r="E26" i="10"/>
  <c r="E69" i="10" s="1"/>
  <c r="E17" i="2"/>
  <c r="E13" i="2" s="1"/>
  <c r="E9" i="2" s="1"/>
  <c r="E29" i="2" s="1"/>
  <c r="D56" i="2"/>
  <c r="F17" i="2"/>
  <c r="O19" i="2"/>
  <c r="H68" i="1"/>
  <c r="G68" i="1"/>
  <c r="N4" i="2"/>
  <c r="J16" i="2"/>
  <c r="J13" i="2" s="1"/>
  <c r="J9" i="2" s="1"/>
  <c r="K17" i="2"/>
  <c r="K13" i="2" s="1"/>
  <c r="K9" i="2" s="1"/>
  <c r="K29" i="2" s="1"/>
  <c r="P19" i="2"/>
  <c r="N20" i="2"/>
  <c r="C38" i="2"/>
  <c r="P52" i="2"/>
  <c r="F56" i="2"/>
  <c r="G33" i="5"/>
  <c r="G86" i="5" s="1"/>
  <c r="F33" i="6"/>
  <c r="F86" i="6" s="1"/>
  <c r="G68" i="8"/>
  <c r="O68" i="8"/>
  <c r="I66" i="8"/>
  <c r="I68" i="8" s="1"/>
  <c r="P6" i="2"/>
  <c r="P4" i="2" s="1"/>
  <c r="H6" i="2"/>
  <c r="H4" i="2" s="1"/>
  <c r="O6" i="2"/>
  <c r="O4" i="2" s="1"/>
  <c r="G6" i="2"/>
  <c r="G4" i="2" s="1"/>
  <c r="J6" i="2"/>
  <c r="J4" i="2" s="1"/>
  <c r="B6" i="2"/>
  <c r="B4" i="2" s="1"/>
  <c r="H26" i="10"/>
  <c r="H69" i="10" s="1"/>
  <c r="D24" i="10"/>
  <c r="D26" i="10" s="1"/>
  <c r="D69" i="10" s="1"/>
  <c r="G14" i="2"/>
  <c r="O14" i="2"/>
  <c r="N21" i="2"/>
  <c r="E42" i="2"/>
  <c r="M42" i="2"/>
  <c r="F24" i="10"/>
  <c r="F26" i="10" s="1"/>
  <c r="F69" i="10" s="1"/>
  <c r="D14" i="2"/>
  <c r="D9" i="2" s="1"/>
  <c r="D29" i="2" s="1"/>
  <c r="L14" i="2"/>
  <c r="K21" i="2"/>
  <c r="B42" i="2"/>
  <c r="J42" i="2"/>
  <c r="E14" i="2"/>
  <c r="C42" i="2"/>
  <c r="C15" i="11"/>
  <c r="C24" i="11" s="1"/>
  <c r="C26" i="11" s="1"/>
  <c r="C65" i="11" s="1"/>
  <c r="F59" i="2" l="1"/>
  <c r="L36" i="2"/>
  <c r="L59" i="2" s="1"/>
  <c r="E36" i="2"/>
  <c r="E59" i="2" s="1"/>
  <c r="P29" i="2"/>
  <c r="N29" i="2"/>
  <c r="P36" i="2"/>
  <c r="O29" i="2"/>
  <c r="J57" i="2"/>
  <c r="J36" i="2" s="1"/>
  <c r="B57" i="2"/>
  <c r="B36" i="2" s="1"/>
  <c r="I57" i="2"/>
  <c r="I36" i="2" s="1"/>
  <c r="I59" i="2" s="1"/>
  <c r="H57" i="2"/>
  <c r="H36" i="2" s="1"/>
  <c r="P57" i="2"/>
  <c r="L57" i="2"/>
  <c r="D57" i="2"/>
  <c r="K57" i="2"/>
  <c r="K36" i="2" s="1"/>
  <c r="K59" i="2" s="1"/>
  <c r="C57" i="2"/>
  <c r="C36" i="2" s="1"/>
  <c r="C59" i="2" s="1"/>
  <c r="C60" i="8"/>
  <c r="C66" i="8" s="1"/>
  <c r="N57" i="2"/>
  <c r="M57" i="2"/>
  <c r="M36" i="2" s="1"/>
  <c r="G57" i="2"/>
  <c r="F57" i="2"/>
  <c r="E57" i="2"/>
  <c r="E66" i="8"/>
  <c r="E68" i="8" s="1"/>
  <c r="O57" i="2"/>
  <c r="O36" i="2" s="1"/>
  <c r="G9" i="2"/>
  <c r="G29" i="2" s="1"/>
  <c r="G59" i="2" s="1"/>
  <c r="N36" i="2"/>
  <c r="D36" i="2"/>
  <c r="D59" i="2" s="1"/>
  <c r="H29" i="2"/>
  <c r="F36" i="2"/>
  <c r="G36" i="2"/>
  <c r="B29" i="2"/>
  <c r="J29" i="2"/>
  <c r="C68" i="8"/>
  <c r="M9" i="2"/>
  <c r="M29" i="2" s="1"/>
  <c r="E34" i="7"/>
  <c r="O59" i="2" l="1"/>
  <c r="P59" i="2"/>
  <c r="N59" i="2"/>
  <c r="J59" i="2"/>
  <c r="B59" i="2"/>
  <c r="M59" i="2"/>
  <c r="H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Deric</author>
  </authors>
  <commentList>
    <comment ref="B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Deric:
49 units</t>
        </r>
      </text>
    </comment>
    <comment ref="C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Deric:
50 units</t>
        </r>
      </text>
    </comment>
    <comment ref="D6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Deric:
50 units</t>
        </r>
      </text>
    </comment>
    <comment ref="E6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Deric:
51 units</t>
        </r>
      </text>
    </comment>
    <comment ref="F6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Deric:
52 units</t>
        </r>
      </text>
    </comment>
    <comment ref="G6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Deric:
53 units</t>
        </r>
      </text>
    </comment>
    <comment ref="H6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Deric:
54 units</t>
        </r>
      </text>
    </comment>
    <comment ref="I6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Deric:
55 units</t>
        </r>
      </text>
    </comment>
    <comment ref="J6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Deric:
56 units</t>
        </r>
      </text>
    </comment>
    <comment ref="K6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Deric:
57 units</t>
        </r>
      </text>
    </comment>
    <comment ref="L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Deric:
58 units</t>
        </r>
      </text>
    </comment>
    <comment ref="M6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Deric:
59 units</t>
        </r>
      </text>
    </comment>
    <comment ref="N6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Deric:
59 units</t>
        </r>
      </text>
    </comment>
    <comment ref="O6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Deric:
59 units</t>
        </r>
      </text>
    </comment>
    <comment ref="P6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Deric:
59 units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Author:
2 units</t>
        </r>
      </text>
    </comment>
    <comment ref="E8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Author:
9 units</t>
        </r>
      </text>
    </comment>
    <comment ref="F8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>Author:
7 units</t>
        </r>
      </text>
    </comment>
    <comment ref="G8" authorId="0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Author:
11 units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Deric</author>
    <author>Author</author>
  </authors>
  <commentList>
    <comment ref="K8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Deric:
1 unit</t>
        </r>
      </text>
    </comment>
    <comment ref="L8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Deric:
1 unit</t>
        </r>
      </text>
    </comment>
    <comment ref="M8" authorId="0" shapeId="0" xr:uid="{00000000-0006-0000-0900-000003000000}">
      <text>
        <r>
          <rPr>
            <sz val="11"/>
            <color theme="1"/>
            <rFont val="Calibri"/>
            <family val="2"/>
            <scheme val="minor"/>
          </rPr>
          <t>Deric:
4 units</t>
        </r>
      </text>
    </comment>
    <comment ref="N8" authorId="0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Deric:
8 units</t>
        </r>
      </text>
    </comment>
    <comment ref="O8" authorId="1" shapeId="0" xr:uid="{00000000-0006-0000-0900-000005000000}">
      <text>
        <r>
          <rPr>
            <sz val="11"/>
            <color theme="1"/>
            <rFont val="Calibri"/>
            <family val="2"/>
            <scheme val="minor"/>
          </rPr>
          <t>Author:
7 units</t>
        </r>
      </text>
    </comment>
  </commentList>
</comments>
</file>

<file path=xl/sharedStrings.xml><?xml version="1.0" encoding="utf-8"?>
<sst xmlns="http://schemas.openxmlformats.org/spreadsheetml/2006/main" count="1911" uniqueCount="965">
  <si>
    <t>Aged Payables Summary</t>
  </si>
  <si>
    <t>Cape Projects Construction (Pty) Ltd</t>
  </si>
  <si>
    <t>As at 5 May 2023</t>
  </si>
  <si>
    <t>Ageing by due date</t>
  </si>
  <si>
    <t>Document Type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</si>
  <si>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</si>
  <si>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</si>
  <si>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</si>
  <si>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</si>
  <si>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</si>
  <si>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</si>
  <si>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</si>
  <si>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</si>
  <si>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Aged Payables</t>
  </si>
  <si>
    <t>Anicol</t>
  </si>
  <si>
    <t>Brights Hardware</t>
  </si>
  <si>
    <t>ikon</t>
  </si>
  <si>
    <t>One Stop Plumbers</t>
  </si>
  <si>
    <t>Opportunity Management Holdings</t>
  </si>
  <si>
    <t>Preem Brokerage cc</t>
  </si>
  <si>
    <t>Safenet</t>
  </si>
  <si>
    <t>Sage</t>
  </si>
  <si>
    <t>VICTOR BENCHES</t>
  </si>
  <si>
    <t>Vodacom</t>
  </si>
  <si>
    <t>Endulini</t>
  </si>
  <si>
    <t>Builders Warehouse - Endulini</t>
  </si>
  <si>
    <t>Burger Meubels CC - Endulini</t>
  </si>
  <si>
    <t>Coastal Hire - Endulini</t>
  </si>
  <si>
    <t>Developers Warehouse Pty Ltd - Endulini</t>
  </si>
  <si>
    <t>Tiletoria - Heron Fields</t>
  </si>
  <si>
    <t>Total Endulini</t>
  </si>
  <si>
    <t>Heron Fields</t>
  </si>
  <si>
    <t>AmandlaGCF - Heron Fields</t>
  </si>
  <si>
    <t>Coastal Hire - Heron Fields</t>
  </si>
  <si>
    <t>Coolag (Pty) Ltd - Heron Fields</t>
  </si>
  <si>
    <t>Metier Mixed Concrete - Heron Fields</t>
  </si>
  <si>
    <t>Sonwabo Stemele Construction Projects - Heron Fields</t>
  </si>
  <si>
    <t>Tiletoria - Heron Fields (Tiles)</t>
  </si>
  <si>
    <t>Van Neel Logistics - Heron Fields</t>
  </si>
  <si>
    <t>Verified Alarm - Heron Fields</t>
  </si>
  <si>
    <t>Total Heron Fields</t>
  </si>
  <si>
    <t>Heron Fields, Heron View</t>
  </si>
  <si>
    <t>1ST Class Coatings Cape (Pty) Ltd - Heron View</t>
  </si>
  <si>
    <t>Total Heron Fields, Heron View</t>
  </si>
  <si>
    <t>Heron View</t>
  </si>
  <si>
    <t>Afrisign - Heron View</t>
  </si>
  <si>
    <t>Builders Warehouse - Heron View Block C</t>
  </si>
  <si>
    <t>Builders Warehouse - Heron View Block P</t>
  </si>
  <si>
    <t>Coastal Hire - Heron View</t>
  </si>
  <si>
    <t>D&amp;E Steel - Heron View</t>
  </si>
  <si>
    <t>Developers Warehouse Pty Ltd - Heron View Block C</t>
  </si>
  <si>
    <t>Developers Warehouse Pty Ltd - Heron View Block P</t>
  </si>
  <si>
    <t>Elegant Roofing - Heron View</t>
  </si>
  <si>
    <t>G L Conradie - Heron View Block C - P&amp;G Rubble Removal</t>
  </si>
  <si>
    <t>G L Conradie Transport &amp; Plant Hire - Sand Heron View</t>
  </si>
  <si>
    <t>Good Hope Brick Pty Ltd T/A Cape Brick - Heron View</t>
  </si>
  <si>
    <t>Granite Projects - Heron View Block C</t>
  </si>
  <si>
    <t>Metier Mixed Concrete - Heron View</t>
  </si>
  <si>
    <t>MM Construction - Heron View - Raft - Block P</t>
  </si>
  <si>
    <t>MM Construction Brickwork - Heron View</t>
  </si>
  <si>
    <t>Orange County - Heron View Block C</t>
  </si>
  <si>
    <t>Plumblink Brackengate - Heron View Block C</t>
  </si>
  <si>
    <t>Portland Hollowcore Slabs - Subbie- Heron View - Block P</t>
  </si>
  <si>
    <t>PPC ltd - Heron View</t>
  </si>
  <si>
    <t>Rotacorp - Heron View</t>
  </si>
  <si>
    <t>SDA Joinery CC T/A Specialised Doors - Heron View</t>
  </si>
  <si>
    <t>Tiletoria - TILES - Heron View</t>
  </si>
  <si>
    <t>Topfloor Concrete Pty Ltd - Heron Views</t>
  </si>
  <si>
    <t>Total Heron View</t>
  </si>
  <si>
    <t>Percentage of total</t>
  </si>
  <si>
    <t>Actual</t>
  </si>
  <si>
    <t>Forecast</t>
  </si>
  <si>
    <t>Heron Fields P&amp;L YTD</t>
  </si>
  <si>
    <t>30 Jun 23</t>
  </si>
  <si>
    <t>31 Jul 23</t>
  </si>
  <si>
    <t>31 Aug 23</t>
  </si>
  <si>
    <t>30 Sep 23</t>
  </si>
  <si>
    <t>31 Oct 23</t>
  </si>
  <si>
    <t>30 Nov 23</t>
  </si>
  <si>
    <t>31 Dec 23</t>
  </si>
  <si>
    <t>31 Jan 24</t>
  </si>
  <si>
    <t>29 Feb 24</t>
  </si>
  <si>
    <t>31 Mar 24</t>
  </si>
  <si>
    <t>30 Apr 24</t>
  </si>
  <si>
    <t>31 May 24</t>
  </si>
  <si>
    <t>30 Jun 24</t>
  </si>
  <si>
    <t>31 Jul 24</t>
  </si>
  <si>
    <t>31 Aug 24</t>
  </si>
  <si>
    <t>Revenue</t>
  </si>
  <si>
    <t>Sales HF</t>
  </si>
  <si>
    <t>Other HF</t>
  </si>
  <si>
    <t>Cost of sales</t>
  </si>
  <si>
    <t>Construction</t>
  </si>
  <si>
    <t>Rent, Salaries &amp; wages</t>
  </si>
  <si>
    <t>Professional fees</t>
  </si>
  <si>
    <t xml:space="preserve">Professional fees CPSD </t>
  </si>
  <si>
    <t>Professional fees Opp invest</t>
  </si>
  <si>
    <t>Land</t>
  </si>
  <si>
    <t>Civils and electrical</t>
  </si>
  <si>
    <t>COCT Bulk Levy</t>
  </si>
  <si>
    <t>Investor interest</t>
  </si>
  <si>
    <t>Commissions</t>
  </si>
  <si>
    <t>L&amp;S</t>
  </si>
  <si>
    <t>Levies</t>
  </si>
  <si>
    <t>Other</t>
  </si>
  <si>
    <t>Unforseen</t>
  </si>
  <si>
    <t>Inverters</t>
  </si>
  <si>
    <t>Rates clearance</t>
  </si>
  <si>
    <t>Gross profit/(loss)</t>
  </si>
  <si>
    <t>Interest received</t>
  </si>
  <si>
    <t>Momentum</t>
  </si>
  <si>
    <t>STBB</t>
  </si>
  <si>
    <t>Deposit Grey Heron</t>
  </si>
  <si>
    <t>Expenses</t>
  </si>
  <si>
    <t>Advertising</t>
  </si>
  <si>
    <t>Admin Fee - Momentum</t>
  </si>
  <si>
    <t>Bank charges</t>
  </si>
  <si>
    <t>Indirect Expenses - CPC</t>
  </si>
  <si>
    <t>Consulting fees - Trustees</t>
  </si>
  <si>
    <t>Computer expenses</t>
  </si>
  <si>
    <t>Electricity</t>
  </si>
  <si>
    <t>Entertainment</t>
  </si>
  <si>
    <t>Insurance</t>
  </si>
  <si>
    <t>Interest Paid</t>
  </si>
  <si>
    <t>Printing &amp; Stationery</t>
  </si>
  <si>
    <t>Rates</t>
  </si>
  <si>
    <t>Refuse</t>
  </si>
  <si>
    <t>Repairs &amp; maintenance</t>
  </si>
  <si>
    <t>Secretarial fees</t>
  </si>
  <si>
    <t>Staff welfare</t>
  </si>
  <si>
    <t>Water</t>
  </si>
  <si>
    <t>Subscriptions</t>
  </si>
  <si>
    <t>Security</t>
  </si>
  <si>
    <t>Net profit/(loss)</t>
  </si>
  <si>
    <t>Profit and Loss</t>
  </si>
  <si>
    <t>For the year ended 29 February 2024</t>
  </si>
  <si>
    <t>Account</t>
  </si>
  <si>
    <t>2024</t>
  </si>
  <si>
    <t>2023</t>
  </si>
  <si>
    <t>2022</t>
  </si>
  <si>
    <t>Trading Income</t>
  </si>
  <si>
    <t>Discount Received for Cash</t>
  </si>
  <si>
    <t>Fees - Construction - Endulini</t>
  </si>
  <si>
    <t>Fees - Construction - Endulini P and G</t>
  </si>
  <si>
    <t>Fees - Construction - Heron</t>
  </si>
  <si>
    <t>Fees - Construction - Heron Fields</t>
  </si>
  <si>
    <t>Fees - Construction - Heron Fields P&amp;G</t>
  </si>
  <si>
    <t>Total Trading Income</t>
  </si>
  <si>
    <t>Cost of Sales</t>
  </si>
  <si>
    <t>COS - Bakhoven</t>
  </si>
  <si>
    <t>COS - Electricity Cost Endulini</t>
  </si>
  <si>
    <t>COS - Electricity Cost Heron Field</t>
  </si>
  <si>
    <t>COS - Endulini - Cleaning</t>
  </si>
  <si>
    <t>COS - Endulini - Consumables</t>
  </si>
  <si>
    <t>COS - Endulini - Fuel</t>
  </si>
  <si>
    <t>COS - Endulini - Health &amp; Safety</t>
  </si>
  <si>
    <t>COS - Endulini - Printing &amp; Stationary</t>
  </si>
  <si>
    <t>COS - Endulini - Security</t>
  </si>
  <si>
    <t>COS - Endulini - Site Labour</t>
  </si>
  <si>
    <t>COS - Endulini - Small Assets</t>
  </si>
  <si>
    <t>COS - Endulini - Telephone &amp; Internet</t>
  </si>
  <si>
    <t>COS - Endulini Construction</t>
  </si>
  <si>
    <t>COS - Endulini P and G</t>
  </si>
  <si>
    <t>COS - External Works</t>
  </si>
  <si>
    <t>COS - Health _AND_ Safety (2002/240)</t>
  </si>
  <si>
    <t>COS - Heron - Internet</t>
  </si>
  <si>
    <t>COS - Heron - Sales office Staff refreshments</t>
  </si>
  <si>
    <t>COS - Heron Fields - Construction</t>
  </si>
  <si>
    <t>COS - Heron Fields - Garden Services</t>
  </si>
  <si>
    <t>COS - Heron Fields - Health &amp; Safety</t>
  </si>
  <si>
    <t>COS - Heron Fields - Labourers</t>
  </si>
  <si>
    <t>COS - Heron Fields - P &amp; G</t>
  </si>
  <si>
    <t>COS - Heron Fields - Printing &amp; Stationary</t>
  </si>
  <si>
    <t>COS - Heron Fields - Security</t>
  </si>
  <si>
    <t>COS - Heron Projects insurance</t>
  </si>
  <si>
    <t>COS - Heron View - Construction</t>
  </si>
  <si>
    <t>COS - Heron View - P&amp;G</t>
  </si>
  <si>
    <t>COS - Heron View - Printing &amp; Stationary</t>
  </si>
  <si>
    <t>COS - Insurance</t>
  </si>
  <si>
    <t>COS - Internet - Fibre SUPPLY _AND_ FIT</t>
  </si>
  <si>
    <t>COS - Plumbing Sanware</t>
  </si>
  <si>
    <t>COS - Repairs &amp; Maintenance - Endulini Sales Office</t>
  </si>
  <si>
    <t>COS - Repairs &amp; Maintenance - Heron Sales Office</t>
  </si>
  <si>
    <t>COS - Repairs &amp; Maintenance - SW Southwark</t>
  </si>
  <si>
    <t>COS - Security - Guarding</t>
  </si>
  <si>
    <t>COS - Site Establishment - Consumables</t>
  </si>
  <si>
    <t>COS - Site Establishment - Security</t>
  </si>
  <si>
    <t>COS - Site Establishment Water Pump</t>
  </si>
  <si>
    <t>COS - Site Labour Labourers</t>
  </si>
  <si>
    <t>COS - Southwark - Printing</t>
  </si>
  <si>
    <t>COS - Units - Cement</t>
  </si>
  <si>
    <t>COS - Units - Outside work - Paving</t>
  </si>
  <si>
    <t>COS - Units Plumbing Supply_AND_Fit</t>
  </si>
  <si>
    <t>Cost of Sales - SouthWark Project</t>
  </si>
  <si>
    <t>Total Cost of Sales</t>
  </si>
  <si>
    <t>Gross Profit</t>
  </si>
  <si>
    <t>Other Income</t>
  </si>
  <si>
    <t>Insurance recovery</t>
  </si>
  <si>
    <t>Interest Received - FNB</t>
  </si>
  <si>
    <t>Interest received - Momentum</t>
  </si>
  <si>
    <t>Rent - CT Office</t>
  </si>
  <si>
    <t>Total Other Income</t>
  </si>
  <si>
    <t>Operating Expenses</t>
  </si>
  <si>
    <t>Accounting - Deric Dudley</t>
  </si>
  <si>
    <t>Accounting - Janine Theart</t>
  </si>
  <si>
    <t>Accounting - Warwick</t>
  </si>
  <si>
    <t>Accounting Fee - PayrollWorx</t>
  </si>
  <si>
    <t>Accounting Fees - Audit</t>
  </si>
  <si>
    <t>Accounting Fees - Other</t>
  </si>
  <si>
    <t>Accounting Fees - Tax Dept.</t>
  </si>
  <si>
    <t>Admin - Subcontractors</t>
  </si>
  <si>
    <t>Advertising - Design Fees</t>
  </si>
  <si>
    <t>Advertising - Other</t>
  </si>
  <si>
    <t>Advertising _AND_ Promotions</t>
  </si>
  <si>
    <t>Bank Charges</t>
  </si>
  <si>
    <t>BIBC Company Contribution</t>
  </si>
  <si>
    <t>BIBC Employee Contribution</t>
  </si>
  <si>
    <t>Cell Phone - Nick Morgan</t>
  </si>
  <si>
    <t>Cleaning</t>
  </si>
  <si>
    <t>Computer Exp - IT, Internet/Hosting Fee</t>
  </si>
  <si>
    <t>Computer Expenses</t>
  </si>
  <si>
    <t>Consulting Fees</t>
  </si>
  <si>
    <t>Consulting Fees - Admin and Finance</t>
  </si>
  <si>
    <t>Consulting fees - Herbert du Plessis</t>
  </si>
  <si>
    <t>Consulting fees - Quabeka</t>
  </si>
  <si>
    <t>Courier _AND_ Postage</t>
  </si>
  <si>
    <t>Depreciation - Computer Equipment</t>
  </si>
  <si>
    <t>Depreciation - Furniture and Fittings</t>
  </si>
  <si>
    <t>Depreciation - Generator Fixed Asset</t>
  </si>
  <si>
    <t>Depreciation - Motor vehicle</t>
  </si>
  <si>
    <t>Electricity _AND_ Water</t>
  </si>
  <si>
    <t>Entertainment Expenses</t>
  </si>
  <si>
    <t>Health _AND_ Safety - Labour Department</t>
  </si>
  <si>
    <t>Insurance - RBS</t>
  </si>
  <si>
    <t>Insurance - Santam</t>
  </si>
  <si>
    <t>Interest Paid - BIBC</t>
  </si>
  <si>
    <t>Interest Paid - Blou Mamba Trust</t>
  </si>
  <si>
    <t>Interest Paid - SARS</t>
  </si>
  <si>
    <t>Interest Paid - Suppliers</t>
  </si>
  <si>
    <t>Interest Paid - VAF Toyota</t>
  </si>
  <si>
    <t>Legal Fees</t>
  </si>
  <si>
    <t>Motor Vehicle - Insurance _AND_ Licence</t>
  </si>
  <si>
    <t>Motor Vehicle - Petrol _AND_ Oil</t>
  </si>
  <si>
    <t>Motor Vehicle - Repairs _AND_ Maint.</t>
  </si>
  <si>
    <t>Motor Vehicle Expenses</t>
  </si>
  <si>
    <t>PAYE Contributions</t>
  </si>
  <si>
    <t>Printing - Printer rental</t>
  </si>
  <si>
    <t>Printing _AND_ Stationery</t>
  </si>
  <si>
    <t>Rent Paid</t>
  </si>
  <si>
    <t>Repairs _AND_ Maintenance</t>
  </si>
  <si>
    <t>Salaries &amp; Wages - WCA</t>
  </si>
  <si>
    <t>Salaries _AND_ Wages</t>
  </si>
  <si>
    <t>Salaries and Wages - Shorty</t>
  </si>
  <si>
    <t>SDL Contributions</t>
  </si>
  <si>
    <t>Secretarial fees - CIPC</t>
  </si>
  <si>
    <t>Small Assets</t>
  </si>
  <si>
    <t>Staff Training</t>
  </si>
  <si>
    <t>Staff Welfare _AND_ Refreshmts</t>
  </si>
  <si>
    <t>Subscription - Candy software</t>
  </si>
  <si>
    <t>Subscriptions - SAIPA</t>
  </si>
  <si>
    <t>Subscriptions - Smartsheet</t>
  </si>
  <si>
    <t>Subscriptions &amp; Licenses - Caseware</t>
  </si>
  <si>
    <t>Subscriptions &amp; Licenses - Sage payroll</t>
  </si>
  <si>
    <t>Subscriptions &amp; Licenses - Xero</t>
  </si>
  <si>
    <t>Subscriptions / Licenses</t>
  </si>
  <si>
    <t>Telephone _AND_ Fax</t>
  </si>
  <si>
    <t>Travel - Local</t>
  </si>
  <si>
    <t>UIF Company Contributions</t>
  </si>
  <si>
    <t>UIF Employee Contribution</t>
  </si>
  <si>
    <t>Total Operating Expenses</t>
  </si>
  <si>
    <t>Net Profit</t>
  </si>
  <si>
    <t>Cost of Sales Summary</t>
  </si>
  <si>
    <t>For Site</t>
  </si>
  <si>
    <t>From 1 Mar 2021 to 31 May 2023</t>
  </si>
  <si>
    <t>Item</t>
  </si>
  <si>
    <t>Opening Balance</t>
  </si>
  <si>
    <t>Net Activity</t>
  </si>
  <si>
    <t>Closing Balance</t>
  </si>
  <si>
    <t xml:space="preserve"> Cost of Sales</t>
  </si>
  <si>
    <t>EN 303-INSURANCE</t>
  </si>
  <si>
    <t>EN 305-MAINTENANCE ALLOWANCE</t>
  </si>
  <si>
    <t>EN 308-ACCOMMODATION &amp; SUBSISTENCE</t>
  </si>
  <si>
    <t>EN 310-SITE ESTABLISHMENT</t>
  </si>
  <si>
    <t>EN 312-SITE SECURITY</t>
  </si>
  <si>
    <t>EN 313-TEMPORARY FENCING &amp; GATES ETC.</t>
  </si>
  <si>
    <t>EN 314-PHONES / FAX / INTERNET / RADIOS</t>
  </si>
  <si>
    <t>EN 315-TEMPORARY ELECTRICAL SERVICES</t>
  </si>
  <si>
    <t>EN 319-SITE SAFETY AND SAFETY EQUIPMENT.</t>
  </si>
  <si>
    <t>EN 320-MEDICALS</t>
  </si>
  <si>
    <t>EN 321-SUNDRY EXPENSES</t>
  </si>
  <si>
    <t>EN 322-ENTERTAINMENT</t>
  </si>
  <si>
    <t>EN 323-COMPUTER EXPENSES</t>
  </si>
  <si>
    <t>EN 324-PRINTING &amp; STATIONARY EXPENSES</t>
  </si>
  <si>
    <t>EN 325-MINOR PLANT AND LOOSE TOOLS</t>
  </si>
  <si>
    <t>EN 326-HOUSEKEEPING (SITE TIDINESS)</t>
  </si>
  <si>
    <t>EN 327-HAND OVER CLEANING</t>
  </si>
  <si>
    <t>EN 328-PROTECTION OF WORKS</t>
  </si>
  <si>
    <t>EN 329-HIRED PLANT INTERNAL (incl. weekends)</t>
  </si>
  <si>
    <t>EN 330-HIRED PLANT EXTERNAL</t>
  </si>
  <si>
    <t>EN 331-GENERAL TRANSPORT</t>
  </si>
  <si>
    <t>EN 332-RUBBLE MANAGEMENT</t>
  </si>
  <si>
    <t>EN 333-SCAFFOLDING</t>
  </si>
  <si>
    <t>EN 334-STANDING TIME</t>
  </si>
  <si>
    <t>EN 335-SURPLUS LABOUR</t>
  </si>
  <si>
    <t>EN 336-MATERIALS HANDLING</t>
  </si>
  <si>
    <t>EN Block A</t>
  </si>
  <si>
    <t>EN Block B</t>
  </si>
  <si>
    <t>EN Block C</t>
  </si>
  <si>
    <t>EN Block D</t>
  </si>
  <si>
    <t>EN Block E</t>
  </si>
  <si>
    <t>EN Block F</t>
  </si>
  <si>
    <t>EN Boundary Wall - Retaining</t>
  </si>
  <si>
    <t>EN Boundary Walls - Fencing</t>
  </si>
  <si>
    <t>EN C102 Maintenance</t>
  </si>
  <si>
    <t>EN CCTV System</t>
  </si>
  <si>
    <t>EN DSTV / Fibre Installation</t>
  </si>
  <si>
    <t>EN E202 Maintenance</t>
  </si>
  <si>
    <t>EN E203 Maintenance</t>
  </si>
  <si>
    <t>EN E301 Maintenance</t>
  </si>
  <si>
    <t>EN E302 Maintenance</t>
  </si>
  <si>
    <t>EN Electric Fencing</t>
  </si>
  <si>
    <t>EN Electrical meter (bulk) to site</t>
  </si>
  <si>
    <t>EN External works</t>
  </si>
  <si>
    <t>EN F203 Maintenance</t>
  </si>
  <si>
    <t>EN Fire Prevention System</t>
  </si>
  <si>
    <t>EN Gates + Motor (incl. Accentronix) Allowance</t>
  </si>
  <si>
    <t>EN Guardhouse</t>
  </si>
  <si>
    <t>EN Landscaping &amp; Water Systems</t>
  </si>
  <si>
    <t>EN NHBRC</t>
  </si>
  <si>
    <t>EN P&amp;G</t>
  </si>
  <si>
    <t>EN Refuse Room</t>
  </si>
  <si>
    <t>EN Sales Office</t>
  </si>
  <si>
    <t>EN Shadenetting</t>
  </si>
  <si>
    <t>EN site</t>
  </si>
  <si>
    <t>EN Site signage</t>
  </si>
  <si>
    <t>EN Unit numbering(numbers on doors)</t>
  </si>
  <si>
    <t>EN Waterheating System</t>
  </si>
  <si>
    <t>EN Waterheating system power supply</t>
  </si>
  <si>
    <t>ENR&amp;M 29000/29004 - Plastering</t>
  </si>
  <si>
    <t>ENR&amp;M 8000/8039 - Wayne Carpenter (Inronmongery, Carpentry etc)</t>
  </si>
  <si>
    <t>Heron Sales Office</t>
  </si>
  <si>
    <t>HF 1000/1029 - Hired Plant External</t>
  </si>
  <si>
    <t>HF 302-SITE BASED MANAGEMENT</t>
  </si>
  <si>
    <t>HF 303-INSURANCE</t>
  </si>
  <si>
    <t>HF 308-ACCOMMODATION &amp; SUBSISTENCE</t>
  </si>
  <si>
    <t>HF 312-SITE SECURITY</t>
  </si>
  <si>
    <t>HF 314-PHONES / FAX / INTERNET / RADIOS</t>
  </si>
  <si>
    <t>HF 315-TEMPORARY ELECTRICAL SERVICES</t>
  </si>
  <si>
    <t>HF 318-SETTING OUT &amp; GENERAL Assistance</t>
  </si>
  <si>
    <t>HF 319-SITE SAFETY AND SAFETY EQUIPMENT.</t>
  </si>
  <si>
    <t>HF 320-MEDICALS</t>
  </si>
  <si>
    <t>HF 321-SUNDRY EXPENSES</t>
  </si>
  <si>
    <t>HF 322-ENTERTAINMENT</t>
  </si>
  <si>
    <t>HF 324-PRINTING &amp; STATIONARY EXPENSES</t>
  </si>
  <si>
    <t>HF 325-MINOR PLANT AND LOOSE TOOLS</t>
  </si>
  <si>
    <t>HF 326-HOUSEKEEPING (SITE TIDINESS)</t>
  </si>
  <si>
    <t>HF 327-HAND OVER CLEANING</t>
  </si>
  <si>
    <t>HF 328-PROTECTION OF WORKS</t>
  </si>
  <si>
    <t>HF 329-HIRED PLANT INTERNAL (incl. weekends)</t>
  </si>
  <si>
    <t>HF 330-HIRED PLANT EXTERNAL</t>
  </si>
  <si>
    <t>HF 331-GENERAL TRANSPORT</t>
  </si>
  <si>
    <t>HF 332-RUBBLE MANAGEMENT</t>
  </si>
  <si>
    <t>HF 333-SCAFFOLDING</t>
  </si>
  <si>
    <t>HF 334-STANDING TIME</t>
  </si>
  <si>
    <t>HF 335-SURPLUS LABOUR</t>
  </si>
  <si>
    <t>HF 336-MATERIALS HANDLING</t>
  </si>
  <si>
    <t>HF 337-SITE MARKETING</t>
  </si>
  <si>
    <t>HF Block A</t>
  </si>
  <si>
    <t>HF Block B</t>
  </si>
  <si>
    <t>HF Boundary Wall - Retaining</t>
  </si>
  <si>
    <t>HF Boundary Walls - Fencing</t>
  </si>
  <si>
    <t>HF Camera conduits</t>
  </si>
  <si>
    <t>HF CCTV Poles</t>
  </si>
  <si>
    <t>HF DSTV Fibre Distribution</t>
  </si>
  <si>
    <t>HF Electric Fencing</t>
  </si>
  <si>
    <t>HF Electrical meters to units</t>
  </si>
  <si>
    <t>HF External Works</t>
  </si>
  <si>
    <t>HF Fire prevention system</t>
  </si>
  <si>
    <t>HF Gates + Motor (incl. Accentronix) Allowance</t>
  </si>
  <si>
    <t>HF Guardhouse</t>
  </si>
  <si>
    <t>HF Landscaping &amp; Water Systems</t>
  </si>
  <si>
    <t>HF P&amp;G</t>
  </si>
  <si>
    <t>HF Printing &amp; Stationery</t>
  </si>
  <si>
    <t>HF Refuse Room</t>
  </si>
  <si>
    <t>HF Retaining Wall</t>
  </si>
  <si>
    <t>HF Roofslab to house waterproofing</t>
  </si>
  <si>
    <t>HF Shadenetting</t>
  </si>
  <si>
    <t>HF Site Signage</t>
  </si>
  <si>
    <t>HF Unit numbering</t>
  </si>
  <si>
    <t>HF Waterheating system</t>
  </si>
  <si>
    <t>HF Waterheating system power supply</t>
  </si>
  <si>
    <t>HFR&amp;M 14000/14011 - Tiling Labour</t>
  </si>
  <si>
    <t>HFR&amp;M 8000/8039 - Wayne Carpenter (Installation of Carpenter, Ironmongery etc</t>
  </si>
  <si>
    <t>HV 1000/1024 - Minor plants &amp; loose tools</t>
  </si>
  <si>
    <t>HV 1000/1025 - Housekeeping (site tidiness)</t>
  </si>
  <si>
    <t>HV 1000/1029 - Hired plant external</t>
  </si>
  <si>
    <t>HV 1000/1030 - General Transport and Delivery Charges</t>
  </si>
  <si>
    <t>HV 13000/13003 - Cement bag 32.5 N</t>
  </si>
  <si>
    <t>HV 17000/17025 - Rubble Removal - Build</t>
  </si>
  <si>
    <t>HV 2000/2027 - DCP Test Kit</t>
  </si>
  <si>
    <t>HV 5000/5002 - Refuse Room supply &amp; delivery of bricks</t>
  </si>
  <si>
    <t>HV 5000/5029 - Relocation of bricks</t>
  </si>
  <si>
    <t>HV 6000/6004 - GHRRBW - DPC 375 micron (SABS) 225mm wide SABS</t>
  </si>
  <si>
    <t>HV 6000/6005 - GHRRBW - DPC 375 micron (SABS) 340mm wide SABS</t>
  </si>
  <si>
    <t>HV Block C</t>
  </si>
  <si>
    <t>HV Block D</t>
  </si>
  <si>
    <t>HV Block K</t>
  </si>
  <si>
    <t>HV Block N</t>
  </si>
  <si>
    <t>HV Block P</t>
  </si>
  <si>
    <t>HV Boundary Walls - Retaining</t>
  </si>
  <si>
    <t>HV Bulk electrical metering (PEC)</t>
  </si>
  <si>
    <t>HV Electrical meters to units</t>
  </si>
  <si>
    <t>HV General lighting</t>
  </si>
  <si>
    <t>HV Safety Signage</t>
  </si>
  <si>
    <t>HV Shadenetting</t>
  </si>
  <si>
    <t>HV Site Signage</t>
  </si>
  <si>
    <t>HVBW 1000/1030 - General Transport and Delivery Charges</t>
  </si>
  <si>
    <t>HVBW 11000/11015 - General directional signage</t>
  </si>
  <si>
    <t>HVBW 13000/13001 - Metier Plaster 1:6 8H</t>
  </si>
  <si>
    <t>HVBW 13000/13007 - Labour for plastering</t>
  </si>
  <si>
    <t>HVBW 17000/17028 - Boundery wall labour</t>
  </si>
  <si>
    <t>HVBW 3000/3018 - Reinforcing steel supply &amp; install</t>
  </si>
  <si>
    <t>HVBW 3000/3023 - Binding wire</t>
  </si>
  <si>
    <t>HVBW 3000/3030 - 25Mpa/19mm Concrete Raft</t>
  </si>
  <si>
    <t>HVBW 5000/5030 - MA190 Hollow Block</t>
  </si>
  <si>
    <t>HVBW 7000/7001 - Roof Timber supply</t>
  </si>
  <si>
    <t>HVBWGHRR 1000/1024 - Minor plant and loose tools</t>
  </si>
  <si>
    <t>HVBWGHRR 1000/1029 - Hired Plant External</t>
  </si>
  <si>
    <t>HVBWGHRR 13000/13001 - Metier Plast 1:6 8H</t>
  </si>
  <si>
    <t>HVBWGHRR 15000/15029 - Plumbing and drainage Reticulation Installation</t>
  </si>
  <si>
    <t>HVBWGHRR 16000/16001 - Painting Supply &amp; Install (First Class)</t>
  </si>
  <si>
    <t>HVBWGHRR 17000/17021 - Electric Fencing Supply &amp; Install</t>
  </si>
  <si>
    <t>HVBWGHRR 17000/17030 - Building Pipe Ribbed Sloted 110x6m</t>
  </si>
  <si>
    <t>HVBWGHRR 17000/17031 - Membrane Bidum A 1.0m Kayteck</t>
  </si>
  <si>
    <t>HVBWGHRR 3000/3012 - 30Mpa/19mm Concrete - Raft (standard)</t>
  </si>
  <si>
    <t>HVBWGHRR 3000/3018 - Reinforcing steel supply &amp; install</t>
  </si>
  <si>
    <t>HVBWGHRR 3000/3031 - 25Mpa/19mm Concrete Raft pump mix</t>
  </si>
  <si>
    <t>HVBWGHRR 5000/5002 -supply &amp; delivery of bricks</t>
  </si>
  <si>
    <t>HVBWGHRR 5000/5008 - 1.5MX114X75MM PS PC Concrete Lintel</t>
  </si>
  <si>
    <t>HVBWGHRR 5000/5010 - 2.1mx114x75mm PS PC Concrete Lintel</t>
  </si>
  <si>
    <t>HVBWGHRR 5000/5014 - Class II Mortar</t>
  </si>
  <si>
    <t>HVBWGHRR 5000/5016 - Phillipi Sand</t>
  </si>
  <si>
    <t>HVBWGHRR 5000/5027 - 13mm stone 15m3</t>
  </si>
  <si>
    <t>HVBWGHRR 6000/6001 - DPC Damp proof course - 3m wide rolls</t>
  </si>
  <si>
    <t>HVBWGHRR 6000/6004 - DPC 375 micron (SABS) 225mm wide</t>
  </si>
  <si>
    <t>HVBWGHRR 6000/6005 - DPC 375 micron (SABS)| 340mm wide</t>
  </si>
  <si>
    <t>HVBWGHRR 6000/6012 - 250 Micron Damp proof membrane 30m x 3m</t>
  </si>
  <si>
    <t>HVBWGHRR 6000/6012 - Soft Insulation Board 1220x2440x12mm</t>
  </si>
  <si>
    <t>HVBWGHRR 6000/6013 - ABE Heavy duty black coating</t>
  </si>
  <si>
    <t>HVC - Appliances</t>
  </si>
  <si>
    <t>HVC - Braai &amp; related items</t>
  </si>
  <si>
    <t>HVC - Cleaning of units (pre occupation)</t>
  </si>
  <si>
    <t>HVC - Gas installation</t>
  </si>
  <si>
    <t>HVC - Ironmongery</t>
  </si>
  <si>
    <t>HVC - Metering (Water &amp; Electrical)</t>
  </si>
  <si>
    <t>HVC - Paving</t>
  </si>
  <si>
    <t>HVC - Sanitary Accessories</t>
  </si>
  <si>
    <t>HVC - Sanitaryware</t>
  </si>
  <si>
    <t>HVC - Sewer &amp; Drainage installation</t>
  </si>
  <si>
    <t>HVC - Shower panel installation</t>
  </si>
  <si>
    <t>HVC - Structural Work (First Floor)</t>
  </si>
  <si>
    <t>HVC - Structural Work (Ground Floor)</t>
  </si>
  <si>
    <t>HVC - Timber Doorframes</t>
  </si>
  <si>
    <t>HVC - Timber Doors</t>
  </si>
  <si>
    <t>HVC - Timber skirting</t>
  </si>
  <si>
    <t>HVC 100 - Preliminaries &amp; General</t>
  </si>
  <si>
    <t>HVC 1000/1017-SETTING OUT &amp; GENERAL Assistance</t>
  </si>
  <si>
    <t>HVC 1000/1018-SITE SAFETY AND SAFETY EQUIPMENT.</t>
  </si>
  <si>
    <t>HVC 1000/1019-MEDICALS</t>
  </si>
  <si>
    <t>HVC 1000/1020 - MISCELLANEOUS (COMPLIANCE, ETC)</t>
  </si>
  <si>
    <t>HVC 1000/1023-PRINTING &amp; STATIONARY EXPENSES</t>
  </si>
  <si>
    <t>HVC 1000/1024-MINOR PLANT AND LOOSE TOOLS</t>
  </si>
  <si>
    <t>HVC 1000/1025-HOUSEKEEPING (SITE TIDINESS)</t>
  </si>
  <si>
    <t>HVC 1000/1028-HIRED PLANT INTERNAL (incl. weekends)</t>
  </si>
  <si>
    <t>HVC 1000/1029 - Hired Plant External</t>
  </si>
  <si>
    <t>HVC 1000/1029-HIRED PLANT EXTERNAL</t>
  </si>
  <si>
    <t>HVC 1000/1030 - General Transport and Delivery Charges</t>
  </si>
  <si>
    <t>HVC 1000/1031-RUBBLE MANAGEMENT</t>
  </si>
  <si>
    <t>HVC 1000/1034-SURPLUS LABOUR</t>
  </si>
  <si>
    <t>HVC 10000-Floor Coverings</t>
  </si>
  <si>
    <t>HVC 11000 - Ironmongery</t>
  </si>
  <si>
    <t>HVC 11000/11002 - Butt hinge 100mm Stainless Steel</t>
  </si>
  <si>
    <t>HVC 11000/11007 - Gelmar Munich Double towel rail</t>
  </si>
  <si>
    <t>HVC 11000/11008 - Gelmar Munich Toiletpaper holder</t>
  </si>
  <si>
    <t>HVC 11000/11012 -Labour to install accessories</t>
  </si>
  <si>
    <t>HVC 11000/11018 - Labour to install signage</t>
  </si>
  <si>
    <t>HVC 11000/11019 - Ironmongery Supply</t>
  </si>
  <si>
    <t>HVC 11000/11021 - Internal Ironware L/Handle on B/Plate Keyhole S/N</t>
  </si>
  <si>
    <t>HVC 11000/11022 - Internal Ironware SABS 2 Lever Lock S/S</t>
  </si>
  <si>
    <t>HVC 11000/11023 - Door Stop</t>
  </si>
  <si>
    <t>HVC 11000/11026 - Gelmar Towel Ring</t>
  </si>
  <si>
    <t>HVC 11000/11027 - Gelmar Robe hook</t>
  </si>
  <si>
    <t>HVC 12000 - Metalwork</t>
  </si>
  <si>
    <t>HVC 12000/12002 - Balustrades Supply &amp; Install</t>
  </si>
  <si>
    <t>HVC 12000/12003 - Shower panels supply and install</t>
  </si>
  <si>
    <t>HVC 12000/12007 - Flue Pipe 250mm x 1225mm Galv 0.5mm thick</t>
  </si>
  <si>
    <t>HVC 12000/12013 - Topfloor Steel Angles</t>
  </si>
  <si>
    <t>HVC 13000/13001 - Metier Plast 1:6 8H</t>
  </si>
  <si>
    <t>HVC 13000/13007 - Labour for Plastering</t>
  </si>
  <si>
    <t>HVC 14000 - Tiling</t>
  </si>
  <si>
    <t>HVC 14000/14002 - Tribeca Riverside Grey 430x430</t>
  </si>
  <si>
    <t>HVC 14000/14006 - Tal Ceramic Tile adhesive (20kg bags)</t>
  </si>
  <si>
    <t>HVC 14000/14007 - Tal tile grout to floor and walltiles 20.kg</t>
  </si>
  <si>
    <t>HVC 14000/14011 - Tiling Labour</t>
  </si>
  <si>
    <t>HVC 14000/14013 - Stone Crete 600x1200 Stoneware Porcelain</t>
  </si>
  <si>
    <t>HVC 15000/15001 - COBRA CUBO BATH SKIRTED CUBE 1700X700X470</t>
  </si>
  <si>
    <t>HVC 15000/15002 - COBRA SEINE BATH/SHOWER MIXER CONC</t>
  </si>
  <si>
    <t>HVC 15000/15003 - Cobra seine sick mixer swivel spout</t>
  </si>
  <si>
    <t>HVC 15000/15005 - BETA SHORTLAND C/C BOXED SUITE WHITE TOILET</t>
  </si>
  <si>
    <t>HVC 15000/15005 - BETTA SHORTLAND C/C BOXED SUITE WITH (PAN, TF CIST ETC)</t>
  </si>
  <si>
    <t>HVC 15000/15008 - PLUMLINE MERU II RECTANGULAR 1TH F.STANDING BASIN</t>
  </si>
  <si>
    <t>HVC 15000/15015 - Cobra wall mounted shower arm long</t>
  </si>
  <si>
    <t>HVC 15000/15016 - Plimline ultrathin s/steel square shower rose</t>
  </si>
  <si>
    <t>HVC 15000/15019 - TEKA BE 2B 765 SS DOUBLE BOWL UNDERMOUNT SINK c/w BSW 7</t>
  </si>
  <si>
    <t>HVC 15000/15029 - Plumbing &amp; Drainage Reticulation Installation</t>
  </si>
  <si>
    <t>HVC 15000/15039 - Gutters supply &amp; install</t>
  </si>
  <si>
    <t>HVC 15000/15040 - Solar Installation</t>
  </si>
  <si>
    <t>HVC 16000 - Paintwork, etc.</t>
  </si>
  <si>
    <t>HVC 16000/16001 - Painting supply and install</t>
  </si>
  <si>
    <t>HVC 16000/16011 - NS7</t>
  </si>
  <si>
    <t>HVC 16000/16012 - NS8</t>
  </si>
  <si>
    <t>HVC 16000/16014 - NS6</t>
  </si>
  <si>
    <t>HVC 16000/16015 - NS2</t>
  </si>
  <si>
    <t>HVC 17000/17017 - Paving (PAVATILE Lava 105x210x75mm DC Charcoal</t>
  </si>
  <si>
    <t>HVC 17000/17024 - Plant Hire</t>
  </si>
  <si>
    <t>HVC 17000/17025 - Rubble Removal - Build</t>
  </si>
  <si>
    <t>HVC 18000/18001 - Scaffolding Supply &amp; Install (CFC)</t>
  </si>
  <si>
    <t>HVC 19000/19001 - Electrical Installation</t>
  </si>
  <si>
    <t>HVC 19000/19015 - Bosch 600 Gas Hob S/S</t>
  </si>
  <si>
    <t>HVC 19000/19016 - Bosch 600 Extractor S/S</t>
  </si>
  <si>
    <t>HVC 19000/19017 - Bosch 600 Ceramic Hob S/S</t>
  </si>
  <si>
    <t>HVC 19000/19018 - Bosch 600 build in oven S/S</t>
  </si>
  <si>
    <t>HVC 2000/2005 - Hire of TLB for digging trenches, etc.</t>
  </si>
  <si>
    <t>HVC 2000/2007 - DCP Test kit</t>
  </si>
  <si>
    <t>HVC 20000/20002 - Installation unit &amp; certificate</t>
  </si>
  <si>
    <t>HVC 23000 - Cleaning</t>
  </si>
  <si>
    <t>HVC 23000/23001 - Pre-clean apartments</t>
  </si>
  <si>
    <t>HVC 28000/28001 - Civil Work &amp; Paving supply and Install</t>
  </si>
  <si>
    <t>HVC 3000 - Concrete, Formworks &amp; Reinforcing</t>
  </si>
  <si>
    <t>HVC 3000/3030 - 25Mpa/19mm Concrete - Raft</t>
  </si>
  <si>
    <t>HVC 3000/3031 - 25Mpa/19mm Concrete Raft Pump mix</t>
  </si>
  <si>
    <t>HVC 3000/3032 - 25Mpa/13mm Concrete - Pump (Standard)</t>
  </si>
  <si>
    <t>HVC 5000/5001 - Solid Maxi 14Mpa</t>
  </si>
  <si>
    <t>HVC 5000/5004 - 150mm NHBRC 2.88mm brickforce</t>
  </si>
  <si>
    <t>HVC 5000/5005 - 57mm NHBRC 2.88mm brickforce</t>
  </si>
  <si>
    <t>HVC 5000/5010 - 2.1mx114x75mm PS PC Concrete Lintel</t>
  </si>
  <si>
    <t>HVC 5000/5014 - Class II Mortar</t>
  </si>
  <si>
    <t>HVC 5000/5029 - Relocation of bricks</t>
  </si>
  <si>
    <t>HVC 6000/6003 - DPC 375 micron (SABS) 110mm wide</t>
  </si>
  <si>
    <t>HVC 6000/6004 - DPC 375 micron (SABS) 225mm wide</t>
  </si>
  <si>
    <t>HVC 6000/6005 - DPC 375 micron (SABS) 340mm wide</t>
  </si>
  <si>
    <t>HVC 6000/6006 - DPC 375 micron (SABS) 460mm wide</t>
  </si>
  <si>
    <t>HVC 6000/6012 - 250 Micron Damp proof membrane 30m x 3m</t>
  </si>
  <si>
    <t>HVC 7000/7001 - Roof Timber Supply</t>
  </si>
  <si>
    <t>HVC 8000/8002 - Interior doorframes 70x45</t>
  </si>
  <si>
    <t>HVC 8000/8005 - Horizontally slated Interior doors</t>
  </si>
  <si>
    <t>HVC 8000/8021 - Timber garden gate First Dutch fencing gate 780mm</t>
  </si>
  <si>
    <t>HVC 8000/8027 - Joinery Cupboards Supply &amp; Install</t>
  </si>
  <si>
    <t>HVC 8000/8029 - Atlas Quartz Nimbus Kitchen Worktops &amp; Vanities (Granite projects)</t>
  </si>
  <si>
    <t>HVC 8000/8030 - Labour to install Doorframes</t>
  </si>
  <si>
    <t>HVC 8000/8031 - Labour to install Doors</t>
  </si>
  <si>
    <t>HVC 8000/8032 - Labour to install Skirtings</t>
  </si>
  <si>
    <t>HVC 8000/8033 -Joint Sealing</t>
  </si>
  <si>
    <t>HVC 8000/8037 - Pergola Timber material</t>
  </si>
  <si>
    <t>HVC 8000/8038 - Atlas Quartz Miku Kitchen Worktops &amp; Vanities (Granite projects)</t>
  </si>
  <si>
    <t>HVC 8000/8039 - Wayne Carpenter (Install Ironmongery, doors, doorframes, etc.</t>
  </si>
  <si>
    <t>HVC 9000 - Ceilings &amp; Partitions</t>
  </si>
  <si>
    <t>HVC 9000/9001 - Gypsum Ceiling - Supply and Install</t>
  </si>
  <si>
    <t>HVD 1000/1023 - Printing &amp; Stationery</t>
  </si>
  <si>
    <t>HVD 1000/1024 - Minor Plant and Loose Tools</t>
  </si>
  <si>
    <t>HVD 1000/1030 - General Transport</t>
  </si>
  <si>
    <t>HVD 12000/12004 - 800mm Built in Braai 3.0mm - Single MS Black - incl pan ash</t>
  </si>
  <si>
    <t>HVD 12000/12006 - Flue 45deg Bend 250mm Gal 0.5mm thk</t>
  </si>
  <si>
    <t>HVD 12000/12007 - Flue Pipe 250mm x 1225mm Gal 0.5mm thk</t>
  </si>
  <si>
    <t>HVD 12000/12008 - Cowls</t>
  </si>
  <si>
    <t>HVD 15000/15029 - Plumbing and Drainage Reticulation Installation</t>
  </si>
  <si>
    <t>HVD 19000/19001 - Electrical reticulation Supply &amp; Install</t>
  </si>
  <si>
    <t>HVD 3000/3009 - 25Mpa19mm Concrete Pump mix</t>
  </si>
  <si>
    <t>HVD 3000/3017 - Reinforcing Steel supply only</t>
  </si>
  <si>
    <t>HVD 3000/3018 - Reinforcing steel supply &amp; install</t>
  </si>
  <si>
    <t>HVD 3000/3019 - Ref 100 Mesh</t>
  </si>
  <si>
    <t>HVD 3000/3023 - Pump Environmental Fee SR</t>
  </si>
  <si>
    <t>HVD 3000/3029 - Labor for placing raft concrete</t>
  </si>
  <si>
    <t>HVD 3000/3034 - Ref 395 Mesh</t>
  </si>
  <si>
    <t>HVD 5000/5003 - Butterfly Ties 205mm x 3.15mm NHBRC</t>
  </si>
  <si>
    <t>HVD 5000/5004 - 150mm NHBRC 2.88mm brickforce</t>
  </si>
  <si>
    <t>HVD 5000/5005 - 57mm NHBRC 2.88mm brickforce</t>
  </si>
  <si>
    <t>HVD 5000/5007 - 1.2MX114X75mm PS PC Concrete Lintel</t>
  </si>
  <si>
    <t>HVD 5000/5008 - 1.5mx114x75mm PS PC Concrete Lintel</t>
  </si>
  <si>
    <t>HVD 5000/5010 - 2.1mx114x75mm PS PC Concrete Lintel</t>
  </si>
  <si>
    <t>HVD 5000/5012 - 3.3mx114x75mm PS PC Concrete Lintel</t>
  </si>
  <si>
    <t>HVD 5000/5014 - Class II Mortar</t>
  </si>
  <si>
    <t>HVD 5000/5017 - Sika Grout 212 25kg ZH0226</t>
  </si>
  <si>
    <t>HVD 5000/5028 - Paving Bond 30mpa bricks</t>
  </si>
  <si>
    <t>HVD 6000/6003 - DPC 375 micron (SABS) 110mm wide</t>
  </si>
  <si>
    <t>HVD 6000/6004 - DPC 375 micron (SABS) 225mm wide</t>
  </si>
  <si>
    <t>HVD 6000/6005 - DPC 375 micron (SABS) 340mm wide</t>
  </si>
  <si>
    <t>HVD 6000/6012 - 250 Micron damp proof membrane 30m x 3m</t>
  </si>
  <si>
    <t>HVGH 1000/1030 - General Transport and Delivery Charges</t>
  </si>
  <si>
    <t>HVGH 12000/12001 - Aluminium Windows, Doors Supply and Install</t>
  </si>
  <si>
    <t>HVGH 13000/13007 - Labour for plastering</t>
  </si>
  <si>
    <t>HVGH 14000/14011 - Tiling Labour</t>
  </si>
  <si>
    <t>HVGH 15000/15040 - Solar Installation</t>
  </si>
  <si>
    <t>HVGH 15000/15041 - Plumline Amaro Front Flush Close couple mechanism complete</t>
  </si>
  <si>
    <t>HVGH 15000/15042 - Plumline wooden toilet seat with Nylon Hinge</t>
  </si>
  <si>
    <t>HVGH 15000/15043 - Plumline Amaro full pedestal white</t>
  </si>
  <si>
    <t>HVGH 15000/15044 - Plumline Amaro II thin rim basin</t>
  </si>
  <si>
    <t>HVGH 15000/15045 - Plumline standard click basin waste slotted</t>
  </si>
  <si>
    <t>HVGH 15000/15046 - Plumline Cygnus basin mixer</t>
  </si>
  <si>
    <t>HVGH 15000/15047 - Du Bois DB1a basin plain P trap 38 sea 32mm with 40mm outlet</t>
  </si>
  <si>
    <t>HVGH 5000/5014 Class II Mortar</t>
  </si>
  <si>
    <t>HVGH 7000/7003 - Roof sheeting Supply (Widek)</t>
  </si>
  <si>
    <t>HVGH 7000/7010 - Installation of sheets &amp; trusses</t>
  </si>
  <si>
    <t>HVGH 8000/8033 - Joint Sealing</t>
  </si>
  <si>
    <t>HVP 1000/1009-SITE ESTABLISHMENT</t>
  </si>
  <si>
    <t>HVP 1000/1018-SITE SAFETY AND SAFETY EQUIPMENT.</t>
  </si>
  <si>
    <t>HVP 1000/1020 - MISCELLANEOUS (COMPLIANCE, ETC)</t>
  </si>
  <si>
    <t>HVP 1000/1023-PRINTING &amp; STATIONARY EXPENSES</t>
  </si>
  <si>
    <t>HVP 1000/1024-MINOR PLANT AND LOOSE TOOLS</t>
  </si>
  <si>
    <t>HVP 1000/1029-HIRED PLANT EXTERNAL</t>
  </si>
  <si>
    <t>HVP 1000/1030 - General Transport and Delivery Charges</t>
  </si>
  <si>
    <t>HVP 1000/1030-GENERAL TRANSPORT</t>
  </si>
  <si>
    <t>HVP 1000/1031-RUBBLE MANAGEMENT</t>
  </si>
  <si>
    <t>HVP 11000/11007 - Gelmar Munich Double Towel Rail</t>
  </si>
  <si>
    <t>HVP 11000/11008 - Gelmar Munich Toiletpaper holder</t>
  </si>
  <si>
    <t>HVP 11000/11019 - Ironmongery Supply</t>
  </si>
  <si>
    <t>HVP 11000/11026 - Gelmar Towel Ring</t>
  </si>
  <si>
    <t>HVP 11000/11027 - Gelmar Robe Hook</t>
  </si>
  <si>
    <t>HVP 12000/12001 - Aluminium Windows &amp; Doors Supply &amp; Install</t>
  </si>
  <si>
    <t>HVP 12000/12003 - Shower panel Supply &amp; Install</t>
  </si>
  <si>
    <t>HVP 13000/13001 - Metier Plast 1:6 8H</t>
  </si>
  <si>
    <t>HVP 13000/13003 - Cement bag 32.5N</t>
  </si>
  <si>
    <t>HVP 13000/13007 - Labour for Plastering</t>
  </si>
  <si>
    <t>HVP 13000/13010 - Permobond 5L</t>
  </si>
  <si>
    <t>HVP 14000/14002 - Tribeca Riverside Grey 430x430</t>
  </si>
  <si>
    <t>HVP 14000/14004 - Matt white wall 200x500 1.7m2</t>
  </si>
  <si>
    <t>HVP 14000/14006 - Tal Ceramic Tile adhesive - 20kg</t>
  </si>
  <si>
    <t>HVP 14000/14006 - Tal Ceramic Tile adhesive (20kg bags)</t>
  </si>
  <si>
    <t>HVP 14000/14007 - Tal Tile Grout to floor and wall tiles 20 kg</t>
  </si>
  <si>
    <t>HVP 14000/14009 - Alum tile trim 10mm 2.5m</t>
  </si>
  <si>
    <t>HVP 14000/14010 - Alum tile trim 12mm 2.5m</t>
  </si>
  <si>
    <t>HVP 14000/14011 - Tiling Labour</t>
  </si>
  <si>
    <t>HVP 14000/14013 - Stone Crete 600x1200 Stoneware Porcelain</t>
  </si>
  <si>
    <t>HVP 14000/14014 - Concreta Grey Ceramic RG50027 1200X600</t>
  </si>
  <si>
    <t>HVP 14000/14015 - White Gloss Flat 100x300 ceramic wall 0,99mm2</t>
  </si>
  <si>
    <t>HVP 15000/15001 - COBRA CUBO BATH SKIRTED CUBE 1700X700X470</t>
  </si>
  <si>
    <t>HVP 15000/15002 - COBRA SEINE BATH/SHOWER MIXER CONC</t>
  </si>
  <si>
    <t>HVP 15000/15005 - BETTA SHORTLAND C/C BOXED SUITE WHITE (PAN, TF CIST&amp; )</t>
  </si>
  <si>
    <t>HVP 15000/15008 - PLUMLINE MERU II RECTANGULAR 1TH F.STANDING BASIN</t>
  </si>
  <si>
    <t>HVP 15000/15015 - COBRA WALL MOUNTED SHOWER ARM LONG</t>
  </si>
  <si>
    <t>HVP 15000/15016 - PLUMLINE ULTRATHIN STAINLESS STEEL SQUARE SHOWER ROSE</t>
  </si>
  <si>
    <t>HVP 15000/15019 - TEKA BE 2B 765 SS DOUBLE BOWL UNDERMOUNT SINK</t>
  </si>
  <si>
    <t>HVP 15000/15029-Plumbing and Drainage Reticulation Installation</t>
  </si>
  <si>
    <t>HVP 15000/15039 - Gutter Supply and Install</t>
  </si>
  <si>
    <t>HVP 15000/15040 - Solar Installation</t>
  </si>
  <si>
    <t>HVP 16000/16001 - Painting supply &amp; install (First class)</t>
  </si>
  <si>
    <t>HVP 17000/17024 - Plant Hire</t>
  </si>
  <si>
    <t>HVP 17000/17025 - Rubble Removal - Build</t>
  </si>
  <si>
    <t>HVP 18000/18001 - Scaffolding Supply &amp; Install (CFC)</t>
  </si>
  <si>
    <t>HVP 19000/19001 - Electrical reticulation Supply &amp; Install</t>
  </si>
  <si>
    <t>HVP 21000/21001 - Air Extraction &amp; ventilation (Supply and Fit)</t>
  </si>
  <si>
    <t>HVP 28000/28001 - Civil work &amp; Paving supply and install</t>
  </si>
  <si>
    <t>HVP 3000/3031 - 25Mpa/19mm Concrete Raft pump mix</t>
  </si>
  <si>
    <t>HVP 3000/3032 - 25Mpa/13mm Concrete - Pump standard</t>
  </si>
  <si>
    <t>HVP 4000/4002 - Precast Hollowcore Slab &amp; Stair Systems</t>
  </si>
  <si>
    <t>HVP 5000/5014 - Class II Mortar</t>
  </si>
  <si>
    <t>HVP 5000/5016 - Phillipi Sand</t>
  </si>
  <si>
    <t>HVP 5000/5023 -Brickwork Labour</t>
  </si>
  <si>
    <t>HVP 5000/5026 - Malmesbury Build Sand</t>
  </si>
  <si>
    <t>HVP 6000/6007 - Waterproofing Supply &amp; Install</t>
  </si>
  <si>
    <t>HVP 7000 - Roofing</t>
  </si>
  <si>
    <t>HVP 7000/7001 - Roof Timber supply</t>
  </si>
  <si>
    <t>HVP 7000/7003 - Roof sheeting supply</t>
  </si>
  <si>
    <t>HVP 7000/7010 - Installation of sheets &amp; trusses</t>
  </si>
  <si>
    <t>HVP 8000/8003 - Interior Door Frames</t>
  </si>
  <si>
    <t>HVP 8000/8005 - Horizontally slated interior doors</t>
  </si>
  <si>
    <t>HVP 8000/8006 - 69mm SAP skirting 3m lengths - unpainted - reversable</t>
  </si>
  <si>
    <t>HVP 8000/8027 - Joinery Cupboards Supply &amp; Install</t>
  </si>
  <si>
    <t>HVP 8000/8029 - Atlas Quartz Nimbus Kitchen Worktops &amp; Vanity</t>
  </si>
  <si>
    <t>HVP 8000/8038 - Atlas Quartz Miku Kitchen Worktops &amp; Vanity</t>
  </si>
  <si>
    <t>HVP 8000/8039 - Wayne Carpenter (Installation ironmongery, doors, skirtings etc)</t>
  </si>
  <si>
    <t>HVP 9000/9001 - Gypsum Ceiling - Supply &amp; Install</t>
  </si>
  <si>
    <t>HVP&amp;G 1000/1018 - Site Safety and Safety Equipment</t>
  </si>
  <si>
    <t>HVRR 1000/1030 - General Transport and Delivery Charges</t>
  </si>
  <si>
    <t>HVRR 12000/12001 - Aluminium Windows, Doors Supply and Install</t>
  </si>
  <si>
    <t>HVRR 13000/13007 - Labour for plastering</t>
  </si>
  <si>
    <t>HVRR 3000/3016 - Labour for placing formwork</t>
  </si>
  <si>
    <t>HVRR 3000/3020 - Ref 193 Mesh</t>
  </si>
  <si>
    <t>HVRR 5000/5014 Class II Mortar</t>
  </si>
  <si>
    <t>HVRR 7000/7001 - Roof Timber supply</t>
  </si>
  <si>
    <t>HVRR 7000/7003 - Roof sheeting Supply (Widek)</t>
  </si>
  <si>
    <t>HVRR 7000/7010 - Installation of sheets &amp; trusses</t>
  </si>
  <si>
    <t>Non Project Costs</t>
  </si>
  <si>
    <t>Southwark site</t>
  </si>
  <si>
    <t>SW05</t>
  </si>
  <si>
    <t>SW08</t>
  </si>
  <si>
    <t>SW11</t>
  </si>
  <si>
    <t>SW12</t>
  </si>
  <si>
    <t>SW16</t>
  </si>
  <si>
    <t>SW19</t>
  </si>
  <si>
    <t>SW20</t>
  </si>
  <si>
    <t>SW21</t>
  </si>
  <si>
    <t>SW24</t>
  </si>
  <si>
    <t>SW25</t>
  </si>
  <si>
    <t>SW7</t>
  </si>
  <si>
    <t>SW8</t>
  </si>
  <si>
    <t>SWR&amp;M 29000/29001 - Waterproofing</t>
  </si>
  <si>
    <t>SWR&amp;M 29000/29002 - Joinery Cupboards Supply &amp; Install</t>
  </si>
  <si>
    <t>Unassigned</t>
  </si>
  <si>
    <t>For the month ended 29 February 2024</t>
  </si>
  <si>
    <t>Feb 2024</t>
  </si>
  <si>
    <t>Jan 2024</t>
  </si>
  <si>
    <t>Dec 2023</t>
  </si>
  <si>
    <t>Nov 2023</t>
  </si>
  <si>
    <t>Oct 2023</t>
  </si>
  <si>
    <t>Sep 2023</t>
  </si>
  <si>
    <t>Aug 2023</t>
  </si>
  <si>
    <t>Jul 2023</t>
  </si>
  <si>
    <t>Jun 2023</t>
  </si>
  <si>
    <t>May 2023</t>
  </si>
  <si>
    <t>Apr 2023</t>
  </si>
  <si>
    <t>Mar 2023</t>
  </si>
  <si>
    <t>COS - Repairs &amp; Maintenance - SH Soho</t>
  </si>
  <si>
    <t>For the month ended 28 February 2025</t>
  </si>
  <si>
    <t>HF</t>
  </si>
  <si>
    <t>HV</t>
  </si>
  <si>
    <t>Units</t>
  </si>
  <si>
    <t>7610/395</t>
  </si>
  <si>
    <t>HF CIP NHBRC</t>
  </si>
  <si>
    <t>7620/100</t>
  </si>
  <si>
    <t>Heron View Land</t>
  </si>
  <si>
    <t>7620/101</t>
  </si>
  <si>
    <t>HF CIP Bond Registration Fee</t>
  </si>
  <si>
    <t>7620/102</t>
  </si>
  <si>
    <t>HF CIP Transfer Fee</t>
  </si>
  <si>
    <t>7620/220</t>
  </si>
  <si>
    <t>HF CIP Architectural Designs</t>
  </si>
  <si>
    <t>7620/230</t>
  </si>
  <si>
    <t>HF CIP Construction Management</t>
  </si>
  <si>
    <t>7620/240</t>
  </si>
  <si>
    <t>HF CIP Civil Engineering</t>
  </si>
  <si>
    <t>7620/245</t>
  </si>
  <si>
    <t>HF CIP Development fee</t>
  </si>
  <si>
    <t>7620/250</t>
  </si>
  <si>
    <t>HF CIP Land Surveyor</t>
  </si>
  <si>
    <t>7620/255</t>
  </si>
  <si>
    <t>HF CIP Landscaping</t>
  </si>
  <si>
    <t>7620/260</t>
  </si>
  <si>
    <t>HF CIP Mechanical Engineers</t>
  </si>
  <si>
    <t>7620/265</t>
  </si>
  <si>
    <t>HF CIP Health &amp; Safety</t>
  </si>
  <si>
    <t>7620/270</t>
  </si>
  <si>
    <t>HF CIP Geotechnical</t>
  </si>
  <si>
    <t>7620/275</t>
  </si>
  <si>
    <t>HF CIP Retaining Wall</t>
  </si>
  <si>
    <t>HV CIP Architectural Designs</t>
  </si>
  <si>
    <t>7620/630</t>
  </si>
  <si>
    <t>HV CIP Health &amp; Safety</t>
  </si>
  <si>
    <t>7620/290</t>
  </si>
  <si>
    <t>HF CIP Town Planning</t>
  </si>
  <si>
    <t>7620/295</t>
  </si>
  <si>
    <t>HF CIP Traffic Planning</t>
  </si>
  <si>
    <t>7620/600</t>
  </si>
  <si>
    <t>HF CIP Eco work</t>
  </si>
  <si>
    <t>HF CIP CoCT development contribution</t>
  </si>
  <si>
    <t>7620/640</t>
  </si>
  <si>
    <t>HF CIP Project costs</t>
  </si>
  <si>
    <t>7620/650</t>
  </si>
  <si>
    <t>HF CIP Electrical</t>
  </si>
  <si>
    <t>7620/800</t>
  </si>
  <si>
    <t>HF CIP GL Conradie</t>
  </si>
  <si>
    <t>7620/280</t>
  </si>
  <si>
    <t>HF CIP Construction CPC</t>
  </si>
  <si>
    <t>7620/285</t>
  </si>
  <si>
    <t>HF CIP Structuring Fee - Invest</t>
  </si>
  <si>
    <t>7620/287</t>
  </si>
  <si>
    <t>HF CIP Structuring Fee - CPSD</t>
  </si>
  <si>
    <t>Unit costs</t>
  </si>
  <si>
    <t xml:space="preserve">Investor interest </t>
  </si>
  <si>
    <t>Attorney fees</t>
  </si>
  <si>
    <t>Purchaser variations</t>
  </si>
  <si>
    <t>C2M certificate of transfer</t>
  </si>
  <si>
    <t>Gifts</t>
  </si>
  <si>
    <t>Heron Fields (Pty) Ltd</t>
  </si>
  <si>
    <t>For the month ended 28 February 2023</t>
  </si>
  <si>
    <t>Income</t>
  </si>
  <si>
    <t>Sales</t>
  </si>
  <si>
    <t>Sales - Heron Fields occupational rent</t>
  </si>
  <si>
    <t>Bond Origination</t>
  </si>
  <si>
    <t xml:space="preserve">Total Income </t>
  </si>
  <si>
    <t>COS - Commission Heron Fields investors</t>
  </si>
  <si>
    <t>COS - Commission Heron Fields units</t>
  </si>
  <si>
    <t>COS - Rates clearance</t>
  </si>
  <si>
    <t>COS - Construction</t>
  </si>
  <si>
    <t>COS - Showhouse - HF</t>
  </si>
  <si>
    <t>COS - Levies</t>
  </si>
  <si>
    <t>COS - Opening of Scheme</t>
  </si>
  <si>
    <t>COS - Legal fees</t>
  </si>
  <si>
    <t>Interest Received - Momentum</t>
  </si>
  <si>
    <t>Accounting fees</t>
  </si>
  <si>
    <t>Advertising _AND_ Promotions HV</t>
  </si>
  <si>
    <t>Advertising - Property24</t>
  </si>
  <si>
    <t>Advertising - Media 24 HV</t>
  </si>
  <si>
    <t>Advertising - Pure Brand Activation HV</t>
  </si>
  <si>
    <t>Advertising - Thinkink HV</t>
  </si>
  <si>
    <t>Consulting fees - Trustee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</si>
  <si>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</si>
  <si>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</si>
  <si>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</si>
  <si>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</si>
  <si>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</si>
  <si>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</si>
  <si>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</si>
  <si>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7.00%</t>
  </si>
  <si>
    <t>Interest Paid - Investors @ 7.50%</t>
  </si>
  <si>
    <t>Interest Paid - Investors @ 9.75%</t>
  </si>
  <si>
    <t>Momentum Admin Fee</t>
  </si>
  <si>
    <t>Management fees - OMH</t>
  </si>
  <si>
    <t>Printing &amp; stationery HV</t>
  </si>
  <si>
    <t>Rates - Heron</t>
  </si>
  <si>
    <t>Refuse - Heron</t>
  </si>
  <si>
    <t>Repairs_AND_Maintenance</t>
  </si>
  <si>
    <t>Security - ADT</t>
  </si>
  <si>
    <t>Subscriptions - NHBRC</t>
  </si>
  <si>
    <t>Subscriptions - Xero</t>
  </si>
  <si>
    <t>Subscriptions - Xero HV</t>
  </si>
  <si>
    <t>For the month ended 28 February 2024</t>
  </si>
  <si>
    <t>COS - Electricity</t>
  </si>
  <si>
    <t>COS - Printing HV</t>
  </si>
  <si>
    <t>COS - Inverters</t>
  </si>
  <si>
    <t>Rental income</t>
  </si>
  <si>
    <t>Advertising - HV</t>
  </si>
  <si>
    <t>Interest Paid - Investors @ 7.25%</t>
  </si>
  <si>
    <t>Interest Paid - Investors @ 7.5%</t>
  </si>
  <si>
    <t>Interest Paid - Investors @ 8.25%</t>
  </si>
  <si>
    <t>Interest Paid - Investors @ 9%</t>
  </si>
  <si>
    <t>For the month ended 29 February 2025</t>
  </si>
  <si>
    <t>Trial Balance</t>
  </si>
  <si>
    <t>As at 30 June 2023</t>
  </si>
  <si>
    <t>Account Code</t>
  </si>
  <si>
    <t>Account Type</t>
  </si>
  <si>
    <t>Debit - Year to date</t>
  </si>
  <si>
    <t>Credit - Year to date</t>
  </si>
  <si>
    <t>28 Feb 2023</t>
  </si>
  <si>
    <t>1000/100</t>
  </si>
  <si>
    <t>Sales - Heron Fields</t>
  </si>
  <si>
    <t>1000/101</t>
  </si>
  <si>
    <t>2755/001</t>
  </si>
  <si>
    <t>2000/030</t>
  </si>
  <si>
    <t>Direct Costs</t>
  </si>
  <si>
    <t>2000/040</t>
  </si>
  <si>
    <t>2000/041</t>
  </si>
  <si>
    <t>COS - Legal Fees Opening of Sec Title Scheme</t>
  </si>
  <si>
    <t>2000/050</t>
  </si>
  <si>
    <t>2000/060</t>
  </si>
  <si>
    <t>2000/070</t>
  </si>
  <si>
    <t>COS - Commission HF Units</t>
  </si>
  <si>
    <t>2000/080</t>
  </si>
  <si>
    <t>2000/090</t>
  </si>
  <si>
    <t>3000/100</t>
  </si>
  <si>
    <t>Accounting - CIPC</t>
  </si>
  <si>
    <t>Expense</t>
  </si>
  <si>
    <t>3050/000</t>
  </si>
  <si>
    <t>3050/100</t>
  </si>
  <si>
    <t>3200/000</t>
  </si>
  <si>
    <t>3350/100</t>
  </si>
  <si>
    <t>3351/000</t>
  </si>
  <si>
    <t>3650/000</t>
  </si>
  <si>
    <t>CoCT - Electricity</t>
  </si>
  <si>
    <t>3660/000</t>
  </si>
  <si>
    <t>CoCT - Water</t>
  </si>
  <si>
    <t>3670/000</t>
  </si>
  <si>
    <t>CoCT - Refuse</t>
  </si>
  <si>
    <t>3700/000</t>
  </si>
  <si>
    <t>3800/000</t>
  </si>
  <si>
    <t>General Expenses</t>
  </si>
  <si>
    <t>3850/000</t>
  </si>
  <si>
    <t>3900/000</t>
  </si>
  <si>
    <t>3900/111</t>
  </si>
  <si>
    <t>3900/115</t>
  </si>
  <si>
    <t>3900/117</t>
  </si>
  <si>
    <t>3900/120</t>
  </si>
  <si>
    <t>Interest Paid - Investors @ 7%</t>
  </si>
  <si>
    <t>3900/126</t>
  </si>
  <si>
    <t>3900/147</t>
  </si>
  <si>
    <t>3900/190</t>
  </si>
  <si>
    <t>3900/200</t>
  </si>
  <si>
    <t>3900/210</t>
  </si>
  <si>
    <t>3900/230</t>
  </si>
  <si>
    <t>4070/000</t>
  </si>
  <si>
    <t>4100/001</t>
  </si>
  <si>
    <t>4310/000</t>
  </si>
  <si>
    <t>4350/000</t>
  </si>
  <si>
    <t>4420/001</t>
  </si>
  <si>
    <t>4500/000</t>
  </si>
  <si>
    <t>Staff Welfare</t>
  </si>
  <si>
    <t>4550/100</t>
  </si>
  <si>
    <t>4550/200</t>
  </si>
  <si>
    <t>Subscription - NHBRC</t>
  </si>
  <si>
    <t>5300/001</t>
  </si>
  <si>
    <t>Revaluation of Land stock</t>
  </si>
  <si>
    <t>Current Asset</t>
  </si>
  <si>
    <t>HF CIP Site Establishment</t>
  </si>
  <si>
    <t>HF CIP Structuring Fee - Development</t>
  </si>
  <si>
    <t>7620/750</t>
  </si>
  <si>
    <t>HF CIP Project costs CPSD</t>
  </si>
  <si>
    <t>8000/000</t>
  </si>
  <si>
    <t>Customer Control Account</t>
  </si>
  <si>
    <t>8400/000</t>
  </si>
  <si>
    <t>RMB - 62882379087</t>
  </si>
  <si>
    <t>Bank</t>
  </si>
  <si>
    <t>8430/000</t>
  </si>
  <si>
    <t>Momentum Private Account RU502230151</t>
  </si>
  <si>
    <t>8440/000</t>
  </si>
  <si>
    <t>Momentum Investors Account RU502229930</t>
  </si>
  <si>
    <t>5500/020</t>
  </si>
  <si>
    <t>Loan - Cape Projects Construction</t>
  </si>
  <si>
    <t>Non-current Liability</t>
  </si>
  <si>
    <t>5500/030</t>
  </si>
  <si>
    <t>Loan - Opportunity Global Investments</t>
  </si>
  <si>
    <t>5500/050</t>
  </si>
  <si>
    <t>Loan - Heron View</t>
  </si>
  <si>
    <t>5500/060</t>
  </si>
  <si>
    <t>Loan - Opportunity Management Holdings</t>
  </si>
  <si>
    <t>5500/080</t>
  </si>
  <si>
    <t>Loan - NSST2 Trust</t>
  </si>
  <si>
    <t>860</t>
  </si>
  <si>
    <t>Rounding</t>
  </si>
  <si>
    <t>Current Liability</t>
  </si>
  <si>
    <t>9000/000</t>
  </si>
  <si>
    <t>Supplier Control Account</t>
  </si>
  <si>
    <t>9500/000</t>
  </si>
  <si>
    <t>Vat / Tax Control Account</t>
  </si>
  <si>
    <t>9899/B105</t>
  </si>
  <si>
    <t>Sales - Unit Reg Control B105</t>
  </si>
  <si>
    <t>Liability</t>
  </si>
  <si>
    <t>5100-000</t>
  </si>
  <si>
    <t>Share Capital</t>
  </si>
  <si>
    <t>Equity</t>
  </si>
  <si>
    <t>5200/000</t>
  </si>
  <si>
    <t>Retained Earnings / Loss</t>
  </si>
  <si>
    <t>As at 28 February 2023</t>
  </si>
  <si>
    <t>28 Feb 2022</t>
  </si>
  <si>
    <t>1500/001</t>
  </si>
  <si>
    <t>Revaluation of Land</t>
  </si>
  <si>
    <t>2753/001</t>
  </si>
  <si>
    <t>Interest Received - Deposit Grey Heron</t>
  </si>
  <si>
    <t>2754/001</t>
  </si>
  <si>
    <t>Interest Received - STBB Trust Account</t>
  </si>
  <si>
    <t>2000/020</t>
  </si>
  <si>
    <t>COS - Heron sales office</t>
  </si>
  <si>
    <t>3010/100</t>
  </si>
  <si>
    <t>Admin - MBA</t>
  </si>
  <si>
    <t>3301/000</t>
  </si>
  <si>
    <t>Computer Expenses - Xero</t>
  </si>
  <si>
    <t>4200/000</t>
  </si>
  <si>
    <t>4410/000</t>
  </si>
  <si>
    <t>8200/200</t>
  </si>
  <si>
    <t>Sundry Debtor - Quinate</t>
  </si>
  <si>
    <t>9210/001</t>
  </si>
  <si>
    <t>Accrued Expenses</t>
  </si>
  <si>
    <t>As at 28 February 2022</t>
  </si>
  <si>
    <t>28 Feb 2021</t>
  </si>
  <si>
    <t>8410/000</t>
  </si>
  <si>
    <t>STBB Trust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</si>
</sst>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R&quot;* #,##0.00_);_(&quot;R&quot;* \(#,##0.00\);_(&quot;R&quot;* &quot;-&quot;??_);_(@_)"/>
    <numFmt numFmtId="43" formatCode="_(* #,##0.00_);_(* \(#,##0.00\);_(* &quot;-&quot;??_);_(@_)"/>
    <numFmt numFmtId="164" formatCode="#,##0.00;\(#,##0.00\)"/>
    <numFmt numFmtId="165" formatCode="_-* #,##0.00_-;\-* #,##0.00_-;_-* &quot;-&quot;??_-;_-@_-"/>
    <numFmt numFmtId="166" formatCode="[$R-809]#,##0.00;\-[$R-809]#,##0.00"/>
    <numFmt numFmtId="167" formatCode="_-&quot;R&quot;* #,##0.00_-;\-&quot;R&quot;* #,##0.00_-;_-&quot;R&quot;* &quot;-&quot;??_-;_-@_-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3">
    <xf numFmtId="0" fontId="0" fillId="0" borderId="0"/>
    <xf numFmtId="165" fontId="2" fillId="0" borderId="0"/>
    <xf numFmtId="0" fontId="13" fillId="0" borderId="0"/>
    <xf numFmtId="0" fontId="13" fillId="0" borderId="0">
      <alignment vertical="center"/>
    </xf>
    <xf numFmtId="165" fontId="13" fillId="0" borderId="0">
      <alignment vertical="center"/>
    </xf>
    <xf numFmtId="0" fontId="13" fillId="0" borderId="0"/>
    <xf numFmtId="0" fontId="6" fillId="0" borderId="0"/>
    <xf numFmtId="44" fontId="6" fillId="0" borderId="0"/>
    <xf numFmtId="9" fontId="6" fillId="0" borderId="0"/>
    <xf numFmtId="165" fontId="6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165" fontId="2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0" fontId="7" fillId="0" borderId="0"/>
    <xf numFmtId="0" fontId="7" fillId="0" borderId="0"/>
    <xf numFmtId="0" fontId="13" fillId="0" borderId="0"/>
    <xf numFmtId="165" fontId="13" fillId="0" borderId="0"/>
    <xf numFmtId="0" fontId="13" fillId="0" borderId="0"/>
    <xf numFmtId="0" fontId="28" fillId="0" borderId="0"/>
    <xf numFmtId="0" fontId="28" fillId="0" borderId="0"/>
  </cellStyleXfs>
  <cellXfs count="176">
    <xf numFmtId="0" fontId="0" fillId="0" borderId="0" xfId="0"/>
    <xf numFmtId="0" fontId="3" fillId="0" borderId="0" xfId="2" applyFont="1"/>
    <xf numFmtId="0" fontId="4" fillId="0" borderId="5" xfId="2" applyFont="1" applyBorder="1" applyAlignment="1">
      <alignment vertical="center"/>
    </xf>
    <xf numFmtId="164" fontId="4" fillId="0" borderId="5" xfId="2" applyNumberFormat="1" applyFont="1" applyBorder="1" applyAlignment="1">
      <alignment horizontal="right" vertical="center"/>
    </xf>
    <xf numFmtId="164" fontId="3" fillId="0" borderId="6" xfId="2" applyNumberFormat="1" applyFont="1" applyBorder="1"/>
    <xf numFmtId="165" fontId="0" fillId="0" borderId="0" xfId="0" applyNumberFormat="1"/>
    <xf numFmtId="0" fontId="5" fillId="0" borderId="0" xfId="2" applyFont="1" applyAlignment="1">
      <alignment vertical="center"/>
    </xf>
    <xf numFmtId="165" fontId="5" fillId="0" borderId="0" xfId="2" applyNumberFormat="1" applyFont="1" applyAlignment="1">
      <alignment vertical="center"/>
    </xf>
    <xf numFmtId="0" fontId="3" fillId="0" borderId="0" xfId="2" applyFont="1" applyAlignment="1">
      <alignment vertical="center"/>
    </xf>
    <xf numFmtId="165" fontId="3" fillId="0" borderId="0" xfId="1" applyFont="1" applyAlignment="1">
      <alignment vertical="center"/>
    </xf>
    <xf numFmtId="0" fontId="4" fillId="0" borderId="0" xfId="2" applyFont="1"/>
    <xf numFmtId="165" fontId="4" fillId="0" borderId="0" xfId="1" applyFont="1"/>
    <xf numFmtId="0" fontId="4" fillId="0" borderId="5" xfId="0" applyFont="1" applyBorder="1" applyAlignment="1">
      <alignment vertical="center"/>
    </xf>
    <xf numFmtId="0" fontId="7" fillId="0" borderId="0" xfId="27"/>
    <xf numFmtId="0" fontId="10" fillId="0" borderId="8" xfId="27" applyFont="1" applyBorder="1" applyAlignment="1">
      <alignment horizontal="left" vertical="center"/>
    </xf>
    <xf numFmtId="0" fontId="10" fillId="0" borderId="8" xfId="27" applyFont="1" applyBorder="1" applyAlignment="1">
      <alignment horizontal="right" vertical="center"/>
    </xf>
    <xf numFmtId="0" fontId="11" fillId="0" borderId="0" xfId="27" applyFont="1" applyAlignment="1">
      <alignment vertical="center"/>
    </xf>
    <xf numFmtId="164" fontId="11" fillId="0" borderId="0" xfId="27" applyNumberFormat="1" applyFont="1" applyAlignment="1">
      <alignment horizontal="right" vertical="center"/>
    </xf>
    <xf numFmtId="0" fontId="11" fillId="0" borderId="5" xfId="27" applyFont="1" applyBorder="1" applyAlignment="1">
      <alignment vertical="center"/>
    </xf>
    <xf numFmtId="164" fontId="11" fillId="0" borderId="5" xfId="27" applyNumberFormat="1" applyFont="1" applyBorder="1" applyAlignment="1">
      <alignment horizontal="right" vertical="center"/>
    </xf>
    <xf numFmtId="0" fontId="10" fillId="0" borderId="5" xfId="27" applyFont="1" applyBorder="1" applyAlignment="1">
      <alignment vertical="center"/>
    </xf>
    <xf numFmtId="164" fontId="10" fillId="0" borderId="5" xfId="27" applyNumberFormat="1" applyFont="1" applyBorder="1" applyAlignment="1">
      <alignment horizontal="right" vertical="center"/>
    </xf>
    <xf numFmtId="0" fontId="10" fillId="3" borderId="9" xfId="27" applyFont="1" applyFill="1" applyBorder="1" applyAlignment="1">
      <alignment vertical="center"/>
    </xf>
    <xf numFmtId="164" fontId="10" fillId="3" borderId="9" xfId="27" applyNumberFormat="1" applyFont="1" applyFill="1" applyBorder="1" applyAlignment="1">
      <alignment horizontal="right" vertical="center"/>
    </xf>
    <xf numFmtId="10" fontId="10" fillId="3" borderId="9" xfId="27" applyNumberFormat="1" applyFont="1" applyFill="1" applyBorder="1" applyAlignment="1">
      <alignment horizontal="right" vertical="center"/>
    </xf>
    <xf numFmtId="0" fontId="1" fillId="0" borderId="0" xfId="0" applyFont="1"/>
    <xf numFmtId="0" fontId="1" fillId="0" borderId="0" xfId="0" quotePrefix="1" applyFont="1"/>
    <xf numFmtId="43" fontId="0" fillId="0" borderId="6" xfId="0" applyNumberFormat="1" applyBorder="1"/>
    <xf numFmtId="0" fontId="1" fillId="0" borderId="6" xfId="0" applyFont="1" applyBorder="1"/>
    <xf numFmtId="165" fontId="0" fillId="0" borderId="1" xfId="1" applyFont="1" applyBorder="1"/>
    <xf numFmtId="165" fontId="0" fillId="0" borderId="7" xfId="1" applyFont="1" applyBorder="1"/>
    <xf numFmtId="165" fontId="0" fillId="0" borderId="3" xfId="1" applyFont="1" applyBorder="1"/>
    <xf numFmtId="165" fontId="4" fillId="0" borderId="5" xfId="29" applyFont="1" applyBorder="1" applyAlignment="1">
      <alignment vertical="center"/>
    </xf>
    <xf numFmtId="165" fontId="4" fillId="0" borderId="5" xfId="29" applyFont="1" applyBorder="1" applyAlignment="1">
      <alignment horizontal="right" vertical="center"/>
    </xf>
    <xf numFmtId="165" fontId="16" fillId="0" borderId="5" xfId="29" applyFont="1" applyBorder="1" applyAlignment="1">
      <alignment horizontal="right" vertical="center"/>
    </xf>
    <xf numFmtId="0" fontId="3" fillId="0" borderId="0" xfId="30" applyFont="1"/>
    <xf numFmtId="0" fontId="16" fillId="0" borderId="4" xfId="30" applyFont="1" applyBorder="1" applyAlignment="1">
      <alignment horizontal="left" vertical="center"/>
    </xf>
    <xf numFmtId="17" fontId="16" fillId="0" borderId="4" xfId="30" applyNumberFormat="1" applyFont="1" applyBorder="1" applyAlignment="1">
      <alignment horizontal="right" vertical="center"/>
    </xf>
    <xf numFmtId="0" fontId="16" fillId="0" borderId="0" xfId="30" applyFont="1" applyAlignment="1">
      <alignment horizontal="left" vertical="center"/>
    </xf>
    <xf numFmtId="17" fontId="16" fillId="0" borderId="0" xfId="30" applyNumberFormat="1" applyFont="1" applyAlignment="1">
      <alignment horizontal="right" vertical="center"/>
    </xf>
    <xf numFmtId="0" fontId="4" fillId="0" borderId="5" xfId="30" applyFont="1" applyBorder="1" applyAlignment="1">
      <alignment vertical="center"/>
    </xf>
    <xf numFmtId="164" fontId="4" fillId="0" borderId="5" xfId="30" applyNumberFormat="1" applyFont="1" applyBorder="1" applyAlignment="1">
      <alignment vertical="center"/>
    </xf>
    <xf numFmtId="164" fontId="4" fillId="0" borderId="5" xfId="30" applyNumberFormat="1" applyFont="1" applyBorder="1" applyAlignment="1">
      <alignment horizontal="right" vertical="center"/>
    </xf>
    <xf numFmtId="0" fontId="16" fillId="0" borderId="5" xfId="30" applyFont="1" applyBorder="1" applyAlignment="1">
      <alignment vertical="center"/>
    </xf>
    <xf numFmtId="164" fontId="16" fillId="0" borderId="5" xfId="30" applyNumberFormat="1" applyFont="1" applyBorder="1" applyAlignment="1">
      <alignment horizontal="right" vertical="center"/>
    </xf>
    <xf numFmtId="0" fontId="4" fillId="5" borderId="5" xfId="30" applyFont="1" applyFill="1" applyBorder="1" applyAlignment="1">
      <alignment vertical="center"/>
    </xf>
    <xf numFmtId="0" fontId="16" fillId="3" borderId="2" xfId="30" applyFont="1" applyFill="1" applyBorder="1" applyAlignment="1">
      <alignment vertical="center"/>
    </xf>
    <xf numFmtId="164" fontId="16" fillId="3" borderId="2" xfId="30" applyNumberFormat="1" applyFont="1" applyFill="1" applyBorder="1" applyAlignment="1">
      <alignment horizontal="right" vertical="center"/>
    </xf>
    <xf numFmtId="0" fontId="5" fillId="0" borderId="0" xfId="30" applyFont="1" applyAlignment="1">
      <alignment vertical="center" wrapText="1"/>
    </xf>
    <xf numFmtId="0" fontId="3" fillId="0" borderId="0" xfId="15" applyFont="1">
      <alignment vertical="center"/>
    </xf>
    <xf numFmtId="166" fontId="5" fillId="0" borderId="0" xfId="15" applyNumberFormat="1" applyFont="1">
      <alignment vertical="center"/>
    </xf>
    <xf numFmtId="0" fontId="18" fillId="0" borderId="0" xfId="15" applyFont="1" applyAlignment="1">
      <alignment vertical="top" wrapText="1"/>
    </xf>
    <xf numFmtId="166" fontId="19" fillId="0" borderId="0" xfId="15" applyNumberFormat="1" applyFont="1">
      <alignment vertical="center"/>
    </xf>
    <xf numFmtId="166" fontId="20" fillId="0" borderId="0" xfId="15" applyNumberFormat="1" applyFont="1">
      <alignment vertical="center"/>
    </xf>
    <xf numFmtId="166" fontId="20" fillId="4" borderId="0" xfId="15" applyNumberFormat="1" applyFont="1" applyFill="1">
      <alignment vertical="center"/>
    </xf>
    <xf numFmtId="0" fontId="19" fillId="0" borderId="4" xfId="15" applyFont="1" applyBorder="1">
      <alignment vertical="center"/>
    </xf>
    <xf numFmtId="166" fontId="19" fillId="0" borderId="4" xfId="15" applyNumberFormat="1" applyFont="1" applyBorder="1">
      <alignment vertical="center"/>
    </xf>
    <xf numFmtId="166" fontId="20" fillId="2" borderId="0" xfId="15" applyNumberFormat="1" applyFont="1" applyFill="1">
      <alignment vertical="center"/>
    </xf>
    <xf numFmtId="0" fontId="23" fillId="0" borderId="0" xfId="31" applyFont="1"/>
    <xf numFmtId="0" fontId="24" fillId="0" borderId="0" xfId="31" applyFont="1"/>
    <xf numFmtId="0" fontId="21" fillId="0" borderId="0" xfId="31" applyFont="1"/>
    <xf numFmtId="0" fontId="25" fillId="0" borderId="8" xfId="31" applyFont="1" applyBorder="1" applyAlignment="1">
      <alignment horizontal="left" vertical="center"/>
    </xf>
    <xf numFmtId="0" fontId="25" fillId="0" borderId="8" xfId="31" applyFont="1" applyBorder="1" applyAlignment="1">
      <alignment horizontal="right" vertical="center"/>
    </xf>
    <xf numFmtId="0" fontId="26" fillId="0" borderId="0" xfId="31" applyFont="1"/>
    <xf numFmtId="0" fontId="21" fillId="0" borderId="0" xfId="31" applyFont="1" applyAlignment="1">
      <alignment vertical="center"/>
    </xf>
    <xf numFmtId="164" fontId="21" fillId="0" borderId="0" xfId="31" applyNumberFormat="1" applyFont="1" applyAlignment="1">
      <alignment horizontal="right" vertical="center"/>
    </xf>
    <xf numFmtId="0" fontId="21" fillId="0" borderId="5" xfId="31" applyFont="1" applyBorder="1" applyAlignment="1">
      <alignment vertical="center"/>
    </xf>
    <xf numFmtId="164" fontId="21" fillId="0" borderId="5" xfId="31" applyNumberFormat="1" applyFont="1" applyBorder="1" applyAlignment="1">
      <alignment horizontal="right" vertical="center"/>
    </xf>
    <xf numFmtId="0" fontId="27" fillId="0" borderId="5" xfId="31" applyFont="1" applyBorder="1" applyAlignment="1">
      <alignment vertical="center"/>
    </xf>
    <xf numFmtId="164" fontId="27" fillId="0" borderId="5" xfId="31" applyNumberFormat="1" applyFont="1" applyBorder="1" applyAlignment="1">
      <alignment horizontal="right" vertical="center"/>
    </xf>
    <xf numFmtId="165" fontId="0" fillId="0" borderId="0" xfId="1" applyFont="1"/>
    <xf numFmtId="164" fontId="21" fillId="4" borderId="5" xfId="31" applyNumberFormat="1" applyFont="1" applyFill="1" applyBorder="1" applyAlignment="1">
      <alignment horizontal="right" vertical="center"/>
    </xf>
    <xf numFmtId="164" fontId="4" fillId="4" borderId="5" xfId="30" applyNumberFormat="1" applyFont="1" applyFill="1" applyBorder="1" applyAlignment="1">
      <alignment vertical="center"/>
    </xf>
    <xf numFmtId="164" fontId="21" fillId="6" borderId="5" xfId="31" applyNumberFormat="1" applyFont="1" applyFill="1" applyBorder="1" applyAlignment="1">
      <alignment horizontal="right" vertical="center"/>
    </xf>
    <xf numFmtId="164" fontId="4" fillId="6" borderId="5" xfId="30" applyNumberFormat="1" applyFont="1" applyFill="1" applyBorder="1" applyAlignment="1">
      <alignment vertical="center"/>
    </xf>
    <xf numFmtId="164" fontId="21" fillId="7" borderId="5" xfId="31" applyNumberFormat="1" applyFont="1" applyFill="1" applyBorder="1" applyAlignment="1">
      <alignment horizontal="right" vertical="center"/>
    </xf>
    <xf numFmtId="164" fontId="4" fillId="7" borderId="5" xfId="30" applyNumberFormat="1" applyFont="1" applyFill="1" applyBorder="1" applyAlignment="1">
      <alignment vertical="center"/>
    </xf>
    <xf numFmtId="164" fontId="21" fillId="8" borderId="5" xfId="31" applyNumberFormat="1" applyFont="1" applyFill="1" applyBorder="1" applyAlignment="1">
      <alignment horizontal="right" vertical="center"/>
    </xf>
    <xf numFmtId="164" fontId="4" fillId="8" borderId="5" xfId="30" applyNumberFormat="1" applyFont="1" applyFill="1" applyBorder="1" applyAlignment="1">
      <alignment vertical="center"/>
    </xf>
    <xf numFmtId="164" fontId="21" fillId="9" borderId="5" xfId="31" applyNumberFormat="1" applyFont="1" applyFill="1" applyBorder="1" applyAlignment="1">
      <alignment horizontal="right" vertical="center"/>
    </xf>
    <xf numFmtId="164" fontId="4" fillId="9" borderId="5" xfId="30" applyNumberFormat="1" applyFont="1" applyFill="1" applyBorder="1" applyAlignment="1">
      <alignment vertical="center"/>
    </xf>
    <xf numFmtId="164" fontId="21" fillId="10" borderId="5" xfId="31" applyNumberFormat="1" applyFont="1" applyFill="1" applyBorder="1" applyAlignment="1">
      <alignment horizontal="right" vertical="center"/>
    </xf>
    <xf numFmtId="164" fontId="4" fillId="10" borderId="5" xfId="30" applyNumberFormat="1" applyFont="1" applyFill="1" applyBorder="1" applyAlignment="1">
      <alignment vertical="center"/>
    </xf>
    <xf numFmtId="164" fontId="21" fillId="11" borderId="5" xfId="31" applyNumberFormat="1" applyFont="1" applyFill="1" applyBorder="1" applyAlignment="1">
      <alignment horizontal="right" vertical="center"/>
    </xf>
    <xf numFmtId="164" fontId="4" fillId="11" borderId="5" xfId="30" applyNumberFormat="1" applyFont="1" applyFill="1" applyBorder="1" applyAlignment="1">
      <alignment vertical="center"/>
    </xf>
    <xf numFmtId="164" fontId="21" fillId="12" borderId="5" xfId="31" applyNumberFormat="1" applyFont="1" applyFill="1" applyBorder="1" applyAlignment="1">
      <alignment horizontal="right" vertical="center"/>
    </xf>
    <xf numFmtId="164" fontId="4" fillId="12" borderId="5" xfId="30" applyNumberFormat="1" applyFont="1" applyFill="1" applyBorder="1" applyAlignment="1">
      <alignment vertical="center"/>
    </xf>
    <xf numFmtId="164" fontId="21" fillId="13" borderId="5" xfId="31" applyNumberFormat="1" applyFont="1" applyFill="1" applyBorder="1" applyAlignment="1">
      <alignment horizontal="right" vertical="center"/>
    </xf>
    <xf numFmtId="164" fontId="4" fillId="13" borderId="5" xfId="30" applyNumberFormat="1" applyFont="1" applyFill="1" applyBorder="1" applyAlignment="1">
      <alignment vertical="center"/>
    </xf>
    <xf numFmtId="164" fontId="21" fillId="14" borderId="5" xfId="31" applyNumberFormat="1" applyFont="1" applyFill="1" applyBorder="1" applyAlignment="1">
      <alignment horizontal="right" vertical="center"/>
    </xf>
    <xf numFmtId="164" fontId="21" fillId="15" borderId="5" xfId="31" applyNumberFormat="1" applyFont="1" applyFill="1" applyBorder="1" applyAlignment="1">
      <alignment horizontal="right" vertical="center"/>
    </xf>
    <xf numFmtId="164" fontId="4" fillId="15" borderId="5" xfId="30" applyNumberFormat="1" applyFont="1" applyFill="1" applyBorder="1" applyAlignment="1">
      <alignment vertical="center"/>
    </xf>
    <xf numFmtId="164" fontId="21" fillId="16" borderId="5" xfId="31" applyNumberFormat="1" applyFont="1" applyFill="1" applyBorder="1" applyAlignment="1">
      <alignment horizontal="right" vertical="center"/>
    </xf>
    <xf numFmtId="164" fontId="21" fillId="17" borderId="5" xfId="31" applyNumberFormat="1" applyFont="1" applyFill="1" applyBorder="1" applyAlignment="1">
      <alignment horizontal="right" vertical="center"/>
    </xf>
    <xf numFmtId="164" fontId="4" fillId="17" borderId="5" xfId="30" applyNumberFormat="1" applyFont="1" applyFill="1" applyBorder="1" applyAlignment="1">
      <alignment vertical="center"/>
    </xf>
    <xf numFmtId="164" fontId="21" fillId="18" borderId="5" xfId="31" applyNumberFormat="1" applyFont="1" applyFill="1" applyBorder="1" applyAlignment="1">
      <alignment horizontal="right" vertical="center"/>
    </xf>
    <xf numFmtId="164" fontId="4" fillId="18" borderId="5" xfId="30" applyNumberFormat="1" applyFont="1" applyFill="1" applyBorder="1" applyAlignment="1">
      <alignment vertical="center"/>
    </xf>
    <xf numFmtId="164" fontId="21" fillId="19" borderId="5" xfId="31" applyNumberFormat="1" applyFont="1" applyFill="1" applyBorder="1" applyAlignment="1">
      <alignment horizontal="right" vertical="center"/>
    </xf>
    <xf numFmtId="164" fontId="21" fillId="20" borderId="5" xfId="31" applyNumberFormat="1" applyFont="1" applyFill="1" applyBorder="1" applyAlignment="1">
      <alignment horizontal="right" vertical="center"/>
    </xf>
    <xf numFmtId="164" fontId="4" fillId="20" borderId="5" xfId="30" applyNumberFormat="1" applyFont="1" applyFill="1" applyBorder="1" applyAlignment="1">
      <alignment vertical="center"/>
    </xf>
    <xf numFmtId="164" fontId="21" fillId="21" borderId="5" xfId="31" applyNumberFormat="1" applyFont="1" applyFill="1" applyBorder="1" applyAlignment="1">
      <alignment horizontal="right" vertical="center"/>
    </xf>
    <xf numFmtId="164" fontId="21" fillId="22" borderId="5" xfId="31" applyNumberFormat="1" applyFont="1" applyFill="1" applyBorder="1" applyAlignment="1">
      <alignment horizontal="right" vertical="center"/>
    </xf>
    <xf numFmtId="164" fontId="4" fillId="22" borderId="5" xfId="3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166" fontId="20" fillId="6" borderId="0" xfId="15" applyNumberFormat="1" applyFont="1" applyFill="1">
      <alignment vertical="center"/>
    </xf>
    <xf numFmtId="0" fontId="30" fillId="0" borderId="0" xfId="32" applyFont="1"/>
    <xf numFmtId="0" fontId="31" fillId="0" borderId="0" xfId="32" applyFont="1"/>
    <xf numFmtId="0" fontId="28" fillId="0" borderId="0" xfId="32"/>
    <xf numFmtId="0" fontId="32" fillId="0" borderId="8" xfId="32" applyFont="1" applyBorder="1" applyAlignment="1">
      <alignment horizontal="left" vertical="center"/>
    </xf>
    <xf numFmtId="0" fontId="32" fillId="0" borderId="8" xfId="32" applyFont="1" applyBorder="1" applyAlignment="1">
      <alignment horizontal="right" vertical="center"/>
    </xf>
    <xf numFmtId="0" fontId="33" fillId="0" borderId="0" xfId="32" applyFont="1"/>
    <xf numFmtId="0" fontId="28" fillId="0" borderId="0" xfId="32" applyAlignment="1">
      <alignment vertical="center"/>
    </xf>
    <xf numFmtId="164" fontId="28" fillId="0" borderId="0" xfId="32" applyNumberFormat="1" applyAlignment="1">
      <alignment horizontal="right" vertical="center"/>
    </xf>
    <xf numFmtId="0" fontId="28" fillId="0" borderId="5" xfId="32" applyBorder="1" applyAlignment="1">
      <alignment vertical="center"/>
    </xf>
    <xf numFmtId="164" fontId="28" fillId="0" borderId="5" xfId="32" applyNumberFormat="1" applyBorder="1" applyAlignment="1">
      <alignment horizontal="right" vertical="center"/>
    </xf>
    <xf numFmtId="0" fontId="34" fillId="0" borderId="5" xfId="32" applyFont="1" applyBorder="1" applyAlignment="1">
      <alignment vertical="center"/>
    </xf>
    <xf numFmtId="164" fontId="34" fillId="0" borderId="5" xfId="32" applyNumberFormat="1" applyFont="1" applyBorder="1" applyAlignment="1">
      <alignment horizontal="right" vertical="center"/>
    </xf>
    <xf numFmtId="164" fontId="4" fillId="4" borderId="5" xfId="2" applyNumberFormat="1" applyFont="1" applyFill="1" applyBorder="1" applyAlignment="1">
      <alignment horizontal="right" vertical="center"/>
    </xf>
    <xf numFmtId="164" fontId="4" fillId="4" borderId="0" xfId="2" applyNumberFormat="1" applyFont="1" applyFill="1" applyAlignment="1">
      <alignment horizontal="right" vertical="center"/>
    </xf>
    <xf numFmtId="0" fontId="28" fillId="4" borderId="0" xfId="32" applyFill="1" applyAlignment="1">
      <alignment vertical="center"/>
    </xf>
    <xf numFmtId="0" fontId="28" fillId="4" borderId="5" xfId="32" applyFill="1" applyBorder="1" applyAlignment="1">
      <alignment vertical="center"/>
    </xf>
    <xf numFmtId="0" fontId="28" fillId="12" borderId="5" xfId="32" applyFill="1" applyBorder="1" applyAlignment="1">
      <alignment vertical="center"/>
    </xf>
    <xf numFmtId="0" fontId="28" fillId="14" borderId="5" xfId="32" applyFill="1" applyBorder="1" applyAlignment="1">
      <alignment vertical="center"/>
    </xf>
    <xf numFmtId="0" fontId="34" fillId="3" borderId="9" xfId="32" applyFont="1" applyFill="1" applyBorder="1" applyAlignment="1">
      <alignment vertical="center"/>
    </xf>
    <xf numFmtId="164" fontId="34" fillId="3" borderId="9" xfId="32" applyNumberFormat="1" applyFont="1" applyFill="1" applyBorder="1" applyAlignment="1">
      <alignment horizontal="right" vertical="center"/>
    </xf>
    <xf numFmtId="164" fontId="28" fillId="14" borderId="5" xfId="32" applyNumberFormat="1" applyFill="1" applyBorder="1" applyAlignment="1">
      <alignment horizontal="right" vertical="center"/>
    </xf>
    <xf numFmtId="0" fontId="1" fillId="23" borderId="0" xfId="0" quotePrefix="1" applyFont="1" applyFill="1"/>
    <xf numFmtId="0" fontId="0" fillId="23" borderId="0" xfId="0" applyFill="1"/>
    <xf numFmtId="165" fontId="0" fillId="23" borderId="0" xfId="0" applyNumberFormat="1" applyFill="1"/>
    <xf numFmtId="165" fontId="0" fillId="23" borderId="1" xfId="1" applyFont="1" applyFill="1" applyBorder="1"/>
    <xf numFmtId="165" fontId="0" fillId="23" borderId="7" xfId="1" applyFont="1" applyFill="1" applyBorder="1"/>
    <xf numFmtId="165" fontId="0" fillId="23" borderId="3" xfId="1" applyFont="1" applyFill="1" applyBorder="1"/>
    <xf numFmtId="43" fontId="0" fillId="23" borderId="6" xfId="0" applyNumberFormat="1" applyFill="1" applyBorder="1"/>
    <xf numFmtId="165" fontId="0" fillId="23" borderId="0" xfId="1" applyFont="1" applyFill="1"/>
    <xf numFmtId="0" fontId="1" fillId="23" borderId="0" xfId="0" applyFont="1" applyFill="1"/>
    <xf numFmtId="0" fontId="28" fillId="19" borderId="5" xfId="32" applyFill="1" applyBorder="1" applyAlignment="1">
      <alignment vertical="center"/>
    </xf>
    <xf numFmtId="164" fontId="28" fillId="19" borderId="5" xfId="32" applyNumberFormat="1" applyFill="1" applyBorder="1" applyAlignment="1">
      <alignment horizontal="right" vertical="center"/>
    </xf>
    <xf numFmtId="0" fontId="28" fillId="19" borderId="0" xfId="32" applyFill="1"/>
    <xf numFmtId="17" fontId="32" fillId="0" borderId="8" xfId="32" applyNumberFormat="1" applyFont="1" applyBorder="1" applyAlignment="1">
      <alignment horizontal="right" vertical="center"/>
    </xf>
    <xf numFmtId="164" fontId="4" fillId="4" borderId="5" xfId="30" applyNumberFormat="1" applyFont="1" applyFill="1" applyBorder="1" applyAlignment="1">
      <alignment horizontal="right" vertical="center"/>
    </xf>
    <xf numFmtId="0" fontId="28" fillId="15" borderId="5" xfId="32" applyFill="1" applyBorder="1" applyAlignment="1">
      <alignment vertical="center"/>
    </xf>
    <xf numFmtId="164" fontId="28" fillId="15" borderId="5" xfId="32" applyNumberFormat="1" applyFill="1" applyBorder="1" applyAlignment="1">
      <alignment horizontal="right" vertical="center"/>
    </xf>
    <xf numFmtId="0" fontId="28" fillId="15" borderId="0" xfId="32" applyFill="1"/>
    <xf numFmtId="0" fontId="28" fillId="15" borderId="0" xfId="32" applyFill="1" applyAlignment="1">
      <alignment vertical="center"/>
    </xf>
    <xf numFmtId="164" fontId="28" fillId="15" borderId="0" xfId="32" applyNumberFormat="1" applyFill="1" applyAlignment="1">
      <alignment horizontal="right" vertical="center"/>
    </xf>
    <xf numFmtId="0" fontId="1" fillId="0" borderId="0" xfId="0" applyFont="1" applyAlignment="1">
      <alignment horizontal="center"/>
    </xf>
    <xf numFmtId="39" fontId="28" fillId="0" borderId="0" xfId="32" applyNumberFormat="1"/>
    <xf numFmtId="165" fontId="28" fillId="0" borderId="0" xfId="1" applyFont="1"/>
    <xf numFmtId="43" fontId="28" fillId="0" borderId="0" xfId="32" applyNumberFormat="1"/>
    <xf numFmtId="164" fontId="28" fillId="4" borderId="0" xfId="32" applyNumberFormat="1" applyFill="1" applyAlignment="1">
      <alignment horizontal="right" vertical="center"/>
    </xf>
    <xf numFmtId="164" fontId="28" fillId="4" borderId="5" xfId="32" applyNumberFormat="1" applyFill="1" applyBorder="1" applyAlignment="1">
      <alignment horizontal="right" vertical="center"/>
    </xf>
    <xf numFmtId="0" fontId="13" fillId="0" borderId="0" xfId="30"/>
    <xf numFmtId="0" fontId="4" fillId="0" borderId="5" xfId="30" applyFont="1" applyBorder="1" applyAlignment="1">
      <alignment horizontal="right" vertical="center"/>
    </xf>
    <xf numFmtId="0" fontId="12" fillId="0" borderId="8" xfId="27" applyFont="1" applyBorder="1" applyAlignment="1">
      <alignment vertical="center" wrapText="1"/>
    </xf>
    <xf numFmtId="0" fontId="0" fillId="0" borderId="8" xfId="0" applyBorder="1"/>
    <xf numFmtId="0" fontId="8" fillId="0" borderId="0" xfId="27" applyFont="1" applyAlignment="1">
      <alignment vertical="center" wrapText="1"/>
    </xf>
    <xf numFmtId="0" fontId="7" fillId="0" borderId="0" xfId="27"/>
    <xf numFmtId="0" fontId="9" fillId="0" borderId="0" xfId="27" applyFont="1" applyAlignment="1">
      <alignment vertical="center" wrapText="1"/>
    </xf>
    <xf numFmtId="0" fontId="32" fillId="0" borderId="8" xfId="32" applyFont="1" applyBorder="1" applyAlignment="1">
      <alignment vertical="center" wrapText="1"/>
    </xf>
    <xf numFmtId="0" fontId="29" fillId="0" borderId="0" xfId="32" applyFont="1" applyAlignment="1">
      <alignment vertical="center" wrapText="1"/>
    </xf>
    <xf numFmtId="0" fontId="30" fillId="0" borderId="0" xfId="32" applyFont="1"/>
    <xf numFmtId="0" fontId="31" fillId="0" borderId="0" xfId="32" applyFont="1" applyAlignment="1">
      <alignment vertical="center" wrapText="1"/>
    </xf>
    <xf numFmtId="0" fontId="31" fillId="0" borderId="0" xfId="32" applyFont="1"/>
    <xf numFmtId="166" fontId="17" fillId="0" borderId="0" xfId="15" applyNumberFormat="1" applyFont="1" applyAlignment="1">
      <alignment horizontal="center" vertical="center"/>
    </xf>
    <xf numFmtId="0" fontId="3" fillId="0" borderId="0" xfId="15" applyFont="1">
      <alignment vertical="center"/>
    </xf>
    <xf numFmtId="166" fontId="5" fillId="0" borderId="0" xfId="15" applyNumberFormat="1" applyFont="1" applyAlignment="1">
      <alignment horizontal="center" vertical="center"/>
    </xf>
    <xf numFmtId="0" fontId="5" fillId="0" borderId="4" xfId="30" applyFont="1" applyBorder="1" applyAlignment="1">
      <alignment vertical="center" wrapText="1"/>
    </xf>
    <xf numFmtId="0" fontId="0" fillId="0" borderId="4" xfId="0" applyBorder="1"/>
    <xf numFmtId="0" fontId="3" fillId="0" borderId="0" xfId="30" applyFont="1" applyAlignment="1">
      <alignment horizontal="center"/>
    </xf>
    <xf numFmtId="0" fontId="14" fillId="0" borderId="0" xfId="30" applyFont="1" applyAlignment="1">
      <alignment vertical="center" wrapText="1"/>
    </xf>
    <xf numFmtId="0" fontId="3" fillId="0" borderId="0" xfId="30" applyFont="1"/>
    <xf numFmtId="0" fontId="15" fillId="0" borderId="0" xfId="30" applyFont="1" applyAlignment="1">
      <alignment vertical="center" wrapText="1"/>
    </xf>
    <xf numFmtId="0" fontId="22" fillId="0" borderId="0" xfId="31" applyFont="1" applyAlignment="1">
      <alignment vertical="center" wrapText="1"/>
    </xf>
    <xf numFmtId="0" fontId="23" fillId="0" borderId="0" xfId="31" applyFont="1"/>
    <xf numFmtId="0" fontId="24" fillId="0" borderId="0" xfId="31" applyFont="1" applyAlignment="1">
      <alignment vertical="center" wrapText="1"/>
    </xf>
    <xf numFmtId="0" fontId="24" fillId="0" borderId="0" xfId="31" applyFont="1"/>
  </cellXfs>
  <cellStyles count="33">
    <cellStyle name="Comma" xfId="1" builtinId="3"/>
    <cellStyle name="Comma 2" xfId="4" xr:uid="{00000000-0005-0000-0000-000004000000}"/>
    <cellStyle name="Comma 3" xfId="9" xr:uid="{00000000-0005-0000-0000-000009000000}"/>
    <cellStyle name="Comma 4" xfId="14" xr:uid="{00000000-0005-0000-0000-00000E000000}"/>
    <cellStyle name="Comma 5" xfId="29" xr:uid="{00000000-0005-0000-0000-00001D000000}"/>
    <cellStyle name="Currency 2" xfId="7" xr:uid="{00000000-0005-0000-0000-000007000000}"/>
    <cellStyle name="Currency 3" xfId="13" xr:uid="{00000000-0005-0000-0000-00000D000000}"/>
    <cellStyle name="Currency 4" xfId="25" xr:uid="{00000000-0005-0000-0000-000019000000}"/>
    <cellStyle name="Normal" xfId="0" builtinId="0"/>
    <cellStyle name="Normal 10" xfId="23" xr:uid="{00000000-0005-0000-0000-000017000000}"/>
    <cellStyle name="Normal 11" xfId="24" xr:uid="{00000000-0005-0000-0000-000018000000}"/>
    <cellStyle name="Normal 12" xfId="26" xr:uid="{00000000-0005-0000-0000-00001A000000}"/>
    <cellStyle name="Normal 13" xfId="27" xr:uid="{00000000-0005-0000-0000-00001B000000}"/>
    <cellStyle name="Normal 14" xfId="28" xr:uid="{00000000-0005-0000-0000-00001C000000}"/>
    <cellStyle name="Normal 14 2" xfId="30" xr:uid="{00000000-0005-0000-0000-00001E000000}"/>
    <cellStyle name="Normal 15" xfId="31" xr:uid="{00000000-0005-0000-0000-00001F000000}"/>
    <cellStyle name="Normal 2" xfId="2" xr:uid="{00000000-0005-0000-0000-000002000000}"/>
    <cellStyle name="Normal 2 2" xfId="15" xr:uid="{00000000-0005-0000-0000-00000F000000}"/>
    <cellStyle name="Normal 3" xfId="3" xr:uid="{00000000-0005-0000-0000-000003000000}"/>
    <cellStyle name="Normal 3 2" xfId="16" xr:uid="{00000000-0005-0000-0000-000010000000}"/>
    <cellStyle name="Normal 4" xfId="5" xr:uid="{00000000-0005-0000-0000-000005000000}"/>
    <cellStyle name="Normal 4 2" xfId="17" xr:uid="{00000000-0005-0000-0000-000011000000}"/>
    <cellStyle name="Normal 5" xfId="6" xr:uid="{00000000-0005-0000-0000-000006000000}"/>
    <cellStyle name="Normal 5 2" xfId="18" xr:uid="{00000000-0005-0000-0000-000012000000}"/>
    <cellStyle name="Normal 6" xfId="10" xr:uid="{00000000-0005-0000-0000-00000A000000}"/>
    <cellStyle name="Normal 6 2" xfId="19" xr:uid="{00000000-0005-0000-0000-000013000000}"/>
    <cellStyle name="Normal 7" xfId="11" xr:uid="{00000000-0005-0000-0000-00000B000000}"/>
    <cellStyle name="Normal 7 2" xfId="20" xr:uid="{00000000-0005-0000-0000-000014000000}"/>
    <cellStyle name="Normal 8" xfId="12" xr:uid="{00000000-0005-0000-0000-00000C000000}"/>
    <cellStyle name="Normal 8 2" xfId="21" xr:uid="{00000000-0005-0000-0000-000015000000}"/>
    <cellStyle name="Normal 8 3" xfId="32" xr:uid="{00000000-0005-0000-0000-000020000000}"/>
    <cellStyle name="Normal 9" xfId="22" xr:uid="{00000000-0005-0000-0000-000016000000}"/>
    <cellStyle name="Percent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showGridLines="0" topLeftCell="A23" zoomScale="150" zoomScaleNormal="150" workbookViewId="0">
      <selection activeCell="B35" sqref="B35"/>
    </sheetView>
  </sheetViews>
  <sheetFormatPr baseColWidth="10" defaultColWidth="8.83203125" defaultRowHeight="14" x14ac:dyDescent="0.15"/>
  <cols>
    <col min="1" max="1" width="25.33203125" style="13" customWidth="1"/>
    <col min="2" max="2" width="40.83203125" style="13" customWidth="1"/>
    <col min="3" max="4" width="9.5" style="13" customWidth="1"/>
    <col min="5" max="5" width="9.83203125" style="13" customWidth="1"/>
    <col min="6" max="6" width="9" style="13" customWidth="1"/>
    <col min="7" max="7" width="10.5" style="13" customWidth="1"/>
    <col min="8" max="8" width="9.83203125" style="13" customWidth="1"/>
    <col min="9" max="9" width="10.5" style="13" customWidth="1"/>
    <col min="10" max="12" width="8.83203125" style="13" customWidth="1"/>
    <col min="13" max="16384" width="8.83203125" style="13"/>
  </cols>
  <sheetData>
    <row r="1" spans="1:9" ht="25.5" customHeight="1" x14ac:dyDescent="0.15">
      <c r="A1" s="155" t="s">
        <v>0</v>
      </c>
      <c r="B1" s="156"/>
      <c r="C1" s="156"/>
      <c r="D1" s="156"/>
      <c r="E1" s="156"/>
      <c r="F1" s="156"/>
      <c r="G1" s="156"/>
      <c r="H1" s="156"/>
      <c r="I1" s="156"/>
    </row>
    <row r="2" spans="1:9" ht="18" customHeight="1" x14ac:dyDescent="0.15">
      <c r="A2" s="157" t="s">
        <v>1</v>
      </c>
      <c r="B2" s="156"/>
      <c r="C2" s="156"/>
      <c r="D2" s="156"/>
      <c r="E2" s="156"/>
      <c r="F2" s="156"/>
      <c r="G2" s="156"/>
      <c r="H2" s="156"/>
      <c r="I2" s="156"/>
    </row>
    <row r="3" spans="1:9" ht="18" customHeight="1" x14ac:dyDescent="0.15">
      <c r="A3" s="157" t="s">
        <v>2</v>
      </c>
      <c r="B3" s="156"/>
      <c r="C3" s="156"/>
      <c r="D3" s="156"/>
      <c r="E3" s="156"/>
      <c r="F3" s="156"/>
      <c r="G3" s="156"/>
      <c r="H3" s="156"/>
      <c r="I3" s="156"/>
    </row>
    <row r="4" spans="1:9" ht="18" customHeight="1" x14ac:dyDescent="0.15">
      <c r="A4" s="157" t="s">
        <v>3</v>
      </c>
      <c r="B4" s="156"/>
      <c r="C4" s="156"/>
      <c r="D4" s="156"/>
      <c r="E4" s="156"/>
      <c r="F4" s="156"/>
      <c r="G4" s="156"/>
      <c r="H4" s="156"/>
      <c r="I4" s="156"/>
    </row>
    <row r="5" spans="1:9" ht="13.25" customHeight="1" x14ac:dyDescent="0.15"/>
    <row r="6" spans="1:9" ht="10.5" customHeight="1" x14ac:dyDescent="0.15">
      <c r="A6" s="14" t="s">
        <v>4</v>
      </c>
      <c r="B6" s="14" t="s">
        <v>5</v>
      </c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</row>
    <row r="7" spans="1:9" ht="10.5" customHeight="1" x14ac:dyDescent="0.15">
      <c r="A7" s="16" t="s">
        <v>13</v>
      </c>
      <c r="B7" s="16" t="s">
        <v>14</v>
      </c>
      <c r="C7" s="17">
        <v>0</v>
      </c>
      <c r="D7" s="17">
        <v>42561.09</v>
      </c>
      <c r="E7" s="17">
        <v>0</v>
      </c>
      <c r="F7" s="17">
        <v>0</v>
      </c>
      <c r="G7" s="17">
        <v>0</v>
      </c>
      <c r="H7" s="17">
        <v>0</v>
      </c>
      <c r="I7" s="17">
        <v>42561.09</v>
      </c>
    </row>
    <row r="8" spans="1:9" ht="10.5" customHeight="1" x14ac:dyDescent="0.15">
      <c r="A8" s="18" t="s">
        <v>13</v>
      </c>
      <c r="B8" s="18" t="s">
        <v>15</v>
      </c>
      <c r="C8" s="19">
        <v>0</v>
      </c>
      <c r="D8" s="19">
        <v>0</v>
      </c>
      <c r="E8" s="19">
        <v>0</v>
      </c>
      <c r="F8" s="19">
        <v>934.1</v>
      </c>
      <c r="G8" s="19">
        <v>0</v>
      </c>
      <c r="H8" s="19">
        <v>0</v>
      </c>
      <c r="I8" s="19">
        <v>934.1</v>
      </c>
    </row>
    <row r="9" spans="1:9" ht="10.5" customHeight="1" x14ac:dyDescent="0.15">
      <c r="A9" s="18" t="s">
        <v>13</v>
      </c>
      <c r="B9" s="18" t="s">
        <v>16</v>
      </c>
      <c r="C9" s="19">
        <v>0</v>
      </c>
      <c r="D9" s="19">
        <v>696.38</v>
      </c>
      <c r="E9" s="19">
        <v>0</v>
      </c>
      <c r="F9" s="19">
        <v>0</v>
      </c>
      <c r="G9" s="19">
        <v>0</v>
      </c>
      <c r="H9" s="19">
        <v>0</v>
      </c>
      <c r="I9" s="19">
        <v>696.38</v>
      </c>
    </row>
    <row r="10" spans="1:9" ht="10.5" customHeight="1" x14ac:dyDescent="0.15">
      <c r="A10" s="18" t="s">
        <v>13</v>
      </c>
      <c r="B10" s="18" t="s">
        <v>17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-1309</v>
      </c>
      <c r="I10" s="19">
        <v>-1309</v>
      </c>
    </row>
    <row r="11" spans="1:9" ht="10.5" customHeight="1" x14ac:dyDescent="0.15">
      <c r="A11" s="18" t="s">
        <v>13</v>
      </c>
      <c r="B11" s="18" t="s">
        <v>18</v>
      </c>
      <c r="C11" s="19">
        <v>0</v>
      </c>
      <c r="D11" s="19">
        <v>127019.8</v>
      </c>
      <c r="E11" s="19">
        <v>0</v>
      </c>
      <c r="F11" s="19">
        <v>0</v>
      </c>
      <c r="G11" s="19">
        <v>11500</v>
      </c>
      <c r="H11" s="19">
        <v>0</v>
      </c>
      <c r="I11" s="19">
        <v>138519.79999999999</v>
      </c>
    </row>
    <row r="12" spans="1:9" ht="10.5" customHeight="1" x14ac:dyDescent="0.15">
      <c r="A12" s="18" t="s">
        <v>13</v>
      </c>
      <c r="B12" s="18" t="s">
        <v>19</v>
      </c>
      <c r="C12" s="19">
        <v>0</v>
      </c>
      <c r="D12" s="19">
        <v>2911.8</v>
      </c>
      <c r="E12" s="19">
        <v>0</v>
      </c>
      <c r="F12" s="19">
        <v>0</v>
      </c>
      <c r="G12" s="19">
        <v>0</v>
      </c>
      <c r="H12" s="19">
        <v>0</v>
      </c>
      <c r="I12" s="19">
        <v>2911.8</v>
      </c>
    </row>
    <row r="13" spans="1:9" ht="10.5" customHeight="1" x14ac:dyDescent="0.15">
      <c r="A13" s="18" t="s">
        <v>13</v>
      </c>
      <c r="B13" s="18" t="s">
        <v>20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-7400</v>
      </c>
      <c r="I13" s="19">
        <v>-7400</v>
      </c>
    </row>
    <row r="14" spans="1:9" ht="10.5" customHeight="1" x14ac:dyDescent="0.15">
      <c r="A14" s="18" t="s">
        <v>13</v>
      </c>
      <c r="B14" s="18" t="s">
        <v>21</v>
      </c>
      <c r="C14" s="19">
        <v>0</v>
      </c>
      <c r="D14" s="19">
        <v>1718.1</v>
      </c>
      <c r="E14" s="19">
        <v>0</v>
      </c>
      <c r="F14" s="19">
        <v>0</v>
      </c>
      <c r="G14" s="19">
        <v>0</v>
      </c>
      <c r="H14" s="19">
        <v>0</v>
      </c>
      <c r="I14" s="19">
        <v>1718.1</v>
      </c>
    </row>
    <row r="15" spans="1:9" ht="10.5" customHeight="1" x14ac:dyDescent="0.15">
      <c r="A15" s="18" t="s">
        <v>13</v>
      </c>
      <c r="B15" s="18" t="s">
        <v>22</v>
      </c>
      <c r="C15" s="19">
        <v>0</v>
      </c>
      <c r="D15" s="19">
        <v>1600</v>
      </c>
      <c r="E15" s="19">
        <v>0</v>
      </c>
      <c r="F15" s="19">
        <v>0</v>
      </c>
      <c r="G15" s="19">
        <v>0</v>
      </c>
      <c r="H15" s="19">
        <v>0</v>
      </c>
      <c r="I15" s="19">
        <v>1600</v>
      </c>
    </row>
    <row r="16" spans="1:9" ht="10.5" customHeight="1" x14ac:dyDescent="0.15">
      <c r="A16" s="18" t="s">
        <v>13</v>
      </c>
      <c r="B16" s="18" t="s">
        <v>23</v>
      </c>
      <c r="C16" s="19">
        <v>0</v>
      </c>
      <c r="D16" s="19">
        <v>0</v>
      </c>
      <c r="E16" s="19">
        <v>0</v>
      </c>
      <c r="F16" s="19">
        <v>0</v>
      </c>
      <c r="G16" s="19">
        <v>1625.1</v>
      </c>
      <c r="H16" s="19">
        <v>2466.63</v>
      </c>
      <c r="I16" s="19">
        <v>4091.73</v>
      </c>
    </row>
    <row r="17" spans="1:9" ht="10.5" customHeight="1" x14ac:dyDescent="0.15">
      <c r="A17" s="20" t="s">
        <v>12</v>
      </c>
      <c r="B17" s="20"/>
      <c r="C17" s="21">
        <f t="shared" ref="C17:I17" si="0">SUM(C7:C16)</f>
        <v>0</v>
      </c>
      <c r="D17" s="21">
        <f t="shared" si="0"/>
        <v>176507.16999999998</v>
      </c>
      <c r="E17" s="21">
        <f t="shared" si="0"/>
        <v>0</v>
      </c>
      <c r="F17" s="21">
        <f t="shared" si="0"/>
        <v>934.1</v>
      </c>
      <c r="G17" s="21">
        <f t="shared" si="0"/>
        <v>13125.1</v>
      </c>
      <c r="H17" s="21">
        <f t="shared" si="0"/>
        <v>-6242.37</v>
      </c>
      <c r="I17" s="21">
        <f t="shared" si="0"/>
        <v>184324</v>
      </c>
    </row>
    <row r="18" spans="1:9" ht="13.25" customHeight="1" x14ac:dyDescent="0.15"/>
    <row r="19" spans="1:9" ht="13" customHeight="1" x14ac:dyDescent="0.2">
      <c r="A19" s="153" t="s">
        <v>24</v>
      </c>
      <c r="B19" s="154"/>
      <c r="C19" s="154"/>
      <c r="D19" s="154"/>
      <c r="E19" s="154"/>
      <c r="F19" s="154"/>
      <c r="G19" s="154"/>
      <c r="H19" s="154"/>
      <c r="I19" s="154"/>
    </row>
    <row r="20" spans="1:9" ht="10.5" customHeight="1" x14ac:dyDescent="0.15">
      <c r="A20" s="16" t="s">
        <v>13</v>
      </c>
      <c r="B20" s="16" t="s">
        <v>25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</row>
    <row r="21" spans="1:9" ht="10.5" customHeight="1" x14ac:dyDescent="0.15">
      <c r="A21" s="18" t="s">
        <v>13</v>
      </c>
      <c r="B21" s="18" t="s">
        <v>26</v>
      </c>
      <c r="C21" s="19">
        <v>0</v>
      </c>
      <c r="D21" s="19">
        <v>300</v>
      </c>
      <c r="E21" s="19">
        <v>0</v>
      </c>
      <c r="F21" s="19">
        <v>0</v>
      </c>
      <c r="G21" s="19">
        <v>0</v>
      </c>
      <c r="H21" s="19">
        <v>0</v>
      </c>
      <c r="I21" s="19">
        <v>300</v>
      </c>
    </row>
    <row r="22" spans="1:9" ht="10.5" customHeight="1" x14ac:dyDescent="0.15">
      <c r="A22" s="18" t="s">
        <v>13</v>
      </c>
      <c r="B22" s="18" t="s">
        <v>27</v>
      </c>
      <c r="C22" s="19">
        <v>0</v>
      </c>
      <c r="D22" s="19">
        <v>1180.5</v>
      </c>
      <c r="E22" s="19">
        <v>0</v>
      </c>
      <c r="F22" s="19">
        <v>0</v>
      </c>
      <c r="G22" s="19">
        <v>0</v>
      </c>
      <c r="H22" s="19">
        <v>439.99</v>
      </c>
      <c r="I22" s="19">
        <v>1620.49</v>
      </c>
    </row>
    <row r="23" spans="1:9" ht="10.5" customHeight="1" x14ac:dyDescent="0.15">
      <c r="A23" s="18" t="s">
        <v>13</v>
      </c>
      <c r="B23" s="18" t="s">
        <v>28</v>
      </c>
      <c r="C23" s="19">
        <v>0</v>
      </c>
      <c r="D23" s="19">
        <v>96</v>
      </c>
      <c r="E23" s="19">
        <v>95.74</v>
      </c>
      <c r="F23" s="19">
        <v>0</v>
      </c>
      <c r="G23" s="19">
        <v>0</v>
      </c>
      <c r="H23" s="19">
        <v>0</v>
      </c>
      <c r="I23" s="19">
        <v>191.74</v>
      </c>
    </row>
    <row r="24" spans="1:9" ht="10.5" customHeight="1" x14ac:dyDescent="0.15">
      <c r="A24" s="18" t="s">
        <v>13</v>
      </c>
      <c r="B24" s="18" t="s">
        <v>29</v>
      </c>
      <c r="C24" s="19">
        <v>0</v>
      </c>
      <c r="D24" s="19">
        <v>853.2</v>
      </c>
      <c r="E24" s="19">
        <v>0</v>
      </c>
      <c r="F24" s="19">
        <v>0</v>
      </c>
      <c r="G24" s="19">
        <v>0</v>
      </c>
      <c r="H24" s="19">
        <v>0</v>
      </c>
      <c r="I24" s="19">
        <v>853.2</v>
      </c>
    </row>
    <row r="25" spans="1:9" ht="10.5" customHeight="1" x14ac:dyDescent="0.15">
      <c r="A25" s="20" t="s">
        <v>30</v>
      </c>
      <c r="B25" s="20"/>
      <c r="C25" s="21">
        <f t="shared" ref="C25:I25" si="1">SUM(C20:C24)</f>
        <v>0</v>
      </c>
      <c r="D25" s="21">
        <f t="shared" si="1"/>
        <v>2429.6999999999998</v>
      </c>
      <c r="E25" s="21">
        <f t="shared" si="1"/>
        <v>95.74</v>
      </c>
      <c r="F25" s="21">
        <f t="shared" si="1"/>
        <v>0</v>
      </c>
      <c r="G25" s="21">
        <f t="shared" si="1"/>
        <v>0</v>
      </c>
      <c r="H25" s="21">
        <f t="shared" si="1"/>
        <v>439.99</v>
      </c>
      <c r="I25" s="21">
        <f t="shared" si="1"/>
        <v>2965.4300000000003</v>
      </c>
    </row>
    <row r="26" spans="1:9" ht="13.25" customHeight="1" x14ac:dyDescent="0.15"/>
    <row r="27" spans="1:9" ht="13" customHeight="1" x14ac:dyDescent="0.2">
      <c r="A27" s="153" t="s">
        <v>31</v>
      </c>
      <c r="B27" s="154"/>
      <c r="C27" s="154"/>
      <c r="D27" s="154"/>
      <c r="E27" s="154"/>
      <c r="F27" s="154"/>
      <c r="G27" s="154"/>
      <c r="H27" s="154"/>
      <c r="I27" s="154"/>
    </row>
    <row r="28" spans="1:9" ht="10.5" customHeight="1" x14ac:dyDescent="0.15">
      <c r="A28" s="16" t="s">
        <v>13</v>
      </c>
      <c r="B28" s="16" t="s">
        <v>32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15363.77</v>
      </c>
      <c r="I28" s="17">
        <v>15363.77</v>
      </c>
    </row>
    <row r="29" spans="1:9" ht="10.5" customHeight="1" x14ac:dyDescent="0.15">
      <c r="A29" s="18" t="s">
        <v>13</v>
      </c>
      <c r="B29" s="18" t="s">
        <v>33</v>
      </c>
      <c r="C29" s="19">
        <v>0</v>
      </c>
      <c r="D29" s="19">
        <v>831.85</v>
      </c>
      <c r="E29" s="19">
        <v>1672.2</v>
      </c>
      <c r="F29" s="19">
        <v>1661.5</v>
      </c>
      <c r="G29" s="19">
        <v>1997.86</v>
      </c>
      <c r="H29" s="19">
        <v>2972.75</v>
      </c>
      <c r="I29" s="19">
        <v>9136.16</v>
      </c>
    </row>
    <row r="30" spans="1:9" ht="10.5" customHeight="1" x14ac:dyDescent="0.15">
      <c r="A30" s="18" t="s">
        <v>13</v>
      </c>
      <c r="B30" s="18" t="s">
        <v>34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18733.5</v>
      </c>
      <c r="I30" s="19">
        <v>18733.5</v>
      </c>
    </row>
    <row r="31" spans="1:9" ht="10.5" customHeight="1" x14ac:dyDescent="0.15">
      <c r="A31" s="18" t="s">
        <v>13</v>
      </c>
      <c r="B31" s="18" t="s">
        <v>35</v>
      </c>
      <c r="C31" s="19">
        <v>0</v>
      </c>
      <c r="D31" s="19">
        <v>26137.200000000001</v>
      </c>
      <c r="E31" s="19">
        <v>0</v>
      </c>
      <c r="F31" s="19">
        <v>0</v>
      </c>
      <c r="G31" s="19">
        <v>0</v>
      </c>
      <c r="H31" s="19">
        <v>0</v>
      </c>
      <c r="I31" s="19">
        <v>26137.200000000001</v>
      </c>
    </row>
    <row r="32" spans="1:9" ht="10.5" customHeight="1" x14ac:dyDescent="0.15">
      <c r="A32" s="18" t="s">
        <v>13</v>
      </c>
      <c r="B32" s="18" t="s">
        <v>36</v>
      </c>
      <c r="C32" s="19">
        <v>0</v>
      </c>
      <c r="D32" s="19">
        <v>0</v>
      </c>
      <c r="E32" s="19">
        <v>0</v>
      </c>
      <c r="F32" s="19">
        <v>1877.59</v>
      </c>
      <c r="G32" s="19">
        <v>0</v>
      </c>
      <c r="H32" s="19">
        <v>0</v>
      </c>
      <c r="I32" s="19">
        <v>1877.59</v>
      </c>
    </row>
    <row r="33" spans="1:9" ht="10.5" customHeight="1" x14ac:dyDescent="0.15">
      <c r="A33" s="18" t="s">
        <v>13</v>
      </c>
      <c r="B33" s="18" t="s">
        <v>37</v>
      </c>
      <c r="C33" s="19">
        <v>0</v>
      </c>
      <c r="D33" s="19">
        <v>0</v>
      </c>
      <c r="E33" s="19">
        <v>9143.6</v>
      </c>
      <c r="F33" s="19">
        <v>38491.800000000003</v>
      </c>
      <c r="G33" s="19">
        <v>-40827.660000000003</v>
      </c>
      <c r="H33" s="19">
        <v>0</v>
      </c>
      <c r="I33" s="19">
        <v>6807.74</v>
      </c>
    </row>
    <row r="34" spans="1:9" ht="10.5" customHeight="1" x14ac:dyDescent="0.15">
      <c r="A34" s="18" t="s">
        <v>13</v>
      </c>
      <c r="B34" s="18" t="s">
        <v>38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0.2</v>
      </c>
      <c r="I34" s="19">
        <v>0.2</v>
      </c>
    </row>
    <row r="35" spans="1:9" ht="10.5" customHeight="1" x14ac:dyDescent="0.15">
      <c r="A35" s="18" t="s">
        <v>13</v>
      </c>
      <c r="B35" s="18" t="s">
        <v>39</v>
      </c>
      <c r="C35" s="19">
        <v>0</v>
      </c>
      <c r="D35" s="19">
        <v>0</v>
      </c>
      <c r="E35" s="19">
        <v>11000</v>
      </c>
      <c r="F35" s="19">
        <v>0</v>
      </c>
      <c r="G35" s="19">
        <v>33000</v>
      </c>
      <c r="H35" s="19">
        <v>0</v>
      </c>
      <c r="I35" s="19">
        <v>44000</v>
      </c>
    </row>
    <row r="36" spans="1:9" ht="10.5" customHeight="1" x14ac:dyDescent="0.15">
      <c r="A36" s="20" t="s">
        <v>40</v>
      </c>
      <c r="B36" s="20"/>
      <c r="C36" s="21">
        <f t="shared" ref="C36:I36" si="2">SUM(C28:C35)</f>
        <v>0</v>
      </c>
      <c r="D36" s="21">
        <f t="shared" si="2"/>
        <v>26969.05</v>
      </c>
      <c r="E36" s="21">
        <f t="shared" si="2"/>
        <v>21815.800000000003</v>
      </c>
      <c r="F36" s="21">
        <f t="shared" si="2"/>
        <v>42030.89</v>
      </c>
      <c r="G36" s="21">
        <f t="shared" si="2"/>
        <v>-5829.8000000000029</v>
      </c>
      <c r="H36" s="21">
        <f t="shared" si="2"/>
        <v>37070.22</v>
      </c>
      <c r="I36" s="21">
        <f t="shared" si="2"/>
        <v>122056.16</v>
      </c>
    </row>
    <row r="37" spans="1:9" ht="13.25" customHeight="1" x14ac:dyDescent="0.15"/>
    <row r="38" spans="1:9" ht="13" customHeight="1" x14ac:dyDescent="0.2">
      <c r="A38" s="153" t="s">
        <v>41</v>
      </c>
      <c r="B38" s="154"/>
      <c r="C38" s="154"/>
      <c r="D38" s="154"/>
      <c r="E38" s="154"/>
      <c r="F38" s="154"/>
      <c r="G38" s="154"/>
      <c r="H38" s="154"/>
      <c r="I38" s="154"/>
    </row>
    <row r="39" spans="1:9" ht="10.5" customHeight="1" x14ac:dyDescent="0.15">
      <c r="A39" s="16" t="s">
        <v>13</v>
      </c>
      <c r="B39" s="16" t="s">
        <v>42</v>
      </c>
      <c r="C39" s="17">
        <v>0</v>
      </c>
      <c r="D39" s="17">
        <v>155976.16</v>
      </c>
      <c r="E39" s="17">
        <v>0</v>
      </c>
      <c r="F39" s="17">
        <v>0</v>
      </c>
      <c r="G39" s="17">
        <v>0</v>
      </c>
      <c r="H39" s="17">
        <v>0</v>
      </c>
      <c r="I39" s="17">
        <v>155976.16</v>
      </c>
    </row>
    <row r="40" spans="1:9" ht="10.5" customHeight="1" x14ac:dyDescent="0.15">
      <c r="A40" s="20" t="s">
        <v>43</v>
      </c>
      <c r="B40" s="20"/>
      <c r="C40" s="21">
        <f t="shared" ref="C40:I40" si="3">C39</f>
        <v>0</v>
      </c>
      <c r="D40" s="21">
        <f t="shared" si="3"/>
        <v>155976.16</v>
      </c>
      <c r="E40" s="21">
        <f t="shared" si="3"/>
        <v>0</v>
      </c>
      <c r="F40" s="21">
        <f t="shared" si="3"/>
        <v>0</v>
      </c>
      <c r="G40" s="21">
        <f t="shared" si="3"/>
        <v>0</v>
      </c>
      <c r="H40" s="21">
        <f t="shared" si="3"/>
        <v>0</v>
      </c>
      <c r="I40" s="21">
        <f t="shared" si="3"/>
        <v>155976.16</v>
      </c>
    </row>
    <row r="41" spans="1:9" ht="13.25" customHeight="1" x14ac:dyDescent="0.15"/>
    <row r="42" spans="1:9" ht="13" customHeight="1" x14ac:dyDescent="0.2">
      <c r="A42" s="153" t="s">
        <v>44</v>
      </c>
      <c r="B42" s="154"/>
      <c r="C42" s="154"/>
      <c r="D42" s="154"/>
      <c r="E42" s="154"/>
      <c r="F42" s="154"/>
      <c r="G42" s="154"/>
      <c r="H42" s="154"/>
      <c r="I42" s="154"/>
    </row>
    <row r="43" spans="1:9" ht="10.5" customHeight="1" x14ac:dyDescent="0.15">
      <c r="A43" s="16" t="s">
        <v>13</v>
      </c>
      <c r="B43" s="16" t="s">
        <v>45</v>
      </c>
      <c r="C43" s="17">
        <v>103295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103295</v>
      </c>
    </row>
    <row r="44" spans="1:9" ht="10.5" customHeight="1" x14ac:dyDescent="0.15">
      <c r="A44" s="18" t="s">
        <v>13</v>
      </c>
      <c r="B44" s="18" t="s">
        <v>46</v>
      </c>
      <c r="C44" s="19">
        <v>0</v>
      </c>
      <c r="D44" s="19">
        <v>0</v>
      </c>
      <c r="E44" s="19">
        <v>159.57</v>
      </c>
      <c r="F44" s="19">
        <v>0</v>
      </c>
      <c r="G44" s="19">
        <v>0</v>
      </c>
      <c r="H44" s="19">
        <v>0</v>
      </c>
      <c r="I44" s="19">
        <v>159.57</v>
      </c>
    </row>
    <row r="45" spans="1:9" ht="10.5" customHeight="1" x14ac:dyDescent="0.15">
      <c r="A45" s="18" t="s">
        <v>13</v>
      </c>
      <c r="B45" s="18" t="s">
        <v>47</v>
      </c>
      <c r="C45" s="19">
        <v>0</v>
      </c>
      <c r="D45" s="19">
        <v>0</v>
      </c>
      <c r="E45" s="19">
        <v>-1000</v>
      </c>
      <c r="F45" s="19">
        <v>1130</v>
      </c>
      <c r="G45" s="19">
        <v>0</v>
      </c>
      <c r="H45" s="19">
        <v>0</v>
      </c>
      <c r="I45" s="19">
        <v>130</v>
      </c>
    </row>
    <row r="46" spans="1:9" ht="10.5" customHeight="1" x14ac:dyDescent="0.15">
      <c r="A46" s="18" t="s">
        <v>13</v>
      </c>
      <c r="B46" s="18" t="s">
        <v>48</v>
      </c>
      <c r="C46" s="19">
        <v>0</v>
      </c>
      <c r="D46" s="19">
        <v>735.38</v>
      </c>
      <c r="E46" s="19">
        <v>234.64</v>
      </c>
      <c r="F46" s="19">
        <v>253.26</v>
      </c>
      <c r="G46" s="19">
        <v>475.17</v>
      </c>
      <c r="H46" s="19">
        <v>478.78</v>
      </c>
      <c r="I46" s="19">
        <v>2177.23</v>
      </c>
    </row>
    <row r="47" spans="1:9" ht="10.5" customHeight="1" x14ac:dyDescent="0.15">
      <c r="A47" s="18" t="s">
        <v>13</v>
      </c>
      <c r="B47" s="18" t="s">
        <v>49</v>
      </c>
      <c r="C47" s="19">
        <v>0</v>
      </c>
      <c r="D47" s="19">
        <v>23194.93</v>
      </c>
      <c r="E47" s="19">
        <v>0</v>
      </c>
      <c r="F47" s="19">
        <v>0</v>
      </c>
      <c r="G47" s="19">
        <v>0</v>
      </c>
      <c r="H47" s="19">
        <v>0</v>
      </c>
      <c r="I47" s="19">
        <v>23194.93</v>
      </c>
    </row>
    <row r="48" spans="1:9" ht="10.5" customHeight="1" x14ac:dyDescent="0.15">
      <c r="A48" s="18" t="s">
        <v>13</v>
      </c>
      <c r="B48" s="18" t="s">
        <v>50</v>
      </c>
      <c r="C48" s="19">
        <v>0</v>
      </c>
      <c r="D48" s="19">
        <v>1695.44</v>
      </c>
      <c r="E48" s="19">
        <v>0</v>
      </c>
      <c r="F48" s="19">
        <v>540.58000000000004</v>
      </c>
      <c r="G48" s="19">
        <v>0</v>
      </c>
      <c r="H48" s="19">
        <v>0</v>
      </c>
      <c r="I48" s="19">
        <v>2236.02</v>
      </c>
    </row>
    <row r="49" spans="1:9" ht="10.5" customHeight="1" x14ac:dyDescent="0.15">
      <c r="A49" s="18" t="s">
        <v>13</v>
      </c>
      <c r="B49" s="18" t="s">
        <v>51</v>
      </c>
      <c r="C49" s="19">
        <v>0</v>
      </c>
      <c r="D49" s="19">
        <v>89.11</v>
      </c>
      <c r="E49" s="19">
        <v>12.73</v>
      </c>
      <c r="F49" s="19">
        <v>1376.85</v>
      </c>
      <c r="G49" s="19">
        <v>0</v>
      </c>
      <c r="H49" s="19">
        <v>0</v>
      </c>
      <c r="I49" s="19">
        <v>1478.69</v>
      </c>
    </row>
    <row r="50" spans="1:9" ht="10.5" customHeight="1" x14ac:dyDescent="0.15">
      <c r="A50" s="18" t="s">
        <v>13</v>
      </c>
      <c r="B50" s="18" t="s">
        <v>52</v>
      </c>
      <c r="C50" s="19">
        <v>0</v>
      </c>
      <c r="D50" s="19">
        <v>0</v>
      </c>
      <c r="E50" s="19">
        <v>0</v>
      </c>
      <c r="F50" s="19">
        <v>0</v>
      </c>
      <c r="G50" s="19">
        <v>-144718.82999999999</v>
      </c>
      <c r="H50" s="19">
        <v>0</v>
      </c>
      <c r="I50" s="19">
        <v>-144718.82999999999</v>
      </c>
    </row>
    <row r="51" spans="1:9" ht="10.5" customHeight="1" x14ac:dyDescent="0.15">
      <c r="A51" s="18" t="s">
        <v>13</v>
      </c>
      <c r="B51" s="18" t="s">
        <v>53</v>
      </c>
      <c r="C51" s="19">
        <v>0</v>
      </c>
      <c r="D51" s="19">
        <v>224799.12</v>
      </c>
      <c r="E51" s="19">
        <v>0</v>
      </c>
      <c r="F51" s="19">
        <v>0</v>
      </c>
      <c r="G51" s="19">
        <v>0</v>
      </c>
      <c r="H51" s="19">
        <v>0</v>
      </c>
      <c r="I51" s="19">
        <v>224799.12</v>
      </c>
    </row>
    <row r="52" spans="1:9" ht="10.5" customHeight="1" x14ac:dyDescent="0.15">
      <c r="A52" s="18" t="s">
        <v>13</v>
      </c>
      <c r="B52" s="18" t="s">
        <v>54</v>
      </c>
      <c r="C52" s="19">
        <v>0</v>
      </c>
      <c r="D52" s="19">
        <v>20268.75</v>
      </c>
      <c r="E52" s="19">
        <v>10505.25</v>
      </c>
      <c r="F52" s="19">
        <v>0</v>
      </c>
      <c r="G52" s="19">
        <v>0</v>
      </c>
      <c r="H52" s="19">
        <v>0</v>
      </c>
      <c r="I52" s="19">
        <v>30774</v>
      </c>
    </row>
    <row r="53" spans="1:9" ht="10.5" customHeight="1" x14ac:dyDescent="0.15">
      <c r="A53" s="18" t="s">
        <v>13</v>
      </c>
      <c r="B53" s="18" t="s">
        <v>55</v>
      </c>
      <c r="C53" s="19">
        <v>72029.56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72029.56</v>
      </c>
    </row>
    <row r="54" spans="1:9" ht="10.5" customHeight="1" x14ac:dyDescent="0.15">
      <c r="A54" s="18" t="s">
        <v>13</v>
      </c>
      <c r="B54" s="18" t="s">
        <v>56</v>
      </c>
      <c r="C54" s="19">
        <v>0</v>
      </c>
      <c r="D54" s="19">
        <v>24215.34</v>
      </c>
      <c r="E54" s="19">
        <v>0</v>
      </c>
      <c r="F54" s="19">
        <v>0</v>
      </c>
      <c r="G54" s="19">
        <v>0</v>
      </c>
      <c r="H54" s="19">
        <v>0</v>
      </c>
      <c r="I54" s="19">
        <v>24215.34</v>
      </c>
    </row>
    <row r="55" spans="1:9" ht="10.5" customHeight="1" x14ac:dyDescent="0.15">
      <c r="A55" s="18" t="s">
        <v>13</v>
      </c>
      <c r="B55" s="18" t="s">
        <v>57</v>
      </c>
      <c r="C55" s="19">
        <v>0</v>
      </c>
      <c r="D55" s="19">
        <v>41304.550000000003</v>
      </c>
      <c r="E55" s="19">
        <v>0</v>
      </c>
      <c r="F55" s="19">
        <v>0</v>
      </c>
      <c r="G55" s="19">
        <v>0</v>
      </c>
      <c r="H55" s="19">
        <v>0</v>
      </c>
      <c r="I55" s="19">
        <v>41304.550000000003</v>
      </c>
    </row>
    <row r="56" spans="1:9" ht="10.5" customHeight="1" x14ac:dyDescent="0.15">
      <c r="A56" s="18" t="s">
        <v>13</v>
      </c>
      <c r="B56" s="18" t="s">
        <v>58</v>
      </c>
      <c r="C56" s="19">
        <v>0</v>
      </c>
      <c r="D56" s="19">
        <v>0</v>
      </c>
      <c r="E56" s="19">
        <v>0</v>
      </c>
      <c r="F56" s="19">
        <v>55660</v>
      </c>
      <c r="G56" s="19">
        <v>0</v>
      </c>
      <c r="H56" s="19">
        <v>0</v>
      </c>
      <c r="I56" s="19">
        <v>55660</v>
      </c>
    </row>
    <row r="57" spans="1:9" ht="10.5" customHeight="1" x14ac:dyDescent="0.15">
      <c r="A57" s="18" t="s">
        <v>13</v>
      </c>
      <c r="B57" s="18" t="s">
        <v>59</v>
      </c>
      <c r="C57" s="19">
        <v>0</v>
      </c>
      <c r="D57" s="19">
        <v>0</v>
      </c>
      <c r="E57" s="19">
        <v>0</v>
      </c>
      <c r="F57" s="19">
        <v>10</v>
      </c>
      <c r="G57" s="19">
        <v>0</v>
      </c>
      <c r="H57" s="19">
        <v>0</v>
      </c>
      <c r="I57" s="19">
        <v>10</v>
      </c>
    </row>
    <row r="58" spans="1:9" ht="10.5" customHeight="1" x14ac:dyDescent="0.15">
      <c r="A58" s="18" t="s">
        <v>13</v>
      </c>
      <c r="B58" s="18" t="s">
        <v>60</v>
      </c>
      <c r="C58" s="19">
        <v>0</v>
      </c>
      <c r="D58" s="19">
        <v>0</v>
      </c>
      <c r="E58" s="19">
        <v>0</v>
      </c>
      <c r="F58" s="19">
        <v>0</v>
      </c>
      <c r="G58" s="19">
        <v>20000</v>
      </c>
      <c r="H58" s="19">
        <v>24083.49</v>
      </c>
      <c r="I58" s="19">
        <v>44083.49</v>
      </c>
    </row>
    <row r="59" spans="1:9" ht="10.5" customHeight="1" x14ac:dyDescent="0.15">
      <c r="A59" s="18" t="s">
        <v>13</v>
      </c>
      <c r="B59" s="18" t="s">
        <v>61</v>
      </c>
      <c r="C59" s="19">
        <v>53751</v>
      </c>
      <c r="D59" s="19">
        <v>0</v>
      </c>
      <c r="E59" s="19">
        <v>-31333.18</v>
      </c>
      <c r="F59" s="19">
        <v>0</v>
      </c>
      <c r="G59" s="19">
        <v>0</v>
      </c>
      <c r="H59" s="19">
        <v>0</v>
      </c>
      <c r="I59" s="19">
        <v>22417.82</v>
      </c>
    </row>
    <row r="60" spans="1:9" ht="10.5" customHeight="1" x14ac:dyDescent="0.15">
      <c r="A60" s="18" t="s">
        <v>13</v>
      </c>
      <c r="B60" s="18" t="s">
        <v>62</v>
      </c>
      <c r="C60" s="19">
        <v>0</v>
      </c>
      <c r="D60" s="19">
        <v>228850.59</v>
      </c>
      <c r="E60" s="19">
        <v>0</v>
      </c>
      <c r="F60" s="19">
        <v>0</v>
      </c>
      <c r="G60" s="19">
        <v>0</v>
      </c>
      <c r="H60" s="19">
        <v>0</v>
      </c>
      <c r="I60" s="19">
        <v>228850.59</v>
      </c>
    </row>
    <row r="61" spans="1:9" ht="10.5" customHeight="1" x14ac:dyDescent="0.15">
      <c r="A61" s="18" t="s">
        <v>13</v>
      </c>
      <c r="B61" s="18" t="s">
        <v>63</v>
      </c>
      <c r="C61" s="19">
        <v>42987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42987</v>
      </c>
    </row>
    <row r="62" spans="1:9" ht="10.5" customHeight="1" x14ac:dyDescent="0.15">
      <c r="A62" s="18" t="s">
        <v>13</v>
      </c>
      <c r="B62" s="18" t="s">
        <v>64</v>
      </c>
      <c r="C62" s="19">
        <v>0</v>
      </c>
      <c r="D62" s="19">
        <v>26108.89</v>
      </c>
      <c r="E62" s="19">
        <v>15617.27</v>
      </c>
      <c r="F62" s="19">
        <v>0</v>
      </c>
      <c r="G62" s="19">
        <v>0</v>
      </c>
      <c r="H62" s="19">
        <v>0</v>
      </c>
      <c r="I62" s="19">
        <v>41726.160000000003</v>
      </c>
    </row>
    <row r="63" spans="1:9" ht="10.5" customHeight="1" x14ac:dyDescent="0.15">
      <c r="A63" s="18" t="s">
        <v>13</v>
      </c>
      <c r="B63" s="18" t="s">
        <v>65</v>
      </c>
      <c r="C63" s="19">
        <v>0</v>
      </c>
      <c r="D63" s="19">
        <v>0</v>
      </c>
      <c r="E63" s="19">
        <v>0</v>
      </c>
      <c r="F63" s="19">
        <v>0</v>
      </c>
      <c r="G63" s="19">
        <v>-27140</v>
      </c>
      <c r="H63" s="19">
        <v>0</v>
      </c>
      <c r="I63" s="19">
        <v>-27140</v>
      </c>
    </row>
    <row r="64" spans="1:9" ht="10.5" customHeight="1" x14ac:dyDescent="0.15">
      <c r="A64" s="18" t="s">
        <v>13</v>
      </c>
      <c r="B64" s="18" t="s">
        <v>66</v>
      </c>
      <c r="C64" s="19">
        <v>0</v>
      </c>
      <c r="D64" s="19">
        <v>199784.16</v>
      </c>
      <c r="E64" s="19">
        <v>86257.36</v>
      </c>
      <c r="F64" s="19">
        <v>0</v>
      </c>
      <c r="G64" s="19">
        <v>0</v>
      </c>
      <c r="H64" s="19">
        <v>0</v>
      </c>
      <c r="I64" s="19">
        <v>286041.52</v>
      </c>
    </row>
    <row r="65" spans="1:9" ht="10.5" customHeight="1" x14ac:dyDescent="0.15">
      <c r="A65" s="18" t="s">
        <v>13</v>
      </c>
      <c r="B65" s="18" t="s">
        <v>67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23710.53</v>
      </c>
      <c r="I65" s="19">
        <v>23710.53</v>
      </c>
    </row>
    <row r="66" spans="1:9" ht="10.5" customHeight="1" x14ac:dyDescent="0.15">
      <c r="A66" s="20" t="s">
        <v>68</v>
      </c>
      <c r="B66" s="20"/>
      <c r="C66" s="21">
        <f t="shared" ref="C66:I66" si="4">SUM(C43:C65)</f>
        <v>272062.56</v>
      </c>
      <c r="D66" s="21">
        <f t="shared" si="4"/>
        <v>791046.26</v>
      </c>
      <c r="E66" s="21">
        <f t="shared" si="4"/>
        <v>80453.64</v>
      </c>
      <c r="F66" s="21">
        <f t="shared" si="4"/>
        <v>58970.69</v>
      </c>
      <c r="G66" s="21">
        <f t="shared" si="4"/>
        <v>-151383.65999999997</v>
      </c>
      <c r="H66" s="21">
        <f t="shared" si="4"/>
        <v>48272.800000000003</v>
      </c>
      <c r="I66" s="21">
        <f t="shared" si="4"/>
        <v>1099422.2900000003</v>
      </c>
    </row>
    <row r="67" spans="1:9" ht="13.25" customHeight="1" x14ac:dyDescent="0.15"/>
    <row r="68" spans="1:9" ht="10.5" customHeight="1" x14ac:dyDescent="0.15">
      <c r="A68" s="22" t="s">
        <v>12</v>
      </c>
      <c r="B68" s="22"/>
      <c r="C68" s="23">
        <f t="shared" ref="C68:I68" si="5">SUM(C17,C25,C36,C40,C66)</f>
        <v>272062.56</v>
      </c>
      <c r="D68" s="23">
        <f t="shared" si="5"/>
        <v>1152928.3399999999</v>
      </c>
      <c r="E68" s="23">
        <f t="shared" si="5"/>
        <v>102365.18000000001</v>
      </c>
      <c r="F68" s="23">
        <f t="shared" si="5"/>
        <v>101935.67999999999</v>
      </c>
      <c r="G68" s="23">
        <f t="shared" si="5"/>
        <v>-144088.35999999999</v>
      </c>
      <c r="H68" s="23">
        <f t="shared" si="5"/>
        <v>79540.639999999999</v>
      </c>
      <c r="I68" s="23">
        <f t="shared" si="5"/>
        <v>1564744.0400000003</v>
      </c>
    </row>
    <row r="69" spans="1:9" ht="13.25" customHeight="1" x14ac:dyDescent="0.15"/>
    <row r="70" spans="1:9" ht="10.5" customHeight="1" x14ac:dyDescent="0.15">
      <c r="A70" s="22" t="s">
        <v>69</v>
      </c>
      <c r="B70" s="22"/>
      <c r="C70" s="24">
        <f>(SUM(C17,C25,C36,C40,C66) / SUM(C17:H17,C25:H25,C36:H36,C40:H40,C66:H66))</f>
        <v>0.17387032833817342</v>
      </c>
      <c r="D70" s="24">
        <f>(SUM(D17,D25,D36,D40,D66) / SUM(C17:H17,C25:H25,C36:H36,C40:H40,C66:H66))</f>
        <v>0.73681593316693494</v>
      </c>
      <c r="E70" s="24">
        <f>(SUM(E17,E25,E36,E40,E66) / SUM(C17:H17,C25:H25,C36:H36,C40:H40,C66:H66))</f>
        <v>6.5419760282327072E-2</v>
      </c>
      <c r="F70" s="24">
        <f>(SUM(F17,F25,F36,F40,F66) / SUM(C17:H17,C25:H25,C36:H36,C40:H40,C66:H66))</f>
        <v>6.5145274494862432E-2</v>
      </c>
      <c r="G70" s="24">
        <f>(SUM(G17,G25,G36,G40,G66) / SUM(C17:H17,C25:H25,C36:H36,C40:H40,C66:H66))</f>
        <v>-9.2084300253989129E-2</v>
      </c>
      <c r="H70" s="24">
        <f>(SUM(H17,H25,H36,H40,H66) / SUM(C17:H17,C25:H25,C36:H36,C40:H40,C66:H66))</f>
        <v>5.0833003971691111E-2</v>
      </c>
      <c r="I70" s="24">
        <f>(SUM(I17,I25,I36,I40,I66) / SUM(I17,I25,I36,I40,I66))</f>
        <v>1</v>
      </c>
    </row>
  </sheetData>
  <mergeCells count="8">
    <mergeCell ref="A38:I38"/>
    <mergeCell ref="A42:I42"/>
    <mergeCell ref="A1:I1"/>
    <mergeCell ref="A2:I2"/>
    <mergeCell ref="A3:I3"/>
    <mergeCell ref="A4:I4"/>
    <mergeCell ref="A19:I19"/>
    <mergeCell ref="A27:I27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9"/>
  <sheetViews>
    <sheetView showGridLines="0" zoomScale="120" zoomScaleNormal="120" workbookViewId="0">
      <pane ySplit="5" topLeftCell="A39" activePane="bottomLeft" state="frozen"/>
      <selection pane="bottomLeft" activeCell="D55" sqref="D55:I55"/>
    </sheetView>
  </sheetViews>
  <sheetFormatPr baseColWidth="10" defaultColWidth="9.1640625" defaultRowHeight="13" x14ac:dyDescent="0.15"/>
  <cols>
    <col min="1" max="1" width="27.1640625" style="35" bestFit="1" customWidth="1"/>
    <col min="2" max="2" width="4.83203125" style="35" bestFit="1" customWidth="1"/>
    <col min="3" max="3" width="12.33203125" style="35" bestFit="1" customWidth="1"/>
    <col min="4" max="9" width="9.83203125" style="35" bestFit="1" customWidth="1"/>
    <col min="10" max="10" width="7.33203125" style="35" bestFit="1" customWidth="1"/>
    <col min="11" max="11" width="9.83203125" style="35" bestFit="1" customWidth="1"/>
    <col min="12" max="12" width="11.5" style="35" bestFit="1" customWidth="1"/>
    <col min="13" max="13" width="11.6640625" style="35" bestFit="1" customWidth="1"/>
    <col min="14" max="14" width="12.33203125" style="35" bestFit="1" customWidth="1"/>
    <col min="15" max="15" width="11.6640625" style="35" bestFit="1" customWidth="1"/>
    <col min="16" max="16" width="27.1640625" style="151" bestFit="1" customWidth="1"/>
    <col min="17" max="18" width="9.1640625" style="35" customWidth="1"/>
    <col min="19" max="16384" width="9.1640625" style="35"/>
  </cols>
  <sheetData>
    <row r="1" spans="1:16" ht="25.25" customHeight="1" x14ac:dyDescent="0.15">
      <c r="A1" s="169" t="s">
        <v>134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35"/>
    </row>
    <row r="2" spans="1:16" ht="18" customHeight="1" x14ac:dyDescent="0.15">
      <c r="A2" s="171" t="s">
        <v>783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35"/>
    </row>
    <row r="3" spans="1:16" ht="36.25" customHeight="1" x14ac:dyDescent="0.15">
      <c r="A3" s="171" t="s">
        <v>826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35"/>
    </row>
    <row r="4" spans="1:16" ht="13.25" customHeight="1" x14ac:dyDescent="0.15"/>
    <row r="5" spans="1:16" ht="10.5" customHeight="1" x14ac:dyDescent="0.15">
      <c r="A5" s="36" t="s">
        <v>136</v>
      </c>
      <c r="B5" s="36"/>
      <c r="C5" s="36" t="s">
        <v>12</v>
      </c>
      <c r="D5" s="37">
        <v>45323</v>
      </c>
      <c r="E5" s="37">
        <v>45292</v>
      </c>
      <c r="F5" s="37">
        <v>45261</v>
      </c>
      <c r="G5" s="37">
        <v>45231</v>
      </c>
      <c r="H5" s="37">
        <v>45200</v>
      </c>
      <c r="I5" s="37">
        <v>45170</v>
      </c>
      <c r="J5" s="37">
        <v>45139</v>
      </c>
      <c r="K5" s="37">
        <v>45108</v>
      </c>
      <c r="L5" s="37">
        <v>45078</v>
      </c>
      <c r="M5" s="37">
        <v>45047</v>
      </c>
      <c r="N5" s="37">
        <v>45017</v>
      </c>
      <c r="O5" s="37">
        <v>44986</v>
      </c>
      <c r="P5" s="36"/>
    </row>
    <row r="6" spans="1:16" ht="10.5" customHeight="1" x14ac:dyDescent="0.15">
      <c r="A6" s="38"/>
      <c r="B6" s="38"/>
      <c r="C6" s="38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8"/>
    </row>
    <row r="7" spans="1:16" ht="10.5" customHeight="1" x14ac:dyDescent="0.2">
      <c r="A7" s="166" t="s">
        <v>785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35"/>
    </row>
    <row r="8" spans="1:16" ht="10.5" customHeight="1" x14ac:dyDescent="0.15">
      <c r="A8" s="40" t="s">
        <v>786</v>
      </c>
      <c r="B8" s="40"/>
      <c r="C8" s="41">
        <f>SUM(D8:O8)</f>
        <v>34803108.740000002</v>
      </c>
      <c r="D8" s="42">
        <v>1314591.31</v>
      </c>
      <c r="E8" s="42">
        <v>1314591.31</v>
      </c>
      <c r="F8" s="42">
        <v>1314591.31</v>
      </c>
      <c r="G8" s="42">
        <v>1314591.31</v>
      </c>
      <c r="H8" s="42">
        <v>1314591.31</v>
      </c>
      <c r="I8" s="42">
        <v>1314591.31</v>
      </c>
      <c r="J8" s="42">
        <v>0</v>
      </c>
      <c r="K8" s="42">
        <v>1314691.31</v>
      </c>
      <c r="L8" s="42">
        <v>1243391.3</v>
      </c>
      <c r="M8" s="42">
        <v>4851826.09</v>
      </c>
      <c r="N8" s="42">
        <f>9047217.39+1260782.61</f>
        <v>10308000</v>
      </c>
      <c r="O8" s="42">
        <v>9197652.1799999997</v>
      </c>
      <c r="P8" s="40"/>
    </row>
    <row r="9" spans="1:16" ht="10.5" customHeight="1" x14ac:dyDescent="0.15">
      <c r="A9" s="40" t="s">
        <v>787</v>
      </c>
      <c r="B9" s="40"/>
      <c r="C9" s="41">
        <f>SUM(D9:O9)</f>
        <v>102388.84999999999</v>
      </c>
      <c r="D9" s="42"/>
      <c r="E9" s="42"/>
      <c r="F9" s="42"/>
      <c r="G9" s="42"/>
      <c r="H9" s="42"/>
      <c r="I9" s="42"/>
      <c r="J9" s="42"/>
      <c r="K9" s="42">
        <v>7741.94</v>
      </c>
      <c r="L9" s="42"/>
      <c r="M9" s="42">
        <v>65332.85</v>
      </c>
      <c r="N9" s="42">
        <f>3116.67+15333.33</f>
        <v>18450</v>
      </c>
      <c r="O9" s="42">
        <v>10864.06</v>
      </c>
      <c r="P9" s="40"/>
    </row>
    <row r="10" spans="1:16" ht="10.5" customHeight="1" x14ac:dyDescent="0.15">
      <c r="A10" s="40" t="s">
        <v>788</v>
      </c>
      <c r="B10" s="40"/>
      <c r="C10" s="41">
        <f>SUM(D10:O10)</f>
        <v>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0"/>
    </row>
    <row r="11" spans="1:16" ht="10.5" customHeight="1" x14ac:dyDescent="0.15">
      <c r="A11" s="43" t="s">
        <v>789</v>
      </c>
      <c r="B11" s="43"/>
      <c r="C11" s="44">
        <f t="shared" ref="C11:O11" si="0">C8+C9+C10</f>
        <v>34905497.590000004</v>
      </c>
      <c r="D11" s="44">
        <f t="shared" si="0"/>
        <v>1314591.31</v>
      </c>
      <c r="E11" s="44">
        <f t="shared" si="0"/>
        <v>1314591.31</v>
      </c>
      <c r="F11" s="44">
        <f t="shared" si="0"/>
        <v>1314591.31</v>
      </c>
      <c r="G11" s="44">
        <f t="shared" si="0"/>
        <v>1314591.31</v>
      </c>
      <c r="H11" s="44">
        <f t="shared" si="0"/>
        <v>1314591.31</v>
      </c>
      <c r="I11" s="44">
        <f t="shared" si="0"/>
        <v>1314591.31</v>
      </c>
      <c r="J11" s="44">
        <f t="shared" si="0"/>
        <v>0</v>
      </c>
      <c r="K11" s="44">
        <f t="shared" si="0"/>
        <v>1322433.25</v>
      </c>
      <c r="L11" s="44">
        <f t="shared" si="0"/>
        <v>1243391.3</v>
      </c>
      <c r="M11" s="44">
        <f t="shared" si="0"/>
        <v>4917158.9399999995</v>
      </c>
      <c r="N11" s="44">
        <f t="shared" si="0"/>
        <v>10326450</v>
      </c>
      <c r="O11" s="44">
        <f t="shared" si="0"/>
        <v>9208516.2400000002</v>
      </c>
      <c r="P11" s="43"/>
    </row>
    <row r="12" spans="1:16" ht="10.5" customHeight="1" x14ac:dyDescent="0.15">
      <c r="A12" s="38"/>
      <c r="B12" s="38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8"/>
    </row>
    <row r="13" spans="1:16" ht="10.5" customHeight="1" x14ac:dyDescent="0.2">
      <c r="A13" s="166" t="s">
        <v>148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35"/>
    </row>
    <row r="14" spans="1:16" ht="10.5" customHeight="1" x14ac:dyDescent="0.15">
      <c r="A14" s="40" t="s">
        <v>790</v>
      </c>
      <c r="B14" s="40"/>
      <c r="C14" s="74">
        <f t="shared" ref="C14:C23" si="1">SUM(D14:O14)</f>
        <v>0</v>
      </c>
      <c r="D14" s="42"/>
      <c r="E14" s="42"/>
      <c r="F14" s="42"/>
      <c r="G14" s="42"/>
      <c r="H14" s="42"/>
      <c r="I14" s="42"/>
      <c r="J14" s="42"/>
      <c r="K14" s="42"/>
      <c r="L14" s="42"/>
      <c r="M14" s="42">
        <v>0</v>
      </c>
      <c r="N14" s="42">
        <v>0</v>
      </c>
      <c r="O14" s="42">
        <v>0</v>
      </c>
      <c r="P14" s="40"/>
    </row>
    <row r="15" spans="1:16" ht="10.5" customHeight="1" x14ac:dyDescent="0.15">
      <c r="A15" s="40" t="s">
        <v>791</v>
      </c>
      <c r="B15" s="40"/>
      <c r="C15" s="74">
        <f t="shared" si="1"/>
        <v>1401270.3</v>
      </c>
      <c r="D15" s="42">
        <f>61865.22+51080.3</f>
        <v>112945.52</v>
      </c>
      <c r="E15" s="42">
        <f>61865.22+51080.3</f>
        <v>112945.52</v>
      </c>
      <c r="F15" s="42">
        <f>61865.22+51080.3</f>
        <v>112945.52</v>
      </c>
      <c r="G15" s="42">
        <f>61865.22+51080.3</f>
        <v>112945.52</v>
      </c>
      <c r="H15" s="42">
        <f>61865.22+51080.3</f>
        <v>112945.52</v>
      </c>
      <c r="I15" s="42">
        <f>61865.22+51080.3-557315.87</f>
        <v>-444370.35</v>
      </c>
      <c r="J15" s="42"/>
      <c r="K15" s="42">
        <v>61865.22</v>
      </c>
      <c r="L15" s="42">
        <v>62169.57</v>
      </c>
      <c r="M15" s="42">
        <v>242591.31</v>
      </c>
      <c r="N15" s="42">
        <v>448882.61</v>
      </c>
      <c r="O15" s="42">
        <v>465404.34</v>
      </c>
      <c r="P15" s="40"/>
    </row>
    <row r="16" spans="1:16" ht="10.5" customHeight="1" x14ac:dyDescent="0.15">
      <c r="A16" s="40" t="s">
        <v>827</v>
      </c>
      <c r="B16" s="40"/>
      <c r="C16" s="80">
        <f t="shared" si="1"/>
        <v>250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>
        <v>-500</v>
      </c>
      <c r="O16" s="42">
        <v>750</v>
      </c>
      <c r="P16" s="40"/>
    </row>
    <row r="17" spans="1:16" ht="10.5" customHeight="1" x14ac:dyDescent="0.15">
      <c r="A17" s="45" t="s">
        <v>828</v>
      </c>
      <c r="B17" s="40"/>
      <c r="C17" s="41">
        <f t="shared" si="1"/>
        <v>0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/>
    </row>
    <row r="18" spans="1:16" ht="10.5" customHeight="1" x14ac:dyDescent="0.15">
      <c r="A18" s="40" t="s">
        <v>792</v>
      </c>
      <c r="B18" s="40"/>
      <c r="C18" s="82">
        <f t="shared" si="1"/>
        <v>22036.803</v>
      </c>
      <c r="D18" s="42"/>
      <c r="E18" s="42"/>
      <c r="F18" s="42"/>
      <c r="G18" s="42"/>
      <c r="H18" s="42"/>
      <c r="I18" s="42"/>
      <c r="J18" s="42"/>
      <c r="K18" s="42"/>
      <c r="L18" s="42">
        <v>3875.85</v>
      </c>
      <c r="M18" s="42">
        <v>6631.99</v>
      </c>
      <c r="N18" s="42">
        <v>11528.963</v>
      </c>
      <c r="O18" s="42"/>
      <c r="P18" s="40"/>
    </row>
    <row r="19" spans="1:16" ht="10.5" customHeight="1" x14ac:dyDescent="0.15">
      <c r="A19" s="40" t="s">
        <v>793</v>
      </c>
      <c r="B19" s="40"/>
      <c r="C19" s="41">
        <f t="shared" si="1"/>
        <v>0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0"/>
    </row>
    <row r="20" spans="1:16" ht="10.5" customHeight="1" x14ac:dyDescent="0.15">
      <c r="A20" s="40" t="s">
        <v>829</v>
      </c>
      <c r="B20" s="40"/>
      <c r="C20" s="41">
        <f t="shared" si="1"/>
        <v>31600</v>
      </c>
      <c r="D20" s="42"/>
      <c r="E20" s="42"/>
      <c r="F20" s="42"/>
      <c r="G20" s="42"/>
      <c r="H20" s="42"/>
      <c r="I20" s="42"/>
      <c r="J20" s="42"/>
      <c r="K20" s="42"/>
      <c r="L20" s="42">
        <v>31600</v>
      </c>
      <c r="M20" s="42"/>
      <c r="N20" s="42"/>
      <c r="O20" s="42"/>
      <c r="P20" s="40"/>
    </row>
    <row r="21" spans="1:16" ht="10.5" customHeight="1" x14ac:dyDescent="0.15">
      <c r="A21" s="40" t="s">
        <v>794</v>
      </c>
      <c r="B21" s="40"/>
      <c r="C21" s="41">
        <f t="shared" si="1"/>
        <v>0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0"/>
    </row>
    <row r="22" spans="1:16" ht="10.5" customHeight="1" x14ac:dyDescent="0.15">
      <c r="A22" s="40" t="s">
        <v>795</v>
      </c>
      <c r="B22" s="40"/>
      <c r="C22" s="78">
        <f t="shared" si="1"/>
        <v>171178.44</v>
      </c>
      <c r="D22" s="42"/>
      <c r="E22" s="42"/>
      <c r="F22" s="42"/>
      <c r="G22" s="42"/>
      <c r="H22" s="42"/>
      <c r="I22" s="42"/>
      <c r="J22" s="42"/>
      <c r="K22" s="42"/>
      <c r="L22" s="42"/>
      <c r="M22" s="42">
        <v>171178.44</v>
      </c>
      <c r="N22" s="42"/>
      <c r="O22" s="42"/>
      <c r="P22" s="40"/>
    </row>
    <row r="23" spans="1:16" ht="10.5" customHeight="1" x14ac:dyDescent="0.15">
      <c r="A23" s="40" t="s">
        <v>797</v>
      </c>
      <c r="B23" s="40"/>
      <c r="C23" s="76">
        <f t="shared" si="1"/>
        <v>873781.79999999993</v>
      </c>
      <c r="D23" s="42">
        <v>71053.34</v>
      </c>
      <c r="E23" s="42">
        <v>71053.34</v>
      </c>
      <c r="F23" s="42">
        <f>71053.34+102602.28</f>
        <v>173655.62</v>
      </c>
      <c r="G23" s="42">
        <v>71053.34</v>
      </c>
      <c r="H23" s="42">
        <v>71053.34</v>
      </c>
      <c r="I23" s="42">
        <f>71053.34-304097.16</f>
        <v>-233043.81999999998</v>
      </c>
      <c r="J23" s="42"/>
      <c r="K23" s="42">
        <v>71053.34</v>
      </c>
      <c r="L23" s="42">
        <v>18544.25</v>
      </c>
      <c r="M23" s="42">
        <v>135356.82999999999</v>
      </c>
      <c r="N23" s="42">
        <v>230143.86</v>
      </c>
      <c r="O23" s="42">
        <v>193858.36</v>
      </c>
      <c r="P23" s="40"/>
    </row>
    <row r="24" spans="1:16" ht="10.5" customHeight="1" x14ac:dyDescent="0.15">
      <c r="A24" s="43" t="s">
        <v>194</v>
      </c>
      <c r="B24" s="43"/>
      <c r="C24" s="44">
        <f t="shared" ref="C24:O24" si="2">SUM(C14:C23)</f>
        <v>2500117.3429999999</v>
      </c>
      <c r="D24" s="44">
        <f t="shared" si="2"/>
        <v>183998.86</v>
      </c>
      <c r="E24" s="44">
        <f t="shared" si="2"/>
        <v>183998.86</v>
      </c>
      <c r="F24" s="44">
        <f t="shared" si="2"/>
        <v>286601.14</v>
      </c>
      <c r="G24" s="44">
        <f t="shared" si="2"/>
        <v>183998.86</v>
      </c>
      <c r="H24" s="44">
        <f t="shared" si="2"/>
        <v>183998.86</v>
      </c>
      <c r="I24" s="44">
        <f t="shared" si="2"/>
        <v>-677414.16999999993</v>
      </c>
      <c r="J24" s="44">
        <f t="shared" si="2"/>
        <v>0</v>
      </c>
      <c r="K24" s="44">
        <f t="shared" si="2"/>
        <v>132918.56</v>
      </c>
      <c r="L24" s="44">
        <f t="shared" si="2"/>
        <v>116189.67</v>
      </c>
      <c r="M24" s="44">
        <f t="shared" si="2"/>
        <v>555758.56999999995</v>
      </c>
      <c r="N24" s="44">
        <f t="shared" si="2"/>
        <v>690055.43299999996</v>
      </c>
      <c r="O24" s="44">
        <f t="shared" si="2"/>
        <v>660012.69999999995</v>
      </c>
      <c r="P24" s="40"/>
    </row>
    <row r="25" spans="1:16" ht="10.5" customHeight="1" x14ac:dyDescent="0.15">
      <c r="A25" s="38"/>
      <c r="B25" s="38"/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3"/>
    </row>
    <row r="26" spans="1:16" ht="10.5" customHeight="1" x14ac:dyDescent="0.15">
      <c r="A26" s="46" t="s">
        <v>195</v>
      </c>
      <c r="B26" s="46"/>
      <c r="C26" s="47">
        <f t="shared" ref="C26:O26" si="3">C11-C24</f>
        <v>32405380.247000005</v>
      </c>
      <c r="D26" s="47">
        <f t="shared" si="3"/>
        <v>1130592.4500000002</v>
      </c>
      <c r="E26" s="47">
        <f t="shared" si="3"/>
        <v>1130592.4500000002</v>
      </c>
      <c r="F26" s="47">
        <f t="shared" si="3"/>
        <v>1027990.17</v>
      </c>
      <c r="G26" s="47">
        <f t="shared" si="3"/>
        <v>1130592.4500000002</v>
      </c>
      <c r="H26" s="47">
        <f t="shared" si="3"/>
        <v>1130592.4500000002</v>
      </c>
      <c r="I26" s="47">
        <f t="shared" si="3"/>
        <v>1992005.48</v>
      </c>
      <c r="J26" s="47">
        <f t="shared" si="3"/>
        <v>0</v>
      </c>
      <c r="K26" s="47">
        <f t="shared" si="3"/>
        <v>1189514.69</v>
      </c>
      <c r="L26" s="47">
        <f t="shared" si="3"/>
        <v>1127201.6300000001</v>
      </c>
      <c r="M26" s="47">
        <f t="shared" si="3"/>
        <v>4361400.3699999992</v>
      </c>
      <c r="N26" s="47">
        <f t="shared" si="3"/>
        <v>9636394.5669999998</v>
      </c>
      <c r="O26" s="47">
        <f t="shared" si="3"/>
        <v>8548503.540000001</v>
      </c>
      <c r="P26" s="38"/>
    </row>
    <row r="27" spans="1:16" ht="13.25" customHeight="1" x14ac:dyDescent="0.15">
      <c r="P27" s="46"/>
    </row>
    <row r="28" spans="1:16" ht="13" customHeight="1" x14ac:dyDescent="0.2">
      <c r="A28" s="166" t="s">
        <v>196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</row>
    <row r="29" spans="1:16" ht="10.5" customHeight="1" x14ac:dyDescent="0.15">
      <c r="A29" s="40" t="s">
        <v>798</v>
      </c>
      <c r="B29" s="40"/>
      <c r="C29" s="41">
        <f>SUM(D29:O29)</f>
        <v>1206528.99</v>
      </c>
      <c r="D29" s="42"/>
      <c r="E29" s="42"/>
      <c r="F29" s="42"/>
      <c r="G29" s="42"/>
      <c r="H29" s="42"/>
      <c r="I29" s="42"/>
      <c r="J29" s="42"/>
      <c r="K29" s="42">
        <f>259590.93</f>
        <v>259590.93</v>
      </c>
      <c r="L29" s="32">
        <v>393902.07</v>
      </c>
      <c r="M29" s="32">
        <v>222525.45</v>
      </c>
      <c r="N29" s="33">
        <v>106209.22</v>
      </c>
      <c r="O29" s="33">
        <v>224301.32</v>
      </c>
      <c r="P29" s="35"/>
    </row>
    <row r="30" spans="1:16" ht="10.5" customHeight="1" x14ac:dyDescent="0.15">
      <c r="A30" s="40" t="s">
        <v>830</v>
      </c>
      <c r="B30" s="40"/>
      <c r="C30" s="41"/>
      <c r="D30" s="42"/>
      <c r="E30" s="42"/>
      <c r="F30" s="42"/>
      <c r="G30" s="42"/>
      <c r="H30" s="42"/>
      <c r="I30" s="42"/>
      <c r="J30" s="42"/>
      <c r="K30" s="42">
        <v>37500</v>
      </c>
      <c r="L30" s="32"/>
      <c r="M30" s="32"/>
      <c r="N30" s="33"/>
      <c r="O30" s="33"/>
      <c r="P30" s="40"/>
    </row>
    <row r="31" spans="1:16" ht="10.5" customHeight="1" x14ac:dyDescent="0.15">
      <c r="A31" s="43" t="s">
        <v>201</v>
      </c>
      <c r="B31" s="43"/>
      <c r="C31" s="44">
        <f t="shared" ref="C31:O31" si="4">C29+C30</f>
        <v>1206528.99</v>
      </c>
      <c r="D31" s="44">
        <f t="shared" si="4"/>
        <v>0</v>
      </c>
      <c r="E31" s="44">
        <f t="shared" si="4"/>
        <v>0</v>
      </c>
      <c r="F31" s="44">
        <f t="shared" si="4"/>
        <v>0</v>
      </c>
      <c r="G31" s="44">
        <f t="shared" si="4"/>
        <v>0</v>
      </c>
      <c r="H31" s="44">
        <f t="shared" si="4"/>
        <v>0</v>
      </c>
      <c r="I31" s="44">
        <f t="shared" si="4"/>
        <v>0</v>
      </c>
      <c r="J31" s="44">
        <f t="shared" si="4"/>
        <v>0</v>
      </c>
      <c r="K31" s="44">
        <f t="shared" si="4"/>
        <v>297090.93</v>
      </c>
      <c r="L31" s="44">
        <f t="shared" si="4"/>
        <v>393902.07</v>
      </c>
      <c r="M31" s="44">
        <f t="shared" si="4"/>
        <v>222525.45</v>
      </c>
      <c r="N31" s="44">
        <f t="shared" si="4"/>
        <v>106209.22</v>
      </c>
      <c r="O31" s="44">
        <f t="shared" si="4"/>
        <v>224301.32</v>
      </c>
      <c r="P31" s="43"/>
    </row>
    <row r="32" spans="1:16" ht="13.25" customHeight="1" x14ac:dyDescent="0.15"/>
    <row r="33" spans="1:16" ht="13" customHeight="1" x14ac:dyDescent="0.2">
      <c r="A33" s="166" t="s">
        <v>202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35"/>
    </row>
    <row r="34" spans="1:16" ht="13" customHeight="1" x14ac:dyDescent="0.15">
      <c r="A34" s="40" t="s">
        <v>799</v>
      </c>
      <c r="B34" s="48"/>
      <c r="C34" s="41">
        <f t="shared" ref="C34:C66" si="5">SUM(D34:O34)</f>
        <v>16454.96</v>
      </c>
      <c r="D34" s="42"/>
      <c r="E34" s="42"/>
      <c r="F34" s="42"/>
      <c r="G34" s="42"/>
      <c r="H34" s="42"/>
      <c r="I34" s="42"/>
      <c r="J34" s="42"/>
      <c r="K34" s="42">
        <f>3050+13404.96</f>
        <v>16454.96</v>
      </c>
      <c r="L34" s="42"/>
      <c r="M34" s="42"/>
      <c r="N34" s="42">
        <v>0</v>
      </c>
      <c r="O34" s="42">
        <v>0</v>
      </c>
      <c r="P34" s="40"/>
    </row>
    <row r="35" spans="1:16" ht="10.5" customHeight="1" x14ac:dyDescent="0.15">
      <c r="A35" s="40" t="s">
        <v>213</v>
      </c>
      <c r="B35" s="40"/>
      <c r="C35" s="84">
        <f t="shared" si="5"/>
        <v>163902.49</v>
      </c>
      <c r="D35" s="42"/>
      <c r="E35" s="42"/>
      <c r="F35" s="42"/>
      <c r="G35" s="42"/>
      <c r="H35" s="42"/>
      <c r="I35" s="42"/>
      <c r="J35" s="42"/>
      <c r="K35" s="42">
        <v>26226.57</v>
      </c>
      <c r="L35" s="42">
        <v>39589.129999999997</v>
      </c>
      <c r="M35" s="42">
        <v>52232.03</v>
      </c>
      <c r="N35" s="42">
        <v>23300</v>
      </c>
      <c r="O35" s="42">
        <v>22554.76</v>
      </c>
      <c r="P35" s="40"/>
    </row>
    <row r="36" spans="1:16" ht="10.5" customHeight="1" x14ac:dyDescent="0.15">
      <c r="A36" s="40" t="s">
        <v>801</v>
      </c>
      <c r="B36" s="40"/>
      <c r="C36" s="84">
        <f t="shared" si="5"/>
        <v>12480</v>
      </c>
      <c r="D36" s="42"/>
      <c r="E36" s="42"/>
      <c r="F36" s="42"/>
      <c r="G36" s="42"/>
      <c r="H36" s="42"/>
      <c r="I36" s="42"/>
      <c r="J36" s="42"/>
      <c r="K36" s="42"/>
      <c r="L36" s="42"/>
      <c r="M36" s="42">
        <v>-12480</v>
      </c>
      <c r="N36" s="42">
        <v>24960</v>
      </c>
      <c r="O36" s="42">
        <v>0</v>
      </c>
      <c r="P36" s="40"/>
    </row>
    <row r="37" spans="1:16" ht="10.5" customHeight="1" x14ac:dyDescent="0.15">
      <c r="A37" s="45" t="s">
        <v>831</v>
      </c>
      <c r="B37" s="40"/>
      <c r="C37" s="41">
        <f t="shared" si="5"/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>
        <v>0</v>
      </c>
      <c r="N37" s="42"/>
      <c r="O37" s="42">
        <v>0</v>
      </c>
      <c r="P37" s="40"/>
    </row>
    <row r="38" spans="1:16" ht="10.5" customHeight="1" x14ac:dyDescent="0.15">
      <c r="A38" s="40" t="s">
        <v>214</v>
      </c>
      <c r="B38" s="40"/>
      <c r="C38" s="88">
        <f t="shared" si="5"/>
        <v>2567.6800000000003</v>
      </c>
      <c r="D38" s="42"/>
      <c r="E38" s="42"/>
      <c r="F38" s="42"/>
      <c r="G38" s="42"/>
      <c r="H38" s="42"/>
      <c r="I38" s="42"/>
      <c r="J38" s="42"/>
      <c r="K38" s="42">
        <v>644.16999999999996</v>
      </c>
      <c r="L38" s="42">
        <v>516.95000000000005</v>
      </c>
      <c r="M38" s="42">
        <v>449.38</v>
      </c>
      <c r="N38" s="42">
        <v>374.2</v>
      </c>
      <c r="O38" s="42">
        <v>582.98</v>
      </c>
      <c r="P38" s="40"/>
    </row>
    <row r="39" spans="1:16" ht="10.5" customHeight="1" x14ac:dyDescent="0.15">
      <c r="A39" s="40" t="s">
        <v>222</v>
      </c>
      <c r="B39" s="40"/>
      <c r="C39" s="41">
        <f t="shared" si="5"/>
        <v>572500.57000000007</v>
      </c>
      <c r="D39" s="42"/>
      <c r="E39" s="42"/>
      <c r="F39" s="42"/>
      <c r="G39" s="42"/>
      <c r="H39" s="42"/>
      <c r="I39" s="42"/>
      <c r="J39" s="42"/>
      <c r="K39" s="42">
        <v>121658</v>
      </c>
      <c r="L39" s="42">
        <v>121658</v>
      </c>
      <c r="M39" s="42">
        <v>121658</v>
      </c>
      <c r="N39" s="42">
        <v>98308</v>
      </c>
      <c r="O39" s="42">
        <v>109218.57</v>
      </c>
      <c r="P39" s="40"/>
    </row>
    <row r="40" spans="1:16" ht="10.5" customHeight="1" x14ac:dyDescent="0.15">
      <c r="A40" s="40" t="s">
        <v>805</v>
      </c>
      <c r="B40" s="40"/>
      <c r="C40" s="72">
        <f t="shared" si="5"/>
        <v>12200</v>
      </c>
      <c r="D40" s="42"/>
      <c r="E40" s="42"/>
      <c r="F40" s="42"/>
      <c r="G40" s="42"/>
      <c r="H40" s="42"/>
      <c r="I40" s="42"/>
      <c r="J40" s="42"/>
      <c r="K40" s="42"/>
      <c r="L40" s="42">
        <v>4200</v>
      </c>
      <c r="M40" s="42">
        <v>4000</v>
      </c>
      <c r="N40" s="42">
        <v>4000</v>
      </c>
      <c r="O40" s="42">
        <v>0</v>
      </c>
      <c r="P40" s="40"/>
    </row>
    <row r="41" spans="1:16" ht="10.5" customHeight="1" x14ac:dyDescent="0.15">
      <c r="A41" s="40" t="s">
        <v>120</v>
      </c>
      <c r="B41" s="40"/>
      <c r="C41" s="91">
        <f t="shared" si="5"/>
        <v>11263.46</v>
      </c>
      <c r="D41" s="42"/>
      <c r="E41" s="42"/>
      <c r="F41" s="42"/>
      <c r="G41" s="42"/>
      <c r="H41" s="42"/>
      <c r="I41" s="42"/>
      <c r="J41" s="42"/>
      <c r="K41" s="42"/>
      <c r="L41" s="42"/>
      <c r="M41" s="42">
        <v>2524.84</v>
      </c>
      <c r="N41" s="42">
        <v>-2477.5100000000002</v>
      </c>
      <c r="O41" s="42">
        <v>11216.13</v>
      </c>
      <c r="P41" s="40"/>
    </row>
    <row r="42" spans="1:16" ht="10.5" customHeight="1" x14ac:dyDescent="0.15">
      <c r="A42" s="40" t="s">
        <v>122</v>
      </c>
      <c r="B42" s="40"/>
      <c r="C42" s="94">
        <f t="shared" si="5"/>
        <v>37375.86</v>
      </c>
      <c r="D42" s="42"/>
      <c r="E42" s="42"/>
      <c r="F42" s="42"/>
      <c r="G42" s="42"/>
      <c r="H42" s="42"/>
      <c r="I42" s="42"/>
      <c r="J42" s="42"/>
      <c r="K42" s="42">
        <v>10459.969999999999</v>
      </c>
      <c r="L42" s="42">
        <v>10741.66</v>
      </c>
      <c r="M42" s="42">
        <v>8823.9</v>
      </c>
      <c r="N42" s="42">
        <v>7350.33</v>
      </c>
      <c r="O42" s="42"/>
      <c r="P42" s="40"/>
    </row>
    <row r="43" spans="1:16" ht="10.5" customHeight="1" x14ac:dyDescent="0.15">
      <c r="A43" s="40" t="s">
        <v>123</v>
      </c>
      <c r="B43" s="40"/>
      <c r="C43" s="96">
        <f t="shared" si="5"/>
        <v>-533.80000000000007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>
        <v>-715.47</v>
      </c>
      <c r="O43" s="42">
        <v>181.67</v>
      </c>
      <c r="P43" s="40"/>
    </row>
    <row r="44" spans="1:16" ht="10.5" customHeight="1" x14ac:dyDescent="0.15">
      <c r="A44" s="40" t="s">
        <v>806</v>
      </c>
      <c r="B44" s="40"/>
      <c r="C44" s="72">
        <f t="shared" si="5"/>
        <v>-1244737.1400000001</v>
      </c>
      <c r="D44" s="139">
        <v>-246794.53</v>
      </c>
      <c r="E44" s="139">
        <v>-246794.53</v>
      </c>
      <c r="F44" s="139">
        <v>-246794.53</v>
      </c>
      <c r="G44" s="139">
        <v>-246794.53</v>
      </c>
      <c r="H44" s="139">
        <v>-246794.53</v>
      </c>
      <c r="I44" s="139">
        <v>-246794.53</v>
      </c>
      <c r="J44" s="139"/>
      <c r="K44" s="139"/>
      <c r="L44" s="139">
        <v>130102.66</v>
      </c>
      <c r="M44" s="139">
        <v>65550.67</v>
      </c>
      <c r="N44" s="139"/>
      <c r="O44" s="139">
        <v>40376.71</v>
      </c>
      <c r="P44" s="40"/>
    </row>
    <row r="45" spans="1:16" ht="10.5" customHeight="1" x14ac:dyDescent="0.15">
      <c r="A45" s="40" t="s">
        <v>807</v>
      </c>
      <c r="B45" s="40"/>
      <c r="C45" s="72">
        <f t="shared" si="5"/>
        <v>466541.05000000005</v>
      </c>
      <c r="D45" s="139">
        <v>26630.13</v>
      </c>
      <c r="E45" s="139">
        <v>26630.13</v>
      </c>
      <c r="F45" s="139">
        <v>26630.13</v>
      </c>
      <c r="G45" s="139">
        <v>26630.13</v>
      </c>
      <c r="H45" s="139">
        <v>26630.13</v>
      </c>
      <c r="I45" s="139">
        <v>26630.13</v>
      </c>
      <c r="J45" s="139"/>
      <c r="K45" s="139">
        <v>26630.13</v>
      </c>
      <c r="L45" s="139"/>
      <c r="M45" s="139">
        <v>117904.12</v>
      </c>
      <c r="N45" s="139">
        <v>55479.45</v>
      </c>
      <c r="O45" s="139">
        <v>106746.57</v>
      </c>
      <c r="P45" s="40"/>
    </row>
    <row r="46" spans="1:16" ht="10.5" customHeight="1" x14ac:dyDescent="0.15">
      <c r="A46" s="40" t="s">
        <v>808</v>
      </c>
      <c r="B46" s="40"/>
      <c r="C46" s="72">
        <f t="shared" si="5"/>
        <v>47503.979999999996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>
        <v>33052.06</v>
      </c>
      <c r="N46" s="139">
        <v>14451.92</v>
      </c>
      <c r="O46" s="139"/>
      <c r="P46" s="40"/>
    </row>
    <row r="47" spans="1:16" ht="10.5" customHeight="1" x14ac:dyDescent="0.15">
      <c r="A47" s="40" t="s">
        <v>809</v>
      </c>
      <c r="B47" s="40"/>
      <c r="C47" s="72">
        <f t="shared" si="5"/>
        <v>5195268.5399999991</v>
      </c>
      <c r="D47" s="139">
        <v>411780.83</v>
      </c>
      <c r="E47" s="139">
        <v>411780.83</v>
      </c>
      <c r="F47" s="139">
        <v>411780.83</v>
      </c>
      <c r="G47" s="139">
        <v>411780.83</v>
      </c>
      <c r="H47" s="139">
        <v>411780.83</v>
      </c>
      <c r="I47" s="139">
        <v>411780.83</v>
      </c>
      <c r="J47" s="139"/>
      <c r="K47" s="139">
        <v>411780.83</v>
      </c>
      <c r="L47" s="139"/>
      <c r="M47" s="139">
        <v>214964.38</v>
      </c>
      <c r="N47" s="139">
        <v>1454819.17</v>
      </c>
      <c r="O47" s="139">
        <v>643019.18000000005</v>
      </c>
      <c r="P47" s="40"/>
    </row>
    <row r="48" spans="1:16" ht="10.5" customHeight="1" x14ac:dyDescent="0.15">
      <c r="A48" s="40" t="s">
        <v>810</v>
      </c>
      <c r="B48" s="40"/>
      <c r="C48" s="72">
        <f t="shared" si="5"/>
        <v>230001.65</v>
      </c>
      <c r="D48" s="139">
        <v>15410.95</v>
      </c>
      <c r="E48" s="139">
        <v>15410.95</v>
      </c>
      <c r="F48" s="139">
        <v>15410.95</v>
      </c>
      <c r="G48" s="139">
        <v>15410.95</v>
      </c>
      <c r="H48" s="139">
        <v>15410.95</v>
      </c>
      <c r="I48" s="139">
        <v>15410.95</v>
      </c>
      <c r="J48" s="139"/>
      <c r="K48" s="139">
        <v>15410.95</v>
      </c>
      <c r="L48" s="139">
        <v>4041.1</v>
      </c>
      <c r="M48" s="139">
        <v>22371.58</v>
      </c>
      <c r="N48" s="139">
        <v>62219.17</v>
      </c>
      <c r="O48" s="139">
        <v>33493.15</v>
      </c>
      <c r="P48" s="40"/>
    </row>
    <row r="49" spans="1:16" ht="10.5" customHeight="1" x14ac:dyDescent="0.15">
      <c r="A49" s="40" t="s">
        <v>811</v>
      </c>
      <c r="B49" s="40"/>
      <c r="C49" s="72">
        <f t="shared" si="5"/>
        <v>139189.08000000002</v>
      </c>
      <c r="D49" s="139">
        <v>11041.1</v>
      </c>
      <c r="E49" s="139">
        <v>11041.1</v>
      </c>
      <c r="F49" s="139">
        <v>11041.1</v>
      </c>
      <c r="G49" s="139">
        <v>11041.1</v>
      </c>
      <c r="H49" s="139">
        <v>11041.1</v>
      </c>
      <c r="I49" s="139">
        <v>11041.1</v>
      </c>
      <c r="J49" s="139"/>
      <c r="K49" s="139">
        <v>11041.1</v>
      </c>
      <c r="L49" s="139">
        <v>5520.55</v>
      </c>
      <c r="M49" s="139">
        <v>15457.54</v>
      </c>
      <c r="N49" s="139">
        <v>37361.65</v>
      </c>
      <c r="O49" s="139">
        <v>3561.64</v>
      </c>
      <c r="P49" s="40"/>
    </row>
    <row r="50" spans="1:16" ht="10.5" customHeight="1" x14ac:dyDescent="0.15">
      <c r="A50" s="40" t="s">
        <v>812</v>
      </c>
      <c r="B50" s="40"/>
      <c r="C50" s="72">
        <f t="shared" si="5"/>
        <v>72973.990000000005</v>
      </c>
      <c r="D50" s="139">
        <v>4808.22</v>
      </c>
      <c r="E50" s="139">
        <v>4808.22</v>
      </c>
      <c r="F50" s="139">
        <v>4808.22</v>
      </c>
      <c r="G50" s="139">
        <v>4808.22</v>
      </c>
      <c r="H50" s="139">
        <v>4808.22</v>
      </c>
      <c r="I50" s="139">
        <v>4808.22</v>
      </c>
      <c r="J50" s="139"/>
      <c r="K50" s="139">
        <v>4808.22</v>
      </c>
      <c r="L50" s="139">
        <v>3014.39</v>
      </c>
      <c r="M50" s="139">
        <v>13389.04</v>
      </c>
      <c r="N50" s="139">
        <v>22913.02</v>
      </c>
      <c r="O50" s="139"/>
      <c r="P50" s="40"/>
    </row>
    <row r="51" spans="1:16" ht="10.5" customHeight="1" x14ac:dyDescent="0.15">
      <c r="A51" s="40" t="s">
        <v>813</v>
      </c>
      <c r="B51" s="40"/>
      <c r="C51" s="72">
        <f t="shared" si="5"/>
        <v>11678.33</v>
      </c>
      <c r="D51" s="139"/>
      <c r="E51" s="139"/>
      <c r="F51" s="139"/>
      <c r="G51" s="139"/>
      <c r="H51" s="139"/>
      <c r="I51" s="139"/>
      <c r="J51" s="139"/>
      <c r="K51" s="139"/>
      <c r="L51" s="139">
        <v>650.94000000000005</v>
      </c>
      <c r="M51" s="139"/>
      <c r="N51" s="139">
        <v>11027.39</v>
      </c>
      <c r="O51" s="139"/>
      <c r="P51" s="40"/>
    </row>
    <row r="52" spans="1:16" ht="10.5" customHeight="1" x14ac:dyDescent="0.15">
      <c r="A52" s="40" t="s">
        <v>832</v>
      </c>
      <c r="B52" s="40"/>
      <c r="C52" s="72">
        <f t="shared" si="5"/>
        <v>0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40"/>
    </row>
    <row r="53" spans="1:16" ht="10.25" customHeight="1" x14ac:dyDescent="0.15">
      <c r="A53" s="40" t="s">
        <v>833</v>
      </c>
      <c r="B53" s="40"/>
      <c r="C53" s="72">
        <f t="shared" si="5"/>
        <v>6183.7599999999993</v>
      </c>
      <c r="D53" s="139">
        <v>821.92</v>
      </c>
      <c r="E53" s="139">
        <v>821.92</v>
      </c>
      <c r="F53" s="139">
        <v>821.92</v>
      </c>
      <c r="G53" s="139">
        <v>821.92</v>
      </c>
      <c r="H53" s="139">
        <v>821.92</v>
      </c>
      <c r="I53" s="139">
        <v>821.92</v>
      </c>
      <c r="J53" s="139"/>
      <c r="K53" s="139">
        <v>821.92</v>
      </c>
      <c r="L53" s="139">
        <v>430.32</v>
      </c>
      <c r="M53" s="139"/>
      <c r="N53" s="139"/>
      <c r="O53" s="139"/>
      <c r="P53" s="40"/>
    </row>
    <row r="54" spans="1:16" ht="10.25" customHeight="1" x14ac:dyDescent="0.15">
      <c r="A54" s="40" t="s">
        <v>834</v>
      </c>
      <c r="B54" s="40"/>
      <c r="C54" s="72">
        <f t="shared" si="5"/>
        <v>38605.49</v>
      </c>
      <c r="D54" s="139">
        <v>5515.07</v>
      </c>
      <c r="E54" s="139">
        <v>5515.07</v>
      </c>
      <c r="F54" s="139">
        <v>5515.07</v>
      </c>
      <c r="G54" s="139">
        <v>5515.07</v>
      </c>
      <c r="H54" s="139">
        <v>5515.07</v>
      </c>
      <c r="I54" s="139">
        <v>5515.07</v>
      </c>
      <c r="J54" s="139"/>
      <c r="K54" s="139">
        <v>5515.07</v>
      </c>
      <c r="L54" s="139"/>
      <c r="M54" s="139"/>
      <c r="N54" s="139"/>
      <c r="O54" s="139"/>
      <c r="P54" s="40"/>
    </row>
    <row r="55" spans="1:16" ht="10.25" customHeight="1" x14ac:dyDescent="0.15">
      <c r="A55" s="40" t="s">
        <v>835</v>
      </c>
      <c r="B55" s="40"/>
      <c r="C55" s="72">
        <f t="shared" si="5"/>
        <v>4142.4599999999991</v>
      </c>
      <c r="D55" s="139">
        <v>591.78</v>
      </c>
      <c r="E55" s="139">
        <v>591.78</v>
      </c>
      <c r="F55" s="139">
        <v>591.78</v>
      </c>
      <c r="G55" s="139">
        <v>591.78</v>
      </c>
      <c r="H55" s="139">
        <v>591.78</v>
      </c>
      <c r="I55" s="139">
        <v>591.78</v>
      </c>
      <c r="J55" s="139"/>
      <c r="K55" s="139">
        <v>591.78</v>
      </c>
      <c r="L55" s="139"/>
      <c r="M55" s="139"/>
      <c r="N55" s="139"/>
      <c r="O55" s="139"/>
      <c r="P55" s="40"/>
    </row>
    <row r="56" spans="1:16" ht="10.5" customHeight="1" x14ac:dyDescent="0.15">
      <c r="A56" s="40" t="s">
        <v>816</v>
      </c>
      <c r="B56" s="40"/>
      <c r="C56" s="86">
        <f t="shared" si="5"/>
        <v>29362.84</v>
      </c>
      <c r="D56" s="42"/>
      <c r="E56" s="42"/>
      <c r="F56" s="42"/>
      <c r="G56" s="42"/>
      <c r="H56" s="42"/>
      <c r="I56" s="42"/>
      <c r="J56" s="42"/>
      <c r="K56" s="42">
        <v>0.36</v>
      </c>
      <c r="L56" s="42">
        <v>10523.82</v>
      </c>
      <c r="M56" s="42">
        <v>5264.82</v>
      </c>
      <c r="N56" s="42">
        <v>8404.2000000000007</v>
      </c>
      <c r="O56" s="42">
        <v>5169.6400000000003</v>
      </c>
      <c r="P56" s="40"/>
    </row>
    <row r="57" spans="1:16" ht="10.5" customHeight="1" x14ac:dyDescent="0.15">
      <c r="A57" s="40" t="s">
        <v>817</v>
      </c>
      <c r="B57" s="40"/>
      <c r="C57" s="41">
        <f t="shared" si="5"/>
        <v>0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0"/>
    </row>
    <row r="58" spans="1:16" ht="10.5" customHeight="1" x14ac:dyDescent="0.15">
      <c r="A58" s="40" t="s">
        <v>819</v>
      </c>
      <c r="B58" s="40"/>
      <c r="C58" s="99">
        <f t="shared" si="5"/>
        <v>-11397.510000000002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>
        <v>-42216.76</v>
      </c>
      <c r="O58" s="42">
        <v>30819.25</v>
      </c>
      <c r="P58" s="40"/>
    </row>
    <row r="59" spans="1:16" ht="10.5" customHeight="1" x14ac:dyDescent="0.15">
      <c r="A59" s="40" t="s">
        <v>820</v>
      </c>
      <c r="B59" s="40"/>
      <c r="C59" s="99">
        <f t="shared" si="5"/>
        <v>10690.2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>
        <v>10690.2</v>
      </c>
      <c r="P59" s="40"/>
    </row>
    <row r="60" spans="1:16" ht="10.5" customHeight="1" x14ac:dyDescent="0.15">
      <c r="A60" s="40" t="s">
        <v>103</v>
      </c>
      <c r="B60" s="40"/>
      <c r="C60" s="99">
        <f t="shared" si="5"/>
        <v>76865.829999999987</v>
      </c>
      <c r="D60" s="42"/>
      <c r="E60" s="42"/>
      <c r="F60" s="42"/>
      <c r="G60" s="42"/>
      <c r="H60" s="42"/>
      <c r="I60" s="42"/>
      <c r="J60" s="42"/>
      <c r="K60" s="42">
        <v>5282.68</v>
      </c>
      <c r="L60" s="42">
        <v>71583.149999999994</v>
      </c>
      <c r="M60" s="42"/>
      <c r="N60" s="42"/>
      <c r="O60" s="42"/>
      <c r="P60" s="40"/>
    </row>
    <row r="61" spans="1:16" ht="10.5" customHeight="1" x14ac:dyDescent="0.15">
      <c r="A61" s="40" t="s">
        <v>821</v>
      </c>
      <c r="B61" s="40"/>
      <c r="C61" s="41">
        <f t="shared" si="5"/>
        <v>0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0"/>
    </row>
    <row r="62" spans="1:16" ht="10.5" customHeight="1" x14ac:dyDescent="0.15">
      <c r="A62" s="40" t="s">
        <v>822</v>
      </c>
      <c r="B62" s="40"/>
      <c r="C62" s="94">
        <f t="shared" si="5"/>
        <v>1351.28</v>
      </c>
      <c r="D62" s="42"/>
      <c r="E62" s="42"/>
      <c r="F62" s="42"/>
      <c r="G62" s="42"/>
      <c r="H62" s="42"/>
      <c r="I62" s="42"/>
      <c r="J62" s="42"/>
      <c r="K62" s="42"/>
      <c r="L62" s="42">
        <v>366.14</v>
      </c>
      <c r="M62" s="42">
        <v>328.38</v>
      </c>
      <c r="N62" s="42">
        <v>328.38</v>
      </c>
      <c r="O62" s="42">
        <v>328.38</v>
      </c>
      <c r="P62" s="40"/>
    </row>
    <row r="63" spans="1:16" ht="10.5" customHeight="1" x14ac:dyDescent="0.15">
      <c r="A63" s="40" t="s">
        <v>129</v>
      </c>
      <c r="B63" s="40"/>
      <c r="C63" s="80">
        <f t="shared" si="5"/>
        <v>239.46</v>
      </c>
      <c r="D63" s="42"/>
      <c r="E63" s="42"/>
      <c r="F63" s="42"/>
      <c r="G63" s="42"/>
      <c r="H63" s="42"/>
      <c r="I63" s="42"/>
      <c r="J63" s="42"/>
      <c r="K63" s="42"/>
      <c r="L63" s="42"/>
      <c r="M63" s="42">
        <v>39.47</v>
      </c>
      <c r="N63" s="42"/>
      <c r="O63" s="42">
        <v>199.99</v>
      </c>
      <c r="P63" s="40"/>
    </row>
    <row r="64" spans="1:16" ht="10.5" customHeight="1" x14ac:dyDescent="0.15">
      <c r="A64" s="40" t="s">
        <v>823</v>
      </c>
      <c r="B64" s="40"/>
      <c r="C64" s="102">
        <f t="shared" si="5"/>
        <v>0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>
        <v>0</v>
      </c>
      <c r="O64" s="42">
        <v>0</v>
      </c>
      <c r="P64" s="43"/>
    </row>
    <row r="65" spans="1:16" ht="10.5" customHeight="1" x14ac:dyDescent="0.15">
      <c r="A65" s="40" t="s">
        <v>824</v>
      </c>
      <c r="B65" s="40"/>
      <c r="C65" s="102">
        <f t="shared" si="5"/>
        <v>2400</v>
      </c>
      <c r="D65" s="42"/>
      <c r="E65" s="42"/>
      <c r="F65" s="42"/>
      <c r="G65" s="42"/>
      <c r="H65" s="42"/>
      <c r="I65" s="42"/>
      <c r="J65" s="42"/>
      <c r="K65" s="42"/>
      <c r="L65" s="42">
        <v>600</v>
      </c>
      <c r="M65" s="42">
        <v>600</v>
      </c>
      <c r="N65" s="42">
        <v>600</v>
      </c>
      <c r="O65" s="42">
        <v>600</v>
      </c>
    </row>
    <row r="66" spans="1:16" ht="10.5" customHeight="1" x14ac:dyDescent="0.15">
      <c r="A66" s="40" t="s">
        <v>130</v>
      </c>
      <c r="B66" s="40"/>
      <c r="C66" s="82">
        <f t="shared" si="5"/>
        <v>43879.43</v>
      </c>
      <c r="D66" s="42"/>
      <c r="E66" s="42"/>
      <c r="F66" s="42"/>
      <c r="G66" s="42"/>
      <c r="H66" s="42"/>
      <c r="I66" s="42"/>
      <c r="J66" s="42"/>
      <c r="K66" s="42"/>
      <c r="L66" s="42"/>
      <c r="M66" s="42">
        <v>8832.24</v>
      </c>
      <c r="N66" s="42">
        <v>-4301.84</v>
      </c>
      <c r="O66" s="42">
        <v>39349.03</v>
      </c>
      <c r="P66" s="46"/>
    </row>
    <row r="67" spans="1:16" ht="10.5" customHeight="1" x14ac:dyDescent="0.15">
      <c r="A67" s="43" t="s">
        <v>269</v>
      </c>
      <c r="B67" s="43"/>
      <c r="C67" s="44">
        <f t="shared" ref="C67:O67" si="6">SUM(C34:C66)</f>
        <v>5948953.9400000004</v>
      </c>
      <c r="D67" s="44">
        <f t="shared" si="6"/>
        <v>229805.47000000006</v>
      </c>
      <c r="E67" s="44">
        <f t="shared" si="6"/>
        <v>229805.47000000006</v>
      </c>
      <c r="F67" s="44">
        <f t="shared" si="6"/>
        <v>229805.47000000006</v>
      </c>
      <c r="G67" s="44">
        <f t="shared" si="6"/>
        <v>229805.47000000006</v>
      </c>
      <c r="H67" s="44">
        <f t="shared" si="6"/>
        <v>229805.47000000006</v>
      </c>
      <c r="I67" s="44">
        <f t="shared" si="6"/>
        <v>229805.47000000006</v>
      </c>
      <c r="J67" s="44">
        <f t="shared" si="6"/>
        <v>0</v>
      </c>
      <c r="K67" s="44">
        <f t="shared" si="6"/>
        <v>657326.71</v>
      </c>
      <c r="L67" s="44">
        <f t="shared" si="6"/>
        <v>403538.81000000006</v>
      </c>
      <c r="M67" s="44">
        <f t="shared" si="6"/>
        <v>674962.45</v>
      </c>
      <c r="N67" s="44">
        <f t="shared" si="6"/>
        <v>1776185.2999999993</v>
      </c>
      <c r="O67" s="44">
        <f t="shared" si="6"/>
        <v>1058107.8500000001</v>
      </c>
    </row>
    <row r="68" spans="1:16" ht="13.25" customHeight="1" x14ac:dyDescent="0.15"/>
    <row r="69" spans="1:16" ht="10.5" customHeight="1" x14ac:dyDescent="0.15">
      <c r="A69" s="46" t="s">
        <v>270</v>
      </c>
      <c r="B69" s="46"/>
      <c r="C69" s="47">
        <f t="shared" ref="C69:O69" si="7">((C26 + C31) - C67)</f>
        <v>27662955.297000002</v>
      </c>
      <c r="D69" s="47">
        <f t="shared" si="7"/>
        <v>900786.9800000001</v>
      </c>
      <c r="E69" s="47">
        <f t="shared" si="7"/>
        <v>900786.9800000001</v>
      </c>
      <c r="F69" s="47">
        <f t="shared" si="7"/>
        <v>798184.7</v>
      </c>
      <c r="G69" s="47">
        <f t="shared" si="7"/>
        <v>900786.9800000001</v>
      </c>
      <c r="H69" s="47">
        <f t="shared" si="7"/>
        <v>900786.9800000001</v>
      </c>
      <c r="I69" s="47">
        <f t="shared" si="7"/>
        <v>1762200.01</v>
      </c>
      <c r="J69" s="47">
        <f t="shared" si="7"/>
        <v>0</v>
      </c>
      <c r="K69" s="47">
        <f t="shared" si="7"/>
        <v>829278.90999999992</v>
      </c>
      <c r="L69" s="47">
        <f t="shared" si="7"/>
        <v>1117564.8900000001</v>
      </c>
      <c r="M69" s="47">
        <f t="shared" si="7"/>
        <v>3908963.3699999992</v>
      </c>
      <c r="N69" s="47">
        <f t="shared" si="7"/>
        <v>7966418.4870000016</v>
      </c>
      <c r="O69" s="47">
        <f t="shared" si="7"/>
        <v>7714697.0100000016</v>
      </c>
    </row>
  </sheetData>
  <mergeCells count="7">
    <mergeCell ref="A33:O33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paperSize="9" fitToWidth="0" fitToHeight="0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5"/>
  <sheetViews>
    <sheetView showGridLines="0" zoomScaleNormal="100" workbookViewId="0">
      <pane ySplit="5" topLeftCell="A6" activePane="bottomLeft" state="frozen"/>
      <selection pane="bottomLeft" activeCell="M15" sqref="M15"/>
    </sheetView>
  </sheetViews>
  <sheetFormatPr baseColWidth="10" defaultColWidth="9.1640625" defaultRowHeight="13" x14ac:dyDescent="0.15"/>
  <cols>
    <col min="1" max="1" width="27.1640625" style="35" bestFit="1" customWidth="1"/>
    <col min="2" max="2" width="4.83203125" style="35" bestFit="1" customWidth="1"/>
    <col min="3" max="3" width="10.83203125" style="35" bestFit="1" customWidth="1"/>
    <col min="4" max="4" width="14" style="35" bestFit="1" customWidth="1"/>
    <col min="5" max="5" width="10.83203125" style="35" bestFit="1" customWidth="1"/>
    <col min="6" max="6" width="11.1640625" style="35" bestFit="1" customWidth="1"/>
    <col min="7" max="7" width="10.83203125" style="35" bestFit="1" customWidth="1"/>
    <col min="8" max="13" width="9.83203125" style="35" bestFit="1" customWidth="1"/>
    <col min="14" max="14" width="10.5" style="35" bestFit="1" customWidth="1"/>
    <col min="15" max="15" width="9.6640625" style="35" bestFit="1" customWidth="1"/>
    <col min="16" max="18" width="9.1640625" style="35" customWidth="1"/>
    <col min="19" max="16384" width="9.1640625" style="35"/>
  </cols>
  <sheetData>
    <row r="1" spans="1:15" ht="25.25" customHeight="1" x14ac:dyDescent="0.15">
      <c r="A1" s="169" t="s">
        <v>134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</row>
    <row r="2" spans="1:15" ht="18" customHeight="1" x14ac:dyDescent="0.15">
      <c r="A2" s="171" t="s">
        <v>783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</row>
    <row r="3" spans="1:15" ht="36.25" customHeight="1" x14ac:dyDescent="0.15">
      <c r="A3" s="171" t="s">
        <v>836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</row>
    <row r="4" spans="1:15" ht="13.25" customHeight="1" x14ac:dyDescent="0.15"/>
    <row r="5" spans="1:15" ht="10.5" customHeight="1" x14ac:dyDescent="0.15">
      <c r="A5" s="36" t="s">
        <v>136</v>
      </c>
      <c r="B5" s="36"/>
      <c r="C5" s="36" t="s">
        <v>12</v>
      </c>
      <c r="D5" s="37">
        <v>45689</v>
      </c>
      <c r="E5" s="37">
        <v>45658</v>
      </c>
      <c r="F5" s="37">
        <v>45627</v>
      </c>
      <c r="G5" s="37">
        <v>45597</v>
      </c>
      <c r="H5" s="37">
        <v>45566</v>
      </c>
      <c r="I5" s="37">
        <v>45536</v>
      </c>
      <c r="J5" s="37">
        <v>45505</v>
      </c>
      <c r="K5" s="37">
        <v>45474</v>
      </c>
      <c r="L5" s="37">
        <v>45444</v>
      </c>
      <c r="M5" s="37">
        <v>45413</v>
      </c>
      <c r="N5" s="37">
        <v>45383</v>
      </c>
      <c r="O5" s="37">
        <v>45352</v>
      </c>
    </row>
    <row r="6" spans="1:15" ht="10.5" customHeight="1" x14ac:dyDescent="0.15">
      <c r="A6" s="38"/>
      <c r="B6" s="38"/>
      <c r="C6" s="38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ht="10.5" customHeight="1" x14ac:dyDescent="0.2">
      <c r="A7" s="166" t="s">
        <v>785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</row>
    <row r="8" spans="1:15" ht="10.5" customHeight="1" x14ac:dyDescent="0.15">
      <c r="A8" s="40" t="s">
        <v>786</v>
      </c>
      <c r="B8" s="40"/>
      <c r="C8" s="41">
        <f>SUM(D8:O8)</f>
        <v>3085586.9000000004</v>
      </c>
      <c r="D8" s="42"/>
      <c r="E8" s="42"/>
      <c r="F8" s="42"/>
      <c r="G8" s="42"/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1314591.31</v>
      </c>
      <c r="N8" s="42">
        <f>1314591.31-858187.03</f>
        <v>456404.28</v>
      </c>
      <c r="O8" s="42">
        <v>1314591.31</v>
      </c>
    </row>
    <row r="9" spans="1:15" ht="10.5" customHeight="1" x14ac:dyDescent="0.15">
      <c r="A9" s="40" t="s">
        <v>787</v>
      </c>
      <c r="B9" s="40"/>
      <c r="C9" s="41">
        <f>SUM(D9:O9)</f>
        <v>29314.059999999998</v>
      </c>
      <c r="D9" s="42"/>
      <c r="E9" s="42"/>
      <c r="F9" s="42"/>
      <c r="G9" s="42"/>
      <c r="H9" s="42"/>
      <c r="I9" s="42"/>
      <c r="J9" s="42"/>
      <c r="K9" s="42"/>
      <c r="L9" s="42"/>
      <c r="M9" s="42">
        <v>0</v>
      </c>
      <c r="N9" s="42">
        <f>3116.67+15333.33</f>
        <v>18450</v>
      </c>
      <c r="O9" s="42">
        <v>10864.06</v>
      </c>
    </row>
    <row r="10" spans="1:15" ht="10.5" customHeight="1" x14ac:dyDescent="0.15">
      <c r="A10" s="40" t="s">
        <v>788</v>
      </c>
      <c r="B10" s="40"/>
      <c r="C10" s="41">
        <f>SUM(D10:O10)</f>
        <v>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15" ht="10.5" customHeight="1" x14ac:dyDescent="0.15">
      <c r="A11" s="43" t="s">
        <v>789</v>
      </c>
      <c r="B11" s="43"/>
      <c r="C11" s="44">
        <f t="shared" ref="C11:O11" si="0">C8+C9+C10</f>
        <v>3114900.9600000004</v>
      </c>
      <c r="D11" s="44">
        <f t="shared" si="0"/>
        <v>0</v>
      </c>
      <c r="E11" s="44">
        <f t="shared" si="0"/>
        <v>0</v>
      </c>
      <c r="F11" s="44">
        <f t="shared" si="0"/>
        <v>0</v>
      </c>
      <c r="G11" s="44">
        <f t="shared" si="0"/>
        <v>0</v>
      </c>
      <c r="H11" s="44">
        <f t="shared" si="0"/>
        <v>0</v>
      </c>
      <c r="I11" s="44">
        <f t="shared" si="0"/>
        <v>0</v>
      </c>
      <c r="J11" s="44">
        <f t="shared" si="0"/>
        <v>0</v>
      </c>
      <c r="K11" s="44">
        <f t="shared" si="0"/>
        <v>0</v>
      </c>
      <c r="L11" s="44">
        <f t="shared" si="0"/>
        <v>0</v>
      </c>
      <c r="M11" s="44">
        <f t="shared" si="0"/>
        <v>1314591.31</v>
      </c>
      <c r="N11" s="44">
        <f t="shared" si="0"/>
        <v>474854.28</v>
      </c>
      <c r="O11" s="44">
        <f t="shared" si="0"/>
        <v>1325455.3700000001</v>
      </c>
    </row>
    <row r="12" spans="1:15" ht="10.5" customHeight="1" x14ac:dyDescent="0.15">
      <c r="A12" s="38"/>
      <c r="B12" s="38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 ht="10.5" customHeight="1" x14ac:dyDescent="0.2">
      <c r="A13" s="166" t="s">
        <v>148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</row>
    <row r="14" spans="1:15" ht="10.5" customHeight="1" x14ac:dyDescent="0.15">
      <c r="A14" s="40" t="s">
        <v>790</v>
      </c>
      <c r="B14" s="40"/>
      <c r="C14" s="74">
        <f t="shared" ref="C14:C23" si="1">SUM(D14:O14)</f>
        <v>0</v>
      </c>
      <c r="D14" s="42"/>
      <c r="E14" s="42"/>
      <c r="F14" s="42"/>
      <c r="G14" s="42"/>
      <c r="H14" s="42"/>
      <c r="I14" s="42"/>
      <c r="J14" s="42"/>
      <c r="K14" s="42"/>
      <c r="L14" s="42">
        <v>0</v>
      </c>
      <c r="M14" s="42">
        <v>0</v>
      </c>
      <c r="N14" s="42">
        <v>0</v>
      </c>
      <c r="O14" s="42">
        <v>0</v>
      </c>
    </row>
    <row r="15" spans="1:15" ht="10.5" customHeight="1" x14ac:dyDescent="0.15">
      <c r="A15" s="40" t="s">
        <v>791</v>
      </c>
      <c r="B15" s="40"/>
      <c r="C15" s="74">
        <f t="shared" si="1"/>
        <v>492077.55000000005</v>
      </c>
      <c r="D15" s="42"/>
      <c r="E15" s="42"/>
      <c r="F15" s="42"/>
      <c r="G15" s="42"/>
      <c r="H15" s="42"/>
      <c r="I15" s="42"/>
      <c r="J15" s="42"/>
      <c r="K15" s="42"/>
      <c r="L15" s="42">
        <v>0</v>
      </c>
      <c r="M15" s="42">
        <f>61865.22+51080.3+153240.99</f>
        <v>266186.51</v>
      </c>
      <c r="N15" s="42">
        <f>61865.22+51080.3</f>
        <v>112945.52</v>
      </c>
      <c r="O15" s="42">
        <f>61865.22+51080.3</f>
        <v>112945.52</v>
      </c>
    </row>
    <row r="16" spans="1:15" ht="10.5" customHeight="1" x14ac:dyDescent="0.15">
      <c r="A16" s="40" t="s">
        <v>827</v>
      </c>
      <c r="B16" s="40"/>
      <c r="C16" s="80">
        <f t="shared" si="1"/>
        <v>750</v>
      </c>
      <c r="D16" s="42"/>
      <c r="E16" s="42"/>
      <c r="F16" s="42"/>
      <c r="G16" s="42"/>
      <c r="H16" s="42"/>
      <c r="I16" s="42"/>
      <c r="J16" s="42"/>
      <c r="K16" s="42"/>
      <c r="L16" s="42">
        <v>0</v>
      </c>
      <c r="M16" s="42">
        <v>0</v>
      </c>
      <c r="N16" s="42">
        <v>0</v>
      </c>
      <c r="O16" s="42">
        <v>750</v>
      </c>
    </row>
    <row r="17" spans="1:15" ht="10.5" customHeight="1" x14ac:dyDescent="0.15">
      <c r="A17" s="45" t="s">
        <v>828</v>
      </c>
      <c r="B17" s="40"/>
      <c r="C17" s="41">
        <f t="shared" si="1"/>
        <v>0</v>
      </c>
      <c r="D17" s="42"/>
      <c r="E17" s="42"/>
      <c r="F17" s="42"/>
      <c r="G17" s="42"/>
      <c r="H17" s="42"/>
      <c r="I17" s="42"/>
      <c r="J17" s="42"/>
      <c r="K17" s="42"/>
      <c r="L17" s="42">
        <v>0</v>
      </c>
      <c r="M17" s="42">
        <v>0</v>
      </c>
      <c r="N17" s="42">
        <v>0</v>
      </c>
      <c r="O17" s="42">
        <v>0</v>
      </c>
    </row>
    <row r="18" spans="1:15" ht="10.5" customHeight="1" x14ac:dyDescent="0.15">
      <c r="A18" s="40" t="s">
        <v>792</v>
      </c>
      <c r="B18" s="40"/>
      <c r="C18" s="82">
        <f t="shared" si="1"/>
        <v>0</v>
      </c>
      <c r="D18" s="42"/>
      <c r="E18" s="42"/>
      <c r="F18" s="42"/>
      <c r="G18" s="42"/>
      <c r="H18" s="42"/>
      <c r="I18" s="42"/>
      <c r="J18" s="42"/>
      <c r="K18" s="42"/>
      <c r="L18" s="42">
        <v>0</v>
      </c>
      <c r="M18" s="42">
        <v>0</v>
      </c>
      <c r="N18" s="42">
        <v>0</v>
      </c>
      <c r="O18" s="42">
        <v>0</v>
      </c>
    </row>
    <row r="19" spans="1:15" ht="10.5" customHeight="1" x14ac:dyDescent="0.15">
      <c r="A19" s="40" t="s">
        <v>793</v>
      </c>
      <c r="B19" s="40"/>
      <c r="C19" s="41">
        <f t="shared" si="1"/>
        <v>0</v>
      </c>
      <c r="D19" s="42"/>
      <c r="E19" s="42"/>
      <c r="F19" s="42"/>
      <c r="G19" s="42"/>
      <c r="H19" s="42"/>
      <c r="I19" s="42"/>
      <c r="J19" s="42"/>
      <c r="K19" s="42"/>
      <c r="L19" s="42">
        <v>0</v>
      </c>
      <c r="M19" s="42">
        <v>0</v>
      </c>
      <c r="N19" s="42">
        <v>0</v>
      </c>
      <c r="O19" s="42">
        <v>0</v>
      </c>
    </row>
    <row r="20" spans="1:15" ht="10.5" customHeight="1" x14ac:dyDescent="0.15">
      <c r="A20" s="40" t="s">
        <v>829</v>
      </c>
      <c r="B20" s="40"/>
      <c r="C20" s="41">
        <f t="shared" si="1"/>
        <v>0</v>
      </c>
      <c r="D20" s="42"/>
      <c r="E20" s="42"/>
      <c r="F20" s="42"/>
      <c r="G20" s="42"/>
      <c r="H20" s="42"/>
      <c r="I20" s="42"/>
      <c r="J20" s="42"/>
      <c r="K20" s="42"/>
      <c r="L20" s="42">
        <v>0</v>
      </c>
      <c r="M20" s="42">
        <v>0</v>
      </c>
      <c r="N20" s="42">
        <v>0</v>
      </c>
      <c r="O20" s="42">
        <v>0</v>
      </c>
    </row>
    <row r="21" spans="1:15" ht="10.5" customHeight="1" x14ac:dyDescent="0.15">
      <c r="A21" s="40" t="s">
        <v>794</v>
      </c>
      <c r="B21" s="40"/>
      <c r="C21" s="41">
        <f t="shared" si="1"/>
        <v>0</v>
      </c>
      <c r="D21" s="42"/>
      <c r="E21" s="42"/>
      <c r="F21" s="42"/>
      <c r="G21" s="42"/>
      <c r="H21" s="42"/>
      <c r="I21" s="42"/>
      <c r="J21" s="42"/>
      <c r="K21" s="42"/>
      <c r="L21" s="42">
        <v>0</v>
      </c>
      <c r="M21" s="42">
        <v>0</v>
      </c>
      <c r="N21" s="42">
        <v>0</v>
      </c>
      <c r="O21" s="42">
        <v>0</v>
      </c>
    </row>
    <row r="22" spans="1:15" ht="10.5" customHeight="1" x14ac:dyDescent="0.15">
      <c r="A22" s="40" t="s">
        <v>795</v>
      </c>
      <c r="B22" s="40"/>
      <c r="C22" s="78">
        <f t="shared" si="1"/>
        <v>0</v>
      </c>
      <c r="D22" s="42"/>
      <c r="E22" s="42"/>
      <c r="F22" s="42"/>
      <c r="G22" s="42"/>
      <c r="H22" s="42"/>
      <c r="I22" s="42"/>
      <c r="J22" s="42"/>
      <c r="K22" s="42"/>
      <c r="L22" s="42">
        <v>0</v>
      </c>
      <c r="M22" s="42">
        <v>0</v>
      </c>
      <c r="N22" s="42">
        <v>0</v>
      </c>
      <c r="O22" s="42">
        <v>0</v>
      </c>
    </row>
    <row r="23" spans="1:15" ht="10.5" customHeight="1" x14ac:dyDescent="0.15">
      <c r="A23" s="40" t="s">
        <v>797</v>
      </c>
      <c r="B23" s="40"/>
      <c r="C23" s="76">
        <f t="shared" si="1"/>
        <v>213160.02</v>
      </c>
      <c r="D23" s="42"/>
      <c r="E23" s="42"/>
      <c r="F23" s="42"/>
      <c r="G23" s="42"/>
      <c r="H23" s="42"/>
      <c r="I23" s="42"/>
      <c r="J23" s="42"/>
      <c r="K23" s="42"/>
      <c r="L23" s="42">
        <v>0</v>
      </c>
      <c r="M23" s="42">
        <v>71053.34</v>
      </c>
      <c r="N23" s="42">
        <v>71053.34</v>
      </c>
      <c r="O23" s="42">
        <v>71053.34</v>
      </c>
    </row>
    <row r="24" spans="1:15" ht="10.5" customHeight="1" x14ac:dyDescent="0.15">
      <c r="A24" s="43" t="s">
        <v>194</v>
      </c>
      <c r="B24" s="43"/>
      <c r="C24" s="44">
        <f t="shared" ref="C24:O24" si="2">SUM(C14:C23)</f>
        <v>705987.57000000007</v>
      </c>
      <c r="D24" s="44">
        <f t="shared" si="2"/>
        <v>0</v>
      </c>
      <c r="E24" s="44">
        <f t="shared" si="2"/>
        <v>0</v>
      </c>
      <c r="F24" s="44">
        <f t="shared" si="2"/>
        <v>0</v>
      </c>
      <c r="G24" s="44">
        <f t="shared" si="2"/>
        <v>0</v>
      </c>
      <c r="H24" s="44">
        <f t="shared" si="2"/>
        <v>0</v>
      </c>
      <c r="I24" s="44">
        <f t="shared" si="2"/>
        <v>0</v>
      </c>
      <c r="J24" s="44">
        <f t="shared" si="2"/>
        <v>0</v>
      </c>
      <c r="K24" s="44">
        <f t="shared" si="2"/>
        <v>0</v>
      </c>
      <c r="L24" s="44">
        <f t="shared" si="2"/>
        <v>0</v>
      </c>
      <c r="M24" s="44">
        <f t="shared" si="2"/>
        <v>337239.85</v>
      </c>
      <c r="N24" s="44">
        <f t="shared" si="2"/>
        <v>183998.86</v>
      </c>
      <c r="O24" s="44">
        <f t="shared" si="2"/>
        <v>184748.86</v>
      </c>
    </row>
    <row r="25" spans="1:15" ht="10.5" customHeight="1" x14ac:dyDescent="0.15">
      <c r="A25" s="38"/>
      <c r="B25" s="38"/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 ht="10.5" customHeight="1" x14ac:dyDescent="0.15">
      <c r="A26" s="46" t="s">
        <v>195</v>
      </c>
      <c r="B26" s="46"/>
      <c r="C26" s="47">
        <f t="shared" ref="C26:O26" si="3">C11-C24</f>
        <v>2408913.3900000006</v>
      </c>
      <c r="D26" s="47">
        <f t="shared" si="3"/>
        <v>0</v>
      </c>
      <c r="E26" s="47">
        <f t="shared" si="3"/>
        <v>0</v>
      </c>
      <c r="F26" s="47">
        <f t="shared" si="3"/>
        <v>0</v>
      </c>
      <c r="G26" s="47">
        <f t="shared" si="3"/>
        <v>0</v>
      </c>
      <c r="H26" s="47">
        <f t="shared" si="3"/>
        <v>0</v>
      </c>
      <c r="I26" s="47">
        <f t="shared" si="3"/>
        <v>0</v>
      </c>
      <c r="J26" s="47">
        <f t="shared" si="3"/>
        <v>0</v>
      </c>
      <c r="K26" s="47">
        <f t="shared" si="3"/>
        <v>0</v>
      </c>
      <c r="L26" s="47">
        <f t="shared" si="3"/>
        <v>0</v>
      </c>
      <c r="M26" s="47">
        <f t="shared" si="3"/>
        <v>977351.46000000008</v>
      </c>
      <c r="N26" s="47">
        <f t="shared" si="3"/>
        <v>290855.42000000004</v>
      </c>
      <c r="O26" s="47">
        <f t="shared" si="3"/>
        <v>1140706.5100000002</v>
      </c>
    </row>
    <row r="27" spans="1:15" ht="13.25" customHeight="1" x14ac:dyDescent="0.15"/>
    <row r="28" spans="1:15" ht="13" customHeight="1" x14ac:dyDescent="0.2">
      <c r="A28" s="166" t="s">
        <v>196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</row>
    <row r="29" spans="1:15" ht="10.5" customHeight="1" x14ac:dyDescent="0.15">
      <c r="A29" s="40" t="s">
        <v>798</v>
      </c>
      <c r="B29" s="40"/>
      <c r="C29" s="41">
        <f>SUM(D29:O29)</f>
        <v>946938.06</v>
      </c>
      <c r="D29" s="42"/>
      <c r="E29" s="42"/>
      <c r="F29" s="42"/>
      <c r="G29" s="42"/>
      <c r="H29" s="42"/>
      <c r="I29" s="42"/>
      <c r="J29" s="42"/>
      <c r="K29" s="42"/>
      <c r="L29" s="32">
        <v>393902.07</v>
      </c>
      <c r="M29" s="32">
        <v>222525.45</v>
      </c>
      <c r="N29" s="33">
        <v>106209.22</v>
      </c>
      <c r="O29" s="33">
        <v>224301.32</v>
      </c>
    </row>
    <row r="30" spans="1:15" ht="10.5" customHeight="1" x14ac:dyDescent="0.15">
      <c r="A30" s="43" t="s">
        <v>201</v>
      </c>
      <c r="B30" s="43"/>
      <c r="C30" s="44">
        <f t="shared" ref="C30:O30" si="4">C29</f>
        <v>946938.06</v>
      </c>
      <c r="D30" s="44">
        <f t="shared" si="4"/>
        <v>0</v>
      </c>
      <c r="E30" s="44">
        <f t="shared" si="4"/>
        <v>0</v>
      </c>
      <c r="F30" s="44">
        <f t="shared" si="4"/>
        <v>0</v>
      </c>
      <c r="G30" s="44">
        <f t="shared" si="4"/>
        <v>0</v>
      </c>
      <c r="H30" s="44">
        <f t="shared" si="4"/>
        <v>0</v>
      </c>
      <c r="I30" s="44">
        <f t="shared" si="4"/>
        <v>0</v>
      </c>
      <c r="J30" s="44">
        <f t="shared" si="4"/>
        <v>0</v>
      </c>
      <c r="K30" s="44">
        <f t="shared" si="4"/>
        <v>0</v>
      </c>
      <c r="L30" s="34">
        <f t="shared" si="4"/>
        <v>393902.07</v>
      </c>
      <c r="M30" s="34">
        <f t="shared" si="4"/>
        <v>222525.45</v>
      </c>
      <c r="N30" s="34">
        <f t="shared" si="4"/>
        <v>106209.22</v>
      </c>
      <c r="O30" s="34">
        <f t="shared" si="4"/>
        <v>224301.32</v>
      </c>
    </row>
    <row r="31" spans="1:15" ht="13.25" customHeight="1" x14ac:dyDescent="0.15"/>
    <row r="32" spans="1:15" ht="13" customHeight="1" x14ac:dyDescent="0.2">
      <c r="A32" s="166" t="s">
        <v>202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</row>
    <row r="33" spans="1:15" ht="13" customHeight="1" x14ac:dyDescent="0.15">
      <c r="A33" s="40" t="s">
        <v>799</v>
      </c>
      <c r="B33" s="48"/>
      <c r="C33" s="41">
        <f t="shared" ref="C33:C62" si="5">SUM(D33:O33)</f>
        <v>0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>
        <v>0</v>
      </c>
      <c r="O33" s="42">
        <v>0</v>
      </c>
    </row>
    <row r="34" spans="1:15" ht="10.5" customHeight="1" x14ac:dyDescent="0.15">
      <c r="A34" s="40" t="s">
        <v>213</v>
      </c>
      <c r="B34" s="40"/>
      <c r="C34" s="84">
        <f t="shared" si="5"/>
        <v>137675.92000000001</v>
      </c>
      <c r="D34" s="42"/>
      <c r="E34" s="42"/>
      <c r="F34" s="42"/>
      <c r="G34" s="42"/>
      <c r="H34" s="42"/>
      <c r="I34" s="42"/>
      <c r="J34" s="42"/>
      <c r="K34" s="42"/>
      <c r="L34" s="42">
        <v>39589.129999999997</v>
      </c>
      <c r="M34" s="42">
        <v>52232.03</v>
      </c>
      <c r="N34" s="42">
        <v>23300</v>
      </c>
      <c r="O34" s="42">
        <v>22554.76</v>
      </c>
    </row>
    <row r="35" spans="1:15" ht="10.5" customHeight="1" x14ac:dyDescent="0.15">
      <c r="A35" s="40" t="s">
        <v>801</v>
      </c>
      <c r="B35" s="40"/>
      <c r="C35" s="84">
        <f t="shared" si="5"/>
        <v>12480</v>
      </c>
      <c r="D35" s="42"/>
      <c r="E35" s="42"/>
      <c r="F35" s="42"/>
      <c r="G35" s="42"/>
      <c r="H35" s="42"/>
      <c r="I35" s="42"/>
      <c r="J35" s="42"/>
      <c r="K35" s="42"/>
      <c r="L35" s="42"/>
      <c r="M35" s="42">
        <v>-12480</v>
      </c>
      <c r="N35" s="42">
        <v>24960</v>
      </c>
      <c r="O35" s="42">
        <v>0</v>
      </c>
    </row>
    <row r="36" spans="1:15" ht="10.5" customHeight="1" x14ac:dyDescent="0.15">
      <c r="A36" s="45" t="s">
        <v>831</v>
      </c>
      <c r="B36" s="40"/>
      <c r="C36" s="41">
        <f t="shared" si="5"/>
        <v>30612.5</v>
      </c>
      <c r="D36" s="42"/>
      <c r="E36" s="42"/>
      <c r="F36" s="42"/>
      <c r="G36" s="42"/>
      <c r="H36" s="42"/>
      <c r="I36" s="42"/>
      <c r="J36" s="42"/>
      <c r="K36" s="42"/>
      <c r="L36" s="42"/>
      <c r="M36" s="42">
        <v>5637.5</v>
      </c>
      <c r="N36" s="42"/>
      <c r="O36" s="42">
        <v>24975</v>
      </c>
    </row>
    <row r="37" spans="1:15" ht="10.5" customHeight="1" x14ac:dyDescent="0.15">
      <c r="A37" s="40" t="s">
        <v>214</v>
      </c>
      <c r="B37" s="40"/>
      <c r="C37" s="88">
        <f t="shared" si="5"/>
        <v>1923.51</v>
      </c>
      <c r="D37" s="42"/>
      <c r="E37" s="42"/>
      <c r="F37" s="42"/>
      <c r="G37" s="42"/>
      <c r="H37" s="42"/>
      <c r="I37" s="42"/>
      <c r="J37" s="42"/>
      <c r="K37" s="42"/>
      <c r="L37" s="42">
        <v>516.95000000000005</v>
      </c>
      <c r="M37" s="42">
        <v>449.38</v>
      </c>
      <c r="N37" s="42">
        <v>374.2</v>
      </c>
      <c r="O37" s="42">
        <v>582.98</v>
      </c>
    </row>
    <row r="38" spans="1:15" ht="10.5" customHeight="1" x14ac:dyDescent="0.15">
      <c r="A38" s="40" t="s">
        <v>222</v>
      </c>
      <c r="B38" s="40"/>
      <c r="C38" s="41">
        <f t="shared" si="5"/>
        <v>450842.57</v>
      </c>
      <c r="D38" s="42"/>
      <c r="E38" s="42"/>
      <c r="F38" s="42"/>
      <c r="G38" s="42"/>
      <c r="H38" s="42"/>
      <c r="I38" s="42"/>
      <c r="J38" s="42"/>
      <c r="K38" s="42"/>
      <c r="L38" s="42">
        <v>121658</v>
      </c>
      <c r="M38" s="42">
        <v>121658</v>
      </c>
      <c r="N38" s="42">
        <v>98308</v>
      </c>
      <c r="O38" s="42">
        <v>109218.57</v>
      </c>
    </row>
    <row r="39" spans="1:15" ht="10.5" customHeight="1" x14ac:dyDescent="0.15">
      <c r="A39" s="40" t="s">
        <v>805</v>
      </c>
      <c r="B39" s="40"/>
      <c r="C39" s="72">
        <f t="shared" si="5"/>
        <v>12200</v>
      </c>
      <c r="D39" s="42"/>
      <c r="E39" s="42"/>
      <c r="F39" s="42"/>
      <c r="G39" s="42"/>
      <c r="H39" s="42"/>
      <c r="I39" s="42"/>
      <c r="J39" s="42"/>
      <c r="K39" s="42"/>
      <c r="L39" s="42">
        <v>4200</v>
      </c>
      <c r="M39" s="42">
        <v>4000</v>
      </c>
      <c r="N39" s="42">
        <v>4000</v>
      </c>
      <c r="O39" s="42">
        <v>0</v>
      </c>
    </row>
    <row r="40" spans="1:15" ht="10.5" customHeight="1" x14ac:dyDescent="0.15">
      <c r="A40" s="40" t="s">
        <v>120</v>
      </c>
      <c r="B40" s="40"/>
      <c r="C40" s="91">
        <f t="shared" si="5"/>
        <v>11263.46</v>
      </c>
      <c r="D40" s="42"/>
      <c r="E40" s="42"/>
      <c r="F40" s="42"/>
      <c r="G40" s="42"/>
      <c r="H40" s="42"/>
      <c r="I40" s="42"/>
      <c r="J40" s="42"/>
      <c r="K40" s="42"/>
      <c r="L40" s="42"/>
      <c r="M40" s="42">
        <v>2524.84</v>
      </c>
      <c r="N40" s="42">
        <v>-2477.5100000000002</v>
      </c>
      <c r="O40" s="42">
        <v>11216.13</v>
      </c>
    </row>
    <row r="41" spans="1:15" ht="10.5" customHeight="1" x14ac:dyDescent="0.15">
      <c r="A41" s="40" t="s">
        <v>122</v>
      </c>
      <c r="B41" s="40"/>
      <c r="C41" s="94">
        <f t="shared" si="5"/>
        <v>26915.89</v>
      </c>
      <c r="D41" s="42"/>
      <c r="E41" s="42"/>
      <c r="F41" s="42"/>
      <c r="G41" s="42"/>
      <c r="H41" s="42"/>
      <c r="I41" s="42"/>
      <c r="J41" s="42"/>
      <c r="K41" s="42"/>
      <c r="L41" s="42">
        <v>10741.66</v>
      </c>
      <c r="M41" s="42">
        <v>8823.9</v>
      </c>
      <c r="N41" s="42">
        <v>7350.33</v>
      </c>
      <c r="O41" s="42"/>
    </row>
    <row r="42" spans="1:15" ht="10.5" customHeight="1" x14ac:dyDescent="0.15">
      <c r="A42" s="40" t="s">
        <v>123</v>
      </c>
      <c r="B42" s="40"/>
      <c r="C42" s="96">
        <f t="shared" si="5"/>
        <v>-533.80000000000007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>
        <v>-715.47</v>
      </c>
      <c r="O42" s="42">
        <v>181.67</v>
      </c>
    </row>
    <row r="43" spans="1:15" ht="10.5" customHeight="1" x14ac:dyDescent="0.15">
      <c r="A43" s="40" t="s">
        <v>806</v>
      </c>
      <c r="B43" s="40"/>
      <c r="C43" s="72">
        <f t="shared" si="5"/>
        <v>-751148.08000000007</v>
      </c>
      <c r="D43" s="139"/>
      <c r="E43" s="139"/>
      <c r="F43" s="139"/>
      <c r="G43" s="139"/>
      <c r="H43" s="139"/>
      <c r="I43" s="139"/>
      <c r="J43" s="139"/>
      <c r="K43" s="139"/>
      <c r="L43" s="139">
        <f>130102.66-246794.53</f>
        <v>-116691.87</v>
      </c>
      <c r="M43" s="139">
        <f>65550.67-246794.53</f>
        <v>-181243.86</v>
      </c>
      <c r="N43" s="139">
        <v>-246794.53</v>
      </c>
      <c r="O43" s="139">
        <f>40376.71-246794.53</f>
        <v>-206417.82</v>
      </c>
    </row>
    <row r="44" spans="1:15" ht="10.5" customHeight="1" x14ac:dyDescent="0.15">
      <c r="A44" s="40" t="s">
        <v>807</v>
      </c>
      <c r="B44" s="40"/>
      <c r="C44" s="72">
        <f t="shared" si="5"/>
        <v>280130.14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>
        <v>117904.12</v>
      </c>
      <c r="N44" s="139">
        <v>55479.45</v>
      </c>
      <c r="O44" s="139">
        <v>106746.57</v>
      </c>
    </row>
    <row r="45" spans="1:15" ht="10.5" customHeight="1" x14ac:dyDescent="0.15">
      <c r="A45" s="40" t="s">
        <v>808</v>
      </c>
      <c r="B45" s="40"/>
      <c r="C45" s="72">
        <f t="shared" si="5"/>
        <v>47503.979999999996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>
        <v>33052.06</v>
      </c>
      <c r="N45" s="139">
        <v>14451.92</v>
      </c>
      <c r="O45" s="139"/>
    </row>
    <row r="46" spans="1:15" ht="10.5" customHeight="1" x14ac:dyDescent="0.15">
      <c r="A46" s="40" t="s">
        <v>809</v>
      </c>
      <c r="B46" s="40"/>
      <c r="C46" s="72">
        <f t="shared" si="5"/>
        <v>1572419.12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>
        <v>214964.38</v>
      </c>
      <c r="N46" s="139">
        <f>1454819.17-740383.61</f>
        <v>714435.55999999994</v>
      </c>
      <c r="O46" s="139">
        <v>643019.18000000005</v>
      </c>
    </row>
    <row r="47" spans="1:15" ht="10.5" customHeight="1" x14ac:dyDescent="0.15">
      <c r="A47" s="40" t="s">
        <v>810</v>
      </c>
      <c r="B47" s="40"/>
      <c r="C47" s="72">
        <f t="shared" si="5"/>
        <v>122125</v>
      </c>
      <c r="D47" s="139"/>
      <c r="E47" s="139"/>
      <c r="F47" s="139"/>
      <c r="G47" s="139"/>
      <c r="H47" s="139"/>
      <c r="I47" s="139"/>
      <c r="J47" s="139"/>
      <c r="K47" s="139"/>
      <c r="L47" s="139">
        <v>4041.1</v>
      </c>
      <c r="M47" s="139">
        <v>22371.58</v>
      </c>
      <c r="N47" s="139">
        <v>62219.17</v>
      </c>
      <c r="O47" s="139">
        <v>33493.15</v>
      </c>
    </row>
    <row r="48" spans="1:15" ht="10.5" customHeight="1" x14ac:dyDescent="0.15">
      <c r="A48" s="40" t="s">
        <v>811</v>
      </c>
      <c r="B48" s="40"/>
      <c r="C48" s="72">
        <f t="shared" si="5"/>
        <v>61901.380000000005</v>
      </c>
      <c r="D48" s="139"/>
      <c r="E48" s="139"/>
      <c r="F48" s="139"/>
      <c r="G48" s="139"/>
      <c r="H48" s="139"/>
      <c r="I48" s="139"/>
      <c r="J48" s="139"/>
      <c r="K48" s="139"/>
      <c r="L48" s="139">
        <v>5520.55</v>
      </c>
      <c r="M48" s="139">
        <v>15457.54</v>
      </c>
      <c r="N48" s="139">
        <v>37361.65</v>
      </c>
      <c r="O48" s="139">
        <v>3561.64</v>
      </c>
    </row>
    <row r="49" spans="1:15" ht="10.5" customHeight="1" x14ac:dyDescent="0.15">
      <c r="A49" s="40" t="s">
        <v>812</v>
      </c>
      <c r="B49" s="40"/>
      <c r="C49" s="72">
        <f t="shared" si="5"/>
        <v>39316.449999999997</v>
      </c>
      <c r="D49" s="139"/>
      <c r="E49" s="139"/>
      <c r="F49" s="139"/>
      <c r="G49" s="139"/>
      <c r="H49" s="139"/>
      <c r="I49" s="139"/>
      <c r="J49" s="139"/>
      <c r="K49" s="139"/>
      <c r="L49" s="139">
        <v>3014.39</v>
      </c>
      <c r="M49" s="139">
        <v>13389.04</v>
      </c>
      <c r="N49" s="139">
        <v>22913.02</v>
      </c>
      <c r="O49" s="139"/>
    </row>
    <row r="50" spans="1:15" ht="10.5" customHeight="1" x14ac:dyDescent="0.15">
      <c r="A50" s="40" t="s">
        <v>813</v>
      </c>
      <c r="B50" s="40"/>
      <c r="C50" s="72">
        <f t="shared" si="5"/>
        <v>11678.33</v>
      </c>
      <c r="D50" s="139"/>
      <c r="E50" s="139"/>
      <c r="F50" s="139"/>
      <c r="G50" s="139"/>
      <c r="H50" s="139"/>
      <c r="I50" s="139"/>
      <c r="J50" s="139"/>
      <c r="K50" s="139"/>
      <c r="L50" s="139">
        <v>650.94000000000005</v>
      </c>
      <c r="M50" s="139"/>
      <c r="N50" s="139">
        <v>11027.39</v>
      </c>
      <c r="O50" s="139"/>
    </row>
    <row r="51" spans="1:15" ht="10.5" customHeight="1" x14ac:dyDescent="0.15">
      <c r="A51" s="40" t="s">
        <v>833</v>
      </c>
      <c r="B51" s="40"/>
      <c r="C51" s="72">
        <f t="shared" si="5"/>
        <v>430.32</v>
      </c>
      <c r="D51" s="139"/>
      <c r="E51" s="139"/>
      <c r="F51" s="139"/>
      <c r="G51" s="139"/>
      <c r="H51" s="139"/>
      <c r="I51" s="139"/>
      <c r="J51" s="139"/>
      <c r="K51" s="139"/>
      <c r="L51" s="139">
        <v>430.32</v>
      </c>
      <c r="M51" s="139"/>
      <c r="N51" s="139"/>
      <c r="O51" s="139"/>
    </row>
    <row r="52" spans="1:15" ht="10.5" customHeight="1" x14ac:dyDescent="0.15">
      <c r="A52" s="40" t="s">
        <v>816</v>
      </c>
      <c r="B52" s="40"/>
      <c r="C52" s="86">
        <f t="shared" si="5"/>
        <v>29362.48</v>
      </c>
      <c r="D52" s="42"/>
      <c r="E52" s="42"/>
      <c r="F52" s="42"/>
      <c r="G52" s="42"/>
      <c r="H52" s="42"/>
      <c r="I52" s="42"/>
      <c r="J52" s="42"/>
      <c r="K52" s="42"/>
      <c r="L52" s="42">
        <v>10523.82</v>
      </c>
      <c r="M52" s="42">
        <v>5264.82</v>
      </c>
      <c r="N52" s="42">
        <v>8404.2000000000007</v>
      </c>
      <c r="O52" s="42">
        <v>5169.6400000000003</v>
      </c>
    </row>
    <row r="53" spans="1:15" ht="10.5" customHeight="1" x14ac:dyDescent="0.15">
      <c r="A53" s="40" t="s">
        <v>817</v>
      </c>
      <c r="B53" s="40"/>
      <c r="C53" s="41">
        <f t="shared" si="5"/>
        <v>0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15" ht="10.5" customHeight="1" x14ac:dyDescent="0.15">
      <c r="A54" s="40" t="s">
        <v>819</v>
      </c>
      <c r="B54" s="40"/>
      <c r="C54" s="99">
        <f t="shared" si="5"/>
        <v>-11397.510000000002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>
        <v>-42216.76</v>
      </c>
      <c r="O54" s="42">
        <v>30819.25</v>
      </c>
    </row>
    <row r="55" spans="1:15" ht="10.5" customHeight="1" x14ac:dyDescent="0.15">
      <c r="A55" s="40" t="s">
        <v>820</v>
      </c>
      <c r="B55" s="40"/>
      <c r="C55" s="99">
        <f t="shared" si="5"/>
        <v>10690.2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>
        <v>10690.2</v>
      </c>
    </row>
    <row r="56" spans="1:15" ht="10.5" customHeight="1" x14ac:dyDescent="0.15">
      <c r="A56" s="40" t="s">
        <v>103</v>
      </c>
      <c r="B56" s="40"/>
      <c r="C56" s="99">
        <f t="shared" si="5"/>
        <v>71583.149999999994</v>
      </c>
      <c r="D56" s="42"/>
      <c r="E56" s="42"/>
      <c r="F56" s="42"/>
      <c r="G56" s="42"/>
      <c r="H56" s="42"/>
      <c r="I56" s="42"/>
      <c r="J56" s="42"/>
      <c r="K56" s="42"/>
      <c r="L56" s="42">
        <v>71583.149999999994</v>
      </c>
      <c r="M56" s="42"/>
      <c r="N56" s="42"/>
      <c r="O56" s="42"/>
    </row>
    <row r="57" spans="1:15" ht="10.5" customHeight="1" x14ac:dyDescent="0.15">
      <c r="A57" s="40" t="s">
        <v>821</v>
      </c>
      <c r="B57" s="40"/>
      <c r="C57" s="41">
        <f t="shared" si="5"/>
        <v>0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</row>
    <row r="58" spans="1:15" ht="10.5" customHeight="1" x14ac:dyDescent="0.15">
      <c r="A58" s="40" t="s">
        <v>822</v>
      </c>
      <c r="B58" s="40"/>
      <c r="C58" s="94">
        <f t="shared" si="5"/>
        <v>1351.28</v>
      </c>
      <c r="D58" s="42"/>
      <c r="E58" s="42"/>
      <c r="F58" s="42"/>
      <c r="G58" s="42"/>
      <c r="H58" s="42"/>
      <c r="I58" s="42"/>
      <c r="J58" s="42"/>
      <c r="K58" s="42"/>
      <c r="L58" s="42">
        <v>366.14</v>
      </c>
      <c r="M58" s="42">
        <v>328.38</v>
      </c>
      <c r="N58" s="42">
        <v>328.38</v>
      </c>
      <c r="O58" s="42">
        <v>328.38</v>
      </c>
    </row>
    <row r="59" spans="1:15" ht="10.5" customHeight="1" x14ac:dyDescent="0.15">
      <c r="A59" s="40" t="s">
        <v>129</v>
      </c>
      <c r="B59" s="40"/>
      <c r="C59" s="80">
        <f t="shared" si="5"/>
        <v>239.46</v>
      </c>
      <c r="D59" s="42"/>
      <c r="E59" s="42"/>
      <c r="F59" s="42"/>
      <c r="G59" s="42"/>
      <c r="H59" s="42"/>
      <c r="I59" s="42"/>
      <c r="J59" s="42"/>
      <c r="K59" s="42"/>
      <c r="L59" s="42"/>
      <c r="M59" s="42">
        <v>39.47</v>
      </c>
      <c r="N59" s="42"/>
      <c r="O59" s="42">
        <v>199.99</v>
      </c>
    </row>
    <row r="60" spans="1:15" ht="10.5" customHeight="1" x14ac:dyDescent="0.15">
      <c r="A60" s="40" t="s">
        <v>823</v>
      </c>
      <c r="B60" s="40"/>
      <c r="C60" s="102">
        <f t="shared" si="5"/>
        <v>0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>
        <v>0</v>
      </c>
      <c r="O60" s="42">
        <v>0</v>
      </c>
    </row>
    <row r="61" spans="1:15" ht="10.5" customHeight="1" x14ac:dyDescent="0.15">
      <c r="A61" s="40" t="s">
        <v>824</v>
      </c>
      <c r="B61" s="40"/>
      <c r="C61" s="102">
        <f t="shared" si="5"/>
        <v>2400</v>
      </c>
      <c r="D61" s="42"/>
      <c r="E61" s="42"/>
      <c r="F61" s="42"/>
      <c r="G61" s="42"/>
      <c r="H61" s="42"/>
      <c r="I61" s="42"/>
      <c r="J61" s="42"/>
      <c r="K61" s="42"/>
      <c r="L61" s="42">
        <v>600</v>
      </c>
      <c r="M61" s="42">
        <v>600</v>
      </c>
      <c r="N61" s="42">
        <v>600</v>
      </c>
      <c r="O61" s="42">
        <v>600</v>
      </c>
    </row>
    <row r="62" spans="1:15" ht="10.5" customHeight="1" x14ac:dyDescent="0.15">
      <c r="A62" s="40" t="s">
        <v>130</v>
      </c>
      <c r="B62" s="40"/>
      <c r="C62" s="82">
        <f t="shared" si="5"/>
        <v>43879.43</v>
      </c>
      <c r="D62" s="42"/>
      <c r="E62" s="42"/>
      <c r="F62" s="42"/>
      <c r="G62" s="42"/>
      <c r="H62" s="42"/>
      <c r="I62" s="42"/>
      <c r="J62" s="42"/>
      <c r="K62" s="42"/>
      <c r="L62" s="42"/>
      <c r="M62" s="42">
        <v>8832.24</v>
      </c>
      <c r="N62" s="42">
        <v>-4301.84</v>
      </c>
      <c r="O62" s="42">
        <v>39349.03</v>
      </c>
    </row>
    <row r="63" spans="1:15" ht="10.5" customHeight="1" x14ac:dyDescent="0.15">
      <c r="A63" s="43" t="s">
        <v>269</v>
      </c>
      <c r="B63" s="43"/>
      <c r="C63" s="44">
        <f t="shared" ref="C63:O63" si="6">SUM(C33:C62)</f>
        <v>2215845.1799999997</v>
      </c>
      <c r="D63" s="44">
        <f t="shared" si="6"/>
        <v>0</v>
      </c>
      <c r="E63" s="44">
        <f t="shared" si="6"/>
        <v>0</v>
      </c>
      <c r="F63" s="44">
        <f t="shared" si="6"/>
        <v>0</v>
      </c>
      <c r="G63" s="44">
        <f t="shared" si="6"/>
        <v>0</v>
      </c>
      <c r="H63" s="44">
        <f t="shared" si="6"/>
        <v>0</v>
      </c>
      <c r="I63" s="44">
        <f t="shared" si="6"/>
        <v>0</v>
      </c>
      <c r="J63" s="44">
        <f t="shared" si="6"/>
        <v>0</v>
      </c>
      <c r="K63" s="44">
        <f t="shared" si="6"/>
        <v>0</v>
      </c>
      <c r="L63" s="44">
        <f t="shared" si="6"/>
        <v>156744.28</v>
      </c>
      <c r="M63" s="44">
        <f t="shared" si="6"/>
        <v>433805.41999999993</v>
      </c>
      <c r="N63" s="44">
        <f t="shared" si="6"/>
        <v>789007.16</v>
      </c>
      <c r="O63" s="44">
        <f t="shared" si="6"/>
        <v>836288.32000000007</v>
      </c>
    </row>
    <row r="64" spans="1:15" ht="13.25" customHeight="1" x14ac:dyDescent="0.15"/>
    <row r="65" spans="1:15" ht="10.5" customHeight="1" x14ac:dyDescent="0.15">
      <c r="A65" s="46" t="s">
        <v>270</v>
      </c>
      <c r="B65" s="46"/>
      <c r="C65" s="47">
        <f t="shared" ref="C65:O65" si="7">((C26 + C30) - C63)</f>
        <v>1140006.2700000009</v>
      </c>
      <c r="D65" s="47">
        <f t="shared" si="7"/>
        <v>0</v>
      </c>
      <c r="E65" s="47">
        <f t="shared" si="7"/>
        <v>0</v>
      </c>
      <c r="F65" s="47">
        <f t="shared" si="7"/>
        <v>0</v>
      </c>
      <c r="G65" s="47">
        <f t="shared" si="7"/>
        <v>0</v>
      </c>
      <c r="H65" s="47">
        <f t="shared" si="7"/>
        <v>0</v>
      </c>
      <c r="I65" s="47">
        <f t="shared" si="7"/>
        <v>0</v>
      </c>
      <c r="J65" s="47">
        <f t="shared" si="7"/>
        <v>0</v>
      </c>
      <c r="K65" s="47">
        <f t="shared" si="7"/>
        <v>0</v>
      </c>
      <c r="L65" s="47">
        <f t="shared" si="7"/>
        <v>237157.79</v>
      </c>
      <c r="M65" s="47">
        <f t="shared" si="7"/>
        <v>766071.49000000022</v>
      </c>
      <c r="N65" s="47">
        <f t="shared" si="7"/>
        <v>-391942.52</v>
      </c>
      <c r="O65" s="47">
        <f t="shared" si="7"/>
        <v>528719.51000000024</v>
      </c>
    </row>
  </sheetData>
  <mergeCells count="7">
    <mergeCell ref="A32:O32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9"/>
  <sheetViews>
    <sheetView showGridLines="0" topLeftCell="A45" zoomScaleNormal="100" workbookViewId="0">
      <selection activeCell="D70" activeCellId="1" sqref="D72 D70"/>
    </sheetView>
  </sheetViews>
  <sheetFormatPr baseColWidth="10" defaultColWidth="8.83203125" defaultRowHeight="12" x14ac:dyDescent="0.15"/>
  <cols>
    <col min="1" max="1" width="14.1640625" style="60" customWidth="1"/>
    <col min="2" max="2" width="34.83203125" style="60" customWidth="1"/>
    <col min="3" max="3" width="15.6640625" style="60" customWidth="1"/>
    <col min="4" max="4" width="18.83203125" style="60" customWidth="1"/>
    <col min="5" max="5" width="19.6640625" style="60" customWidth="1"/>
    <col min="6" max="6" width="14.1640625" style="60" bestFit="1" customWidth="1"/>
    <col min="7" max="9" width="8.83203125" style="60" customWidth="1"/>
    <col min="10" max="16384" width="8.83203125" style="60"/>
  </cols>
  <sheetData>
    <row r="1" spans="1:6" s="58" customFormat="1" ht="18" customHeight="1" x14ac:dyDescent="0.2">
      <c r="A1" s="172" t="s">
        <v>837</v>
      </c>
      <c r="B1" s="173"/>
      <c r="C1" s="173"/>
      <c r="D1" s="173"/>
      <c r="E1" s="173"/>
      <c r="F1" s="173"/>
    </row>
    <row r="2" spans="1:6" s="59" customFormat="1" ht="15.5" customHeight="1" x14ac:dyDescent="0.2">
      <c r="A2" s="174" t="s">
        <v>783</v>
      </c>
      <c r="B2" s="175"/>
      <c r="C2" s="175"/>
      <c r="D2" s="175"/>
      <c r="E2" s="175"/>
      <c r="F2" s="175"/>
    </row>
    <row r="3" spans="1:6" s="59" customFormat="1" ht="15.5" customHeight="1" x14ac:dyDescent="0.2">
      <c r="A3" s="174" t="s">
        <v>838</v>
      </c>
      <c r="B3" s="175"/>
      <c r="C3" s="175"/>
      <c r="D3" s="175"/>
      <c r="E3" s="175"/>
      <c r="F3" s="175"/>
    </row>
    <row r="4" spans="1:6" ht="13.25" customHeight="1" x14ac:dyDescent="0.15"/>
    <row r="5" spans="1:6" s="63" customFormat="1" ht="13" customHeight="1" x14ac:dyDescent="0.15">
      <c r="A5" s="61" t="s">
        <v>839</v>
      </c>
      <c r="B5" s="61" t="s">
        <v>136</v>
      </c>
      <c r="C5" s="61" t="s">
        <v>840</v>
      </c>
      <c r="D5" s="62" t="s">
        <v>841</v>
      </c>
      <c r="E5" s="62" t="s">
        <v>842</v>
      </c>
      <c r="F5" s="62" t="s">
        <v>843</v>
      </c>
    </row>
    <row r="6" spans="1:6" ht="11.75" customHeight="1" x14ac:dyDescent="0.15">
      <c r="A6" s="64" t="s">
        <v>844</v>
      </c>
      <c r="B6" s="64" t="s">
        <v>845</v>
      </c>
      <c r="C6" s="64" t="s">
        <v>786</v>
      </c>
      <c r="D6" s="64"/>
      <c r="E6" s="65">
        <v>24357478.27</v>
      </c>
      <c r="F6" s="65">
        <v>-36420086.969999999</v>
      </c>
    </row>
    <row r="7" spans="1:6" ht="11.75" customHeight="1" x14ac:dyDescent="0.15">
      <c r="A7" s="66" t="s">
        <v>846</v>
      </c>
      <c r="B7" s="66" t="s">
        <v>787</v>
      </c>
      <c r="C7" s="66" t="s">
        <v>786</v>
      </c>
      <c r="D7" s="66"/>
      <c r="E7" s="67">
        <v>94646.91</v>
      </c>
      <c r="F7" s="67">
        <v>-112833.33</v>
      </c>
    </row>
    <row r="8" spans="1:6" ht="11.75" customHeight="1" x14ac:dyDescent="0.15">
      <c r="A8" s="66" t="s">
        <v>847</v>
      </c>
      <c r="B8" s="66" t="s">
        <v>798</v>
      </c>
      <c r="C8" s="66" t="s">
        <v>196</v>
      </c>
      <c r="D8" s="66"/>
      <c r="E8" s="67">
        <v>553041.54</v>
      </c>
      <c r="F8" s="67">
        <v>-579372.32999999996</v>
      </c>
    </row>
    <row r="9" spans="1:6" ht="11.75" customHeight="1" x14ac:dyDescent="0.15">
      <c r="A9" s="66" t="s">
        <v>848</v>
      </c>
      <c r="B9" s="66" t="s">
        <v>790</v>
      </c>
      <c r="C9" s="66" t="s">
        <v>849</v>
      </c>
      <c r="D9" s="67">
        <v>0</v>
      </c>
      <c r="E9" s="66"/>
      <c r="F9" s="67">
        <v>86956.52</v>
      </c>
    </row>
    <row r="10" spans="1:6" ht="11.75" customHeight="1" x14ac:dyDescent="0.15">
      <c r="A10" s="66" t="s">
        <v>850</v>
      </c>
      <c r="B10" s="66" t="s">
        <v>797</v>
      </c>
      <c r="C10" s="66" t="s">
        <v>849</v>
      </c>
      <c r="D10" s="67">
        <v>559359.05000000005</v>
      </c>
      <c r="E10" s="66"/>
      <c r="F10" s="67">
        <v>924384.58</v>
      </c>
    </row>
    <row r="11" spans="1:6" ht="11.75" customHeight="1" x14ac:dyDescent="0.15">
      <c r="A11" s="66" t="s">
        <v>851</v>
      </c>
      <c r="B11" s="66" t="s">
        <v>852</v>
      </c>
      <c r="C11" s="66" t="s">
        <v>849</v>
      </c>
      <c r="D11" s="67">
        <v>0</v>
      </c>
      <c r="E11" s="66"/>
      <c r="F11" s="67">
        <v>15988</v>
      </c>
    </row>
    <row r="12" spans="1:6" ht="11.75" customHeight="1" x14ac:dyDescent="0.15">
      <c r="A12" s="66" t="s">
        <v>853</v>
      </c>
      <c r="B12" s="66" t="s">
        <v>792</v>
      </c>
      <c r="C12" s="66" t="s">
        <v>849</v>
      </c>
      <c r="D12" s="67">
        <v>18160.919999999998</v>
      </c>
      <c r="E12" s="66"/>
      <c r="F12" s="67">
        <v>9738.91</v>
      </c>
    </row>
    <row r="13" spans="1:6" ht="11.75" customHeight="1" x14ac:dyDescent="0.15">
      <c r="A13" s="66" t="s">
        <v>854</v>
      </c>
      <c r="B13" s="66" t="s">
        <v>795</v>
      </c>
      <c r="C13" s="66" t="s">
        <v>849</v>
      </c>
      <c r="D13" s="67">
        <v>171178.44</v>
      </c>
      <c r="E13" s="66"/>
      <c r="F13" s="67">
        <v>280478.40000000002</v>
      </c>
    </row>
    <row r="14" spans="1:6" ht="11.75" customHeight="1" x14ac:dyDescent="0.15">
      <c r="A14" s="66" t="s">
        <v>855</v>
      </c>
      <c r="B14" s="66" t="s">
        <v>856</v>
      </c>
      <c r="C14" s="66" t="s">
        <v>849</v>
      </c>
      <c r="D14" s="67">
        <v>1156878.26</v>
      </c>
      <c r="E14" s="66"/>
      <c r="F14" s="67">
        <v>1822091.28</v>
      </c>
    </row>
    <row r="15" spans="1:6" ht="11.75" customHeight="1" x14ac:dyDescent="0.15">
      <c r="A15" s="66" t="s">
        <v>857</v>
      </c>
      <c r="B15" s="66" t="s">
        <v>794</v>
      </c>
      <c r="C15" s="66" t="s">
        <v>849</v>
      </c>
      <c r="D15" s="67">
        <v>0</v>
      </c>
      <c r="E15" s="66"/>
      <c r="F15" s="67">
        <v>28465.91</v>
      </c>
    </row>
    <row r="16" spans="1:6" ht="11.75" customHeight="1" x14ac:dyDescent="0.15">
      <c r="A16" s="66" t="s">
        <v>858</v>
      </c>
      <c r="B16" s="66" t="s">
        <v>827</v>
      </c>
      <c r="C16" s="66" t="s">
        <v>849</v>
      </c>
      <c r="D16" s="67">
        <v>250</v>
      </c>
      <c r="E16" s="66"/>
      <c r="F16" s="67">
        <v>0</v>
      </c>
    </row>
    <row r="17" spans="1:6" ht="11.75" customHeight="1" x14ac:dyDescent="0.15">
      <c r="A17" s="66" t="s">
        <v>859</v>
      </c>
      <c r="B17" s="66" t="s">
        <v>860</v>
      </c>
      <c r="C17" s="66" t="s">
        <v>861</v>
      </c>
      <c r="D17" s="67">
        <v>0</v>
      </c>
      <c r="E17" s="66"/>
      <c r="F17" s="67">
        <v>150</v>
      </c>
    </row>
    <row r="18" spans="1:6" ht="11.75" customHeight="1" x14ac:dyDescent="0.15">
      <c r="A18" s="66" t="s">
        <v>862</v>
      </c>
      <c r="B18" s="66" t="s">
        <v>213</v>
      </c>
      <c r="C18" s="66" t="s">
        <v>861</v>
      </c>
      <c r="D18" s="67">
        <v>98086.79</v>
      </c>
      <c r="E18" s="66"/>
      <c r="F18" s="67">
        <v>114416.12</v>
      </c>
    </row>
    <row r="19" spans="1:6" ht="11.75" customHeight="1" x14ac:dyDescent="0.15">
      <c r="A19" s="66" t="s">
        <v>863</v>
      </c>
      <c r="B19" s="66" t="s">
        <v>801</v>
      </c>
      <c r="C19" s="66" t="s">
        <v>861</v>
      </c>
      <c r="D19" s="67">
        <v>12480</v>
      </c>
      <c r="E19" s="66"/>
      <c r="F19" s="67">
        <v>138672</v>
      </c>
    </row>
    <row r="20" spans="1:6" ht="11.75" customHeight="1" x14ac:dyDescent="0.15">
      <c r="A20" s="66" t="s">
        <v>864</v>
      </c>
      <c r="B20" s="66" t="s">
        <v>214</v>
      </c>
      <c r="C20" s="66" t="s">
        <v>861</v>
      </c>
      <c r="D20" s="67">
        <v>1406.56</v>
      </c>
      <c r="E20" s="66"/>
      <c r="F20" s="67">
        <v>7163.96</v>
      </c>
    </row>
    <row r="21" spans="1:6" ht="11.75" customHeight="1" x14ac:dyDescent="0.15">
      <c r="A21" s="66" t="s">
        <v>865</v>
      </c>
      <c r="B21" s="66" t="s">
        <v>222</v>
      </c>
      <c r="C21" s="66" t="s">
        <v>861</v>
      </c>
      <c r="D21" s="67">
        <v>329184.57</v>
      </c>
      <c r="E21" s="66"/>
      <c r="F21" s="67">
        <v>1040907.54</v>
      </c>
    </row>
    <row r="22" spans="1:6" ht="11.75" customHeight="1" x14ac:dyDescent="0.15">
      <c r="A22" s="66" t="s">
        <v>866</v>
      </c>
      <c r="B22" s="66" t="s">
        <v>805</v>
      </c>
      <c r="C22" s="66" t="s">
        <v>861</v>
      </c>
      <c r="D22" s="67">
        <v>8000</v>
      </c>
      <c r="E22" s="66"/>
      <c r="F22" s="67">
        <v>76000</v>
      </c>
    </row>
    <row r="23" spans="1:6" ht="11.75" customHeight="1" x14ac:dyDescent="0.15">
      <c r="A23" s="66" t="s">
        <v>867</v>
      </c>
      <c r="B23" s="66" t="s">
        <v>868</v>
      </c>
      <c r="C23" s="66" t="s">
        <v>861</v>
      </c>
      <c r="D23" s="67">
        <v>11263.46</v>
      </c>
      <c r="E23" s="66"/>
      <c r="F23" s="67">
        <v>31830.7</v>
      </c>
    </row>
    <row r="24" spans="1:6" ht="11.75" customHeight="1" x14ac:dyDescent="0.15">
      <c r="A24" s="66" t="s">
        <v>869</v>
      </c>
      <c r="B24" s="66" t="s">
        <v>870</v>
      </c>
      <c r="C24" s="66" t="s">
        <v>861</v>
      </c>
      <c r="D24" s="67">
        <v>43879.43</v>
      </c>
      <c r="E24" s="66"/>
      <c r="F24" s="67">
        <v>77630.740000000005</v>
      </c>
    </row>
    <row r="25" spans="1:6" ht="11.75" customHeight="1" x14ac:dyDescent="0.15">
      <c r="A25" s="66" t="s">
        <v>871</v>
      </c>
      <c r="B25" s="66" t="s">
        <v>872</v>
      </c>
      <c r="C25" s="66" t="s">
        <v>861</v>
      </c>
      <c r="D25" s="67">
        <v>10690.2</v>
      </c>
      <c r="E25" s="66"/>
      <c r="F25" s="67">
        <v>10690.2</v>
      </c>
    </row>
    <row r="26" spans="1:6" ht="11.75" customHeight="1" x14ac:dyDescent="0.15">
      <c r="A26" s="66" t="s">
        <v>873</v>
      </c>
      <c r="B26" s="66" t="s">
        <v>231</v>
      </c>
      <c r="C26" s="66" t="s">
        <v>861</v>
      </c>
      <c r="D26" s="67">
        <v>39.47</v>
      </c>
      <c r="E26" s="66"/>
      <c r="F26" s="67">
        <v>0</v>
      </c>
    </row>
    <row r="27" spans="1:6" ht="11.75" customHeight="1" x14ac:dyDescent="0.15">
      <c r="A27" s="66" t="s">
        <v>874</v>
      </c>
      <c r="B27" s="66" t="s">
        <v>875</v>
      </c>
      <c r="C27" s="66" t="s">
        <v>861</v>
      </c>
      <c r="D27" s="67">
        <v>199.99</v>
      </c>
      <c r="E27" s="66"/>
      <c r="F27" s="67">
        <v>0</v>
      </c>
    </row>
    <row r="28" spans="1:6" ht="11.75" customHeight="1" x14ac:dyDescent="0.15">
      <c r="A28" s="66" t="s">
        <v>876</v>
      </c>
      <c r="B28" s="66" t="s">
        <v>122</v>
      </c>
      <c r="C28" s="66" t="s">
        <v>861</v>
      </c>
      <c r="D28" s="67">
        <v>16174.23</v>
      </c>
      <c r="E28" s="66"/>
      <c r="F28" s="67">
        <v>26429.33</v>
      </c>
    </row>
    <row r="29" spans="1:6" ht="11.75" customHeight="1" x14ac:dyDescent="0.15">
      <c r="A29" s="66" t="s">
        <v>877</v>
      </c>
      <c r="B29" s="66" t="s">
        <v>123</v>
      </c>
      <c r="C29" s="66" t="s">
        <v>861</v>
      </c>
      <c r="D29" s="66"/>
      <c r="E29" s="67">
        <v>533.79999999999995</v>
      </c>
      <c r="F29" s="67">
        <v>588.44000000000005</v>
      </c>
    </row>
    <row r="30" spans="1:6" ht="11.75" customHeight="1" x14ac:dyDescent="0.15">
      <c r="A30" s="66" t="s">
        <v>878</v>
      </c>
      <c r="B30" s="66" t="s">
        <v>810</v>
      </c>
      <c r="C30" s="66" t="s">
        <v>861</v>
      </c>
      <c r="D30" s="67">
        <v>130525.68</v>
      </c>
      <c r="E30" s="66"/>
      <c r="F30" s="67">
        <v>506456.8</v>
      </c>
    </row>
    <row r="31" spans="1:6" ht="11.75" customHeight="1" x14ac:dyDescent="0.15">
      <c r="A31" s="66" t="s">
        <v>879</v>
      </c>
      <c r="B31" s="66" t="s">
        <v>811</v>
      </c>
      <c r="C31" s="66" t="s">
        <v>861</v>
      </c>
      <c r="D31" s="67">
        <v>56380.83</v>
      </c>
      <c r="E31" s="66"/>
      <c r="F31" s="67">
        <v>50842.47</v>
      </c>
    </row>
    <row r="32" spans="1:6" ht="11.75" customHeight="1" x14ac:dyDescent="0.15">
      <c r="A32" s="66" t="s">
        <v>880</v>
      </c>
      <c r="B32" s="66" t="s">
        <v>812</v>
      </c>
      <c r="C32" s="66" t="s">
        <v>861</v>
      </c>
      <c r="D32" s="67">
        <v>36302.06</v>
      </c>
      <c r="E32" s="66"/>
      <c r="F32" s="67">
        <v>14865.42</v>
      </c>
    </row>
    <row r="33" spans="1:6" ht="11.75" customHeight="1" x14ac:dyDescent="0.15">
      <c r="A33" s="66" t="s">
        <v>881</v>
      </c>
      <c r="B33" s="66" t="s">
        <v>882</v>
      </c>
      <c r="C33" s="66" t="s">
        <v>861</v>
      </c>
      <c r="D33" s="67">
        <v>11027.39</v>
      </c>
      <c r="E33" s="66"/>
      <c r="F33" s="67">
        <v>2742.46</v>
      </c>
    </row>
    <row r="34" spans="1:6" ht="11.75" customHeight="1" x14ac:dyDescent="0.15">
      <c r="A34" s="66" t="s">
        <v>883</v>
      </c>
      <c r="B34" s="66" t="s">
        <v>833</v>
      </c>
      <c r="C34" s="66" t="s">
        <v>861</v>
      </c>
      <c r="D34" s="67">
        <v>0</v>
      </c>
      <c r="E34" s="66"/>
      <c r="F34" s="67">
        <v>48.99</v>
      </c>
    </row>
    <row r="35" spans="1:6" ht="11.75" customHeight="1" x14ac:dyDescent="0.15">
      <c r="A35" s="66" t="s">
        <v>884</v>
      </c>
      <c r="B35" s="66" t="s">
        <v>815</v>
      </c>
      <c r="C35" s="66" t="s">
        <v>861</v>
      </c>
      <c r="D35" s="67">
        <v>0</v>
      </c>
      <c r="E35" s="66"/>
      <c r="F35" s="67">
        <v>512.87</v>
      </c>
    </row>
    <row r="36" spans="1:6" ht="11.75" customHeight="1" x14ac:dyDescent="0.15">
      <c r="A36" s="66" t="s">
        <v>885</v>
      </c>
      <c r="B36" s="66" t="s">
        <v>806</v>
      </c>
      <c r="C36" s="66" t="s">
        <v>861</v>
      </c>
      <c r="D36" s="67">
        <v>270264.53999999998</v>
      </c>
      <c r="E36" s="66"/>
      <c r="F36" s="67">
        <v>142876.75</v>
      </c>
    </row>
    <row r="37" spans="1:6" ht="11.75" customHeight="1" x14ac:dyDescent="0.15">
      <c r="A37" s="66" t="s">
        <v>886</v>
      </c>
      <c r="B37" s="66" t="s">
        <v>807</v>
      </c>
      <c r="C37" s="66" t="s">
        <v>861</v>
      </c>
      <c r="D37" s="67">
        <v>306719.18</v>
      </c>
      <c r="E37" s="66"/>
      <c r="F37" s="67">
        <v>1087561.6100000001</v>
      </c>
    </row>
    <row r="38" spans="1:6" ht="11.75" customHeight="1" x14ac:dyDescent="0.15">
      <c r="A38" s="66" t="s">
        <v>887</v>
      </c>
      <c r="B38" s="66" t="s">
        <v>808</v>
      </c>
      <c r="C38" s="66" t="s">
        <v>861</v>
      </c>
      <c r="D38" s="67">
        <v>47503.98</v>
      </c>
      <c r="E38" s="66"/>
      <c r="F38" s="67">
        <v>138082.19</v>
      </c>
    </row>
    <row r="39" spans="1:6" ht="11.75" customHeight="1" x14ac:dyDescent="0.15">
      <c r="A39" s="66" t="s">
        <v>888</v>
      </c>
      <c r="B39" s="66" t="s">
        <v>809</v>
      </c>
      <c r="C39" s="66" t="s">
        <v>861</v>
      </c>
      <c r="D39" s="67">
        <v>2573023.56</v>
      </c>
      <c r="E39" s="66"/>
      <c r="F39" s="67">
        <v>4856672.01</v>
      </c>
    </row>
    <row r="40" spans="1:6" ht="11.75" customHeight="1" x14ac:dyDescent="0.15">
      <c r="A40" s="66" t="s">
        <v>889</v>
      </c>
      <c r="B40" s="66" t="s">
        <v>817</v>
      </c>
      <c r="C40" s="66" t="s">
        <v>861</v>
      </c>
      <c r="D40" s="67">
        <v>0</v>
      </c>
      <c r="E40" s="66"/>
      <c r="F40" s="67">
        <v>400000</v>
      </c>
    </row>
    <row r="41" spans="1:6" ht="11.75" customHeight="1" x14ac:dyDescent="0.15">
      <c r="A41" s="66" t="s">
        <v>890</v>
      </c>
      <c r="B41" s="66" t="s">
        <v>816</v>
      </c>
      <c r="C41" s="66" t="s">
        <v>861</v>
      </c>
      <c r="D41" s="67">
        <v>18838.97</v>
      </c>
      <c r="E41" s="66"/>
      <c r="F41" s="67">
        <v>-44150.59</v>
      </c>
    </row>
    <row r="42" spans="1:6" ht="11.75" customHeight="1" x14ac:dyDescent="0.15">
      <c r="A42" s="66" t="s">
        <v>891</v>
      </c>
      <c r="B42" s="66" t="s">
        <v>819</v>
      </c>
      <c r="C42" s="66" t="s">
        <v>861</v>
      </c>
      <c r="D42" s="66"/>
      <c r="E42" s="67">
        <v>11396.43</v>
      </c>
      <c r="F42" s="67">
        <v>35882.800000000003</v>
      </c>
    </row>
    <row r="43" spans="1:6" ht="11.75" customHeight="1" x14ac:dyDescent="0.15">
      <c r="A43" s="66" t="s">
        <v>892</v>
      </c>
      <c r="B43" s="66" t="s">
        <v>249</v>
      </c>
      <c r="C43" s="66" t="s">
        <v>861</v>
      </c>
      <c r="D43" s="67">
        <v>0</v>
      </c>
      <c r="E43" s="66"/>
      <c r="F43" s="67">
        <v>22719.99</v>
      </c>
    </row>
    <row r="44" spans="1:6" ht="11.75" customHeight="1" x14ac:dyDescent="0.15">
      <c r="A44" s="66" t="s">
        <v>893</v>
      </c>
      <c r="B44" s="66" t="s">
        <v>822</v>
      </c>
      <c r="C44" s="66" t="s">
        <v>861</v>
      </c>
      <c r="D44" s="67">
        <v>985.14</v>
      </c>
      <c r="E44" s="66"/>
      <c r="F44" s="67">
        <v>5577.79</v>
      </c>
    </row>
    <row r="45" spans="1:6" ht="11.75" customHeight="1" x14ac:dyDescent="0.15">
      <c r="A45" s="66" t="s">
        <v>894</v>
      </c>
      <c r="B45" s="66" t="s">
        <v>895</v>
      </c>
      <c r="C45" s="66" t="s">
        <v>861</v>
      </c>
      <c r="D45" s="67">
        <v>0</v>
      </c>
      <c r="E45" s="66"/>
      <c r="F45" s="67">
        <v>100.26</v>
      </c>
    </row>
    <row r="46" spans="1:6" ht="11.75" customHeight="1" x14ac:dyDescent="0.15">
      <c r="A46" s="66" t="s">
        <v>896</v>
      </c>
      <c r="B46" s="66" t="s">
        <v>824</v>
      </c>
      <c r="C46" s="66" t="s">
        <v>861</v>
      </c>
      <c r="D46" s="67">
        <v>1800</v>
      </c>
      <c r="E46" s="66"/>
      <c r="F46" s="67">
        <v>7200</v>
      </c>
    </row>
    <row r="47" spans="1:6" ht="11.75" customHeight="1" x14ac:dyDescent="0.15">
      <c r="A47" s="66" t="s">
        <v>897</v>
      </c>
      <c r="B47" s="66" t="s">
        <v>898</v>
      </c>
      <c r="C47" s="66" t="s">
        <v>861</v>
      </c>
      <c r="D47" s="67">
        <v>0</v>
      </c>
      <c r="E47" s="66"/>
      <c r="F47" s="67">
        <v>788.43</v>
      </c>
    </row>
    <row r="48" spans="1:6" ht="11.75" customHeight="1" x14ac:dyDescent="0.15">
      <c r="A48" s="66" t="s">
        <v>899</v>
      </c>
      <c r="B48" s="66" t="s">
        <v>900</v>
      </c>
      <c r="C48" s="66" t="s">
        <v>901</v>
      </c>
      <c r="D48" s="67">
        <v>17562360.850000001</v>
      </c>
      <c r="E48" s="66"/>
      <c r="F48" s="67">
        <v>17562360.850000001</v>
      </c>
    </row>
    <row r="49" spans="1:6" ht="11.75" customHeight="1" x14ac:dyDescent="0.15">
      <c r="A49" s="66" t="s">
        <v>727</v>
      </c>
      <c r="B49" s="66" t="s">
        <v>728</v>
      </c>
      <c r="C49" s="66" t="s">
        <v>901</v>
      </c>
      <c r="D49" s="73">
        <v>874505.75</v>
      </c>
      <c r="E49" s="66"/>
      <c r="F49" s="67">
        <v>874505.75</v>
      </c>
    </row>
    <row r="50" spans="1:6" ht="11.75" customHeight="1" x14ac:dyDescent="0.15">
      <c r="A50" s="66" t="s">
        <v>729</v>
      </c>
      <c r="B50" s="66" t="s">
        <v>730</v>
      </c>
      <c r="C50" s="66" t="s">
        <v>901</v>
      </c>
      <c r="D50" s="73">
        <v>26200000</v>
      </c>
      <c r="E50" s="66"/>
      <c r="F50" s="67">
        <v>26200000</v>
      </c>
    </row>
    <row r="51" spans="1:6" ht="11.75" customHeight="1" x14ac:dyDescent="0.15">
      <c r="A51" s="66" t="s">
        <v>731</v>
      </c>
      <c r="B51" s="66" t="s">
        <v>732</v>
      </c>
      <c r="C51" s="66" t="s">
        <v>901</v>
      </c>
      <c r="D51" s="73">
        <v>68427</v>
      </c>
      <c r="E51" s="66"/>
      <c r="F51" s="67">
        <v>68427</v>
      </c>
    </row>
    <row r="52" spans="1:6" ht="11.75" customHeight="1" x14ac:dyDescent="0.15">
      <c r="A52" s="66" t="s">
        <v>733</v>
      </c>
      <c r="B52" s="66" t="s">
        <v>734</v>
      </c>
      <c r="C52" s="66" t="s">
        <v>901</v>
      </c>
      <c r="D52" s="73">
        <v>103812</v>
      </c>
      <c r="E52" s="66"/>
      <c r="F52" s="67">
        <v>103812</v>
      </c>
    </row>
    <row r="53" spans="1:6" ht="11.75" customHeight="1" x14ac:dyDescent="0.15">
      <c r="A53" s="66" t="s">
        <v>735</v>
      </c>
      <c r="B53" s="66" t="s">
        <v>736</v>
      </c>
      <c r="C53" s="66" t="s">
        <v>901</v>
      </c>
      <c r="D53" s="73">
        <v>314087</v>
      </c>
      <c r="E53" s="66"/>
      <c r="F53" s="67">
        <v>314087</v>
      </c>
    </row>
    <row r="54" spans="1:6" ht="11.75" customHeight="1" x14ac:dyDescent="0.15">
      <c r="A54" s="66" t="s">
        <v>737</v>
      </c>
      <c r="B54" s="66" t="s">
        <v>738</v>
      </c>
      <c r="C54" s="66" t="s">
        <v>901</v>
      </c>
      <c r="D54" s="73">
        <v>139500</v>
      </c>
      <c r="E54" s="66"/>
      <c r="F54" s="67">
        <v>136500</v>
      </c>
    </row>
    <row r="55" spans="1:6" ht="11.75" customHeight="1" x14ac:dyDescent="0.15">
      <c r="A55" s="66" t="s">
        <v>739</v>
      </c>
      <c r="B55" s="66" t="s">
        <v>740</v>
      </c>
      <c r="C55" s="66" t="s">
        <v>901</v>
      </c>
      <c r="D55" s="73">
        <v>8557641.8000000007</v>
      </c>
      <c r="E55" s="66"/>
      <c r="F55" s="67">
        <v>8557641.8000000007</v>
      </c>
    </row>
    <row r="56" spans="1:6" ht="11.75" customHeight="1" x14ac:dyDescent="0.15">
      <c r="A56" s="66" t="s">
        <v>741</v>
      </c>
      <c r="B56" s="66" t="s">
        <v>742</v>
      </c>
      <c r="C56" s="66" t="s">
        <v>901</v>
      </c>
      <c r="D56" s="73">
        <v>13807.78</v>
      </c>
      <c r="E56" s="66"/>
      <c r="F56" s="67">
        <v>13807.78</v>
      </c>
    </row>
    <row r="57" spans="1:6" ht="11.75" customHeight="1" x14ac:dyDescent="0.15">
      <c r="A57" s="66" t="s">
        <v>743</v>
      </c>
      <c r="B57" s="66" t="s">
        <v>744</v>
      </c>
      <c r="C57" s="66" t="s">
        <v>901</v>
      </c>
      <c r="D57" s="73">
        <v>197060.09</v>
      </c>
      <c r="E57" s="66"/>
      <c r="F57" s="67">
        <v>193560.09</v>
      </c>
    </row>
    <row r="58" spans="1:6" ht="11.75" customHeight="1" x14ac:dyDescent="0.15">
      <c r="A58" s="66" t="s">
        <v>745</v>
      </c>
      <c r="B58" s="66" t="s">
        <v>746</v>
      </c>
      <c r="C58" s="66" t="s">
        <v>901</v>
      </c>
      <c r="D58" s="73">
        <v>7500</v>
      </c>
      <c r="E58" s="66"/>
      <c r="F58" s="67">
        <v>7500</v>
      </c>
    </row>
    <row r="59" spans="1:6" ht="11.75" customHeight="1" x14ac:dyDescent="0.15">
      <c r="A59" s="66" t="s">
        <v>747</v>
      </c>
      <c r="B59" s="66" t="s">
        <v>748</v>
      </c>
      <c r="C59" s="66" t="s">
        <v>901</v>
      </c>
      <c r="D59" s="73">
        <v>67400</v>
      </c>
      <c r="E59" s="66"/>
      <c r="F59" s="67">
        <v>67400</v>
      </c>
    </row>
    <row r="60" spans="1:6" ht="11.75" customHeight="1" x14ac:dyDescent="0.15">
      <c r="A60" s="66" t="s">
        <v>749</v>
      </c>
      <c r="B60" s="66" t="s">
        <v>750</v>
      </c>
      <c r="C60" s="66" t="s">
        <v>901</v>
      </c>
      <c r="D60" s="73">
        <v>20600</v>
      </c>
      <c r="E60" s="66"/>
      <c r="F60" s="67">
        <v>20600</v>
      </c>
    </row>
    <row r="61" spans="1:6" ht="11.75" customHeight="1" x14ac:dyDescent="0.15">
      <c r="A61" s="66" t="s">
        <v>751</v>
      </c>
      <c r="B61" s="66" t="s">
        <v>752</v>
      </c>
      <c r="C61" s="66" t="s">
        <v>901</v>
      </c>
      <c r="D61" s="73">
        <v>15175</v>
      </c>
      <c r="E61" s="66"/>
      <c r="F61" s="67">
        <v>15175</v>
      </c>
    </row>
    <row r="62" spans="1:6" ht="11.75" customHeight="1" x14ac:dyDescent="0.15">
      <c r="A62" s="66" t="s">
        <v>753</v>
      </c>
      <c r="B62" s="66" t="s">
        <v>754</v>
      </c>
      <c r="C62" s="66" t="s">
        <v>901</v>
      </c>
      <c r="D62" s="73">
        <v>570856.07999999996</v>
      </c>
      <c r="E62" s="66"/>
      <c r="F62" s="67">
        <v>570856.07999999996</v>
      </c>
    </row>
    <row r="63" spans="1:6" ht="11.75" customHeight="1" x14ac:dyDescent="0.15">
      <c r="A63" s="66" t="s">
        <v>771</v>
      </c>
      <c r="B63" s="66" t="s">
        <v>902</v>
      </c>
      <c r="C63" s="66" t="s">
        <v>901</v>
      </c>
      <c r="D63" s="67">
        <v>47748851.509999998</v>
      </c>
      <c r="E63" s="66"/>
      <c r="F63" s="67">
        <v>47748851.509999998</v>
      </c>
    </row>
    <row r="64" spans="1:6" ht="11.75" customHeight="1" x14ac:dyDescent="0.15">
      <c r="A64" s="66" t="s">
        <v>773</v>
      </c>
      <c r="B64" s="66" t="s">
        <v>774</v>
      </c>
      <c r="C64" s="66" t="s">
        <v>901</v>
      </c>
      <c r="D64" s="73">
        <v>3850818.04</v>
      </c>
      <c r="E64" s="66"/>
      <c r="F64" s="67">
        <v>3850818.04</v>
      </c>
    </row>
    <row r="65" spans="1:6" ht="11.75" customHeight="1" x14ac:dyDescent="0.15">
      <c r="A65" s="66" t="s">
        <v>775</v>
      </c>
      <c r="B65" s="66" t="s">
        <v>903</v>
      </c>
      <c r="C65" s="66" t="s">
        <v>901</v>
      </c>
      <c r="D65" s="73">
        <v>782608.07</v>
      </c>
      <c r="E65" s="66"/>
      <c r="F65" s="67">
        <v>782608.07</v>
      </c>
    </row>
    <row r="66" spans="1:6" ht="11.75" customHeight="1" x14ac:dyDescent="0.15">
      <c r="A66" s="66" t="s">
        <v>758</v>
      </c>
      <c r="B66" s="66" t="s">
        <v>759</v>
      </c>
      <c r="C66" s="66" t="s">
        <v>901</v>
      </c>
      <c r="D66" s="73">
        <v>166550</v>
      </c>
      <c r="E66" s="66"/>
      <c r="F66" s="67">
        <v>166550</v>
      </c>
    </row>
    <row r="67" spans="1:6" ht="11.75" customHeight="1" x14ac:dyDescent="0.15">
      <c r="A67" s="66" t="s">
        <v>760</v>
      </c>
      <c r="B67" s="66" t="s">
        <v>761</v>
      </c>
      <c r="C67" s="66" t="s">
        <v>901</v>
      </c>
      <c r="D67" s="73">
        <v>45000</v>
      </c>
      <c r="E67" s="66"/>
      <c r="F67" s="67">
        <v>45000</v>
      </c>
    </row>
    <row r="68" spans="1:6" ht="11.75" customHeight="1" x14ac:dyDescent="0.15">
      <c r="A68" s="66" t="s">
        <v>762</v>
      </c>
      <c r="B68" s="66" t="s">
        <v>763</v>
      </c>
      <c r="C68" s="66" t="s">
        <v>901</v>
      </c>
      <c r="D68" s="73">
        <v>161000</v>
      </c>
      <c r="E68" s="66"/>
      <c r="F68" s="67">
        <v>125000</v>
      </c>
    </row>
    <row r="69" spans="1:6" ht="11.75" customHeight="1" x14ac:dyDescent="0.15">
      <c r="A69" s="66" t="s">
        <v>756</v>
      </c>
      <c r="B69" s="66" t="s">
        <v>764</v>
      </c>
      <c r="C69" s="66" t="s">
        <v>901</v>
      </c>
      <c r="D69" s="73">
        <v>3252759.95</v>
      </c>
      <c r="E69" s="66"/>
      <c r="F69" s="67">
        <v>1021325.63</v>
      </c>
    </row>
    <row r="70" spans="1:6" ht="11.75" customHeight="1" x14ac:dyDescent="0.15">
      <c r="A70" s="66" t="s">
        <v>765</v>
      </c>
      <c r="B70" s="66" t="s">
        <v>766</v>
      </c>
      <c r="C70" s="66" t="s">
        <v>901</v>
      </c>
      <c r="D70" s="73">
        <v>622274.51</v>
      </c>
      <c r="E70" s="66"/>
      <c r="F70" s="67">
        <v>622274.51</v>
      </c>
    </row>
    <row r="71" spans="1:6" ht="11.75" customHeight="1" x14ac:dyDescent="0.15">
      <c r="A71" s="66" t="s">
        <v>767</v>
      </c>
      <c r="B71" s="66" t="s">
        <v>768</v>
      </c>
      <c r="C71" s="66" t="s">
        <v>901</v>
      </c>
      <c r="D71" s="73">
        <v>985049.68</v>
      </c>
      <c r="E71" s="66"/>
      <c r="F71" s="67">
        <v>985049.68</v>
      </c>
    </row>
    <row r="72" spans="1:6" ht="11.75" customHeight="1" x14ac:dyDescent="0.15">
      <c r="A72" s="66" t="s">
        <v>904</v>
      </c>
      <c r="B72" s="66" t="s">
        <v>905</v>
      </c>
      <c r="C72" s="66" t="s">
        <v>901</v>
      </c>
      <c r="D72" s="73">
        <v>2148883.15</v>
      </c>
      <c r="E72" s="66"/>
      <c r="F72" s="67">
        <v>1250000</v>
      </c>
    </row>
    <row r="73" spans="1:6" ht="11.75" customHeight="1" x14ac:dyDescent="0.15">
      <c r="A73" s="66" t="s">
        <v>769</v>
      </c>
      <c r="B73" s="66" t="s">
        <v>770</v>
      </c>
      <c r="C73" s="66" t="s">
        <v>901</v>
      </c>
      <c r="D73" s="73">
        <v>1068455</v>
      </c>
      <c r="E73" s="66"/>
      <c r="F73" s="67">
        <v>0</v>
      </c>
    </row>
    <row r="74" spans="1:6" ht="11.75" customHeight="1" x14ac:dyDescent="0.15">
      <c r="A74" s="66" t="s">
        <v>906</v>
      </c>
      <c r="B74" s="66" t="s">
        <v>907</v>
      </c>
      <c r="C74" s="66" t="s">
        <v>901</v>
      </c>
      <c r="D74" s="67">
        <v>2107262.5</v>
      </c>
      <c r="E74" s="66"/>
      <c r="F74" s="67">
        <v>893038.44</v>
      </c>
    </row>
    <row r="75" spans="1:6" ht="11.75" customHeight="1" x14ac:dyDescent="0.15">
      <c r="A75" s="66" t="s">
        <v>908</v>
      </c>
      <c r="B75" s="66" t="s">
        <v>909</v>
      </c>
      <c r="C75" s="66" t="s">
        <v>910</v>
      </c>
      <c r="D75" s="67">
        <v>182685.59</v>
      </c>
      <c r="E75" s="66"/>
      <c r="F75" s="67">
        <v>1331141.21</v>
      </c>
    </row>
    <row r="76" spans="1:6" ht="11.75" customHeight="1" x14ac:dyDescent="0.15">
      <c r="A76" s="66" t="s">
        <v>911</v>
      </c>
      <c r="B76" s="66" t="s">
        <v>912</v>
      </c>
      <c r="C76" s="66" t="s">
        <v>910</v>
      </c>
      <c r="D76" s="67">
        <v>843.41</v>
      </c>
      <c r="E76" s="66"/>
      <c r="F76" s="67">
        <v>827.72</v>
      </c>
    </row>
    <row r="77" spans="1:6" ht="11.75" customHeight="1" x14ac:dyDescent="0.15">
      <c r="A77" s="66" t="s">
        <v>913</v>
      </c>
      <c r="B77" s="66" t="s">
        <v>914</v>
      </c>
      <c r="C77" s="66" t="s">
        <v>910</v>
      </c>
      <c r="D77" s="67">
        <v>33630554.920000002</v>
      </c>
      <c r="E77" s="66"/>
      <c r="F77" s="67">
        <v>26616286.5</v>
      </c>
    </row>
    <row r="78" spans="1:6" ht="11.75" customHeight="1" x14ac:dyDescent="0.15">
      <c r="A78" s="66" t="s">
        <v>915</v>
      </c>
      <c r="B78" s="66" t="s">
        <v>916</v>
      </c>
      <c r="C78" s="66" t="s">
        <v>917</v>
      </c>
      <c r="D78" s="67">
        <v>30580248.59</v>
      </c>
      <c r="E78" s="66"/>
      <c r="F78" s="67">
        <v>9825248.5899999999</v>
      </c>
    </row>
    <row r="79" spans="1:6" ht="11.75" customHeight="1" x14ac:dyDescent="0.15">
      <c r="A79" s="66" t="s">
        <v>918</v>
      </c>
      <c r="B79" s="66" t="s">
        <v>919</v>
      </c>
      <c r="C79" s="66" t="s">
        <v>917</v>
      </c>
      <c r="D79" s="67">
        <v>3052000</v>
      </c>
      <c r="E79" s="66"/>
      <c r="F79" s="67">
        <v>548000</v>
      </c>
    </row>
    <row r="80" spans="1:6" ht="11.75" customHeight="1" x14ac:dyDescent="0.15">
      <c r="A80" s="66" t="s">
        <v>920</v>
      </c>
      <c r="B80" s="66" t="s">
        <v>921</v>
      </c>
      <c r="C80" s="66" t="s">
        <v>917</v>
      </c>
      <c r="D80" s="67">
        <v>8616975.5899999999</v>
      </c>
      <c r="E80" s="66"/>
      <c r="F80" s="67">
        <v>4692811.33</v>
      </c>
    </row>
    <row r="81" spans="1:6" ht="11.75" customHeight="1" x14ac:dyDescent="0.15">
      <c r="A81" s="66" t="s">
        <v>922</v>
      </c>
      <c r="B81" s="66" t="s">
        <v>923</v>
      </c>
      <c r="C81" s="66" t="s">
        <v>917</v>
      </c>
      <c r="D81" s="67">
        <v>22000</v>
      </c>
      <c r="E81" s="66"/>
      <c r="F81" s="67">
        <v>0</v>
      </c>
    </row>
    <row r="82" spans="1:6" ht="11.75" customHeight="1" x14ac:dyDescent="0.15">
      <c r="A82" s="66" t="s">
        <v>924</v>
      </c>
      <c r="B82" s="66" t="s">
        <v>925</v>
      </c>
      <c r="C82" s="66" t="s">
        <v>917</v>
      </c>
      <c r="D82" s="67">
        <v>500</v>
      </c>
      <c r="E82" s="66"/>
      <c r="F82" s="67">
        <v>500</v>
      </c>
    </row>
    <row r="83" spans="1:6" ht="11.75" customHeight="1" x14ac:dyDescent="0.15">
      <c r="A83" s="66" t="s">
        <v>926</v>
      </c>
      <c r="B83" s="66" t="s">
        <v>927</v>
      </c>
      <c r="C83" s="66" t="s">
        <v>928</v>
      </c>
      <c r="D83" s="67">
        <v>0.08</v>
      </c>
      <c r="E83" s="66"/>
      <c r="F83" s="67">
        <v>0.03</v>
      </c>
    </row>
    <row r="84" spans="1:6" ht="11.75" customHeight="1" x14ac:dyDescent="0.15">
      <c r="A84" s="66" t="s">
        <v>929</v>
      </c>
      <c r="B84" s="66" t="s">
        <v>930</v>
      </c>
      <c r="C84" s="66" t="s">
        <v>928</v>
      </c>
      <c r="D84" s="66"/>
      <c r="E84" s="67">
        <v>125604854.37</v>
      </c>
      <c r="F84" s="67">
        <v>-110271616.11</v>
      </c>
    </row>
    <row r="85" spans="1:6" ht="11.75" customHeight="1" x14ac:dyDescent="0.15">
      <c r="A85" s="66" t="s">
        <v>931</v>
      </c>
      <c r="B85" s="66" t="s">
        <v>932</v>
      </c>
      <c r="C85" s="66" t="s">
        <v>928</v>
      </c>
      <c r="D85" s="66"/>
      <c r="E85" s="67">
        <v>4098526.78</v>
      </c>
      <c r="F85" s="67">
        <v>-2668565.7000000002</v>
      </c>
    </row>
    <row r="86" spans="1:6" ht="11.75" customHeight="1" x14ac:dyDescent="0.15">
      <c r="A86" s="66" t="s">
        <v>933</v>
      </c>
      <c r="B86" s="66" t="s">
        <v>934</v>
      </c>
      <c r="C86" s="66" t="s">
        <v>935</v>
      </c>
      <c r="D86" s="67">
        <v>191481.16</v>
      </c>
      <c r="E86" s="66"/>
      <c r="F86" s="67">
        <v>0</v>
      </c>
    </row>
    <row r="87" spans="1:6" ht="11.75" customHeight="1" x14ac:dyDescent="0.15">
      <c r="A87" s="66" t="s">
        <v>936</v>
      </c>
      <c r="B87" s="66" t="s">
        <v>937</v>
      </c>
      <c r="C87" s="66" t="s">
        <v>938</v>
      </c>
      <c r="D87" s="66"/>
      <c r="E87" s="67">
        <v>100</v>
      </c>
      <c r="F87" s="67">
        <v>-100</v>
      </c>
    </row>
    <row r="88" spans="1:6" ht="11.75" customHeight="1" x14ac:dyDescent="0.15">
      <c r="A88" s="66" t="s">
        <v>939</v>
      </c>
      <c r="B88" s="66" t="s">
        <v>940</v>
      </c>
      <c r="C88" s="66" t="s">
        <v>938</v>
      </c>
      <c r="D88" s="66"/>
      <c r="E88" s="67">
        <v>42271282.799999997</v>
      </c>
      <c r="F88" s="67">
        <v>-17080353.050000001</v>
      </c>
    </row>
    <row r="89" spans="1:6" ht="11.75" customHeight="1" x14ac:dyDescent="0.15">
      <c r="A89" s="68" t="s">
        <v>12</v>
      </c>
      <c r="B89" s="68"/>
      <c r="C89" s="68"/>
      <c r="D89" s="69">
        <f>SUM(D6:D88)</f>
        <v>199820137.80000004</v>
      </c>
      <c r="E89" s="69">
        <f>SUM(E6:E88)</f>
        <v>196991860.89999998</v>
      </c>
      <c r="F89" s="69">
        <f>SUM(F6:F88)</f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4"/>
  <sheetViews>
    <sheetView showGridLines="0" zoomScaleNormal="100" workbookViewId="0">
      <selection activeCell="E45" sqref="E45"/>
    </sheetView>
  </sheetViews>
  <sheetFormatPr baseColWidth="10" defaultColWidth="8.83203125" defaultRowHeight="12" x14ac:dyDescent="0.15"/>
  <cols>
    <col min="1" max="1" width="14.1640625" style="60" customWidth="1"/>
    <col min="2" max="2" width="34.83203125" style="60" customWidth="1"/>
    <col min="3" max="3" width="15.6640625" style="60" customWidth="1"/>
    <col min="4" max="4" width="18.83203125" style="60" customWidth="1"/>
    <col min="5" max="5" width="19.6640625" style="60" customWidth="1"/>
    <col min="6" max="6" width="12.83203125" style="60" customWidth="1"/>
    <col min="7" max="9" width="8.83203125" style="60" customWidth="1"/>
    <col min="10" max="16384" width="8.83203125" style="60"/>
  </cols>
  <sheetData>
    <row r="1" spans="1:6" s="58" customFormat="1" ht="18" customHeight="1" x14ac:dyDescent="0.2">
      <c r="A1" s="172" t="s">
        <v>837</v>
      </c>
      <c r="B1" s="173"/>
      <c r="C1" s="173"/>
      <c r="D1" s="173"/>
      <c r="E1" s="173"/>
      <c r="F1" s="173"/>
    </row>
    <row r="2" spans="1:6" s="59" customFormat="1" ht="15.5" customHeight="1" x14ac:dyDescent="0.2">
      <c r="A2" s="174" t="s">
        <v>783</v>
      </c>
      <c r="B2" s="175"/>
      <c r="C2" s="175"/>
      <c r="D2" s="175"/>
      <c r="E2" s="175"/>
      <c r="F2" s="175"/>
    </row>
    <row r="3" spans="1:6" s="59" customFormat="1" ht="15.5" customHeight="1" x14ac:dyDescent="0.2">
      <c r="A3" s="174" t="s">
        <v>941</v>
      </c>
      <c r="B3" s="175"/>
      <c r="C3" s="175"/>
      <c r="D3" s="175"/>
      <c r="E3" s="175"/>
      <c r="F3" s="175"/>
    </row>
    <row r="4" spans="1:6" ht="13.25" customHeight="1" x14ac:dyDescent="0.15"/>
    <row r="5" spans="1:6" s="63" customFormat="1" ht="13" customHeight="1" x14ac:dyDescent="0.15">
      <c r="A5" s="61" t="s">
        <v>839</v>
      </c>
      <c r="B5" s="61" t="s">
        <v>136</v>
      </c>
      <c r="C5" s="61" t="s">
        <v>840</v>
      </c>
      <c r="D5" s="62" t="s">
        <v>841</v>
      </c>
      <c r="E5" s="62" t="s">
        <v>842</v>
      </c>
      <c r="F5" s="62" t="s">
        <v>942</v>
      </c>
    </row>
    <row r="6" spans="1:6" ht="11.75" customHeight="1" x14ac:dyDescent="0.15">
      <c r="A6" s="64" t="s">
        <v>844</v>
      </c>
      <c r="B6" s="64" t="s">
        <v>845</v>
      </c>
      <c r="C6" s="64" t="s">
        <v>786</v>
      </c>
      <c r="D6" s="64"/>
      <c r="E6" s="65">
        <v>36420086.969999999</v>
      </c>
      <c r="F6" s="65">
        <v>0</v>
      </c>
    </row>
    <row r="7" spans="1:6" ht="11.75" customHeight="1" x14ac:dyDescent="0.15">
      <c r="A7" s="66" t="s">
        <v>846</v>
      </c>
      <c r="B7" s="66" t="s">
        <v>787</v>
      </c>
      <c r="C7" s="66" t="s">
        <v>786</v>
      </c>
      <c r="D7" s="66"/>
      <c r="E7" s="67">
        <v>112833.33</v>
      </c>
      <c r="F7" s="67">
        <v>0</v>
      </c>
    </row>
    <row r="8" spans="1:6" ht="11.75" customHeight="1" x14ac:dyDescent="0.15">
      <c r="A8" s="66" t="s">
        <v>943</v>
      </c>
      <c r="B8" s="66" t="s">
        <v>944</v>
      </c>
      <c r="C8" s="66" t="s">
        <v>196</v>
      </c>
      <c r="D8" s="66"/>
      <c r="E8" s="67">
        <v>0</v>
      </c>
      <c r="F8" s="67">
        <v>-17562360.850000001</v>
      </c>
    </row>
    <row r="9" spans="1:6" ht="11.75" customHeight="1" x14ac:dyDescent="0.15">
      <c r="A9" s="66" t="s">
        <v>945</v>
      </c>
      <c r="B9" s="66" t="s">
        <v>946</v>
      </c>
      <c r="C9" s="66" t="s">
        <v>196</v>
      </c>
      <c r="D9" s="66"/>
      <c r="E9" s="67">
        <v>0</v>
      </c>
      <c r="F9" s="67">
        <v>-1245</v>
      </c>
    </row>
    <row r="10" spans="1:6" ht="11.75" customHeight="1" x14ac:dyDescent="0.15">
      <c r="A10" s="66" t="s">
        <v>947</v>
      </c>
      <c r="B10" s="66" t="s">
        <v>948</v>
      </c>
      <c r="C10" s="66" t="s">
        <v>196</v>
      </c>
      <c r="D10" s="66"/>
      <c r="E10" s="67">
        <v>0</v>
      </c>
      <c r="F10" s="67">
        <v>-149149.4</v>
      </c>
    </row>
    <row r="11" spans="1:6" ht="11.75" customHeight="1" x14ac:dyDescent="0.15">
      <c r="A11" s="66" t="s">
        <v>847</v>
      </c>
      <c r="B11" s="66" t="s">
        <v>798</v>
      </c>
      <c r="C11" s="66" t="s">
        <v>196</v>
      </c>
      <c r="D11" s="66"/>
      <c r="E11" s="67">
        <v>579372.32999999996</v>
      </c>
      <c r="F11" s="67">
        <v>-158992.44</v>
      </c>
    </row>
    <row r="12" spans="1:6" ht="11.75" customHeight="1" x14ac:dyDescent="0.15">
      <c r="A12" s="66" t="s">
        <v>949</v>
      </c>
      <c r="B12" s="66" t="s">
        <v>950</v>
      </c>
      <c r="C12" s="66" t="s">
        <v>849</v>
      </c>
      <c r="D12" s="67">
        <v>0</v>
      </c>
      <c r="E12" s="66"/>
      <c r="F12" s="67">
        <v>9814</v>
      </c>
    </row>
    <row r="13" spans="1:6" ht="11.75" customHeight="1" x14ac:dyDescent="0.15">
      <c r="A13" s="66" t="s">
        <v>848</v>
      </c>
      <c r="B13" s="66" t="s">
        <v>790</v>
      </c>
      <c r="C13" s="66" t="s">
        <v>849</v>
      </c>
      <c r="D13" s="73">
        <v>86956.52</v>
      </c>
      <c r="E13" s="66"/>
      <c r="F13" s="67">
        <v>0</v>
      </c>
    </row>
    <row r="14" spans="1:6" ht="11.75" customHeight="1" x14ac:dyDescent="0.15">
      <c r="A14" s="66" t="s">
        <v>850</v>
      </c>
      <c r="B14" s="66" t="s">
        <v>797</v>
      </c>
      <c r="C14" s="66" t="s">
        <v>849</v>
      </c>
      <c r="D14" s="75">
        <v>924384.58</v>
      </c>
      <c r="E14" s="66"/>
      <c r="F14" s="67">
        <v>0</v>
      </c>
    </row>
    <row r="15" spans="1:6" ht="11.75" customHeight="1" x14ac:dyDescent="0.15">
      <c r="A15" s="66" t="s">
        <v>851</v>
      </c>
      <c r="B15" s="66" t="s">
        <v>852</v>
      </c>
      <c r="C15" s="66" t="s">
        <v>849</v>
      </c>
      <c r="D15" s="75">
        <v>15988</v>
      </c>
      <c r="E15" s="66"/>
      <c r="F15" s="67">
        <v>0</v>
      </c>
    </row>
    <row r="16" spans="1:6" ht="11.75" customHeight="1" x14ac:dyDescent="0.15">
      <c r="A16" s="66" t="s">
        <v>853</v>
      </c>
      <c r="B16" s="66" t="s">
        <v>792</v>
      </c>
      <c r="C16" s="66" t="s">
        <v>849</v>
      </c>
      <c r="D16" s="81">
        <v>9738.91</v>
      </c>
      <c r="E16" s="66"/>
      <c r="F16" s="67">
        <v>0</v>
      </c>
    </row>
    <row r="17" spans="1:6" ht="11.75" customHeight="1" x14ac:dyDescent="0.15">
      <c r="A17" s="66" t="s">
        <v>854</v>
      </c>
      <c r="B17" s="66" t="s">
        <v>795</v>
      </c>
      <c r="C17" s="66" t="s">
        <v>849</v>
      </c>
      <c r="D17" s="77">
        <v>280478.40000000002</v>
      </c>
      <c r="E17" s="66"/>
      <c r="F17" s="67">
        <v>0</v>
      </c>
    </row>
    <row r="18" spans="1:6" ht="11.75" customHeight="1" x14ac:dyDescent="0.15">
      <c r="A18" s="66" t="s">
        <v>855</v>
      </c>
      <c r="B18" s="66" t="s">
        <v>856</v>
      </c>
      <c r="C18" s="66" t="s">
        <v>849</v>
      </c>
      <c r="D18" s="73">
        <v>1822091.28</v>
      </c>
      <c r="E18" s="66"/>
      <c r="F18" s="67">
        <v>0</v>
      </c>
    </row>
    <row r="19" spans="1:6" ht="11.75" customHeight="1" x14ac:dyDescent="0.15">
      <c r="A19" s="66" t="s">
        <v>857</v>
      </c>
      <c r="B19" s="66" t="s">
        <v>794</v>
      </c>
      <c r="C19" s="66" t="s">
        <v>849</v>
      </c>
      <c r="D19" s="79">
        <v>28465.91</v>
      </c>
      <c r="E19" s="66"/>
      <c r="F19" s="67">
        <v>0</v>
      </c>
    </row>
    <row r="20" spans="1:6" ht="11.75" customHeight="1" x14ac:dyDescent="0.15">
      <c r="A20" s="66" t="s">
        <v>859</v>
      </c>
      <c r="B20" s="66" t="s">
        <v>860</v>
      </c>
      <c r="C20" s="66" t="s">
        <v>861</v>
      </c>
      <c r="D20" s="101">
        <v>150</v>
      </c>
      <c r="E20" s="66"/>
      <c r="F20" s="67">
        <v>100</v>
      </c>
    </row>
    <row r="21" spans="1:6" ht="11.75" customHeight="1" x14ac:dyDescent="0.15">
      <c r="A21" s="66" t="s">
        <v>951</v>
      </c>
      <c r="B21" s="66" t="s">
        <v>952</v>
      </c>
      <c r="C21" s="66" t="s">
        <v>861</v>
      </c>
      <c r="D21" s="67">
        <v>0</v>
      </c>
      <c r="E21" s="66"/>
      <c r="F21" s="67">
        <v>639.13</v>
      </c>
    </row>
    <row r="22" spans="1:6" ht="11.75" customHeight="1" x14ac:dyDescent="0.15">
      <c r="A22" s="66" t="s">
        <v>862</v>
      </c>
      <c r="B22" s="66" t="s">
        <v>213</v>
      </c>
      <c r="C22" s="66" t="s">
        <v>861</v>
      </c>
      <c r="D22" s="83">
        <v>114416.12</v>
      </c>
      <c r="E22" s="66"/>
      <c r="F22" s="67">
        <v>73880.02</v>
      </c>
    </row>
    <row r="23" spans="1:6" ht="11.75" customHeight="1" x14ac:dyDescent="0.15">
      <c r="A23" s="66" t="s">
        <v>863</v>
      </c>
      <c r="B23" s="66" t="s">
        <v>801</v>
      </c>
      <c r="C23" s="66" t="s">
        <v>861</v>
      </c>
      <c r="D23" s="83">
        <v>138672</v>
      </c>
      <c r="E23" s="66"/>
      <c r="F23" s="67">
        <v>64800</v>
      </c>
    </row>
    <row r="24" spans="1:6" ht="11.75" customHeight="1" x14ac:dyDescent="0.15">
      <c r="A24" s="66" t="s">
        <v>864</v>
      </c>
      <c r="B24" s="66" t="s">
        <v>214</v>
      </c>
      <c r="C24" s="66" t="s">
        <v>861</v>
      </c>
      <c r="D24" s="87">
        <v>7163.96</v>
      </c>
      <c r="E24" s="66"/>
      <c r="F24" s="67">
        <v>4300.92</v>
      </c>
    </row>
    <row r="25" spans="1:6" ht="11.75" customHeight="1" x14ac:dyDescent="0.15">
      <c r="A25" s="66" t="s">
        <v>953</v>
      </c>
      <c r="B25" s="66" t="s">
        <v>954</v>
      </c>
      <c r="C25" s="66" t="s">
        <v>861</v>
      </c>
      <c r="D25" s="67">
        <v>0</v>
      </c>
      <c r="E25" s="66"/>
      <c r="F25" s="67">
        <v>3000</v>
      </c>
    </row>
    <row r="26" spans="1:6" ht="11.75" customHeight="1" x14ac:dyDescent="0.15">
      <c r="A26" s="66" t="s">
        <v>865</v>
      </c>
      <c r="B26" s="66" t="s">
        <v>222</v>
      </c>
      <c r="C26" s="66" t="s">
        <v>861</v>
      </c>
      <c r="D26" s="67">
        <v>1040907.54</v>
      </c>
      <c r="E26" s="66"/>
      <c r="F26" s="67">
        <v>433308.75</v>
      </c>
    </row>
    <row r="27" spans="1:6" ht="11.75" customHeight="1" x14ac:dyDescent="0.15">
      <c r="A27" s="66" t="s">
        <v>866</v>
      </c>
      <c r="B27" s="66" t="s">
        <v>805</v>
      </c>
      <c r="C27" s="66" t="s">
        <v>861</v>
      </c>
      <c r="D27" s="71">
        <v>76000</v>
      </c>
      <c r="E27" s="66"/>
      <c r="F27" s="67">
        <v>30692.49</v>
      </c>
    </row>
    <row r="28" spans="1:6" ht="11.75" customHeight="1" x14ac:dyDescent="0.15">
      <c r="A28" s="66" t="s">
        <v>867</v>
      </c>
      <c r="B28" s="66" t="s">
        <v>868</v>
      </c>
      <c r="C28" s="66" t="s">
        <v>861</v>
      </c>
      <c r="D28" s="90">
        <v>31830.7</v>
      </c>
      <c r="E28" s="66"/>
      <c r="F28" s="67">
        <v>20441.080000000002</v>
      </c>
    </row>
    <row r="29" spans="1:6" ht="11.75" customHeight="1" x14ac:dyDescent="0.15">
      <c r="A29" s="66" t="s">
        <v>869</v>
      </c>
      <c r="B29" s="66" t="s">
        <v>870</v>
      </c>
      <c r="C29" s="66" t="s">
        <v>861</v>
      </c>
      <c r="D29" s="81">
        <v>77630.740000000005</v>
      </c>
      <c r="E29" s="66"/>
      <c r="F29" s="67">
        <v>3954.02</v>
      </c>
    </row>
    <row r="30" spans="1:6" ht="11.75" customHeight="1" x14ac:dyDescent="0.15">
      <c r="A30" s="66" t="s">
        <v>871</v>
      </c>
      <c r="B30" s="66" t="s">
        <v>872</v>
      </c>
      <c r="C30" s="66" t="s">
        <v>861</v>
      </c>
      <c r="D30" s="98">
        <v>10690.2</v>
      </c>
      <c r="E30" s="66"/>
      <c r="F30" s="67">
        <v>0</v>
      </c>
    </row>
    <row r="31" spans="1:6" ht="11.75" customHeight="1" x14ac:dyDescent="0.15">
      <c r="A31" s="66" t="s">
        <v>873</v>
      </c>
      <c r="B31" s="66" t="s">
        <v>231</v>
      </c>
      <c r="C31" s="66" t="s">
        <v>861</v>
      </c>
      <c r="D31" s="67">
        <v>0</v>
      </c>
      <c r="E31" s="66"/>
      <c r="F31" s="67">
        <v>250</v>
      </c>
    </row>
    <row r="32" spans="1:6" ht="11.75" customHeight="1" x14ac:dyDescent="0.15">
      <c r="A32" s="66" t="s">
        <v>876</v>
      </c>
      <c r="B32" s="66" t="s">
        <v>122</v>
      </c>
      <c r="C32" s="66" t="s">
        <v>861</v>
      </c>
      <c r="D32" s="93">
        <v>26429.33</v>
      </c>
      <c r="E32" s="66"/>
      <c r="F32" s="67">
        <v>0</v>
      </c>
    </row>
    <row r="33" spans="1:6" ht="11.75" customHeight="1" x14ac:dyDescent="0.15">
      <c r="A33" s="66" t="s">
        <v>877</v>
      </c>
      <c r="B33" s="66" t="s">
        <v>123</v>
      </c>
      <c r="C33" s="66" t="s">
        <v>861</v>
      </c>
      <c r="D33" s="95">
        <v>588.44000000000005</v>
      </c>
      <c r="E33" s="66"/>
      <c r="F33" s="67">
        <v>35.369999999999997</v>
      </c>
    </row>
    <row r="34" spans="1:6" ht="11.75" customHeight="1" x14ac:dyDescent="0.15">
      <c r="A34" s="66" t="s">
        <v>878</v>
      </c>
      <c r="B34" s="66" t="s">
        <v>810</v>
      </c>
      <c r="C34" s="66" t="s">
        <v>861</v>
      </c>
      <c r="D34" s="71">
        <v>506456.8</v>
      </c>
      <c r="E34" s="66"/>
      <c r="F34" s="67">
        <v>0</v>
      </c>
    </row>
    <row r="35" spans="1:6" ht="11.75" customHeight="1" x14ac:dyDescent="0.15">
      <c r="A35" s="66" t="s">
        <v>879</v>
      </c>
      <c r="B35" s="66" t="s">
        <v>811</v>
      </c>
      <c r="C35" s="66" t="s">
        <v>861</v>
      </c>
      <c r="D35" s="71">
        <v>50842.47</v>
      </c>
      <c r="E35" s="66"/>
      <c r="F35" s="67">
        <v>0</v>
      </c>
    </row>
    <row r="36" spans="1:6" ht="11.75" customHeight="1" x14ac:dyDescent="0.15">
      <c r="A36" s="66" t="s">
        <v>880</v>
      </c>
      <c r="B36" s="66" t="s">
        <v>812</v>
      </c>
      <c r="C36" s="66" t="s">
        <v>861</v>
      </c>
      <c r="D36" s="71">
        <v>14865.42</v>
      </c>
      <c r="E36" s="66"/>
      <c r="F36" s="67">
        <v>0</v>
      </c>
    </row>
    <row r="37" spans="1:6" ht="11.75" customHeight="1" x14ac:dyDescent="0.15">
      <c r="A37" s="66" t="s">
        <v>881</v>
      </c>
      <c r="B37" s="66" t="s">
        <v>882</v>
      </c>
      <c r="C37" s="66" t="s">
        <v>861</v>
      </c>
      <c r="D37" s="71">
        <v>2742.46</v>
      </c>
      <c r="E37" s="66"/>
      <c r="F37" s="67">
        <v>0</v>
      </c>
    </row>
    <row r="38" spans="1:6" ht="11.75" customHeight="1" x14ac:dyDescent="0.15">
      <c r="A38" s="66" t="s">
        <v>883</v>
      </c>
      <c r="B38" s="66" t="s">
        <v>833</v>
      </c>
      <c r="C38" s="66" t="s">
        <v>861</v>
      </c>
      <c r="D38" s="71">
        <v>48.99</v>
      </c>
      <c r="E38" s="66"/>
      <c r="F38" s="67">
        <v>0</v>
      </c>
    </row>
    <row r="39" spans="1:6" ht="11.75" customHeight="1" x14ac:dyDescent="0.15">
      <c r="A39" s="66" t="s">
        <v>884</v>
      </c>
      <c r="B39" s="66" t="s">
        <v>815</v>
      </c>
      <c r="C39" s="66" t="s">
        <v>861</v>
      </c>
      <c r="D39" s="71">
        <v>512.87</v>
      </c>
      <c r="E39" s="66"/>
      <c r="F39" s="67">
        <v>0</v>
      </c>
    </row>
    <row r="40" spans="1:6" ht="11.75" customHeight="1" x14ac:dyDescent="0.15">
      <c r="A40" s="66" t="s">
        <v>885</v>
      </c>
      <c r="B40" s="66" t="s">
        <v>806</v>
      </c>
      <c r="C40" s="66" t="s">
        <v>861</v>
      </c>
      <c r="D40" s="71">
        <v>142876.75</v>
      </c>
      <c r="E40" s="66"/>
      <c r="F40" s="67">
        <v>0</v>
      </c>
    </row>
    <row r="41" spans="1:6" ht="11.75" customHeight="1" x14ac:dyDescent="0.15">
      <c r="A41" s="66" t="s">
        <v>886</v>
      </c>
      <c r="B41" s="66" t="s">
        <v>807</v>
      </c>
      <c r="C41" s="66" t="s">
        <v>861</v>
      </c>
      <c r="D41" s="71">
        <v>1087561.6100000001</v>
      </c>
      <c r="E41" s="66"/>
      <c r="F41" s="67">
        <v>0</v>
      </c>
    </row>
    <row r="42" spans="1:6" ht="11.75" customHeight="1" x14ac:dyDescent="0.15">
      <c r="A42" s="66" t="s">
        <v>887</v>
      </c>
      <c r="B42" s="66" t="s">
        <v>808</v>
      </c>
      <c r="C42" s="66" t="s">
        <v>861</v>
      </c>
      <c r="D42" s="71">
        <v>138082.19</v>
      </c>
      <c r="E42" s="66"/>
      <c r="F42" s="67">
        <v>0</v>
      </c>
    </row>
    <row r="43" spans="1:6" ht="11.75" customHeight="1" x14ac:dyDescent="0.15">
      <c r="A43" s="66" t="s">
        <v>888</v>
      </c>
      <c r="B43" s="66" t="s">
        <v>809</v>
      </c>
      <c r="C43" s="66" t="s">
        <v>861</v>
      </c>
      <c r="D43" s="71">
        <v>4856672.01</v>
      </c>
      <c r="E43" s="66"/>
      <c r="F43" s="67">
        <v>0</v>
      </c>
    </row>
    <row r="44" spans="1:6" ht="11.75" customHeight="1" x14ac:dyDescent="0.15">
      <c r="A44" s="66" t="s">
        <v>889</v>
      </c>
      <c r="B44" s="66" t="s">
        <v>817</v>
      </c>
      <c r="C44" s="66" t="s">
        <v>861</v>
      </c>
      <c r="D44" s="67">
        <v>400000</v>
      </c>
      <c r="E44" s="66"/>
      <c r="F44" s="67">
        <v>0</v>
      </c>
    </row>
    <row r="45" spans="1:6" ht="11.75" customHeight="1" x14ac:dyDescent="0.15">
      <c r="A45" s="66" t="s">
        <v>890</v>
      </c>
      <c r="B45" s="66" t="s">
        <v>816</v>
      </c>
      <c r="C45" s="66" t="s">
        <v>861</v>
      </c>
      <c r="D45" s="66"/>
      <c r="E45" s="85">
        <v>44150.59</v>
      </c>
      <c r="F45" s="67">
        <v>90598.36</v>
      </c>
    </row>
    <row r="46" spans="1:6" ht="11.75" customHeight="1" x14ac:dyDescent="0.15">
      <c r="A46" s="66" t="s">
        <v>955</v>
      </c>
      <c r="B46" s="66" t="s">
        <v>247</v>
      </c>
      <c r="C46" s="66" t="s">
        <v>861</v>
      </c>
      <c r="D46" s="67">
        <v>0</v>
      </c>
      <c r="E46" s="66"/>
      <c r="F46" s="67">
        <v>765</v>
      </c>
    </row>
    <row r="47" spans="1:6" ht="11.75" customHeight="1" x14ac:dyDescent="0.15">
      <c r="A47" s="66" t="s">
        <v>891</v>
      </c>
      <c r="B47" s="66" t="s">
        <v>819</v>
      </c>
      <c r="C47" s="66" t="s">
        <v>861</v>
      </c>
      <c r="D47" s="98">
        <v>35882.800000000003</v>
      </c>
      <c r="E47" s="66"/>
      <c r="F47" s="67">
        <v>27287.26</v>
      </c>
    </row>
    <row r="48" spans="1:6" ht="11.75" customHeight="1" x14ac:dyDescent="0.15">
      <c r="A48" s="66" t="s">
        <v>892</v>
      </c>
      <c r="B48" s="66" t="s">
        <v>249</v>
      </c>
      <c r="C48" s="66" t="s">
        <v>861</v>
      </c>
      <c r="D48" s="100">
        <v>22719.99</v>
      </c>
      <c r="E48" s="66"/>
      <c r="F48" s="67">
        <v>250</v>
      </c>
    </row>
    <row r="49" spans="1:6" ht="11.75" customHeight="1" x14ac:dyDescent="0.15">
      <c r="A49" s="66" t="s">
        <v>956</v>
      </c>
      <c r="B49" s="66" t="s">
        <v>128</v>
      </c>
      <c r="C49" s="66" t="s">
        <v>861</v>
      </c>
      <c r="D49" s="67">
        <v>0</v>
      </c>
      <c r="E49" s="66"/>
      <c r="F49" s="67">
        <v>17000</v>
      </c>
    </row>
    <row r="50" spans="1:6" ht="11.75" customHeight="1" x14ac:dyDescent="0.15">
      <c r="A50" s="66" t="s">
        <v>893</v>
      </c>
      <c r="B50" s="66" t="s">
        <v>822</v>
      </c>
      <c r="C50" s="66" t="s">
        <v>861</v>
      </c>
      <c r="D50" s="93">
        <v>5577.79</v>
      </c>
      <c r="E50" s="66"/>
      <c r="F50" s="67">
        <v>4406.3100000000004</v>
      </c>
    </row>
    <row r="51" spans="1:6" ht="11.75" customHeight="1" x14ac:dyDescent="0.15">
      <c r="A51" s="66" t="s">
        <v>894</v>
      </c>
      <c r="B51" s="66" t="s">
        <v>895</v>
      </c>
      <c r="C51" s="66" t="s">
        <v>861</v>
      </c>
      <c r="D51" s="79">
        <v>100.26</v>
      </c>
      <c r="E51" s="66"/>
      <c r="F51" s="67">
        <v>0</v>
      </c>
    </row>
    <row r="52" spans="1:6" ht="11.75" customHeight="1" x14ac:dyDescent="0.15">
      <c r="A52" s="66" t="s">
        <v>896</v>
      </c>
      <c r="B52" s="66" t="s">
        <v>824</v>
      </c>
      <c r="C52" s="66" t="s">
        <v>861</v>
      </c>
      <c r="D52" s="101">
        <v>7200</v>
      </c>
      <c r="E52" s="66"/>
      <c r="F52" s="67">
        <v>4600</v>
      </c>
    </row>
    <row r="53" spans="1:6" ht="11.75" customHeight="1" x14ac:dyDescent="0.15">
      <c r="A53" s="66" t="s">
        <v>897</v>
      </c>
      <c r="B53" s="66" t="s">
        <v>898</v>
      </c>
      <c r="C53" s="66" t="s">
        <v>861</v>
      </c>
      <c r="D53" s="101">
        <v>788.43</v>
      </c>
      <c r="E53" s="66"/>
      <c r="F53" s="67">
        <v>1271.93</v>
      </c>
    </row>
    <row r="54" spans="1:6" ht="11.75" customHeight="1" x14ac:dyDescent="0.15">
      <c r="A54" s="66" t="s">
        <v>899</v>
      </c>
      <c r="B54" s="66" t="s">
        <v>900</v>
      </c>
      <c r="C54" s="66" t="s">
        <v>901</v>
      </c>
      <c r="D54" s="67">
        <v>17562360.850000001</v>
      </c>
      <c r="E54" s="66"/>
      <c r="F54" s="67">
        <v>17562360.850000001</v>
      </c>
    </row>
    <row r="55" spans="1:6" ht="11.75" customHeight="1" x14ac:dyDescent="0.15">
      <c r="A55" s="66" t="s">
        <v>727</v>
      </c>
      <c r="B55" s="66" t="s">
        <v>728</v>
      </c>
      <c r="C55" s="66" t="s">
        <v>901</v>
      </c>
      <c r="D55" s="67">
        <v>874505.75</v>
      </c>
      <c r="E55" s="66"/>
      <c r="F55" s="67">
        <v>261841.5</v>
      </c>
    </row>
    <row r="56" spans="1:6" ht="11.75" customHeight="1" x14ac:dyDescent="0.15">
      <c r="A56" s="66" t="s">
        <v>729</v>
      </c>
      <c r="B56" s="66" t="s">
        <v>730</v>
      </c>
      <c r="C56" s="66" t="s">
        <v>901</v>
      </c>
      <c r="D56" s="67">
        <v>26200000</v>
      </c>
      <c r="E56" s="66"/>
      <c r="F56" s="67">
        <v>26200000</v>
      </c>
    </row>
    <row r="57" spans="1:6" ht="11.75" customHeight="1" x14ac:dyDescent="0.15">
      <c r="A57" s="66" t="s">
        <v>731</v>
      </c>
      <c r="B57" s="66" t="s">
        <v>732</v>
      </c>
      <c r="C57" s="66" t="s">
        <v>901</v>
      </c>
      <c r="D57" s="67">
        <v>68427</v>
      </c>
      <c r="E57" s="66"/>
      <c r="F57" s="67">
        <v>68427</v>
      </c>
    </row>
    <row r="58" spans="1:6" ht="11.75" customHeight="1" x14ac:dyDescent="0.15">
      <c r="A58" s="66" t="s">
        <v>733</v>
      </c>
      <c r="B58" s="66" t="s">
        <v>734</v>
      </c>
      <c r="C58" s="66" t="s">
        <v>901</v>
      </c>
      <c r="D58" s="67">
        <v>103812</v>
      </c>
      <c r="E58" s="66"/>
      <c r="F58" s="67">
        <v>103812</v>
      </c>
    </row>
    <row r="59" spans="1:6" ht="11.75" customHeight="1" x14ac:dyDescent="0.15">
      <c r="A59" s="66" t="s">
        <v>735</v>
      </c>
      <c r="B59" s="66" t="s">
        <v>736</v>
      </c>
      <c r="C59" s="66" t="s">
        <v>901</v>
      </c>
      <c r="D59" s="67">
        <v>314087</v>
      </c>
      <c r="E59" s="66"/>
      <c r="F59" s="67">
        <v>142000</v>
      </c>
    </row>
    <row r="60" spans="1:6" ht="11.75" customHeight="1" x14ac:dyDescent="0.15">
      <c r="A60" s="66" t="s">
        <v>737</v>
      </c>
      <c r="B60" s="66" t="s">
        <v>738</v>
      </c>
      <c r="C60" s="66" t="s">
        <v>901</v>
      </c>
      <c r="D60" s="67">
        <v>136500</v>
      </c>
      <c r="E60" s="66"/>
      <c r="F60" s="67">
        <v>0</v>
      </c>
    </row>
    <row r="61" spans="1:6" ht="11.75" customHeight="1" x14ac:dyDescent="0.15">
      <c r="A61" s="66" t="s">
        <v>739</v>
      </c>
      <c r="B61" s="66" t="s">
        <v>740</v>
      </c>
      <c r="C61" s="66" t="s">
        <v>901</v>
      </c>
      <c r="D61" s="67">
        <v>8557641.8000000007</v>
      </c>
      <c r="E61" s="66"/>
      <c r="F61" s="67">
        <v>5052916.5</v>
      </c>
    </row>
    <row r="62" spans="1:6" ht="11.75" customHeight="1" x14ac:dyDescent="0.15">
      <c r="A62" s="66" t="s">
        <v>741</v>
      </c>
      <c r="B62" s="66" t="s">
        <v>742</v>
      </c>
      <c r="C62" s="66" t="s">
        <v>901</v>
      </c>
      <c r="D62" s="67">
        <v>13807.78</v>
      </c>
      <c r="E62" s="66"/>
      <c r="F62" s="67">
        <v>13807.78</v>
      </c>
    </row>
    <row r="63" spans="1:6" ht="11.75" customHeight="1" x14ac:dyDescent="0.15">
      <c r="A63" s="66" t="s">
        <v>743</v>
      </c>
      <c r="B63" s="66" t="s">
        <v>744</v>
      </c>
      <c r="C63" s="66" t="s">
        <v>901</v>
      </c>
      <c r="D63" s="67">
        <v>193560.09</v>
      </c>
      <c r="E63" s="66"/>
      <c r="F63" s="67">
        <v>6350</v>
      </c>
    </row>
    <row r="64" spans="1:6" ht="11.75" customHeight="1" x14ac:dyDescent="0.15">
      <c r="A64" s="66" t="s">
        <v>745</v>
      </c>
      <c r="B64" s="66" t="s">
        <v>746</v>
      </c>
      <c r="C64" s="66" t="s">
        <v>901</v>
      </c>
      <c r="D64" s="67">
        <v>7500</v>
      </c>
      <c r="E64" s="66"/>
      <c r="F64" s="67">
        <v>7500</v>
      </c>
    </row>
    <row r="65" spans="1:6" ht="11.75" customHeight="1" x14ac:dyDescent="0.15">
      <c r="A65" s="66" t="s">
        <v>747</v>
      </c>
      <c r="B65" s="66" t="s">
        <v>748</v>
      </c>
      <c r="C65" s="66" t="s">
        <v>901</v>
      </c>
      <c r="D65" s="67">
        <v>67400</v>
      </c>
      <c r="E65" s="66"/>
      <c r="F65" s="67">
        <v>67400</v>
      </c>
    </row>
    <row r="66" spans="1:6" ht="11.75" customHeight="1" x14ac:dyDescent="0.15">
      <c r="A66" s="66" t="s">
        <v>749</v>
      </c>
      <c r="B66" s="66" t="s">
        <v>750</v>
      </c>
      <c r="C66" s="66" t="s">
        <v>901</v>
      </c>
      <c r="D66" s="67">
        <v>20600</v>
      </c>
      <c r="E66" s="66"/>
      <c r="F66" s="67">
        <v>6600</v>
      </c>
    </row>
    <row r="67" spans="1:6" ht="11.75" customHeight="1" x14ac:dyDescent="0.15">
      <c r="A67" s="66" t="s">
        <v>751</v>
      </c>
      <c r="B67" s="66" t="s">
        <v>752</v>
      </c>
      <c r="C67" s="66" t="s">
        <v>901</v>
      </c>
      <c r="D67" s="67">
        <v>15175</v>
      </c>
      <c r="E67" s="66"/>
      <c r="F67" s="67">
        <v>15175</v>
      </c>
    </row>
    <row r="68" spans="1:6" ht="11.75" customHeight="1" x14ac:dyDescent="0.15">
      <c r="A68" s="66" t="s">
        <v>753</v>
      </c>
      <c r="B68" s="66" t="s">
        <v>754</v>
      </c>
      <c r="C68" s="66" t="s">
        <v>901</v>
      </c>
      <c r="D68" s="67">
        <v>570856.07999999996</v>
      </c>
      <c r="E68" s="66"/>
      <c r="F68" s="67">
        <v>0</v>
      </c>
    </row>
    <row r="69" spans="1:6" ht="11.75" customHeight="1" x14ac:dyDescent="0.15">
      <c r="A69" s="66" t="s">
        <v>771</v>
      </c>
      <c r="B69" s="66" t="s">
        <v>902</v>
      </c>
      <c r="C69" s="66" t="s">
        <v>901</v>
      </c>
      <c r="D69" s="67">
        <v>47748851.509999998</v>
      </c>
      <c r="E69" s="66"/>
      <c r="F69" s="67">
        <v>187359.89</v>
      </c>
    </row>
    <row r="70" spans="1:6" ht="11.75" customHeight="1" x14ac:dyDescent="0.15">
      <c r="A70" s="66" t="s">
        <v>773</v>
      </c>
      <c r="B70" s="66" t="s">
        <v>774</v>
      </c>
      <c r="C70" s="66" t="s">
        <v>901</v>
      </c>
      <c r="D70" s="67">
        <v>3850818.04</v>
      </c>
      <c r="E70" s="66"/>
      <c r="F70" s="67">
        <v>2331207.06</v>
      </c>
    </row>
    <row r="71" spans="1:6" ht="11.75" customHeight="1" x14ac:dyDescent="0.15">
      <c r="A71" s="66" t="s">
        <v>775</v>
      </c>
      <c r="B71" s="66" t="s">
        <v>903</v>
      </c>
      <c r="C71" s="66" t="s">
        <v>901</v>
      </c>
      <c r="D71" s="67">
        <v>782608.07</v>
      </c>
      <c r="E71" s="66"/>
      <c r="F71" s="67">
        <v>782608.07</v>
      </c>
    </row>
    <row r="72" spans="1:6" ht="11.75" customHeight="1" x14ac:dyDescent="0.15">
      <c r="A72" s="66" t="s">
        <v>758</v>
      </c>
      <c r="B72" s="66" t="s">
        <v>759</v>
      </c>
      <c r="C72" s="66" t="s">
        <v>901</v>
      </c>
      <c r="D72" s="67">
        <v>166550</v>
      </c>
      <c r="E72" s="66"/>
      <c r="F72" s="67">
        <v>129550</v>
      </c>
    </row>
    <row r="73" spans="1:6" ht="11.75" customHeight="1" x14ac:dyDescent="0.15">
      <c r="A73" s="66" t="s">
        <v>760</v>
      </c>
      <c r="B73" s="66" t="s">
        <v>761</v>
      </c>
      <c r="C73" s="66" t="s">
        <v>901</v>
      </c>
      <c r="D73" s="67">
        <v>45000</v>
      </c>
      <c r="E73" s="66"/>
      <c r="F73" s="67">
        <v>45000</v>
      </c>
    </row>
    <row r="74" spans="1:6" ht="11.75" customHeight="1" x14ac:dyDescent="0.15">
      <c r="A74" s="66" t="s">
        <v>762</v>
      </c>
      <c r="B74" s="66" t="s">
        <v>763</v>
      </c>
      <c r="C74" s="66" t="s">
        <v>901</v>
      </c>
      <c r="D74" s="67">
        <v>125000</v>
      </c>
      <c r="E74" s="66"/>
      <c r="F74" s="67">
        <v>54000</v>
      </c>
    </row>
    <row r="75" spans="1:6" ht="11.75" customHeight="1" x14ac:dyDescent="0.15">
      <c r="A75" s="66" t="s">
        <v>756</v>
      </c>
      <c r="B75" s="66" t="s">
        <v>764</v>
      </c>
      <c r="C75" s="66" t="s">
        <v>901</v>
      </c>
      <c r="D75" s="67">
        <v>1021325.63</v>
      </c>
      <c r="E75" s="66"/>
      <c r="F75" s="67">
        <v>739809.84</v>
      </c>
    </row>
    <row r="76" spans="1:6" ht="11.75" customHeight="1" x14ac:dyDescent="0.15">
      <c r="A76" s="66" t="s">
        <v>765</v>
      </c>
      <c r="B76" s="66" t="s">
        <v>766</v>
      </c>
      <c r="C76" s="66" t="s">
        <v>901</v>
      </c>
      <c r="D76" s="67">
        <v>622274.51</v>
      </c>
      <c r="E76" s="66"/>
      <c r="F76" s="67">
        <v>622274.51</v>
      </c>
    </row>
    <row r="77" spans="1:6" ht="11.75" customHeight="1" x14ac:dyDescent="0.15">
      <c r="A77" s="66" t="s">
        <v>767</v>
      </c>
      <c r="B77" s="66" t="s">
        <v>768</v>
      </c>
      <c r="C77" s="66" t="s">
        <v>901</v>
      </c>
      <c r="D77" s="67">
        <v>985049.68</v>
      </c>
      <c r="E77" s="66"/>
      <c r="F77" s="67">
        <v>0</v>
      </c>
    </row>
    <row r="78" spans="1:6" ht="11.75" customHeight="1" x14ac:dyDescent="0.15">
      <c r="A78" s="66" t="s">
        <v>904</v>
      </c>
      <c r="B78" s="66" t="s">
        <v>905</v>
      </c>
      <c r="C78" s="66" t="s">
        <v>901</v>
      </c>
      <c r="D78" s="67">
        <v>1250000</v>
      </c>
      <c r="E78" s="66"/>
      <c r="F78" s="67">
        <v>0</v>
      </c>
    </row>
    <row r="79" spans="1:6" ht="11.75" customHeight="1" x14ac:dyDescent="0.15">
      <c r="A79" s="66" t="s">
        <v>906</v>
      </c>
      <c r="B79" s="66" t="s">
        <v>907</v>
      </c>
      <c r="C79" s="66" t="s">
        <v>901</v>
      </c>
      <c r="D79" s="67">
        <v>893038.44</v>
      </c>
      <c r="E79" s="66"/>
      <c r="F79" s="67">
        <v>0</v>
      </c>
    </row>
    <row r="80" spans="1:6" ht="11.75" customHeight="1" x14ac:dyDescent="0.15">
      <c r="A80" s="66" t="s">
        <v>957</v>
      </c>
      <c r="B80" s="66" t="s">
        <v>958</v>
      </c>
      <c r="C80" s="66" t="s">
        <v>901</v>
      </c>
      <c r="D80" s="67">
        <v>0</v>
      </c>
      <c r="E80" s="66"/>
      <c r="F80" s="67">
        <v>300000</v>
      </c>
    </row>
    <row r="81" spans="1:6" ht="11.75" customHeight="1" x14ac:dyDescent="0.15">
      <c r="A81" s="66" t="s">
        <v>908</v>
      </c>
      <c r="B81" s="66" t="s">
        <v>909</v>
      </c>
      <c r="C81" s="66" t="s">
        <v>910</v>
      </c>
      <c r="D81" s="67">
        <v>1331141.21</v>
      </c>
      <c r="E81" s="66"/>
      <c r="F81" s="67">
        <v>25029.19</v>
      </c>
    </row>
    <row r="82" spans="1:6" ht="11.75" customHeight="1" x14ac:dyDescent="0.15">
      <c r="A82" s="66" t="s">
        <v>911</v>
      </c>
      <c r="B82" s="66" t="s">
        <v>912</v>
      </c>
      <c r="C82" s="66" t="s">
        <v>910</v>
      </c>
      <c r="D82" s="67">
        <v>827.72</v>
      </c>
      <c r="E82" s="66"/>
      <c r="F82" s="67">
        <v>784.95</v>
      </c>
    </row>
    <row r="83" spans="1:6" ht="11.75" customHeight="1" x14ac:dyDescent="0.15">
      <c r="A83" s="66" t="s">
        <v>913</v>
      </c>
      <c r="B83" s="66" t="s">
        <v>914</v>
      </c>
      <c r="C83" s="66" t="s">
        <v>910</v>
      </c>
      <c r="D83" s="67">
        <v>26616286.5</v>
      </c>
      <c r="E83" s="66"/>
      <c r="F83" s="67">
        <v>4416019.37</v>
      </c>
    </row>
    <row r="84" spans="1:6" ht="11.75" customHeight="1" x14ac:dyDescent="0.15">
      <c r="A84" s="66" t="s">
        <v>915</v>
      </c>
      <c r="B84" s="66" t="s">
        <v>916</v>
      </c>
      <c r="C84" s="66" t="s">
        <v>917</v>
      </c>
      <c r="D84" s="67">
        <v>9825248.5899999999</v>
      </c>
      <c r="E84" s="66"/>
      <c r="F84" s="67">
        <v>3338000</v>
      </c>
    </row>
    <row r="85" spans="1:6" ht="11.75" customHeight="1" x14ac:dyDescent="0.15">
      <c r="A85" s="66" t="s">
        <v>918</v>
      </c>
      <c r="B85" s="66" t="s">
        <v>919</v>
      </c>
      <c r="C85" s="66" t="s">
        <v>917</v>
      </c>
      <c r="D85" s="67">
        <v>548000</v>
      </c>
      <c r="E85" s="66"/>
      <c r="F85" s="67">
        <v>0</v>
      </c>
    </row>
    <row r="86" spans="1:6" ht="11.75" customHeight="1" x14ac:dyDescent="0.15">
      <c r="A86" s="66" t="s">
        <v>920</v>
      </c>
      <c r="B86" s="66" t="s">
        <v>921</v>
      </c>
      <c r="C86" s="66" t="s">
        <v>917</v>
      </c>
      <c r="D86" s="67">
        <v>4692811.33</v>
      </c>
      <c r="E86" s="66"/>
      <c r="F86" s="67">
        <v>0</v>
      </c>
    </row>
    <row r="87" spans="1:6" ht="11.75" customHeight="1" x14ac:dyDescent="0.15">
      <c r="A87" s="66" t="s">
        <v>924</v>
      </c>
      <c r="B87" s="66" t="s">
        <v>925</v>
      </c>
      <c r="C87" s="66" t="s">
        <v>917</v>
      </c>
      <c r="D87" s="67">
        <v>500</v>
      </c>
      <c r="E87" s="66"/>
      <c r="F87" s="67">
        <v>0</v>
      </c>
    </row>
    <row r="88" spans="1:6" ht="11.75" customHeight="1" x14ac:dyDescent="0.15">
      <c r="A88" s="66" t="s">
        <v>926</v>
      </c>
      <c r="B88" s="66" t="s">
        <v>927</v>
      </c>
      <c r="C88" s="66" t="s">
        <v>928</v>
      </c>
      <c r="D88" s="67">
        <v>0.03</v>
      </c>
      <c r="E88" s="66"/>
      <c r="F88" s="67">
        <v>0.01</v>
      </c>
    </row>
    <row r="89" spans="1:6" ht="11.75" customHeight="1" x14ac:dyDescent="0.15">
      <c r="A89" s="66" t="s">
        <v>929</v>
      </c>
      <c r="B89" s="66" t="s">
        <v>930</v>
      </c>
      <c r="C89" s="66" t="s">
        <v>928</v>
      </c>
      <c r="D89" s="66"/>
      <c r="E89" s="67">
        <v>110271616.11</v>
      </c>
      <c r="F89" s="67">
        <v>-46223248.030000001</v>
      </c>
    </row>
    <row r="90" spans="1:6" ht="11.75" customHeight="1" x14ac:dyDescent="0.15">
      <c r="A90" s="66" t="s">
        <v>959</v>
      </c>
      <c r="B90" s="66" t="s">
        <v>960</v>
      </c>
      <c r="C90" s="66" t="s">
        <v>935</v>
      </c>
      <c r="D90" s="66"/>
      <c r="E90" s="67">
        <v>0</v>
      </c>
      <c r="F90" s="67">
        <v>-6223.51</v>
      </c>
    </row>
    <row r="91" spans="1:6" ht="11.75" customHeight="1" x14ac:dyDescent="0.15">
      <c r="A91" s="66" t="s">
        <v>931</v>
      </c>
      <c r="B91" s="66" t="s">
        <v>932</v>
      </c>
      <c r="C91" s="66" t="s">
        <v>928</v>
      </c>
      <c r="D91" s="66"/>
      <c r="E91" s="67">
        <v>2668565.7000000002</v>
      </c>
      <c r="F91" s="67">
        <v>830091.07</v>
      </c>
    </row>
    <row r="92" spans="1:6" ht="11.75" customHeight="1" x14ac:dyDescent="0.15">
      <c r="A92" s="66" t="s">
        <v>936</v>
      </c>
      <c r="B92" s="66" t="s">
        <v>937</v>
      </c>
      <c r="C92" s="66" t="s">
        <v>938</v>
      </c>
      <c r="D92" s="66"/>
      <c r="E92" s="67">
        <v>100</v>
      </c>
      <c r="F92" s="67">
        <v>-100</v>
      </c>
    </row>
    <row r="93" spans="1:6" ht="11.75" customHeight="1" x14ac:dyDescent="0.15">
      <c r="A93" s="66" t="s">
        <v>939</v>
      </c>
      <c r="B93" s="66" t="s">
        <v>940</v>
      </c>
      <c r="C93" s="66" t="s">
        <v>938</v>
      </c>
      <c r="D93" s="66"/>
      <c r="E93" s="67">
        <v>17080353.050000001</v>
      </c>
      <c r="F93" s="67">
        <v>0</v>
      </c>
    </row>
    <row r="94" spans="1:6" ht="11.75" customHeight="1" x14ac:dyDescent="0.15">
      <c r="A94" s="68" t="s">
        <v>12</v>
      </c>
      <c r="B94" s="68"/>
      <c r="C94" s="68"/>
      <c r="D94" s="69">
        <f>SUM(D6:D93)</f>
        <v>167177078.08000001</v>
      </c>
      <c r="E94" s="69">
        <f>SUM(E6:E93)</f>
        <v>167177078.07999998</v>
      </c>
      <c r="F94" s="69">
        <f>SUM(F6:F93)</f>
        <v>-2.4447217583656311E-9</v>
      </c>
    </row>
  </sheetData>
  <mergeCells count="3">
    <mergeCell ref="A1:F1"/>
    <mergeCell ref="A2:F2"/>
    <mergeCell ref="A3:F3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3"/>
  <sheetViews>
    <sheetView showGridLines="0" zoomScaleNormal="100" workbookViewId="0">
      <selection sqref="A1:F5"/>
    </sheetView>
  </sheetViews>
  <sheetFormatPr baseColWidth="10" defaultColWidth="8.83203125" defaultRowHeight="12" x14ac:dyDescent="0.15"/>
  <cols>
    <col min="1" max="1" width="14.1640625" style="60" customWidth="1"/>
    <col min="2" max="2" width="32.83203125" style="60" customWidth="1"/>
    <col min="3" max="3" width="15.6640625" style="60" customWidth="1"/>
    <col min="4" max="4" width="18.83203125" style="60" customWidth="1"/>
    <col min="5" max="5" width="19.6640625" style="60" customWidth="1"/>
    <col min="6" max="6" width="12.83203125" style="60" customWidth="1"/>
    <col min="7" max="9" width="8.83203125" style="60" customWidth="1"/>
    <col min="10" max="16384" width="8.83203125" style="60"/>
  </cols>
  <sheetData>
    <row r="1" spans="1:6" s="58" customFormat="1" ht="18" customHeight="1" x14ac:dyDescent="0.2">
      <c r="A1" s="172" t="s">
        <v>837</v>
      </c>
      <c r="B1" s="173"/>
      <c r="C1" s="173"/>
      <c r="D1" s="173"/>
      <c r="E1" s="173"/>
      <c r="F1" s="173"/>
    </row>
    <row r="2" spans="1:6" s="59" customFormat="1" ht="15.5" customHeight="1" x14ac:dyDescent="0.2">
      <c r="A2" s="174" t="s">
        <v>783</v>
      </c>
      <c r="B2" s="175"/>
      <c r="C2" s="175"/>
      <c r="D2" s="175"/>
      <c r="E2" s="175"/>
      <c r="F2" s="175"/>
    </row>
    <row r="3" spans="1:6" s="59" customFormat="1" ht="15.5" customHeight="1" x14ac:dyDescent="0.2">
      <c r="A3" s="174" t="s">
        <v>961</v>
      </c>
      <c r="B3" s="175"/>
      <c r="C3" s="175"/>
      <c r="D3" s="175"/>
      <c r="E3" s="175"/>
      <c r="F3" s="175"/>
    </row>
    <row r="4" spans="1:6" ht="13.25" customHeight="1" x14ac:dyDescent="0.15"/>
    <row r="5" spans="1:6" s="63" customFormat="1" ht="13" customHeight="1" x14ac:dyDescent="0.15">
      <c r="A5" s="61" t="s">
        <v>839</v>
      </c>
      <c r="B5" s="61" t="s">
        <v>136</v>
      </c>
      <c r="C5" s="61" t="s">
        <v>840</v>
      </c>
      <c r="D5" s="62" t="s">
        <v>841</v>
      </c>
      <c r="E5" s="62" t="s">
        <v>842</v>
      </c>
      <c r="F5" s="62" t="s">
        <v>962</v>
      </c>
    </row>
    <row r="6" spans="1:6" ht="11.75" customHeight="1" x14ac:dyDescent="0.15">
      <c r="A6" s="64" t="s">
        <v>943</v>
      </c>
      <c r="B6" s="64" t="s">
        <v>944</v>
      </c>
      <c r="C6" s="64" t="s">
        <v>196</v>
      </c>
      <c r="D6" s="64"/>
      <c r="E6" s="65">
        <v>17562360.850000001</v>
      </c>
      <c r="F6" s="65">
        <v>0</v>
      </c>
    </row>
    <row r="7" spans="1:6" ht="11.75" customHeight="1" x14ac:dyDescent="0.15">
      <c r="A7" s="66" t="s">
        <v>945</v>
      </c>
      <c r="B7" s="66" t="s">
        <v>946</v>
      </c>
      <c r="C7" s="66" t="s">
        <v>196</v>
      </c>
      <c r="D7" s="66"/>
      <c r="E7" s="67">
        <v>1245</v>
      </c>
      <c r="F7" s="67">
        <v>0</v>
      </c>
    </row>
    <row r="8" spans="1:6" ht="11.75" customHeight="1" x14ac:dyDescent="0.15">
      <c r="A8" s="66" t="s">
        <v>947</v>
      </c>
      <c r="B8" s="66" t="s">
        <v>948</v>
      </c>
      <c r="C8" s="66" t="s">
        <v>196</v>
      </c>
      <c r="D8" s="66"/>
      <c r="E8" s="67">
        <v>149149.4</v>
      </c>
      <c r="F8" s="67">
        <v>0</v>
      </c>
    </row>
    <row r="9" spans="1:6" ht="11.75" customHeight="1" x14ac:dyDescent="0.15">
      <c r="A9" s="66" t="s">
        <v>847</v>
      </c>
      <c r="B9" s="66" t="s">
        <v>798</v>
      </c>
      <c r="C9" s="66" t="s">
        <v>196</v>
      </c>
      <c r="D9" s="66"/>
      <c r="E9" s="67">
        <v>158992.44</v>
      </c>
      <c r="F9" s="67">
        <v>0</v>
      </c>
    </row>
    <row r="10" spans="1:6" ht="11.75" customHeight="1" x14ac:dyDescent="0.15">
      <c r="A10" s="66" t="s">
        <v>949</v>
      </c>
      <c r="B10" s="66" t="s">
        <v>950</v>
      </c>
      <c r="C10" s="66" t="s">
        <v>849</v>
      </c>
      <c r="D10" s="79">
        <v>9814</v>
      </c>
      <c r="E10" s="66"/>
      <c r="F10" s="67">
        <v>0</v>
      </c>
    </row>
    <row r="11" spans="1:6" ht="11.75" customHeight="1" x14ac:dyDescent="0.15">
      <c r="A11" s="66" t="s">
        <v>859</v>
      </c>
      <c r="B11" s="66" t="s">
        <v>860</v>
      </c>
      <c r="C11" s="66" t="s">
        <v>861</v>
      </c>
      <c r="D11" s="101">
        <v>100</v>
      </c>
      <c r="E11" s="66"/>
      <c r="F11" s="67">
        <v>0</v>
      </c>
    </row>
    <row r="12" spans="1:6" ht="11.75" customHeight="1" x14ac:dyDescent="0.15">
      <c r="A12" s="66" t="s">
        <v>951</v>
      </c>
      <c r="B12" s="66" t="s">
        <v>952</v>
      </c>
      <c r="C12" s="66" t="s">
        <v>861</v>
      </c>
      <c r="D12" s="87">
        <v>639.13</v>
      </c>
      <c r="E12" s="66"/>
      <c r="F12" s="67">
        <v>0</v>
      </c>
    </row>
    <row r="13" spans="1:6" ht="11.75" customHeight="1" x14ac:dyDescent="0.15">
      <c r="A13" s="66" t="s">
        <v>862</v>
      </c>
      <c r="B13" s="66" t="s">
        <v>213</v>
      </c>
      <c r="C13" s="66" t="s">
        <v>861</v>
      </c>
      <c r="D13" s="83">
        <v>73880.02</v>
      </c>
      <c r="E13" s="66"/>
      <c r="F13" s="67">
        <v>0</v>
      </c>
    </row>
    <row r="14" spans="1:6" ht="11.75" customHeight="1" x14ac:dyDescent="0.15">
      <c r="A14" s="66" t="s">
        <v>863</v>
      </c>
      <c r="B14" s="66" t="s">
        <v>801</v>
      </c>
      <c r="C14" s="66" t="s">
        <v>861</v>
      </c>
      <c r="D14" s="83">
        <v>64800</v>
      </c>
      <c r="E14" s="66"/>
      <c r="F14" s="67">
        <v>0</v>
      </c>
    </row>
    <row r="15" spans="1:6" ht="11.75" customHeight="1" x14ac:dyDescent="0.15">
      <c r="A15" s="66" t="s">
        <v>864</v>
      </c>
      <c r="B15" s="66" t="s">
        <v>214</v>
      </c>
      <c r="C15" s="66" t="s">
        <v>861</v>
      </c>
      <c r="D15" s="87">
        <v>4300.92</v>
      </c>
      <c r="E15" s="66"/>
      <c r="F15" s="67">
        <v>0</v>
      </c>
    </row>
    <row r="16" spans="1:6" ht="11.75" customHeight="1" x14ac:dyDescent="0.15">
      <c r="A16" s="66" t="s">
        <v>953</v>
      </c>
      <c r="B16" s="66" t="s">
        <v>954</v>
      </c>
      <c r="C16" s="66" t="s">
        <v>861</v>
      </c>
      <c r="D16" s="89">
        <v>3000</v>
      </c>
      <c r="E16" s="66"/>
      <c r="F16" s="67">
        <v>0</v>
      </c>
    </row>
    <row r="17" spans="1:6" ht="11.75" customHeight="1" x14ac:dyDescent="0.15">
      <c r="A17" s="66" t="s">
        <v>865</v>
      </c>
      <c r="B17" s="66" t="s">
        <v>222</v>
      </c>
      <c r="C17" s="66" t="s">
        <v>861</v>
      </c>
      <c r="D17" s="67">
        <v>433308.75</v>
      </c>
      <c r="E17" s="66"/>
      <c r="F17" s="67">
        <v>0</v>
      </c>
    </row>
    <row r="18" spans="1:6" ht="11.75" customHeight="1" x14ac:dyDescent="0.15">
      <c r="A18" s="66" t="s">
        <v>866</v>
      </c>
      <c r="B18" s="66" t="s">
        <v>805</v>
      </c>
      <c r="C18" s="66" t="s">
        <v>861</v>
      </c>
      <c r="D18" s="71">
        <v>30692.49</v>
      </c>
      <c r="E18" s="66"/>
      <c r="F18" s="67">
        <v>0</v>
      </c>
    </row>
    <row r="19" spans="1:6" ht="11.75" customHeight="1" x14ac:dyDescent="0.15">
      <c r="A19" s="66" t="s">
        <v>867</v>
      </c>
      <c r="B19" s="66" t="s">
        <v>868</v>
      </c>
      <c r="C19" s="66" t="s">
        <v>861</v>
      </c>
      <c r="D19" s="90">
        <v>20441.080000000002</v>
      </c>
      <c r="E19" s="66"/>
      <c r="F19" s="67">
        <v>0</v>
      </c>
    </row>
    <row r="20" spans="1:6" ht="11.75" customHeight="1" x14ac:dyDescent="0.15">
      <c r="A20" s="66" t="s">
        <v>869</v>
      </c>
      <c r="B20" s="66" t="s">
        <v>870</v>
      </c>
      <c r="C20" s="66" t="s">
        <v>861</v>
      </c>
      <c r="D20" s="81">
        <v>3954.02</v>
      </c>
      <c r="E20" s="66"/>
      <c r="F20" s="67">
        <v>0</v>
      </c>
    </row>
    <row r="21" spans="1:6" ht="11.75" customHeight="1" x14ac:dyDescent="0.15">
      <c r="A21" s="66" t="s">
        <v>873</v>
      </c>
      <c r="B21" s="66" t="s">
        <v>231</v>
      </c>
      <c r="C21" s="66" t="s">
        <v>861</v>
      </c>
      <c r="D21" s="92">
        <v>250</v>
      </c>
      <c r="E21" s="66"/>
      <c r="F21" s="67">
        <v>0</v>
      </c>
    </row>
    <row r="22" spans="1:6" ht="11.75" customHeight="1" x14ac:dyDescent="0.15">
      <c r="A22" s="66" t="s">
        <v>877</v>
      </c>
      <c r="B22" s="66" t="s">
        <v>123</v>
      </c>
      <c r="C22" s="66" t="s">
        <v>861</v>
      </c>
      <c r="D22" s="95">
        <v>35.369999999999997</v>
      </c>
      <c r="E22" s="66"/>
      <c r="F22" s="67">
        <v>0</v>
      </c>
    </row>
    <row r="23" spans="1:6" ht="11.75" customHeight="1" x14ac:dyDescent="0.15">
      <c r="A23" s="66" t="s">
        <v>890</v>
      </c>
      <c r="B23" s="66" t="s">
        <v>816</v>
      </c>
      <c r="C23" s="66" t="s">
        <v>861</v>
      </c>
      <c r="D23" s="85">
        <v>90598.36</v>
      </c>
      <c r="E23" s="66"/>
      <c r="F23" s="67">
        <v>0</v>
      </c>
    </row>
    <row r="24" spans="1:6" ht="11.75" customHeight="1" x14ac:dyDescent="0.15">
      <c r="A24" s="66" t="s">
        <v>955</v>
      </c>
      <c r="B24" s="66" t="s">
        <v>247</v>
      </c>
      <c r="C24" s="66" t="s">
        <v>861</v>
      </c>
      <c r="D24" s="97">
        <v>765</v>
      </c>
      <c r="E24" s="66"/>
      <c r="F24" s="67">
        <v>0</v>
      </c>
    </row>
    <row r="25" spans="1:6" ht="11.75" customHeight="1" x14ac:dyDescent="0.15">
      <c r="A25" s="66" t="s">
        <v>891</v>
      </c>
      <c r="B25" s="66" t="s">
        <v>819</v>
      </c>
      <c r="C25" s="66" t="s">
        <v>861</v>
      </c>
      <c r="D25" s="98">
        <v>27287.26</v>
      </c>
      <c r="E25" s="66"/>
      <c r="F25" s="67">
        <v>0</v>
      </c>
    </row>
    <row r="26" spans="1:6" ht="11.75" customHeight="1" x14ac:dyDescent="0.15">
      <c r="A26" s="66" t="s">
        <v>892</v>
      </c>
      <c r="B26" s="66" t="s">
        <v>249</v>
      </c>
      <c r="C26" s="66" t="s">
        <v>861</v>
      </c>
      <c r="D26" s="100">
        <v>250</v>
      </c>
      <c r="E26" s="66"/>
      <c r="F26" s="67">
        <v>0</v>
      </c>
    </row>
    <row r="27" spans="1:6" ht="11.75" customHeight="1" x14ac:dyDescent="0.15">
      <c r="A27" s="66" t="s">
        <v>956</v>
      </c>
      <c r="B27" s="66" t="s">
        <v>128</v>
      </c>
      <c r="C27" s="66" t="s">
        <v>861</v>
      </c>
      <c r="D27" s="73">
        <v>17000</v>
      </c>
      <c r="E27" s="66"/>
      <c r="F27" s="67">
        <v>0</v>
      </c>
    </row>
    <row r="28" spans="1:6" ht="11.75" customHeight="1" x14ac:dyDescent="0.15">
      <c r="A28" s="66" t="s">
        <v>893</v>
      </c>
      <c r="B28" s="66" t="s">
        <v>822</v>
      </c>
      <c r="C28" s="66" t="s">
        <v>861</v>
      </c>
      <c r="D28" s="93">
        <v>4406.3100000000004</v>
      </c>
      <c r="E28" s="66"/>
      <c r="F28" s="67">
        <v>0</v>
      </c>
    </row>
    <row r="29" spans="1:6" ht="11.75" customHeight="1" x14ac:dyDescent="0.15">
      <c r="A29" s="66" t="s">
        <v>896</v>
      </c>
      <c r="B29" s="66" t="s">
        <v>824</v>
      </c>
      <c r="C29" s="66" t="s">
        <v>861</v>
      </c>
      <c r="D29" s="101">
        <v>4600</v>
      </c>
      <c r="E29" s="66"/>
      <c r="F29" s="67">
        <v>0</v>
      </c>
    </row>
    <row r="30" spans="1:6" ht="11.75" customHeight="1" x14ac:dyDescent="0.15">
      <c r="A30" s="66" t="s">
        <v>897</v>
      </c>
      <c r="B30" s="66" t="s">
        <v>898</v>
      </c>
      <c r="C30" s="66" t="s">
        <v>861</v>
      </c>
      <c r="D30" s="101">
        <v>1271.93</v>
      </c>
      <c r="E30" s="66"/>
      <c r="F30" s="67">
        <v>0</v>
      </c>
    </row>
    <row r="31" spans="1:6" ht="11.75" customHeight="1" x14ac:dyDescent="0.15">
      <c r="A31" s="66" t="s">
        <v>899</v>
      </c>
      <c r="B31" s="66" t="s">
        <v>900</v>
      </c>
      <c r="C31" s="66" t="s">
        <v>901</v>
      </c>
      <c r="D31" s="67">
        <v>17562360.850000001</v>
      </c>
      <c r="E31" s="66"/>
      <c r="F31" s="67">
        <v>0</v>
      </c>
    </row>
    <row r="32" spans="1:6" ht="11.75" customHeight="1" x14ac:dyDescent="0.15">
      <c r="A32" s="66" t="s">
        <v>727</v>
      </c>
      <c r="B32" s="66" t="s">
        <v>728</v>
      </c>
      <c r="C32" s="66" t="s">
        <v>901</v>
      </c>
      <c r="D32" s="67">
        <v>261841.5</v>
      </c>
      <c r="E32" s="66"/>
      <c r="F32" s="67">
        <v>0</v>
      </c>
    </row>
    <row r="33" spans="1:6" ht="11.75" customHeight="1" x14ac:dyDescent="0.15">
      <c r="A33" s="66" t="s">
        <v>729</v>
      </c>
      <c r="B33" s="66" t="s">
        <v>730</v>
      </c>
      <c r="C33" s="66" t="s">
        <v>901</v>
      </c>
      <c r="D33" s="67">
        <v>26200000</v>
      </c>
      <c r="E33" s="66"/>
      <c r="F33" s="67">
        <v>0</v>
      </c>
    </row>
    <row r="34" spans="1:6" ht="11.75" customHeight="1" x14ac:dyDescent="0.15">
      <c r="A34" s="66" t="s">
        <v>731</v>
      </c>
      <c r="B34" s="66" t="s">
        <v>732</v>
      </c>
      <c r="C34" s="66" t="s">
        <v>901</v>
      </c>
      <c r="D34" s="67">
        <v>68427</v>
      </c>
      <c r="E34" s="66"/>
      <c r="F34" s="67">
        <v>0</v>
      </c>
    </row>
    <row r="35" spans="1:6" ht="11.75" customHeight="1" x14ac:dyDescent="0.15">
      <c r="A35" s="66" t="s">
        <v>733</v>
      </c>
      <c r="B35" s="66" t="s">
        <v>734</v>
      </c>
      <c r="C35" s="66" t="s">
        <v>901</v>
      </c>
      <c r="D35" s="67">
        <v>103812</v>
      </c>
      <c r="E35" s="66"/>
      <c r="F35" s="67">
        <v>0</v>
      </c>
    </row>
    <row r="36" spans="1:6" ht="11.75" customHeight="1" x14ac:dyDescent="0.15">
      <c r="A36" s="66" t="s">
        <v>735</v>
      </c>
      <c r="B36" s="66" t="s">
        <v>736</v>
      </c>
      <c r="C36" s="66" t="s">
        <v>901</v>
      </c>
      <c r="D36" s="67">
        <v>142000</v>
      </c>
      <c r="E36" s="66"/>
      <c r="F36" s="67">
        <v>0</v>
      </c>
    </row>
    <row r="37" spans="1:6" ht="11.75" customHeight="1" x14ac:dyDescent="0.15">
      <c r="A37" s="66" t="s">
        <v>739</v>
      </c>
      <c r="B37" s="66" t="s">
        <v>740</v>
      </c>
      <c r="C37" s="66" t="s">
        <v>901</v>
      </c>
      <c r="D37" s="67">
        <v>5052916.5</v>
      </c>
      <c r="E37" s="66"/>
      <c r="F37" s="67">
        <v>0</v>
      </c>
    </row>
    <row r="38" spans="1:6" ht="11.75" customHeight="1" x14ac:dyDescent="0.15">
      <c r="A38" s="66" t="s">
        <v>741</v>
      </c>
      <c r="B38" s="66" t="s">
        <v>742</v>
      </c>
      <c r="C38" s="66" t="s">
        <v>901</v>
      </c>
      <c r="D38" s="67">
        <v>13807.78</v>
      </c>
      <c r="E38" s="66"/>
      <c r="F38" s="67">
        <v>0</v>
      </c>
    </row>
    <row r="39" spans="1:6" ht="11.75" customHeight="1" x14ac:dyDescent="0.15">
      <c r="A39" s="66" t="s">
        <v>743</v>
      </c>
      <c r="B39" s="66" t="s">
        <v>744</v>
      </c>
      <c r="C39" s="66" t="s">
        <v>901</v>
      </c>
      <c r="D39" s="67">
        <v>6350</v>
      </c>
      <c r="E39" s="66"/>
      <c r="F39" s="67">
        <v>0</v>
      </c>
    </row>
    <row r="40" spans="1:6" ht="11.75" customHeight="1" x14ac:dyDescent="0.15">
      <c r="A40" s="66" t="s">
        <v>745</v>
      </c>
      <c r="B40" s="66" t="s">
        <v>746</v>
      </c>
      <c r="C40" s="66" t="s">
        <v>901</v>
      </c>
      <c r="D40" s="67">
        <v>7500</v>
      </c>
      <c r="E40" s="66"/>
      <c r="F40" s="67">
        <v>0</v>
      </c>
    </row>
    <row r="41" spans="1:6" ht="11.75" customHeight="1" x14ac:dyDescent="0.15">
      <c r="A41" s="66" t="s">
        <v>747</v>
      </c>
      <c r="B41" s="66" t="s">
        <v>748</v>
      </c>
      <c r="C41" s="66" t="s">
        <v>901</v>
      </c>
      <c r="D41" s="67">
        <v>67400</v>
      </c>
      <c r="E41" s="66"/>
      <c r="F41" s="67">
        <v>0</v>
      </c>
    </row>
    <row r="42" spans="1:6" ht="11.75" customHeight="1" x14ac:dyDescent="0.15">
      <c r="A42" s="66" t="s">
        <v>749</v>
      </c>
      <c r="B42" s="66" t="s">
        <v>750</v>
      </c>
      <c r="C42" s="66" t="s">
        <v>901</v>
      </c>
      <c r="D42" s="67">
        <v>6600</v>
      </c>
      <c r="E42" s="66"/>
      <c r="F42" s="67">
        <v>0</v>
      </c>
    </row>
    <row r="43" spans="1:6" ht="11.75" customHeight="1" x14ac:dyDescent="0.15">
      <c r="A43" s="66" t="s">
        <v>751</v>
      </c>
      <c r="B43" s="66" t="s">
        <v>752</v>
      </c>
      <c r="C43" s="66" t="s">
        <v>901</v>
      </c>
      <c r="D43" s="67">
        <v>15175</v>
      </c>
      <c r="E43" s="66"/>
      <c r="F43" s="67">
        <v>0</v>
      </c>
    </row>
    <row r="44" spans="1:6" ht="11.75" customHeight="1" x14ac:dyDescent="0.15">
      <c r="A44" s="66" t="s">
        <v>771</v>
      </c>
      <c r="B44" s="66" t="s">
        <v>902</v>
      </c>
      <c r="C44" s="66" t="s">
        <v>901</v>
      </c>
      <c r="D44" s="67">
        <v>187359.89</v>
      </c>
      <c r="E44" s="66"/>
      <c r="F44" s="67">
        <v>0</v>
      </c>
    </row>
    <row r="45" spans="1:6" ht="11.75" customHeight="1" x14ac:dyDescent="0.15">
      <c r="A45" s="66" t="s">
        <v>773</v>
      </c>
      <c r="B45" s="66" t="s">
        <v>774</v>
      </c>
      <c r="C45" s="66" t="s">
        <v>901</v>
      </c>
      <c r="D45" s="67">
        <v>2331207.06</v>
      </c>
      <c r="E45" s="66"/>
      <c r="F45" s="67">
        <v>0</v>
      </c>
    </row>
    <row r="46" spans="1:6" ht="11.75" customHeight="1" x14ac:dyDescent="0.15">
      <c r="A46" s="66" t="s">
        <v>775</v>
      </c>
      <c r="B46" s="66" t="s">
        <v>903</v>
      </c>
      <c r="C46" s="66" t="s">
        <v>901</v>
      </c>
      <c r="D46" s="67">
        <v>782608.07</v>
      </c>
      <c r="E46" s="66"/>
      <c r="F46" s="67">
        <v>0</v>
      </c>
    </row>
    <row r="47" spans="1:6" ht="11.75" customHeight="1" x14ac:dyDescent="0.15">
      <c r="A47" s="66" t="s">
        <v>758</v>
      </c>
      <c r="B47" s="66" t="s">
        <v>759</v>
      </c>
      <c r="C47" s="66" t="s">
        <v>901</v>
      </c>
      <c r="D47" s="67">
        <v>129550</v>
      </c>
      <c r="E47" s="66"/>
      <c r="F47" s="67">
        <v>0</v>
      </c>
    </row>
    <row r="48" spans="1:6" ht="11.75" customHeight="1" x14ac:dyDescent="0.15">
      <c r="A48" s="66" t="s">
        <v>760</v>
      </c>
      <c r="B48" s="66" t="s">
        <v>761</v>
      </c>
      <c r="C48" s="66" t="s">
        <v>901</v>
      </c>
      <c r="D48" s="67">
        <v>45000</v>
      </c>
      <c r="E48" s="66"/>
      <c r="F48" s="67">
        <v>0</v>
      </c>
    </row>
    <row r="49" spans="1:6" ht="11.75" customHeight="1" x14ac:dyDescent="0.15">
      <c r="A49" s="66" t="s">
        <v>762</v>
      </c>
      <c r="B49" s="66" t="s">
        <v>763</v>
      </c>
      <c r="C49" s="66" t="s">
        <v>901</v>
      </c>
      <c r="D49" s="67">
        <v>54000</v>
      </c>
      <c r="E49" s="66"/>
      <c r="F49" s="67">
        <v>0</v>
      </c>
    </row>
    <row r="50" spans="1:6" ht="11.75" customHeight="1" x14ac:dyDescent="0.15">
      <c r="A50" s="66" t="s">
        <v>756</v>
      </c>
      <c r="B50" s="66" t="s">
        <v>764</v>
      </c>
      <c r="C50" s="66" t="s">
        <v>901</v>
      </c>
      <c r="D50" s="67">
        <v>739809.84</v>
      </c>
      <c r="E50" s="66"/>
      <c r="F50" s="67">
        <v>0</v>
      </c>
    </row>
    <row r="51" spans="1:6" ht="11.75" customHeight="1" x14ac:dyDescent="0.15">
      <c r="A51" s="66" t="s">
        <v>765</v>
      </c>
      <c r="B51" s="66" t="s">
        <v>766</v>
      </c>
      <c r="C51" s="66" t="s">
        <v>901</v>
      </c>
      <c r="D51" s="67">
        <v>622274.51</v>
      </c>
      <c r="E51" s="66"/>
      <c r="F51" s="67">
        <v>0</v>
      </c>
    </row>
    <row r="52" spans="1:6" ht="11.75" customHeight="1" x14ac:dyDescent="0.15">
      <c r="A52" s="66" t="s">
        <v>957</v>
      </c>
      <c r="B52" s="66" t="s">
        <v>958</v>
      </c>
      <c r="C52" s="66" t="s">
        <v>901</v>
      </c>
      <c r="D52" s="67">
        <v>300000</v>
      </c>
      <c r="E52" s="66"/>
      <c r="F52" s="67">
        <v>0</v>
      </c>
    </row>
    <row r="53" spans="1:6" ht="11.75" customHeight="1" x14ac:dyDescent="0.15">
      <c r="A53" s="66" t="s">
        <v>908</v>
      </c>
      <c r="B53" s="66" t="s">
        <v>909</v>
      </c>
      <c r="C53" s="66" t="s">
        <v>910</v>
      </c>
      <c r="D53" s="67">
        <v>25029.19</v>
      </c>
      <c r="E53" s="66"/>
      <c r="F53" s="67">
        <v>0</v>
      </c>
    </row>
    <row r="54" spans="1:6" ht="11.75" customHeight="1" x14ac:dyDescent="0.15">
      <c r="A54" s="66" t="s">
        <v>963</v>
      </c>
      <c r="B54" s="66" t="s">
        <v>964</v>
      </c>
      <c r="C54" s="66" t="s">
        <v>910</v>
      </c>
      <c r="D54" s="67">
        <v>0</v>
      </c>
      <c r="E54" s="66"/>
      <c r="F54" s="67">
        <v>14355136.609999999</v>
      </c>
    </row>
    <row r="55" spans="1:6" ht="11.75" customHeight="1" x14ac:dyDescent="0.15">
      <c r="A55" s="66" t="s">
        <v>911</v>
      </c>
      <c r="B55" s="66" t="s">
        <v>912</v>
      </c>
      <c r="C55" s="66" t="s">
        <v>910</v>
      </c>
      <c r="D55" s="67">
        <v>784.95</v>
      </c>
      <c r="E55" s="66"/>
      <c r="F55" s="67">
        <v>0</v>
      </c>
    </row>
    <row r="56" spans="1:6" ht="11.75" customHeight="1" x14ac:dyDescent="0.15">
      <c r="A56" s="66" t="s">
        <v>913</v>
      </c>
      <c r="B56" s="66" t="s">
        <v>914</v>
      </c>
      <c r="C56" s="66" t="s">
        <v>910</v>
      </c>
      <c r="D56" s="67">
        <v>4416019.37</v>
      </c>
      <c r="E56" s="66"/>
      <c r="F56" s="67">
        <v>0</v>
      </c>
    </row>
    <row r="57" spans="1:6" ht="11.75" customHeight="1" x14ac:dyDescent="0.15">
      <c r="A57" s="66" t="s">
        <v>915</v>
      </c>
      <c r="B57" s="66" t="s">
        <v>916</v>
      </c>
      <c r="C57" s="66" t="s">
        <v>917</v>
      </c>
      <c r="D57" s="67">
        <v>3338000</v>
      </c>
      <c r="E57" s="66"/>
      <c r="F57" s="67">
        <v>0</v>
      </c>
    </row>
    <row r="58" spans="1:6" ht="11.75" customHeight="1" x14ac:dyDescent="0.15">
      <c r="A58" s="66" t="s">
        <v>926</v>
      </c>
      <c r="B58" s="66" t="s">
        <v>927</v>
      </c>
      <c r="C58" s="66" t="s">
        <v>928</v>
      </c>
      <c r="D58" s="67">
        <v>0.01</v>
      </c>
      <c r="E58" s="66"/>
      <c r="F58" s="67">
        <v>0</v>
      </c>
    </row>
    <row r="59" spans="1:6" ht="11.75" customHeight="1" x14ac:dyDescent="0.15">
      <c r="A59" s="66" t="s">
        <v>929</v>
      </c>
      <c r="B59" s="66" t="s">
        <v>930</v>
      </c>
      <c r="C59" s="66" t="s">
        <v>928</v>
      </c>
      <c r="D59" s="66"/>
      <c r="E59" s="67">
        <v>46223248.030000001</v>
      </c>
      <c r="F59" s="67">
        <v>-14355136.609999999</v>
      </c>
    </row>
    <row r="60" spans="1:6" ht="11.75" customHeight="1" x14ac:dyDescent="0.15">
      <c r="A60" s="66" t="s">
        <v>959</v>
      </c>
      <c r="B60" s="66" t="s">
        <v>960</v>
      </c>
      <c r="C60" s="66" t="s">
        <v>935</v>
      </c>
      <c r="D60" s="66"/>
      <c r="E60" s="67">
        <v>6223.51</v>
      </c>
      <c r="F60" s="67">
        <v>0</v>
      </c>
    </row>
    <row r="61" spans="1:6" ht="11.75" customHeight="1" x14ac:dyDescent="0.15">
      <c r="A61" s="66" t="s">
        <v>931</v>
      </c>
      <c r="B61" s="66" t="s">
        <v>932</v>
      </c>
      <c r="C61" s="66" t="s">
        <v>928</v>
      </c>
      <c r="D61" s="67">
        <v>830091.07</v>
      </c>
      <c r="E61" s="66"/>
      <c r="F61" s="67">
        <v>0</v>
      </c>
    </row>
    <row r="62" spans="1:6" ht="11.75" customHeight="1" x14ac:dyDescent="0.15">
      <c r="A62" s="66" t="s">
        <v>936</v>
      </c>
      <c r="B62" s="66" t="s">
        <v>937</v>
      </c>
      <c r="C62" s="66" t="s">
        <v>938</v>
      </c>
      <c r="D62" s="66"/>
      <c r="E62" s="67">
        <v>100</v>
      </c>
      <c r="F62" s="67">
        <v>0</v>
      </c>
    </row>
    <row r="63" spans="1:6" ht="11.75" customHeight="1" x14ac:dyDescent="0.15">
      <c r="A63" s="68" t="s">
        <v>12</v>
      </c>
      <c r="B63" s="68"/>
      <c r="C63" s="68"/>
      <c r="D63" s="69">
        <f>SUM(D6:D62)</f>
        <v>64101319.230000004</v>
      </c>
      <c r="E63" s="69">
        <f>SUM(E6:E62)</f>
        <v>64101319.229999997</v>
      </c>
      <c r="F63" s="69">
        <f>SUM(F6:F62)</f>
        <v>0</v>
      </c>
    </row>
  </sheetData>
  <mergeCells count="3">
    <mergeCell ref="A1:F1"/>
    <mergeCell ref="A2:F2"/>
    <mergeCell ref="A3:F3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60"/>
  <sheetViews>
    <sheetView tabSelected="1" zoomScale="80" zoomScaleNormal="80" workbookViewId="0">
      <pane xSplit="1" ySplit="2" topLeftCell="B7" activePane="bottomRight" state="frozen"/>
      <selection activeCell="C14" sqref="C14"/>
      <selection pane="topRight" activeCell="C14" sqref="C14"/>
      <selection pane="bottomLeft" activeCell="C14" sqref="C14"/>
      <selection pane="bottomRight" activeCell="H23" sqref="H23"/>
    </sheetView>
  </sheetViews>
  <sheetFormatPr baseColWidth="10" defaultColWidth="8.83203125" defaultRowHeight="15" x14ac:dyDescent="0.2"/>
  <cols>
    <col min="1" max="1" width="29.1640625" bestFit="1" customWidth="1"/>
    <col min="2" max="3" width="15.5" style="127" bestFit="1" customWidth="1"/>
    <col min="4" max="16" width="15.5" bestFit="1" customWidth="1"/>
    <col min="17" max="17" width="14.6640625" bestFit="1" customWidth="1"/>
    <col min="18" max="18" width="13.5" bestFit="1" customWidth="1"/>
  </cols>
  <sheetData>
    <row r="1" spans="1:17" x14ac:dyDescent="0.2">
      <c r="B1" s="134" t="s">
        <v>70</v>
      </c>
      <c r="C1" s="134" t="s">
        <v>70</v>
      </c>
      <c r="D1" s="25" t="s">
        <v>71</v>
      </c>
      <c r="E1" s="25" t="s">
        <v>71</v>
      </c>
      <c r="F1" s="25" t="s">
        <v>71</v>
      </c>
      <c r="G1" s="25" t="s">
        <v>71</v>
      </c>
      <c r="H1" s="25" t="s">
        <v>71</v>
      </c>
      <c r="I1" s="25" t="s">
        <v>71</v>
      </c>
      <c r="J1" s="25" t="s">
        <v>71</v>
      </c>
      <c r="K1" s="25" t="s">
        <v>71</v>
      </c>
      <c r="L1" s="25" t="s">
        <v>71</v>
      </c>
      <c r="M1" s="25" t="s">
        <v>71</v>
      </c>
      <c r="N1" s="25" t="s">
        <v>71</v>
      </c>
      <c r="O1" s="25" t="s">
        <v>71</v>
      </c>
      <c r="P1" s="25" t="s">
        <v>71</v>
      </c>
    </row>
    <row r="2" spans="1:17" x14ac:dyDescent="0.2">
      <c r="A2" s="25" t="s">
        <v>72</v>
      </c>
      <c r="B2" s="126" t="s">
        <v>73</v>
      </c>
      <c r="C2" s="126" t="s">
        <v>74</v>
      </c>
      <c r="D2" s="26" t="s">
        <v>75</v>
      </c>
      <c r="E2" s="26" t="s">
        <v>76</v>
      </c>
      <c r="F2" s="26" t="s">
        <v>77</v>
      </c>
      <c r="G2" s="26" t="s">
        <v>78</v>
      </c>
      <c r="H2" s="26" t="s">
        <v>79</v>
      </c>
      <c r="I2" s="26" t="s">
        <v>80</v>
      </c>
      <c r="J2" s="26" t="s">
        <v>81</v>
      </c>
      <c r="K2" s="26" t="s">
        <v>82</v>
      </c>
      <c r="L2" s="26" t="s">
        <v>83</v>
      </c>
      <c r="M2" s="26" t="s">
        <v>84</v>
      </c>
      <c r="N2" s="26" t="s">
        <v>85</v>
      </c>
      <c r="O2" s="26" t="s">
        <v>86</v>
      </c>
      <c r="P2" s="26" t="s">
        <v>87</v>
      </c>
      <c r="Q2" s="145"/>
    </row>
    <row r="4" spans="1:17" x14ac:dyDescent="0.2">
      <c r="A4" s="25" t="s">
        <v>88</v>
      </c>
      <c r="B4" s="128">
        <f t="shared" ref="B4:P4" si="0">SUM(B6:B8)</f>
        <v>62236178.719999999</v>
      </c>
      <c r="C4" s="128">
        <f t="shared" si="0"/>
        <v>63550870.029999994</v>
      </c>
      <c r="D4" s="5">
        <f t="shared" si="0"/>
        <v>63550870.029999994</v>
      </c>
      <c r="E4" s="5">
        <f t="shared" si="0"/>
        <v>64865461.339999996</v>
      </c>
      <c r="F4" s="5">
        <f t="shared" si="0"/>
        <v>66180052.649999999</v>
      </c>
      <c r="G4" s="5">
        <f t="shared" si="0"/>
        <v>67494643.960000008</v>
      </c>
      <c r="H4" s="5">
        <f t="shared" si="0"/>
        <v>68809235.270000011</v>
      </c>
      <c r="I4" s="5">
        <f t="shared" si="0"/>
        <v>70123826.580000013</v>
      </c>
      <c r="J4" s="5">
        <f t="shared" si="0"/>
        <v>71438417.890000015</v>
      </c>
      <c r="K4" s="5">
        <f t="shared" si="0"/>
        <v>72763873.260000005</v>
      </c>
      <c r="L4" s="5">
        <f t="shared" si="0"/>
        <v>73238727.540000007</v>
      </c>
      <c r="M4" s="5">
        <f t="shared" si="0"/>
        <v>74553318.850000009</v>
      </c>
      <c r="N4" s="5">
        <f t="shared" si="0"/>
        <v>74553318.850000009</v>
      </c>
      <c r="O4" s="5">
        <f t="shared" si="0"/>
        <v>74553318.850000009</v>
      </c>
      <c r="P4" s="5">
        <f t="shared" si="0"/>
        <v>74553318.850000009</v>
      </c>
    </row>
    <row r="6" spans="1:17" x14ac:dyDescent="0.2">
      <c r="A6" t="s">
        <v>89</v>
      </c>
      <c r="B6" s="129">
        <f>'TB HF 2023'!E6+SUM('2024 Xero HF  '!L8:O8)</f>
        <v>62020956.539999999</v>
      </c>
      <c r="C6" s="129">
        <f>'TB HF 2023'!E6+SUM('2024 Xero HF  '!K8:O8)</f>
        <v>63335647.849999994</v>
      </c>
      <c r="D6" s="29">
        <f>'TB HF 2023'!E6+SUM('2024 Xero HF  '!J8:O8)</f>
        <v>63335647.849999994</v>
      </c>
      <c r="E6" s="29">
        <f>'TB HF 2023'!E6+SUM('2024 Xero HF  '!I8:O8)</f>
        <v>64650239.159999996</v>
      </c>
      <c r="F6" s="29">
        <f>'TB HF 2023'!E6+SUM('2024 Xero HF  '!H8:O8)</f>
        <v>65964830.469999999</v>
      </c>
      <c r="G6" s="29">
        <f>'TB HF 2023'!E6+SUM('2024 Xero HF  '!G8:O8)</f>
        <v>67279421.780000001</v>
      </c>
      <c r="H6" s="29">
        <f>'TB HF 2023'!E6+SUM('2024 Xero HF  '!F8:O8)</f>
        <v>68594013.090000004</v>
      </c>
      <c r="I6" s="29">
        <f>'TB HF 2023'!E6+SUM('2024 Xero HF  '!E8:O8)</f>
        <v>69908604.400000006</v>
      </c>
      <c r="J6" s="29">
        <f>'TB HF 2023'!E6+SUM('2024 Xero HF  '!D8:O8)</f>
        <v>71223195.710000008</v>
      </c>
      <c r="K6" s="29">
        <f>'TB HF 2023'!E6+SUM('2024 Xero HF  '!D8:O8)+SUM('2025 Xero HF'!O8)</f>
        <v>72537787.020000011</v>
      </c>
      <c r="L6" s="29">
        <f>'TB HF 2023'!E6+SUM('2024 Xero HF  '!D8:O8)+SUM('2025 Xero HF'!N8:O8)</f>
        <v>72994191.300000012</v>
      </c>
      <c r="M6" s="29">
        <f>'TB HF 2023'!E6+SUM('2024 Xero HF  '!D8:O8)+SUM('2025 Xero HF'!M8:O8)</f>
        <v>74308782.610000014</v>
      </c>
      <c r="N6" s="29">
        <f>'TB HF 2023'!E6+SUM('2024 Xero HF  '!D8:O8)+SUM('2025 Xero HF'!L8:O8)</f>
        <v>74308782.610000014</v>
      </c>
      <c r="O6" s="29">
        <f>'TB HF 2023'!E6+SUM('2024 Xero HF  '!D8:O8)+SUM('2025 Xero HF'!K8:O8)</f>
        <v>74308782.610000014</v>
      </c>
      <c r="P6" s="29">
        <f>'TB HF 2023'!E6+SUM('2024 Xero HF  '!D8:O8)+SUM('2025 Xero HF'!J8:O8)</f>
        <v>74308782.610000014</v>
      </c>
    </row>
    <row r="7" spans="1:17" x14ac:dyDescent="0.2">
      <c r="A7" t="s">
        <v>90</v>
      </c>
      <c r="B7" s="130">
        <f>'TB HF 2023'!E7+'2024 Xero HF  '!C9</f>
        <v>215222.18</v>
      </c>
      <c r="C7" s="130">
        <f>'TB HF 2023'!E7+SUM('2024 Xero HF  '!K9:O9)</f>
        <v>215222.18</v>
      </c>
      <c r="D7" s="30">
        <f>'TB HF 2023'!E7+SUM('2024 Xero HF  '!J9:O9)</f>
        <v>215222.18</v>
      </c>
      <c r="E7" s="30">
        <f>'TB HF 2023'!E7+SUM('2024 Xero HF  '!I9:O9)</f>
        <v>215222.18</v>
      </c>
      <c r="F7" s="30">
        <f>'TB HF 2023'!E7+SUM('2024 Xero HF  '!H9:O9)</f>
        <v>215222.18</v>
      </c>
      <c r="G7" s="30">
        <f>'TB HF 2023'!E7+SUM('2024 Xero HF  '!G9:O9)</f>
        <v>215222.18</v>
      </c>
      <c r="H7" s="30">
        <f>'TB HF 2023'!E7+SUM('2024 Xero HF  '!F9:O9)</f>
        <v>215222.18</v>
      </c>
      <c r="I7" s="30">
        <f>'TB HF 2023'!E7+SUM('2024 Xero HF  '!E9:O9)</f>
        <v>215222.18</v>
      </c>
      <c r="J7" s="30">
        <f>'TB HF 2023'!E7+SUM('2024 Xero HF  '!D9:O9)</f>
        <v>215222.18</v>
      </c>
      <c r="K7" s="30">
        <f>'TB HF 2023'!E7+SUM('2024 Xero HF  '!D9:O9)+SUM('2025 Xero HF'!O9)</f>
        <v>226086.24</v>
      </c>
      <c r="L7" s="30">
        <f>'TB HF 2023'!E7+SUM('2024 Xero HF  '!D9:O9)+SUM('2025 Xero HF'!N9:O9)</f>
        <v>244536.24</v>
      </c>
      <c r="M7" s="30">
        <f>'TB HF 2023'!E7+SUM('2024 Xero HF  '!D9:O9)+SUM('2025 Xero HF'!M9:O9)</f>
        <v>244536.24</v>
      </c>
      <c r="N7" s="30">
        <f>'TB HF 2023'!E7+SUM('2024 Xero HF  '!D9:O9)+SUM('2025 Xero HF'!L9:O9)</f>
        <v>244536.24</v>
      </c>
      <c r="O7" s="30">
        <f>'TB HF 2023'!E7+SUM('2024 Xero HF  '!D9:O9)+SUM('2025 Xero HF'!K9:O9)</f>
        <v>244536.24</v>
      </c>
      <c r="P7" s="30">
        <f>'TB HF 2023'!E7+SUM('2024 Xero HF  '!D9:O9)+SUM('2025 Xero HF'!J9:O9)</f>
        <v>244536.24</v>
      </c>
    </row>
    <row r="9" spans="1:17" x14ac:dyDescent="0.2">
      <c r="A9" s="25" t="s">
        <v>91</v>
      </c>
      <c r="B9" s="128">
        <f t="shared" ref="B9:P9" si="1">SUM(B11:B27)</f>
        <v>80556348.094999999</v>
      </c>
      <c r="C9" s="128">
        <f t="shared" si="1"/>
        <v>81322406.034999982</v>
      </c>
      <c r="D9" s="5">
        <f t="shared" si="1"/>
        <v>81322406.034999982</v>
      </c>
      <c r="E9" s="5">
        <f t="shared" si="1"/>
        <v>80874797.334999993</v>
      </c>
      <c r="F9" s="5">
        <f t="shared" si="1"/>
        <v>81288601.664999992</v>
      </c>
      <c r="G9" s="5">
        <f t="shared" si="1"/>
        <v>81702405.99499999</v>
      </c>
      <c r="H9" s="5">
        <f t="shared" si="1"/>
        <v>82218812.605000004</v>
      </c>
      <c r="I9" s="5">
        <f t="shared" si="1"/>
        <v>82632616.935000002</v>
      </c>
      <c r="J9" s="5">
        <f t="shared" si="1"/>
        <v>83046421.265000001</v>
      </c>
      <c r="K9" s="5">
        <f t="shared" si="1"/>
        <v>83810822.844999984</v>
      </c>
      <c r="L9" s="5">
        <f t="shared" si="1"/>
        <v>84665915.334999993</v>
      </c>
      <c r="M9" s="5">
        <f t="shared" si="1"/>
        <v>85239050.044999987</v>
      </c>
      <c r="N9" s="5">
        <f t="shared" si="1"/>
        <v>85136015.474999979</v>
      </c>
      <c r="O9" s="5">
        <f t="shared" si="1"/>
        <v>85136015.474999979</v>
      </c>
      <c r="P9" s="5">
        <f t="shared" si="1"/>
        <v>85507559.388043463</v>
      </c>
    </row>
    <row r="11" spans="1:17" x14ac:dyDescent="0.2">
      <c r="A11" t="s">
        <v>92</v>
      </c>
      <c r="B11" s="129">
        <f>SUM(CPC!C33:D42)+SUM('CPC 24'!J18:M22)</f>
        <v>36456029.539999992</v>
      </c>
      <c r="C11" s="129">
        <f>SUM(CPC!C33:D42)+SUM('CPC 24'!I18:M22)</f>
        <v>36612568.919999994</v>
      </c>
      <c r="D11" s="29">
        <f>SUM(CPC!C33:D42)+SUM('CPC 24'!H18:M22)</f>
        <v>36612568.919999994</v>
      </c>
      <c r="E11" s="29">
        <f>SUM(CPC!C33:D42)+SUM('CPC 24'!G18:M22)</f>
        <v>36612568.919999994</v>
      </c>
      <c r="F11" s="29">
        <f>SUM(CPC!C33:D42)+SUM('CPC 24'!F18:M22)</f>
        <v>36612568.919999994</v>
      </c>
      <c r="G11" s="29">
        <f>SUM(CPC!C33:D42)+SUM('CPC 24'!E18:M22)</f>
        <v>36612568.919999994</v>
      </c>
      <c r="H11" s="29">
        <f>SUM(CPC!C33:D42)+SUM('CPC 24'!D18:M22)</f>
        <v>36612568.919999994</v>
      </c>
      <c r="I11" s="29">
        <f>SUM(CPC!C33:D42)+SUM('CPC 24'!C18:M22)</f>
        <v>36612568.919999994</v>
      </c>
      <c r="J11" s="29">
        <f>SUM(CPC!C33:D42)+SUM('CPC 24'!B18:M22)</f>
        <v>36612568.919999994</v>
      </c>
      <c r="K11" s="29">
        <f>SUM(CPC!C33:D42)+SUM('CPC 24'!B18:M22)+SUM('CPC 25'!M18:M22)</f>
        <v>36612568.919999994</v>
      </c>
      <c r="L11" s="29">
        <f>SUM(CPC!C33:D42)+SUM('CPC 24'!B18:M22)+SUM('CPC 25'!L18:M22)</f>
        <v>36612568.919999994</v>
      </c>
      <c r="M11" s="29">
        <f>SUM(CPC!C33:D42)+SUM('CPC 24'!B18:M22)+SUM('CPC 25'!K18:M22)</f>
        <v>36612568.919999994</v>
      </c>
      <c r="N11" s="29">
        <f>SUM(CPC!C33:D42)+SUM('CPC 24'!B18:M22)+SUM('CPC 25'!J18:M22)</f>
        <v>36612568.919999994</v>
      </c>
      <c r="O11" s="29">
        <f>SUM(CPC!C33:D42)+SUM('CPC 24'!B18:M22)+SUM('CPC 25'!I18:M22)</f>
        <v>36612568.919999994</v>
      </c>
      <c r="P11" s="29">
        <f>SUM(CPC!C33:D42)+SUM('CPC 24'!B18:M22)+SUM('CPC 25'!H18:M22)</f>
        <v>36612568.919999994</v>
      </c>
    </row>
    <row r="12" spans="1:17" x14ac:dyDescent="0.2">
      <c r="A12" t="s">
        <v>93</v>
      </c>
      <c r="B12" s="131">
        <v>4484656</v>
      </c>
      <c r="C12" s="131">
        <v>4484656</v>
      </c>
      <c r="D12" s="31">
        <v>4484656</v>
      </c>
      <c r="E12" s="31">
        <v>4484656</v>
      </c>
      <c r="F12" s="31">
        <v>4484656</v>
      </c>
      <c r="G12" s="31">
        <v>4484656</v>
      </c>
      <c r="H12" s="31">
        <v>4484656</v>
      </c>
      <c r="I12" s="31">
        <v>4484656</v>
      </c>
      <c r="J12" s="31">
        <v>4484656</v>
      </c>
      <c r="K12" s="31">
        <v>4484656</v>
      </c>
      <c r="L12" s="31">
        <v>4484656</v>
      </c>
      <c r="M12" s="31">
        <v>4484656</v>
      </c>
      <c r="N12" s="31">
        <v>4484656</v>
      </c>
      <c r="O12" s="31">
        <v>4484656</v>
      </c>
      <c r="P12" s="31">
        <v>4484656</v>
      </c>
    </row>
    <row r="13" spans="1:17" x14ac:dyDescent="0.2">
      <c r="A13" t="s">
        <v>94</v>
      </c>
      <c r="B13" s="131">
        <f>'DEVELOPERS FEES'!C27-'Heron Fields'!B16-B17-B18</f>
        <v>2765280.6999999983</v>
      </c>
      <c r="C13" s="131">
        <f>'DEVELOPERS FEES'!C27-'Heron Fields'!C16-C17-C18</f>
        <v>2765280.6999999983</v>
      </c>
      <c r="D13" s="31">
        <f>'DEVELOPERS FEES'!C27-'Heron Fields'!D16-D17-D18</f>
        <v>2765280.6999999983</v>
      </c>
      <c r="E13" s="31">
        <f>'DEVELOPERS FEES'!C27-'Heron Fields'!E16-E17-E18</f>
        <v>2765280.6999999983</v>
      </c>
      <c r="F13" s="31">
        <f>'DEVELOPERS FEES'!C27-'Heron Fields'!F16-F17-F18</f>
        <v>2765280.6999999983</v>
      </c>
      <c r="G13" s="31">
        <f>'DEVELOPERS FEES'!C27-'Heron Fields'!G16-G17-G18</f>
        <v>2765280.6999999983</v>
      </c>
      <c r="H13" s="31">
        <f>'DEVELOPERS FEES'!C27-'Heron Fields'!H16-H17-H18</f>
        <v>2765280.6999999983</v>
      </c>
      <c r="I13" s="31">
        <f>'DEVELOPERS FEES'!C27-'Heron Fields'!I16-I17-I18</f>
        <v>2765280.6999999983</v>
      </c>
      <c r="J13" s="31">
        <f>'DEVELOPERS FEES'!C27-'Heron Fields'!J16-J17-J18</f>
        <v>2765280.6999999983</v>
      </c>
      <c r="K13" s="31">
        <f>'DEVELOPERS FEES'!C27-'Heron Fields'!K16-K17-K18</f>
        <v>2765280.6999999983</v>
      </c>
      <c r="L13" s="31">
        <f>'DEVELOPERS FEES'!C27-'Heron Fields'!L16-L17-L18</f>
        <v>2765280.6999999983</v>
      </c>
      <c r="M13" s="31">
        <f>'DEVELOPERS FEES'!C27-'Heron Fields'!M16-M17-M18</f>
        <v>2765280.6999999983</v>
      </c>
      <c r="N13" s="31">
        <f>'DEVELOPERS FEES'!C27-'Heron Fields'!N16-N17-N18</f>
        <v>2765280.6999999983</v>
      </c>
      <c r="O13" s="31">
        <f>'DEVELOPERS FEES'!C27-'Heron Fields'!O16-O17-O18</f>
        <v>2765280.6999999983</v>
      </c>
      <c r="P13" s="31">
        <f>'DEVELOPERS FEES'!C27-'Heron Fields'!P16-P17-P18</f>
        <v>2765280.6999999983</v>
      </c>
    </row>
    <row r="14" spans="1:17" x14ac:dyDescent="0.2">
      <c r="A14" t="s">
        <v>95</v>
      </c>
      <c r="B14" s="131">
        <f>'DEVELOPERS FEES'!C31</f>
        <v>3553765.73</v>
      </c>
      <c r="C14" s="131">
        <f>'DEVELOPERS FEES'!C31</f>
        <v>3553765.73</v>
      </c>
      <c r="D14" s="31">
        <f>'DEVELOPERS FEES'!C31</f>
        <v>3553765.73</v>
      </c>
      <c r="E14" s="31">
        <f>'DEVELOPERS FEES'!C31</f>
        <v>3553765.73</v>
      </c>
      <c r="F14" s="31">
        <f>'DEVELOPERS FEES'!C31</f>
        <v>3553765.73</v>
      </c>
      <c r="G14" s="31">
        <f>'DEVELOPERS FEES'!C31</f>
        <v>3553765.73</v>
      </c>
      <c r="H14" s="31">
        <f>'DEVELOPERS FEES'!C31</f>
        <v>3553765.73</v>
      </c>
      <c r="I14" s="31">
        <f>'DEVELOPERS FEES'!C31</f>
        <v>3553765.73</v>
      </c>
      <c r="J14" s="31">
        <f>'DEVELOPERS FEES'!C31</f>
        <v>3553765.73</v>
      </c>
      <c r="K14" s="31">
        <f>'DEVELOPERS FEES'!C31</f>
        <v>3553765.73</v>
      </c>
      <c r="L14" s="31">
        <f>'DEVELOPERS FEES'!C31</f>
        <v>3553765.73</v>
      </c>
      <c r="M14" s="31">
        <f>'DEVELOPERS FEES'!C31</f>
        <v>3553765.73</v>
      </c>
      <c r="N14" s="31">
        <f>'DEVELOPERS FEES'!C31</f>
        <v>3553765.73</v>
      </c>
      <c r="O14" s="31">
        <f>'DEVELOPERS FEES'!C31</f>
        <v>3553765.73</v>
      </c>
      <c r="P14" s="31">
        <f>'DEVELOPERS FEES'!C31</f>
        <v>3553765.73</v>
      </c>
    </row>
    <row r="15" spans="1:17" x14ac:dyDescent="0.2">
      <c r="A15" t="s">
        <v>96</v>
      </c>
      <c r="B15" s="131">
        <f>'DEVELOPERS FEES'!C30</f>
        <v>3850818.04</v>
      </c>
      <c r="C15" s="131">
        <f t="shared" ref="C15:P15" si="2">B15</f>
        <v>3850818.04</v>
      </c>
      <c r="D15" s="31">
        <f t="shared" si="2"/>
        <v>3850818.04</v>
      </c>
      <c r="E15" s="31">
        <f t="shared" si="2"/>
        <v>3850818.04</v>
      </c>
      <c r="F15" s="31">
        <f t="shared" si="2"/>
        <v>3850818.04</v>
      </c>
      <c r="G15" s="31">
        <f t="shared" si="2"/>
        <v>3850818.04</v>
      </c>
      <c r="H15" s="31">
        <f t="shared" si="2"/>
        <v>3850818.04</v>
      </c>
      <c r="I15" s="31">
        <f t="shared" si="2"/>
        <v>3850818.04</v>
      </c>
      <c r="J15" s="31">
        <f t="shared" si="2"/>
        <v>3850818.04</v>
      </c>
      <c r="K15" s="31">
        <f t="shared" si="2"/>
        <v>3850818.04</v>
      </c>
      <c r="L15" s="31">
        <f t="shared" si="2"/>
        <v>3850818.04</v>
      </c>
      <c r="M15" s="31">
        <f t="shared" si="2"/>
        <v>3850818.04</v>
      </c>
      <c r="N15" s="31">
        <f t="shared" si="2"/>
        <v>3850818.04</v>
      </c>
      <c r="O15" s="31">
        <f t="shared" si="2"/>
        <v>3850818.04</v>
      </c>
      <c r="P15" s="31">
        <f t="shared" si="2"/>
        <v>3850818.04</v>
      </c>
    </row>
    <row r="16" spans="1:17" x14ac:dyDescent="0.2">
      <c r="A16" t="s">
        <v>97</v>
      </c>
      <c r="B16" s="131">
        <f>'DEVELOPERS FEES'!C3</f>
        <v>6870222.222222222</v>
      </c>
      <c r="C16" s="131">
        <f>'DEVELOPERS FEES'!C3</f>
        <v>6870222.222222222</v>
      </c>
      <c r="D16" s="31">
        <f>'DEVELOPERS FEES'!C3</f>
        <v>6870222.222222222</v>
      </c>
      <c r="E16" s="31">
        <f>'DEVELOPERS FEES'!C3</f>
        <v>6870222.222222222</v>
      </c>
      <c r="F16" s="31">
        <f>'DEVELOPERS FEES'!C3</f>
        <v>6870222.222222222</v>
      </c>
      <c r="G16" s="31">
        <f>'DEVELOPERS FEES'!C3</f>
        <v>6870222.222222222</v>
      </c>
      <c r="H16" s="31">
        <f>'DEVELOPERS FEES'!C3</f>
        <v>6870222.222222222</v>
      </c>
      <c r="I16" s="31">
        <f>'DEVELOPERS FEES'!C3</f>
        <v>6870222.222222222</v>
      </c>
      <c r="J16" s="31">
        <f>'DEVELOPERS FEES'!C3</f>
        <v>6870222.222222222</v>
      </c>
      <c r="K16" s="31">
        <f>'DEVELOPERS FEES'!C3</f>
        <v>6870222.222222222</v>
      </c>
      <c r="L16" s="31">
        <f>'DEVELOPERS FEES'!C3</f>
        <v>6870222.222222222</v>
      </c>
      <c r="M16" s="31">
        <f>'DEVELOPERS FEES'!C3</f>
        <v>6870222.222222222</v>
      </c>
      <c r="N16" s="31">
        <f>'DEVELOPERS FEES'!C3</f>
        <v>6870222.222222222</v>
      </c>
      <c r="O16" s="31">
        <f>'DEVELOPERS FEES'!C3</f>
        <v>6870222.222222222</v>
      </c>
      <c r="P16" s="31">
        <f>'DEVELOPERS FEES'!C3</f>
        <v>6870222.222222222</v>
      </c>
    </row>
    <row r="17" spans="1:16" x14ac:dyDescent="0.2">
      <c r="A17" t="s">
        <v>98</v>
      </c>
      <c r="B17" s="131">
        <f>'DEVELOPERS FEES'!C8+'DEVELOPERS FEES'!C24+'DEVELOPERS FEES'!C25</f>
        <v>4297508.5297777783</v>
      </c>
      <c r="C17" s="131">
        <f>'DEVELOPERS FEES'!C8+'DEVELOPERS FEES'!C24+'DEVELOPERS FEES'!C25</f>
        <v>4297508.5297777783</v>
      </c>
      <c r="D17" s="31">
        <f>'DEVELOPERS FEES'!C8+'DEVELOPERS FEES'!C24+'DEVELOPERS FEES'!C25</f>
        <v>4297508.5297777783</v>
      </c>
      <c r="E17" s="31">
        <f>'DEVELOPERS FEES'!C8+'DEVELOPERS FEES'!C24+'DEVELOPERS FEES'!C25</f>
        <v>4297508.5297777783</v>
      </c>
      <c r="F17" s="31">
        <f>'DEVELOPERS FEES'!C8+'DEVELOPERS FEES'!C24+'DEVELOPERS FEES'!C25</f>
        <v>4297508.5297777783</v>
      </c>
      <c r="G17" s="31">
        <f>'DEVELOPERS FEES'!C8+'DEVELOPERS FEES'!C24+'DEVELOPERS FEES'!C25</f>
        <v>4297508.5297777783</v>
      </c>
      <c r="H17" s="31">
        <f>'DEVELOPERS FEES'!C8+'DEVELOPERS FEES'!C24+'DEVELOPERS FEES'!C25</f>
        <v>4297508.5297777783</v>
      </c>
      <c r="I17" s="31">
        <f>'DEVELOPERS FEES'!C8+'DEVELOPERS FEES'!C24+'DEVELOPERS FEES'!C25</f>
        <v>4297508.5297777783</v>
      </c>
      <c r="J17" s="31">
        <f>'DEVELOPERS FEES'!C8+'DEVELOPERS FEES'!C24+'DEVELOPERS FEES'!C25</f>
        <v>4297508.5297777783</v>
      </c>
      <c r="K17" s="31">
        <f>'DEVELOPERS FEES'!C8+'DEVELOPERS FEES'!C24+'DEVELOPERS FEES'!C25</f>
        <v>4297508.5297777783</v>
      </c>
      <c r="L17" s="31">
        <f>'DEVELOPERS FEES'!C8+'DEVELOPERS FEES'!C24+'DEVELOPERS FEES'!C25</f>
        <v>4297508.5297777783</v>
      </c>
      <c r="M17" s="31">
        <f>'DEVELOPERS FEES'!C8+'DEVELOPERS FEES'!C24+'DEVELOPERS FEES'!C25</f>
        <v>4297508.5297777783</v>
      </c>
      <c r="N17" s="31">
        <f>'DEVELOPERS FEES'!C8+'DEVELOPERS FEES'!C24+'DEVELOPERS FEES'!C25</f>
        <v>4297508.5297777783</v>
      </c>
      <c r="O17" s="31">
        <f>'DEVELOPERS FEES'!C8+'DEVELOPERS FEES'!C24+'DEVELOPERS FEES'!C25</f>
        <v>4297508.5297777783</v>
      </c>
      <c r="P17" s="31">
        <f>'DEVELOPERS FEES'!C8+'DEVELOPERS FEES'!C24+'DEVELOPERS FEES'!C25</f>
        <v>4297508.5297777783</v>
      </c>
    </row>
    <row r="18" spans="1:16" x14ac:dyDescent="0.2">
      <c r="A18" t="s">
        <v>99</v>
      </c>
      <c r="B18" s="131">
        <f>'DEVELOPERS FEES'!C22</f>
        <v>3252759.95</v>
      </c>
      <c r="C18" s="131">
        <f>'DEVELOPERS FEES'!C22</f>
        <v>3252759.95</v>
      </c>
      <c r="D18" s="31">
        <f>'DEVELOPERS FEES'!C22</f>
        <v>3252759.95</v>
      </c>
      <c r="E18" s="31">
        <f>'DEVELOPERS FEES'!C22</f>
        <v>3252759.95</v>
      </c>
      <c r="F18" s="31">
        <f>'DEVELOPERS FEES'!C22</f>
        <v>3252759.95</v>
      </c>
      <c r="G18" s="31">
        <f>'DEVELOPERS FEES'!C22</f>
        <v>3252759.95</v>
      </c>
      <c r="H18" s="31">
        <f>'DEVELOPERS FEES'!C22</f>
        <v>3252759.95</v>
      </c>
      <c r="I18" s="31">
        <f>'DEVELOPERS FEES'!C22</f>
        <v>3252759.95</v>
      </c>
      <c r="J18" s="31">
        <f>'DEVELOPERS FEES'!C22</f>
        <v>3252759.95</v>
      </c>
      <c r="K18" s="31">
        <f>'DEVELOPERS FEES'!C22</f>
        <v>3252759.95</v>
      </c>
      <c r="L18" s="31">
        <f>'DEVELOPERS FEES'!C22</f>
        <v>3252759.95</v>
      </c>
      <c r="M18" s="31">
        <f>'DEVELOPERS FEES'!C22</f>
        <v>3252759.95</v>
      </c>
      <c r="N18" s="31">
        <f>'DEVELOPERS FEES'!C22</f>
        <v>3252759.95</v>
      </c>
      <c r="O18" s="31">
        <f>'DEVELOPERS FEES'!C22</f>
        <v>3252759.95</v>
      </c>
      <c r="P18" s="31">
        <f>'DEVELOPERS FEES'!C22</f>
        <v>3252759.95</v>
      </c>
    </row>
    <row r="19" spans="1:16" x14ac:dyDescent="0.2">
      <c r="A19" t="s">
        <v>100</v>
      </c>
      <c r="B19" s="131">
        <f>SUM('TB HF 2023'!D34:D43)+SUM('2024 Xero HF  '!L44:O55)</f>
        <v>9912579.9400000013</v>
      </c>
      <c r="C19" s="131">
        <f>SUM('TB HF 2023'!D34:D43)+SUM('2024 Xero HF  '!K44:O55)</f>
        <v>10389179.940000001</v>
      </c>
      <c r="D19" s="31">
        <f>SUM('TB HF 2023'!D34:D43)+SUM('2024 Xero HF  '!J44:O55)</f>
        <v>10389179.940000001</v>
      </c>
      <c r="E19" s="31">
        <f>SUM('TB HF 2023'!D34:D43)+SUM('2024 Xero HF  '!I44:O55)</f>
        <v>10618985.41</v>
      </c>
      <c r="F19" s="31">
        <f>SUM('TB HF 2023'!D34:D43)+SUM('2024 Xero HF  '!H44:O55)</f>
        <v>10848790.880000001</v>
      </c>
      <c r="G19" s="31">
        <f>SUM('TB HF 2023'!D34:D43)+SUM('2024 Xero HF  '!G44:O55)</f>
        <v>11078596.350000005</v>
      </c>
      <c r="H19" s="31">
        <f>SUM('TB HF 2023'!D34:D43)+SUM('2024 Xero HF  '!F44:O55)</f>
        <v>11308401.82</v>
      </c>
      <c r="I19" s="31">
        <f>SUM('TB HF 2023'!D34:D43)+SUM('2024 Xero HF  '!E44:O55)</f>
        <v>11538207.289999999</v>
      </c>
      <c r="J19" s="31">
        <f>SUM('TB HF 2023'!D34:D43)+SUM('2024 Xero HF  '!D44:O55)</f>
        <v>11768012.759999998</v>
      </c>
      <c r="K19" s="31">
        <f>SUM('TB HF 2023'!D34:D43)+SUM('2024 Xero HF  '!D44:O55)+SUM('2025 Xero HF'!O43:O51)</f>
        <v>12348415.479999999</v>
      </c>
      <c r="L19" s="31">
        <f>SUM('TB HF 2023'!D34:D43)+SUM('2024 Xero HF  '!D44:O55)+SUM('2025 Xero HF'!N43:O51)</f>
        <v>13019509.109999998</v>
      </c>
      <c r="M19" s="31">
        <f>SUM('TB HF 2023'!D34:D43)+SUM('2024 Xero HF  '!D44:O55)+SUM('2025 Xero HF'!M43:O51)</f>
        <v>13255403.969999997</v>
      </c>
      <c r="N19" s="31">
        <f>SUM('TB HF 2023'!D34:D43)+SUM('2024 Xero HF  '!D44:O55)+SUM('2025 Xero HF'!L43:O51)</f>
        <v>13152369.399999999</v>
      </c>
      <c r="O19" s="31">
        <f>SUM('TB HF 2023'!D34:D43)+SUM('2024 Xero HF  '!D44:O55)+SUM('2025 Xero HF'!K43:O51)</f>
        <v>13152369.399999999</v>
      </c>
      <c r="P19" s="31">
        <f>SUM('TB HF 2023'!D34:D43)+SUM('2024 Xero HF  '!D44:O55)+SUM('2025 Xero HF'!J43:O51)</f>
        <v>13152369.399999999</v>
      </c>
    </row>
    <row r="20" spans="1:16" x14ac:dyDescent="0.2">
      <c r="A20" t="s">
        <v>101</v>
      </c>
      <c r="B20" s="131">
        <f>SUM('2023 Xero HF'!D15:O15)+SUM('2024 Xero HF  '!L15:O15)</f>
        <v>3041139.1100000003</v>
      </c>
      <c r="C20" s="131">
        <f>SUM('2023 Xero HF'!D15:O15)+SUM('2024 Xero HF  '!K15:O15)</f>
        <v>3103004.33</v>
      </c>
      <c r="D20" s="31">
        <f>SUM('2023 Xero HF'!D15:O15)+SUM('2024 Xero HF  '!J15:O15)</f>
        <v>3103004.33</v>
      </c>
      <c r="E20" s="31">
        <f>SUM('2023 Xero HF'!D15:O15)+SUM('2024 Xero HF  '!I15:O15)</f>
        <v>2658633.98</v>
      </c>
      <c r="F20" s="31">
        <f>SUM('2023 Xero HF'!D15:O15)+SUM('2024 Xero HF  '!H15:O15)</f>
        <v>2771579.5</v>
      </c>
      <c r="G20" s="31">
        <f>SUM('2023 Xero HF'!D15:O15)+SUM('2024 Xero HF  '!G15:O15)</f>
        <v>2884525.02</v>
      </c>
      <c r="H20" s="31">
        <f>SUM('2023 Xero HF'!D15:O15)+SUM('2024 Xero HF  '!F15:O15)</f>
        <v>2997470.54</v>
      </c>
      <c r="I20" s="31">
        <f>SUM('2023 Xero HF'!D15:O15)+SUM('2024 Xero HF  '!E15:O15)</f>
        <v>3110416.06</v>
      </c>
      <c r="J20" s="31">
        <f>SUM('2023 Xero HF'!D15:O15)+SUM('2024 Xero HF  '!D15:O15)</f>
        <v>3223361.58</v>
      </c>
      <c r="K20" s="31">
        <f>SUM('2023 Xero HF'!D15:O15)+SUM('2024 Xero HF  '!D15:O15)+SUM('2025 Xero HF'!O15)</f>
        <v>3336307.1</v>
      </c>
      <c r="L20" s="31">
        <f>SUM('2023 Xero HF'!D15:O15)+SUM('2024 Xero HF  '!D15:O15)+SUM('2025 Xero HF'!N15:O15)</f>
        <v>3449252.62</v>
      </c>
      <c r="M20" s="31">
        <f>SUM('2023 Xero HF'!D15:O15)+SUM('2024 Xero HF  '!D15:O15)+SUM('2025 Xero HF'!M15:O15)</f>
        <v>3715439.13</v>
      </c>
      <c r="N20" s="31">
        <f>SUM('2023 Xero HF'!D15:O15)+SUM('2024 Xero HF  '!D15:O15)+SUM('2025 Xero HF'!L15:O15)</f>
        <v>3715439.13</v>
      </c>
      <c r="O20" s="31">
        <f>SUM('2023 Xero HF'!D15:O15)+SUM('2024 Xero HF  '!D15:O15)+SUM('2025 Xero HF'!K15:O15)</f>
        <v>3715439.13</v>
      </c>
      <c r="P20" s="31">
        <f>SUM('2023 Xero HF'!D15:O15)+SUM('2024 Xero HF  '!D15:O15)+SUM('2025 Xero HF'!J15:O15)</f>
        <v>3715439.13</v>
      </c>
    </row>
    <row r="21" spans="1:16" x14ac:dyDescent="0.2">
      <c r="A21" t="s">
        <v>102</v>
      </c>
      <c r="B21" s="131">
        <f>SUM('2023 Xero HF'!D20:O21)+SUM('2024 Xero HF  '!L23:O23)</f>
        <v>1518275.87</v>
      </c>
      <c r="C21" s="131">
        <f>SUM('2023 Xero HF'!D20:O21)+SUM('2024 Xero HF  '!K23:O23)</f>
        <v>1589329.21</v>
      </c>
      <c r="D21" s="31">
        <f>SUM('2023 Xero HF'!D20:O21)+SUM('2024 Xero HF  '!J23:O23)</f>
        <v>1589329.21</v>
      </c>
      <c r="E21" s="31">
        <f>SUM('2023 Xero HF'!D20:O21)+SUM('2024 Xero HF  '!I23:O23)</f>
        <v>1356285.3900000001</v>
      </c>
      <c r="F21" s="31">
        <f>SUM('2023 Xero HF'!D20:O21)+SUM('2024 Xero HF  '!H23:O23)</f>
        <v>1427338.73</v>
      </c>
      <c r="G21" s="31">
        <f>SUM('2023 Xero HF'!D20:O21)+SUM('2024 Xero HF  '!G23:O23)</f>
        <v>1498392.07</v>
      </c>
      <c r="H21" s="31">
        <f>SUM('2023 Xero HF'!D20:O21)+SUM('2024 Xero HF  '!F23:O23)</f>
        <v>1672047.69</v>
      </c>
      <c r="I21" s="31">
        <f>SUM('2023 Xero HF'!D20:O21)+SUM('2024 Xero HF  '!E23:O23)</f>
        <v>1743101.03</v>
      </c>
      <c r="J21" s="31">
        <f>SUM('2023 Xero HF'!D20:O21)+SUM('2024 Xero HF  '!D23:O23)</f>
        <v>1814154.37</v>
      </c>
      <c r="K21" s="31">
        <f>SUM('2023 Xero HF'!D20:O21)+SUM('2024 Xero HF  '!D23:O23)+SUM('2025 Xero HF'!O23)</f>
        <v>1885207.7100000002</v>
      </c>
      <c r="L21" s="31">
        <f>SUM('2023 Xero HF'!D20:O21)+SUM('2024 Xero HF  '!D23:O23)+SUM('2025 Xero HF'!N23:O23)</f>
        <v>1956261.05</v>
      </c>
      <c r="M21" s="31">
        <f>SUM('2023 Xero HF'!D20:O21)+SUM('2024 Xero HF  '!D23:O23)+SUM('2025 Xero HF'!M23:O23)</f>
        <v>2027314.3900000001</v>
      </c>
      <c r="N21" s="31">
        <f>SUM('2023 Xero HF'!D20:O21)+SUM('2024 Xero HF  '!D23:O23)+SUM('2025 Xero HF'!L23:O23)</f>
        <v>2027314.3900000001</v>
      </c>
      <c r="O21" s="31">
        <f>SUM('2023 Xero HF'!D20:O21)+SUM('2024 Xero HF  '!D23:O23)+SUM('2025 Xero HF'!K23:O23)</f>
        <v>2027314.3900000001</v>
      </c>
      <c r="P21" s="31">
        <f>SUM('2023 Xero HF'!D20:O21)+SUM('2024 Xero HF  '!D23:O23)+SUM('2025 Xero HF'!J23:O23)</f>
        <v>2027314.3900000001</v>
      </c>
    </row>
    <row r="22" spans="1:16" x14ac:dyDescent="0.2">
      <c r="A22" t="s">
        <v>103</v>
      </c>
      <c r="B22" s="131">
        <f>SUM('2023 Xero HF'!D19:O19)+SUM('2024 Xero HF  '!L22:O22)</f>
        <v>451656.84</v>
      </c>
      <c r="C22" s="131">
        <f>SUM('2023 Xero HF'!D19:O19)+SUM('2024 Xero HF  '!K22:O22)</f>
        <v>451656.84</v>
      </c>
      <c r="D22" s="31">
        <f>SUM('2023 Xero HF'!D19:O19)+SUM('2024 Xero HF  '!J22:O22)</f>
        <v>451656.84</v>
      </c>
      <c r="E22" s="31">
        <f>SUM('2023 Xero HF'!D19:O19)+SUM('2024 Xero HF  '!I22:O22)</f>
        <v>451656.84</v>
      </c>
      <c r="F22" s="31">
        <f>SUM('2023 Xero HF'!D19:O19)+SUM('2024 Xero HF  '!H22:O22)</f>
        <v>451656.84</v>
      </c>
      <c r="G22" s="31">
        <f>SUM('2023 Xero HF'!D19:O19)+SUM('2024 Xero HF  '!G22:O22)</f>
        <v>451656.84</v>
      </c>
      <c r="H22" s="31">
        <f>SUM('2023 Xero HF'!D19:O19)+SUM('2024 Xero HF  '!F22:O22)</f>
        <v>451656.84</v>
      </c>
      <c r="I22" s="31">
        <f>SUM('2023 Xero HF'!D19:O19)+SUM('2024 Xero HF  '!E22:O22)</f>
        <v>451656.84</v>
      </c>
      <c r="J22" s="31">
        <f>SUM('2023 Xero HF'!D19:O19)+SUM('2024 Xero HF  '!D22:O22)</f>
        <v>451656.84</v>
      </c>
      <c r="K22" s="31">
        <f>SUM('2023 Xero HF'!D19:O19)+SUM('2024 Xero HF  '!D22:O22)+SUM('2025 Xero HF'!O22)</f>
        <v>451656.84</v>
      </c>
      <c r="L22" s="31">
        <f>SUM('2023 Xero HF'!D19:O19)+SUM('2024 Xero HF  '!D22:O22)+SUM('2025 Xero HF'!N22)</f>
        <v>451656.84</v>
      </c>
      <c r="M22" s="31">
        <f>SUM('2023 Xero HF'!D19:O19)+SUM('2024 Xero HF  '!D22:O22)+SUM('2025 Xero HF'!M22:O22)</f>
        <v>451656.84</v>
      </c>
      <c r="N22" s="31">
        <f>SUM('2023 Xero HF'!D19:O19)+SUM('2024 Xero HF  '!D22:O22)+SUM('2025 Xero HF'!L22:O22)</f>
        <v>451656.84</v>
      </c>
      <c r="O22" s="31">
        <f>SUM('2023 Xero HF'!D19:O19)+SUM('2024 Xero HF  '!D22:O22)+SUM('2025 Xero HF'!K22:O22)</f>
        <v>451656.84</v>
      </c>
      <c r="P22" s="31">
        <f>SUM('2023 Xero HF'!D19:O19)+SUM('2024 Xero HF  '!D22:O22)+SUM('2025 Xero HF'!J22:O22)</f>
        <v>451656.84</v>
      </c>
    </row>
    <row r="23" spans="1:16" x14ac:dyDescent="0.2">
      <c r="A23" t="s">
        <v>104</v>
      </c>
      <c r="B23" s="131">
        <f>'TB HF 2022'!D10+SUM('2023 Xero HF'!D18:O18)+SUM('2024 Xero HF  '!L21:O21)</f>
        <v>38279.910000000003</v>
      </c>
      <c r="C23" s="131">
        <f>'TB HF 2022'!D10+SUM('2023 Xero HF'!D18:O18)+SUM('2024 Xero HF  '!K21:O21)</f>
        <v>38279.910000000003</v>
      </c>
      <c r="D23" s="31">
        <f>'TB HF 2022'!D10+SUM('2023 Xero HF'!D18:O18)+SUM('2024 Xero HF  '!J21:O21)</f>
        <v>38279.910000000003</v>
      </c>
      <c r="E23" s="31">
        <f>'TB HF 2022'!D10+SUM('2023 Xero HF'!D18:O18)+SUM('2024 Xero HF  '!I21:O21)</f>
        <v>38279.910000000003</v>
      </c>
      <c r="F23" s="31">
        <f>'TB HF 2022'!D10+SUM('2023 Xero HF'!D18:O18)+SUM('2024 Xero HF  '!H21:O21)</f>
        <v>38279.910000000003</v>
      </c>
      <c r="G23" s="31">
        <f>'TB HF 2022'!D10+SUM('2023 Xero HF'!D18:O18)+SUM('2024 Xero HF  '!G21:O21)</f>
        <v>38279.910000000003</v>
      </c>
      <c r="H23" s="31">
        <f>'TB HF 2022'!D10+SUM('2023 Xero HF'!D18:O18)+SUM('2024 Xero HF  '!F21:O21)</f>
        <v>38279.910000000003</v>
      </c>
      <c r="I23" s="31">
        <f>'TB HF 2022'!D10+SUM('2023 Xero HF'!D18:O18)+SUM('2024 Xero HF  '!E21:O21)</f>
        <v>38279.910000000003</v>
      </c>
      <c r="J23" s="31">
        <f>'TB HF 2022'!D10+SUM('2023 Xero HF'!D18:O18)+SUM('2024 Xero HF  '!D21:O21)</f>
        <v>38279.910000000003</v>
      </c>
      <c r="K23" s="31">
        <f>'TB HF 2022'!D10+SUM('2023 Xero HF'!D18:O18)+SUM('2024 Xero HF  '!D21:O21)+SUM('2025 Xero HF'!O21)</f>
        <v>38279.910000000003</v>
      </c>
      <c r="L23" s="31">
        <f>'TB HF 2022'!D10+SUM('2023 Xero HF'!D18:O18)+SUM('2024 Xero HF  '!D21:O21)+SUM('2025 Xero HF'!N21:O21)</f>
        <v>38279.910000000003</v>
      </c>
      <c r="M23" s="31">
        <f>'TB HF 2022'!D10+SUM('2023 Xero HF'!D18:O18)+SUM('2024 Xero HF  '!D21:O21)+SUM('2025 Xero HF'!M21:O21)</f>
        <v>38279.910000000003</v>
      </c>
      <c r="N23" s="31">
        <f>'TB HF 2022'!D10+SUM('2023 Xero HF'!D18:O18)+SUM('2024 Xero HF  '!D21:O21)+SUM('2025 Xero HF'!L21:O21)</f>
        <v>38279.910000000003</v>
      </c>
      <c r="O23" s="31">
        <f>'TB HF 2022'!D10+SUM('2023 Xero HF'!D18:O18)+SUM('2024 Xero HF  '!D21:O21)+SUM('2025 Xero HF'!K21:O21)</f>
        <v>38279.910000000003</v>
      </c>
      <c r="P23" s="31">
        <f>'TB HF 2022'!D10+SUM('2023 Xero HF'!D18:O18)+SUM('2024 Xero HF  '!D21:O21)+SUM('2025 Xero HF'!J21:O21)</f>
        <v>38279.910000000003</v>
      </c>
    </row>
    <row r="24" spans="1:16" x14ac:dyDescent="0.2">
      <c r="A24" t="s">
        <v>105</v>
      </c>
      <c r="B24" s="131"/>
      <c r="C24" s="1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>
        <v>371543.91304347827</v>
      </c>
    </row>
    <row r="25" spans="1:16" x14ac:dyDescent="0.2">
      <c r="A25" t="s">
        <v>106</v>
      </c>
      <c r="B25" s="131">
        <f>SUM('2024 Xero HF  '!L20:O20)</f>
        <v>31600</v>
      </c>
      <c r="C25" s="131">
        <f>SUM('2024 Xero HF  '!K20:O20)</f>
        <v>31600</v>
      </c>
      <c r="D25" s="31">
        <f>SUM('2024 Xero HF  '!J20:O20)</f>
        <v>31600</v>
      </c>
      <c r="E25" s="31">
        <f>SUM('2024 Xero HF  '!I20:O20)</f>
        <v>31600</v>
      </c>
      <c r="F25" s="31">
        <f>SUM('2024 Xero HF  '!H20:O20)</f>
        <v>31600</v>
      </c>
      <c r="G25" s="31">
        <f>SUM('2024 Xero HF  '!G20:O20)</f>
        <v>31600</v>
      </c>
      <c r="H25" s="31">
        <f>SUM('2024 Xero HF  '!F20:O20)</f>
        <v>31600</v>
      </c>
      <c r="I25" s="31">
        <f>SUM('2024 Xero HF  '!E20:O20)</f>
        <v>31600</v>
      </c>
      <c r="J25" s="31">
        <f>SUM('2024 Xero HF  '!D20:O20)</f>
        <v>31600</v>
      </c>
      <c r="K25" s="31">
        <f>SUM('2024 Xero HF  '!D20:O20)+SUM('2025 Xero HF'!O20)</f>
        <v>31600</v>
      </c>
      <c r="L25" s="31">
        <f>SUM('2024 Xero HF  '!D20:O20)+SUM('2025 Xero HF'!N20:O20)</f>
        <v>31600</v>
      </c>
      <c r="M25" s="31">
        <f>SUM('2024 Xero HF  '!D20:O20)+SUM('2025 Xero HF'!M20:O20)</f>
        <v>31600</v>
      </c>
      <c r="N25" s="31">
        <f>SUM('2024 Xero HF  '!D20:O20)+SUM('2025 Xero HF'!L20:O20)</f>
        <v>31600</v>
      </c>
      <c r="O25" s="31">
        <f>SUM('2024 Xero HF  '!D20:O20)+SUM('2025 Xero HF'!K20:O20)</f>
        <v>31600</v>
      </c>
      <c r="P25" s="31">
        <f>SUM('2024 Xero HF  '!D20:O20)+SUM('2025 Xero HF'!J20:O20)</f>
        <v>31600</v>
      </c>
    </row>
    <row r="26" spans="1:16" x14ac:dyDescent="0.2">
      <c r="A26" t="s">
        <v>107</v>
      </c>
      <c r="B26" s="131">
        <f>SUM('2023 Xero HF'!D16:O16)+SUM('2024 Xero HF  '!L18:O18)</f>
        <v>31775.713</v>
      </c>
      <c r="C26" s="131">
        <f>SUM('2023 Xero HF'!D16:O16)+SUM('2024 Xero HF  '!K18:O18)</f>
        <v>31775.713</v>
      </c>
      <c r="D26" s="31">
        <f>SUM('2023 Xero HF'!D16:O16)+SUM('2024 Xero HF  '!J18:O18)</f>
        <v>31775.713</v>
      </c>
      <c r="E26" s="31">
        <f>SUM('2023 Xero HF'!D16:O16)+SUM('2024 Xero HF  '!I18:O18)</f>
        <v>31775.713</v>
      </c>
      <c r="F26" s="31">
        <f>SUM('2023 Xero HF'!D16:O16)+SUM('2024 Xero HF  '!H18:O18)</f>
        <v>31775.713</v>
      </c>
      <c r="G26" s="31">
        <f>SUM('2023 Xero HF'!D16:O16)+SUM('2024 Xero HF  '!G18:O18)</f>
        <v>31775.713</v>
      </c>
      <c r="H26" s="31">
        <f>SUM('2023 Xero HF'!D16:O16)+SUM('2024 Xero HF  '!F18:O18)</f>
        <v>31775.713</v>
      </c>
      <c r="I26" s="31">
        <f>SUM('2023 Xero HF'!D16:O16)+SUM('2024 Xero HF  '!E18:O18)</f>
        <v>31775.713</v>
      </c>
      <c r="J26" s="31">
        <f>SUM('2023 Xero HF'!D16:O16)+SUM('2024 Xero HF  '!D18:O18)</f>
        <v>31775.713</v>
      </c>
      <c r="K26" s="31">
        <f>SUM('2023 Xero HF'!D16:O16)+SUM('2024 Xero HF  '!D18:O18)+SUM('2025 Xero HF'!O20)</f>
        <v>31775.713</v>
      </c>
      <c r="L26" s="31">
        <f>SUM('2023 Xero HF'!D16:O16)+SUM('2024 Xero HF  '!D18:O18)+SUM('2025 Xero HF'!N20:O20)</f>
        <v>31775.713</v>
      </c>
      <c r="M26" s="31">
        <f>SUM('2023 Xero HF'!D16:O16)+SUM('2024 Xero HF  '!D18:O18)+SUM('2025 Xero HF'!M20:O20)</f>
        <v>31775.713</v>
      </c>
      <c r="N26" s="31">
        <f>SUM('2023 Xero HF'!D16:O16)+SUM('2024 Xero HF  '!D18:O18)+SUM('2025 Xero HF'!L20:O20)</f>
        <v>31775.713</v>
      </c>
      <c r="O26" s="31">
        <f>SUM('2023 Xero HF'!D16:O16)+SUM('2024 Xero HF  '!D18:O18)+SUM('2025 Xero HF'!K20:O20)</f>
        <v>31775.713</v>
      </c>
      <c r="P26" s="31">
        <f>SUM('2023 Xero HF'!D16:O16)+SUM('2024 Xero HF  '!D18:O18)+SUM('2025 Xero HF'!J20:O20)</f>
        <v>31775.713</v>
      </c>
    </row>
    <row r="27" spans="1:16" x14ac:dyDescent="0.2">
      <c r="B27" s="130"/>
      <c r="C27" s="1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9" spans="1:16" ht="16" customHeight="1" thickBot="1" x14ac:dyDescent="0.25">
      <c r="A29" s="25" t="s">
        <v>108</v>
      </c>
      <c r="B29" s="132">
        <f t="shared" ref="B29:P29" si="3">B4-B9</f>
        <v>-18320169.375</v>
      </c>
      <c r="C29" s="132">
        <f t="shared" si="3"/>
        <v>-17771536.004999988</v>
      </c>
      <c r="D29" s="27">
        <f t="shared" si="3"/>
        <v>-17771536.004999988</v>
      </c>
      <c r="E29" s="27">
        <f t="shared" si="3"/>
        <v>-16009335.994999997</v>
      </c>
      <c r="F29" s="27">
        <f t="shared" si="3"/>
        <v>-15108549.014999993</v>
      </c>
      <c r="G29" s="27">
        <f t="shared" si="3"/>
        <v>-14207762.034999982</v>
      </c>
      <c r="H29" s="27">
        <f t="shared" si="3"/>
        <v>-13409577.334999993</v>
      </c>
      <c r="I29" s="27">
        <f t="shared" si="3"/>
        <v>-12508790.354999989</v>
      </c>
      <c r="J29" s="27">
        <f t="shared" si="3"/>
        <v>-11608003.374999985</v>
      </c>
      <c r="K29" s="27">
        <f t="shared" si="3"/>
        <v>-11046949.584999979</v>
      </c>
      <c r="L29" s="27">
        <f t="shared" si="3"/>
        <v>-11427187.794999987</v>
      </c>
      <c r="M29" s="27">
        <f t="shared" si="3"/>
        <v>-10685731.194999978</v>
      </c>
      <c r="N29" s="27">
        <f t="shared" si="3"/>
        <v>-10582696.62499997</v>
      </c>
      <c r="O29" s="27">
        <f t="shared" si="3"/>
        <v>-10582696.62499997</v>
      </c>
      <c r="P29" s="27">
        <f t="shared" si="3"/>
        <v>-10954240.538043454</v>
      </c>
    </row>
    <row r="30" spans="1:16" ht="16" customHeight="1" thickTop="1" x14ac:dyDescent="0.2"/>
    <row r="31" spans="1:16" x14ac:dyDescent="0.2">
      <c r="A31" s="25" t="s">
        <v>109</v>
      </c>
      <c r="B31" s="133">
        <f t="shared" ref="B31:P31" si="4">SUM(B32:B34)</f>
        <v>1835697.23</v>
      </c>
      <c r="C31" s="133">
        <f t="shared" si="4"/>
        <v>2095288.16</v>
      </c>
      <c r="D31" s="70">
        <f t="shared" si="4"/>
        <v>2095288.16</v>
      </c>
      <c r="E31" s="70">
        <f t="shared" si="4"/>
        <v>2095288.16</v>
      </c>
      <c r="F31" s="70">
        <f t="shared" si="4"/>
        <v>2095288.16</v>
      </c>
      <c r="G31" s="70">
        <f t="shared" si="4"/>
        <v>2095288.16</v>
      </c>
      <c r="H31" s="70">
        <f t="shared" si="4"/>
        <v>2095288.16</v>
      </c>
      <c r="I31" s="70">
        <f t="shared" si="4"/>
        <v>2095288.16</v>
      </c>
      <c r="J31" s="70">
        <f t="shared" si="4"/>
        <v>2095288.16</v>
      </c>
      <c r="K31" s="70">
        <f t="shared" si="4"/>
        <v>2319589.48</v>
      </c>
      <c r="L31" s="70">
        <f t="shared" si="4"/>
        <v>2425798.6999999997</v>
      </c>
      <c r="M31" s="70">
        <f t="shared" si="4"/>
        <v>2648324.15</v>
      </c>
      <c r="N31" s="70">
        <f t="shared" si="4"/>
        <v>3042226.22</v>
      </c>
      <c r="O31" s="70">
        <f t="shared" si="4"/>
        <v>3042226.22</v>
      </c>
      <c r="P31" s="70">
        <f t="shared" si="4"/>
        <v>3042226.22</v>
      </c>
    </row>
    <row r="32" spans="1:16" x14ac:dyDescent="0.2">
      <c r="A32" t="s">
        <v>110</v>
      </c>
      <c r="B32" s="129">
        <f>'TB HF 2022'!E9+SUM('2023 Xero HF'!D27:O27)+SUM('2024 Xero HF  '!L29:O29)</f>
        <v>1685302.83</v>
      </c>
      <c r="C32" s="129">
        <f>'TB HF 2022'!E9+SUM('2023 Xero HF'!D27:O27)+SUM('2024 Xero HF  '!K29:O29)</f>
        <v>1944893.76</v>
      </c>
      <c r="D32" s="29">
        <f>'TB HF 2022'!E9+SUM('2023 Xero HF'!D27:O27)+SUM('2024 Xero HF  '!J29:O29)</f>
        <v>1944893.76</v>
      </c>
      <c r="E32" s="29">
        <f>'TB HF 2022'!E9+SUM('2023 Xero HF'!D27:O27)+SUM('2024 Xero HF  '!I29:O29)</f>
        <v>1944893.76</v>
      </c>
      <c r="F32" s="29">
        <f>'TB HF 2022'!E9+SUM('2023 Xero HF'!D27:O27)+SUM('2024 Xero HF  '!H29:O29)</f>
        <v>1944893.76</v>
      </c>
      <c r="G32" s="29">
        <f>'TB HF 2022'!E9+SUM('2023 Xero HF'!D27:O27)+SUM('2024 Xero HF  '!G29:O29)</f>
        <v>1944893.76</v>
      </c>
      <c r="H32" s="29">
        <f>'TB HF 2022'!E9+SUM('2023 Xero HF'!D27:O27)+SUM('2024 Xero HF  '!F29:O29)</f>
        <v>1944893.76</v>
      </c>
      <c r="I32" s="29">
        <f>'TB HF 2022'!E9+SUM('2023 Xero HF'!D27:O27)+SUM('2024 Xero HF  '!E29:O29)</f>
        <v>1944893.76</v>
      </c>
      <c r="J32" s="29">
        <f>'TB HF 2022'!E9+SUM('2023 Xero HF'!D27:O27)+SUM('2024 Xero HF  '!D29:O29)</f>
        <v>1944893.76</v>
      </c>
      <c r="K32" s="29">
        <f>'TB HF 2022'!E9+SUM('2023 Xero HF'!D27:O27)+SUM('2024 Xero HF  '!D29:O29)+SUM('2025 Xero HF'!O29)</f>
        <v>2169195.08</v>
      </c>
      <c r="L32" s="29">
        <f>'TB HF 2022'!E9+SUM('2023 Xero HF'!D27:O27)+SUM('2024 Xero HF  '!D29:O29)+SUM('2025 Xero HF'!N29:O29)</f>
        <v>2275404.2999999998</v>
      </c>
      <c r="M32" s="29">
        <f>'TB HF 2022'!E9+SUM('2023 Xero HF'!D27:O27)+SUM('2024 Xero HF  '!D29:O29)+SUM('2025 Xero HF'!M29:O29)</f>
        <v>2497929.75</v>
      </c>
      <c r="N32" s="29">
        <f>'TB HF 2022'!E9+SUM('2023 Xero HF'!D27:O27)+SUM('2024 Xero HF  '!D29:O29)+SUM('2025 Xero HF'!L29:O29)</f>
        <v>2891831.8200000003</v>
      </c>
      <c r="O32" s="29">
        <f>'TB HF 2022'!E9+SUM('2023 Xero HF'!D27:O27)+SUM('2024 Xero HF  '!D29:O29)+SUM('2025 Xero HF'!K29:O29)</f>
        <v>2891831.8200000003</v>
      </c>
      <c r="P32" s="29">
        <f>'TB HF 2022'!E9+SUM('2023 Xero HF'!D27:O27)+SUM('2024 Xero HF  '!D29:O29)+SUM('2025 Xero HF'!J29:O29)</f>
        <v>2891831.8200000003</v>
      </c>
    </row>
    <row r="33" spans="1:16" x14ac:dyDescent="0.2">
      <c r="A33" t="s">
        <v>111</v>
      </c>
      <c r="B33" s="131">
        <f>'TB HF 2022'!E8</f>
        <v>149149.4</v>
      </c>
      <c r="C33" s="131">
        <f>'TB HF 2022'!E8</f>
        <v>149149.4</v>
      </c>
      <c r="D33" s="31">
        <f>'TB HF 2022'!E8</f>
        <v>149149.4</v>
      </c>
      <c r="E33" s="31">
        <f>'TB HF 2022'!E8</f>
        <v>149149.4</v>
      </c>
      <c r="F33" s="31">
        <f>'TB HF 2022'!E8</f>
        <v>149149.4</v>
      </c>
      <c r="G33" s="31">
        <f>'TB HF 2022'!E8</f>
        <v>149149.4</v>
      </c>
      <c r="H33" s="31">
        <f>'TB HF 2022'!E8</f>
        <v>149149.4</v>
      </c>
      <c r="I33" s="31">
        <f>'TB HF 2022'!E8</f>
        <v>149149.4</v>
      </c>
      <c r="J33" s="31">
        <f>'TB HF 2022'!E8</f>
        <v>149149.4</v>
      </c>
      <c r="K33" s="31">
        <f>'TB HF 2022'!E8</f>
        <v>149149.4</v>
      </c>
      <c r="L33" s="31">
        <f>'TB HF 2022'!E8</f>
        <v>149149.4</v>
      </c>
      <c r="M33" s="31">
        <f>'TB HF 2022'!E8</f>
        <v>149149.4</v>
      </c>
      <c r="N33" s="31">
        <f>'TB HF 2022'!E8</f>
        <v>149149.4</v>
      </c>
      <c r="O33" s="31">
        <f>'TB HF 2022'!E8</f>
        <v>149149.4</v>
      </c>
      <c r="P33" s="31">
        <f>'TB HF 2022'!E8</f>
        <v>149149.4</v>
      </c>
    </row>
    <row r="34" spans="1:16" x14ac:dyDescent="0.2">
      <c r="A34" t="s">
        <v>112</v>
      </c>
      <c r="B34" s="130">
        <f>'TB HF 2022'!E7</f>
        <v>1245</v>
      </c>
      <c r="C34" s="130">
        <f>'TB HF 2022'!E7</f>
        <v>1245</v>
      </c>
      <c r="D34" s="30">
        <f>'TB HF 2022'!E7</f>
        <v>1245</v>
      </c>
      <c r="E34" s="30">
        <f>'TB HF 2022'!E7</f>
        <v>1245</v>
      </c>
      <c r="F34" s="30">
        <f>'TB HF 2022'!E7</f>
        <v>1245</v>
      </c>
      <c r="G34" s="30">
        <f>'TB HF 2022'!E7</f>
        <v>1245</v>
      </c>
      <c r="H34" s="30">
        <f>'TB HF 2022'!E7</f>
        <v>1245</v>
      </c>
      <c r="I34" s="30">
        <f>'TB HF 2022'!E7</f>
        <v>1245</v>
      </c>
      <c r="J34" s="30">
        <f>'TB HF 2022'!E7</f>
        <v>1245</v>
      </c>
      <c r="K34" s="30">
        <f>'TB HF 2022'!E7</f>
        <v>1245</v>
      </c>
      <c r="L34" s="30">
        <f>'TB HF 2022'!E7</f>
        <v>1245</v>
      </c>
      <c r="M34" s="30">
        <f>'TB HF 2022'!E7</f>
        <v>1245</v>
      </c>
      <c r="N34" s="30">
        <f>'TB HF 2022'!E7</f>
        <v>1245</v>
      </c>
      <c r="O34" s="30">
        <f>'TB HF 2022'!E7</f>
        <v>1245</v>
      </c>
      <c r="P34" s="30">
        <f>'TB HF 2022'!E7</f>
        <v>1245</v>
      </c>
    </row>
    <row r="36" spans="1:16" x14ac:dyDescent="0.2">
      <c r="A36" s="25" t="s">
        <v>113</v>
      </c>
      <c r="B36" s="128">
        <f t="shared" ref="B36:P36" si="5">SUM(B38:B58)</f>
        <v>1842936.9299999997</v>
      </c>
      <c r="C36" s="128">
        <f t="shared" si="5"/>
        <v>1885550.68</v>
      </c>
      <c r="D36" s="5">
        <f t="shared" si="5"/>
        <v>1885550.68</v>
      </c>
      <c r="E36" s="5">
        <f t="shared" si="5"/>
        <v>1885550.68</v>
      </c>
      <c r="F36" s="5">
        <f t="shared" si="5"/>
        <v>1885550.68</v>
      </c>
      <c r="G36" s="5">
        <f t="shared" si="5"/>
        <v>1885550.68</v>
      </c>
      <c r="H36" s="5">
        <f t="shared" si="5"/>
        <v>1885550.68</v>
      </c>
      <c r="I36" s="5">
        <f t="shared" si="5"/>
        <v>1885550.68</v>
      </c>
      <c r="J36" s="5">
        <f t="shared" si="5"/>
        <v>1885550.68</v>
      </c>
      <c r="K36" s="5">
        <f t="shared" si="5"/>
        <v>2032217.71</v>
      </c>
      <c r="L36" s="5">
        <f t="shared" si="5"/>
        <v>2051823.2400000002</v>
      </c>
      <c r="M36" s="5">
        <f t="shared" si="5"/>
        <v>2124812.34</v>
      </c>
      <c r="N36" s="5">
        <f t="shared" si="5"/>
        <v>2266196.65</v>
      </c>
      <c r="O36" s="5">
        <f t="shared" si="5"/>
        <v>2266840.8200000003</v>
      </c>
      <c r="P36" s="5">
        <f t="shared" si="5"/>
        <v>2266840.8200000003</v>
      </c>
    </row>
    <row r="38" spans="1:16" x14ac:dyDescent="0.2">
      <c r="A38" t="s">
        <v>114</v>
      </c>
      <c r="B38" s="129">
        <f>'TB HF 2022'!D13+'TB HF 2022'!D14+SUM('2023 Xero HF'!D32:O37)+SUM('2024 Xero HF  '!L35:O37)</f>
        <v>541924.06000000006</v>
      </c>
      <c r="C38" s="129">
        <f>'TB HF 2022'!D13+'TB HF 2022'!D14+SUM('2023 Xero HF'!D32:O37)+SUM('2024 Xero HF  '!K35:O37)</f>
        <v>568150.63</v>
      </c>
      <c r="D38" s="29">
        <f>'TB HF 2022'!D13+'TB HF 2022'!D14+SUM('2023 Xero HF'!D32:O37)+SUM('2024 Xero HF  '!J35:O37)</f>
        <v>568150.63</v>
      </c>
      <c r="E38" s="29">
        <f>'TB HF 2022'!D13+'TB HF 2022'!D14+SUM('2023 Xero HF'!D32:O37)+SUM('2024 Xero HF  '!I35:O37)</f>
        <v>568150.63</v>
      </c>
      <c r="F38" s="29">
        <f>'TB HF 2022'!D13+'TB HF 2022'!D14+SUM('2023 Xero HF'!D32:O37)+SUM('2024 Xero HF  '!H35:O37)</f>
        <v>568150.63</v>
      </c>
      <c r="G38" s="29">
        <f>'TB HF 2022'!D13+'TB HF 2022'!D14+SUM('2023 Xero HF'!D32:O37)+SUM('2024 Xero HF  '!G35:O37)</f>
        <v>568150.63</v>
      </c>
      <c r="H38" s="29">
        <f>'TB HF 2022'!D13+'TB HF 2022'!D14+SUM('2023 Xero HF'!D32:O37)+SUM('2024 Xero HF  '!F35:O37)</f>
        <v>568150.63</v>
      </c>
      <c r="I38" s="29">
        <f>'TB HF 2022'!D13+'TB HF 2022'!D14+SUM('2023 Xero HF'!D32:O37)+SUM('2024 Xero HF  '!E35:O37)</f>
        <v>568150.63</v>
      </c>
      <c r="J38" s="29">
        <f>'TB HF 2022'!D13+'TB HF 2022'!D14+SUM('2023 Xero HF'!D32:O37)+SUM('2024 Xero HF  '!D35:O37)</f>
        <v>568150.63</v>
      </c>
      <c r="K38" s="29">
        <f>'TB HF 2022'!D13+'TB HF 2022'!D14+SUM('2023 Xero HF'!D32:O37)+SUM('2024 Xero HF  '!D35:O37)+SUM('2025 Xero HF'!O34:O36)</f>
        <v>615680.39</v>
      </c>
      <c r="L38" s="29">
        <f>'TB HF 2022'!D13+'TB HF 2022'!D14+SUM('2023 Xero HF'!D32:O37)+SUM('2024 Xero HF  '!D35:O37)+SUM('2025 Xero HF'!N34:O36)</f>
        <v>663940.39</v>
      </c>
      <c r="M38" s="29">
        <f>'TB HF 2022'!D13+'TB HF 2022'!D14+SUM('2023 Xero HF'!D32:O37)+SUM('2024 Xero HF  '!D35:O37)+SUM('2025 Xero HF'!M34:O36)</f>
        <v>709329.91999999993</v>
      </c>
      <c r="N38" s="29">
        <f>'TB HF 2022'!D13+'TB HF 2022'!D14+SUM('2023 Xero HF'!D32:O37)+SUM('2024 Xero HF  '!D35:O37)+SUM('2025 Xero HF'!L34:O36)</f>
        <v>748919.05</v>
      </c>
      <c r="O38" s="29">
        <f>'TB HF 2022'!D13+'TB HF 2022'!D14+SUM('2023 Xero HF'!D32:O37)+SUM('2024 Xero HF  '!D35:O37)+SUM('2025 Xero HF'!K34:O36)</f>
        <v>748919.05</v>
      </c>
      <c r="P38" s="29">
        <f>'TB HF 2022'!D13+'TB HF 2022'!D14+SUM('2023 Xero HF'!D32:O37)+SUM('2024 Xero HF  '!D35:O37)+SUM('2025 Xero HF'!J34:O36)</f>
        <v>748919.05</v>
      </c>
    </row>
    <row r="39" spans="1:16" x14ac:dyDescent="0.2">
      <c r="A39" t="s">
        <v>115</v>
      </c>
      <c r="B39" s="131">
        <f>'TB HF 2022'!D23+SUM('2023 Xero HF'!D54:O54)+SUM('2024 Xero HF  '!L56:O56)</f>
        <v>75810.250000000015</v>
      </c>
      <c r="C39" s="131">
        <f>'TB HF 2022'!D23+SUM('2023 Xero HF'!D54:O54)+SUM('2024 Xero HF  '!K56:O56)</f>
        <v>75810.610000000015</v>
      </c>
      <c r="D39" s="31">
        <f>'TB HF 2022'!D23+SUM('2023 Xero HF'!D54:O54)+SUM('2024 Xero HF  '!J56:O56)</f>
        <v>75810.610000000015</v>
      </c>
      <c r="E39" s="31">
        <f>'TB HF 2022'!D23+SUM('2023 Xero HF'!D54:O54)+SUM('2024 Xero HF  '!I56:O56)</f>
        <v>75810.610000000015</v>
      </c>
      <c r="F39" s="31">
        <f>'TB HF 2022'!D23+SUM('2023 Xero HF'!D54:O54)+SUM('2024 Xero HF  '!H56:O56)</f>
        <v>75810.610000000015</v>
      </c>
      <c r="G39" s="31">
        <f>'TB HF 2022'!D23+SUM('2023 Xero HF'!D54:O54)+SUM('2024 Xero HF  '!G56:O56)</f>
        <v>75810.610000000015</v>
      </c>
      <c r="H39" s="31">
        <f>'TB HF 2022'!D23+SUM('2023 Xero HF'!D54:O54)+SUM('2024 Xero HF  '!F56:O56)</f>
        <v>75810.610000000015</v>
      </c>
      <c r="I39" s="31">
        <f>'TB HF 2022'!D23+SUM('2023 Xero HF'!D54:O54)+SUM('2024 Xero HF  '!E56:O56)</f>
        <v>75810.610000000015</v>
      </c>
      <c r="J39" s="31">
        <f>'TB HF 2022'!D23+SUM('2023 Xero HF'!D54:O54)+SUM('2024 Xero HF  '!D56:O56)</f>
        <v>75810.610000000015</v>
      </c>
      <c r="K39" s="31">
        <f>'TB HF 2022'!D23+SUM('2023 Xero HF'!D54:O54)+SUM('2024 Xero HF  '!D56:O56)+SUM('2025 Xero HF'!O52)</f>
        <v>80980.250000000015</v>
      </c>
      <c r="L39" s="31">
        <f>'TB HF 2022'!D23+SUM('2023 Xero HF'!D54:O54)+SUM('2024 Xero HF  '!D56:O56)+SUM('2025 Xero HF'!N52:O52)</f>
        <v>89384.450000000012</v>
      </c>
      <c r="M39" s="31">
        <f>'TB HF 2022'!D23+SUM('2023 Xero HF'!D54:O54)+SUM('2024 Xero HF  '!D56:O56)+SUM('2025 Xero HF'!M52:O52)</f>
        <v>94649.270000000019</v>
      </c>
      <c r="N39" s="31">
        <f>'TB HF 2022'!D23+SUM('2023 Xero HF'!D54:O54)+SUM('2024 Xero HF  '!D56:O56)+SUM('2025 Xero HF'!L52:O52)</f>
        <v>105173.09000000001</v>
      </c>
      <c r="O39" s="31">
        <f>'TB HF 2022'!D23+SUM('2023 Xero HF'!D54:O54)+SUM('2024 Xero HF  '!D56:O56)+SUM('2025 Xero HF'!K52:O52)</f>
        <v>105173.09000000001</v>
      </c>
      <c r="P39" s="31">
        <f>'TB HF 2022'!D23+SUM('2023 Xero HF'!D54:O54)+SUM('2024 Xero HF  '!D56:O56)+SUM('2025 Xero HF'!J52:O52)</f>
        <v>105173.09000000001</v>
      </c>
    </row>
    <row r="40" spans="1:16" x14ac:dyDescent="0.2">
      <c r="A40" t="s">
        <v>116</v>
      </c>
      <c r="B40" s="131">
        <f>'TB HF 2022'!D15+'TB HF 2022'!D12+SUM('2023 Xero HF'!D38:O38)+SUM('2024 Xero HF  '!L38:O38)</f>
        <v>14462.300000000001</v>
      </c>
      <c r="C40" s="131">
        <f>'TB HF 2022'!D15+'TB HF 2022'!D12+SUM('2023 Xero HF'!D38:O38)+SUM('2024 Xero HF  '!K38:O38)</f>
        <v>15106.470000000001</v>
      </c>
      <c r="D40" s="31">
        <f>'TB HF 2022'!D15+'TB HF 2022'!D12+SUM('2023 Xero HF'!D38:O38)+SUM('2024 Xero HF  '!J38:O38)</f>
        <v>15106.470000000001</v>
      </c>
      <c r="E40" s="31">
        <f>'TB HF 2022'!D15+'TB HF 2022'!D12+SUM('2023 Xero HF'!D38:O38)+SUM('2024 Xero HF  '!I38:O38)</f>
        <v>15106.470000000001</v>
      </c>
      <c r="F40" s="31">
        <f>'TB HF 2022'!D15+'TB HF 2022'!D12+SUM('2023 Xero HF'!D38:O38)+SUM('2024 Xero HF  '!H38:O38)</f>
        <v>15106.470000000001</v>
      </c>
      <c r="G40" s="31">
        <f>'TB HF 2022'!D15+'TB HF 2022'!D12+SUM('2023 Xero HF'!D38:O38)+SUM('2024 Xero HF  '!G38:O38)</f>
        <v>15106.470000000001</v>
      </c>
      <c r="H40" s="31">
        <f>'TB HF 2022'!D15+'TB HF 2022'!D12+SUM('2023 Xero HF'!D38:O38)+SUM('2024 Xero HF  '!F38:O38)</f>
        <v>15106.470000000001</v>
      </c>
      <c r="I40" s="31">
        <f>'TB HF 2022'!D15+'TB HF 2022'!D12+SUM('2023 Xero HF'!D38:O38)+SUM('2024 Xero HF  '!E38:O38)</f>
        <v>15106.470000000001</v>
      </c>
      <c r="J40" s="31">
        <f>'TB HF 2022'!D15+'TB HF 2022'!D12+SUM('2023 Xero HF'!D38:O38)+SUM('2024 Xero HF  '!D38:O38)</f>
        <v>15106.470000000001</v>
      </c>
      <c r="K40" s="31">
        <f>'TB HF 2022'!D15+'TB HF 2022'!D12+SUM('2023 Xero HF'!D38:O38)+SUM('2024 Xero HF  '!D38:O38)+SUM('2025 Xero HF'!O37)</f>
        <v>15689.45</v>
      </c>
      <c r="L40" s="31">
        <f>'TB HF 2022'!D15+'TB HF 2022'!D12+SUM('2023 Xero HF'!D38:O38)+SUM('2024 Xero HF  '!D38:O38)+SUM('2025 Xero HF'!N37:O37)</f>
        <v>16063.650000000001</v>
      </c>
      <c r="M40" s="31">
        <f>'TB HF 2022'!D15+'TB HF 2022'!D12+SUM('2023 Xero HF'!D38:O38)+SUM('2024 Xero HF  '!D38:O38)+SUM('2024 Xero HF  '!M38:O38)</f>
        <v>16513.030000000002</v>
      </c>
      <c r="N40" s="31">
        <f>'TB HF 2022'!D15+'TB HF 2022'!D12+SUM('2023 Xero HF'!D38:O38)+SUM('2024 Xero HF  '!D38:O38)+SUM('2024 Xero HF  '!L38:O38)</f>
        <v>17029.98</v>
      </c>
      <c r="O40" s="31">
        <f>'TB HF 2022'!D15+'TB HF 2022'!D12+SUM('2023 Xero HF'!D38:O38)+SUM('2024 Xero HF  '!D38:O38)+SUM('2024 Xero HF  '!K38:O38)</f>
        <v>17674.150000000001</v>
      </c>
      <c r="P40" s="31">
        <f>'TB HF 2022'!D15+'TB HF 2022'!D12+SUM('2023 Xero HF'!D38:O38)+SUM('2024 Xero HF  '!D38:O38)+SUM('2024 Xero HF  '!J38:O38)</f>
        <v>17674.150000000001</v>
      </c>
    </row>
    <row r="41" spans="1:16" x14ac:dyDescent="0.2">
      <c r="A41" t="s">
        <v>117</v>
      </c>
      <c r="B41" s="131">
        <f>SUM(CPC!C79:C86)+SUM(CPC!C89:C92)+SUM(CPC!C95:C97)+SUM(CPC!C103:C107)+SUM(CPC!C114:C117)+SUM(CPC!C119:C120)+SUM(CPC!C123)+SUM(CPC!C128:C141)</f>
        <v>632656.62</v>
      </c>
      <c r="C41" s="131">
        <f>SUM(CPC!C79:C86)+SUM(CPC!C89:C92)+SUM(CPC!C95:C97)+SUM(CPC!C103:C107)+SUM(CPC!C114:C117)+SUM(CPC!C119:C120)+SUM(CPC!C123)+SUM(CPC!C128:C141)</f>
        <v>632656.62</v>
      </c>
      <c r="D41" s="31">
        <f>SUM(CPC!C79:C86)+SUM(CPC!C89:C92)+SUM(CPC!C95:C97)+SUM(CPC!C103:C107)+SUM(CPC!C114:C117)+SUM(CPC!C119:C120)+SUM(CPC!C123)+SUM(CPC!C128:C141)</f>
        <v>632656.62</v>
      </c>
      <c r="E41" s="31">
        <f>SUM(CPC!C79:C86)+SUM(CPC!C89:C92)+SUM(CPC!C95:C97)+SUM(CPC!C103:C107)+SUM(CPC!C114:C117)+SUM(CPC!C119:C120)+SUM(CPC!C123)+SUM(CPC!C128:C141)</f>
        <v>632656.62</v>
      </c>
      <c r="F41" s="31">
        <f>SUM(CPC!C79:C86)+SUM(CPC!C89:C92)+SUM(CPC!C95:C97)+SUM(CPC!C103:C107)+SUM(CPC!C114:C117)+SUM(CPC!C119:C120)+SUM(CPC!C123)+SUM(CPC!C128:C141)</f>
        <v>632656.62</v>
      </c>
      <c r="G41" s="31">
        <f>SUM(CPC!C79:C86)+SUM(CPC!C89:C92)+SUM(CPC!C95:C97)+SUM(CPC!C103:C107)+SUM(CPC!C114:C117)+SUM(CPC!C119:C120)+SUM(CPC!C123)+SUM(CPC!C128:C141)</f>
        <v>632656.62</v>
      </c>
      <c r="H41" s="31">
        <f>SUM(CPC!C79:C86)+SUM(CPC!C89:C92)+SUM(CPC!C95:C97)+SUM(CPC!C103:C107)+SUM(CPC!C114:C117)+SUM(CPC!C119:C120)+SUM(CPC!C123)+SUM(CPC!C128:C141)</f>
        <v>632656.62</v>
      </c>
      <c r="I41" s="31">
        <f>SUM(CPC!C79:C86)+SUM(CPC!C89:C92)+SUM(CPC!C95:C97)+SUM(CPC!C103:C107)+SUM(CPC!C114:C117)+SUM(CPC!C119:C120)+SUM(CPC!C123)+SUM(CPC!C128:C141)</f>
        <v>632656.62</v>
      </c>
      <c r="J41" s="31">
        <f>SUM(CPC!C79:C86)+SUM(CPC!C89:C92)+SUM(CPC!C95:C97)+SUM(CPC!C103:C107)+SUM(CPC!C114:C117)+SUM(CPC!C119:C120)+SUM(CPC!C123)+SUM(CPC!C128:C141)</f>
        <v>632656.62</v>
      </c>
      <c r="K41" s="31">
        <f>SUM(CPC!C79:C86)+SUM(CPC!C89:C92)+SUM(CPC!C95:C97)+SUM(CPC!C103:C107)+SUM(CPC!C114:C117)+SUM(CPC!C119:C120)+SUM(CPC!C123)+SUM(CPC!C128:C141)</f>
        <v>632656.62</v>
      </c>
      <c r="L41" s="31">
        <f>SUM(CPC!C79:C86)+SUM(CPC!C89:C92)+SUM(CPC!C95:C97)+SUM(CPC!C103:C107)+SUM(CPC!C114:C117)+SUM(CPC!C119:C120)+SUM(CPC!C123)+SUM(CPC!C128:C141)</f>
        <v>632656.62</v>
      </c>
      <c r="M41" s="31">
        <f>SUM(CPC!C79:C86)+SUM(CPC!C89:C92)+SUM(CPC!C95:C97)+SUM(CPC!C103:C107)+SUM(CPC!C114:C117)+SUM(CPC!C119:C120)+SUM(CPC!C123)+SUM(CPC!C128:C141)</f>
        <v>632656.62</v>
      </c>
      <c r="N41" s="31">
        <f>SUM(CPC!C79:C86)+SUM(CPC!C89:C92)+SUM(CPC!C95:C97)+SUM(CPC!C103:C107)+SUM(CPC!C114:C117)+SUM(CPC!C119:C120)+SUM(CPC!C123)+SUM(CPC!C128:C141)</f>
        <v>632656.62</v>
      </c>
      <c r="O41" s="31">
        <f>SUM(CPC!C79:C86)+SUM(CPC!C89:C92)+SUM(CPC!C95:C97)+SUM(CPC!C103:C107)+SUM(CPC!C114:C117)+SUM(CPC!C119:C120)+SUM(CPC!C123)+SUM(CPC!C128:C141)</f>
        <v>632656.62</v>
      </c>
      <c r="P41" s="31">
        <f>SUM(CPC!C79:C86)+SUM(CPC!C89:C92)+SUM(CPC!C95:C97)+SUM(CPC!C103:C107)+SUM(CPC!C114:C117)+SUM(CPC!C119:C120)+SUM(CPC!C123)+SUM(CPC!C128:C141)</f>
        <v>632656.62</v>
      </c>
    </row>
    <row r="42" spans="1:16" x14ac:dyDescent="0.2">
      <c r="A42" t="s">
        <v>118</v>
      </c>
      <c r="B42" s="131">
        <f>'TB HF 2022'!D18+SUM('2023 Xero HF'!D40:O40)+SUM('2024 Xero HF  '!L40:O40)</f>
        <v>118892.49</v>
      </c>
      <c r="C42" s="131">
        <f>'TB HF 2022'!D18+SUM('2023 Xero HF'!D40:O40)+SUM('2024 Xero HF  '!K40:O40)</f>
        <v>118892.49</v>
      </c>
      <c r="D42" s="31">
        <f>'TB HF 2022'!D18+SUM('2023 Xero HF'!D40:O40)+SUM('2024 Xero HF  '!J40:O40)</f>
        <v>118892.49</v>
      </c>
      <c r="E42" s="31">
        <f>'TB HF 2022'!D18+SUM('2023 Xero HF'!D40:O40)+SUM('2024 Xero HF  '!I40:O40)</f>
        <v>118892.49</v>
      </c>
      <c r="F42" s="31">
        <f>'TB HF 2022'!D18+SUM('2023 Xero HF'!D40:O40)+SUM('2024 Xero HF  '!H40:O40)</f>
        <v>118892.49</v>
      </c>
      <c r="G42" s="31">
        <f>'TB HF 2022'!D18+SUM('2023 Xero HF'!D40:O40)+SUM('2024 Xero HF  '!G40:O40)</f>
        <v>118892.49</v>
      </c>
      <c r="H42" s="31">
        <f>'TB HF 2022'!D18+SUM('2023 Xero HF'!D40:O40)+SUM('2024 Xero HF  '!F40:O40)</f>
        <v>118892.49</v>
      </c>
      <c r="I42" s="31">
        <f>'TB HF 2022'!D18+SUM('2023 Xero HF'!D40:O40)+SUM('2024 Xero HF  '!E40:O40)</f>
        <v>118892.49</v>
      </c>
      <c r="J42" s="31">
        <f>'TB HF 2022'!D18+SUM('2023 Xero HF'!D40:O40)+SUM('2024 Xero HF  '!D40:O40)</f>
        <v>118892.49</v>
      </c>
      <c r="K42" s="31">
        <f>'TB HF 2022'!D18+SUM('2023 Xero HF'!D40:O40)+SUM('2024 Xero HF  '!D40:O40)+SUM('2025 Xero HF'!O39)</f>
        <v>118892.49</v>
      </c>
      <c r="L42" s="31">
        <f>'TB HF 2022'!D18+SUM('2023 Xero HF'!D40:O40)+SUM('2024 Xero HF  '!D40:O40)+SUM('2025 Xero HF'!N39:O39)</f>
        <v>122892.49</v>
      </c>
      <c r="M42" s="31">
        <f>'TB HF 2022'!D18+SUM('2023 Xero HF'!D40:O40)+SUM('2024 Xero HF  '!D40:O40)+SUM('2025 Xero HF'!M39:O39)</f>
        <v>126892.49</v>
      </c>
      <c r="N42" s="31">
        <f>'TB HF 2022'!D18+SUM('2023 Xero HF'!D40:O40)+SUM('2024 Xero HF  '!D40:O40)+SUM('2025 Xero HF'!L39:O39)</f>
        <v>131092.49</v>
      </c>
      <c r="O42" s="31">
        <f>'TB HF 2022'!D18+SUM('2023 Xero HF'!D40:O40)+SUM('2024 Xero HF  '!D40:O40)+SUM('2025 Xero HF'!K39:O39)</f>
        <v>131092.49</v>
      </c>
      <c r="P42" s="31">
        <f>'TB HF 2022'!D18+SUM('2023 Xero HF'!D40:O40)+SUM('2024 Xero HF  '!D40:O40)+SUM('2025 Xero HF'!J39:O39)</f>
        <v>131092.49</v>
      </c>
    </row>
    <row r="43" spans="1:16" x14ac:dyDescent="0.2">
      <c r="A43" t="s">
        <v>119</v>
      </c>
      <c r="B43" s="131">
        <f>'TB HF 2022'!D16</f>
        <v>3000</v>
      </c>
      <c r="C43" s="131">
        <f>'TB HF 2022'!D16</f>
        <v>3000</v>
      </c>
      <c r="D43" s="31">
        <f>'TB HF 2022'!D16</f>
        <v>3000</v>
      </c>
      <c r="E43" s="31">
        <f>'TB HF 2022'!D16</f>
        <v>3000</v>
      </c>
      <c r="F43" s="31">
        <f>'TB HF 2022'!D16</f>
        <v>3000</v>
      </c>
      <c r="G43" s="31">
        <f>'TB HF 2022'!D16</f>
        <v>3000</v>
      </c>
      <c r="H43" s="31">
        <f>'TB HF 2022'!D16</f>
        <v>3000</v>
      </c>
      <c r="I43" s="31">
        <f>'TB HF 2022'!D16</f>
        <v>3000</v>
      </c>
      <c r="J43" s="31">
        <f>'TB HF 2022'!D16</f>
        <v>3000</v>
      </c>
      <c r="K43" s="31">
        <f>'TB HF 2022'!D16</f>
        <v>3000</v>
      </c>
      <c r="L43" s="31">
        <f>'TB HF 2022'!D16</f>
        <v>3000</v>
      </c>
      <c r="M43" s="31">
        <f>'TB HF 2022'!D16</f>
        <v>3000</v>
      </c>
      <c r="N43" s="31">
        <f>'TB HF 2022'!D16</f>
        <v>3000</v>
      </c>
      <c r="O43" s="31">
        <f>'TB HF 2022'!D16</f>
        <v>3000</v>
      </c>
      <c r="P43" s="31">
        <f>'TB HF 2022'!D16</f>
        <v>3000</v>
      </c>
    </row>
    <row r="44" spans="1:16" x14ac:dyDescent="0.2">
      <c r="A44" t="s">
        <v>120</v>
      </c>
      <c r="B44" s="131">
        <f>'TB HF 2022'!D19+SUM('2023 Xero HF'!D41:O41)+SUM('2024 Xero HF  '!L41:O41)</f>
        <v>63535.24</v>
      </c>
      <c r="C44" s="131">
        <f>'TB HF 2022'!D19+SUM('2023 Xero HF'!D41:O41)+SUM('2024 Xero HF  '!K41:O41)</f>
        <v>63535.24</v>
      </c>
      <c r="D44" s="31">
        <f>'TB HF 2022'!D19+SUM('2023 Xero HF'!D41:O41)+SUM('2024 Xero HF  '!J41:O41)</f>
        <v>63535.24</v>
      </c>
      <c r="E44" s="31">
        <f>'TB HF 2022'!D19+SUM('2023 Xero HF'!D41:O41)+SUM('2024 Xero HF  '!I41:O41)</f>
        <v>63535.24</v>
      </c>
      <c r="F44" s="31">
        <f>'TB HF 2022'!D19+SUM('2023 Xero HF'!D41:O41)+SUM('2024 Xero HF  '!H41:O41)</f>
        <v>63535.24</v>
      </c>
      <c r="G44" s="31">
        <f>'TB HF 2022'!D19+SUM('2023 Xero HF'!D41:O41)+SUM('2024 Xero HF  '!G41:O41)</f>
        <v>63535.24</v>
      </c>
      <c r="H44" s="31">
        <f>'TB HF 2022'!D19+SUM('2023 Xero HF'!D41:O41)+SUM('2024 Xero HF  '!F41:O41)</f>
        <v>63535.24</v>
      </c>
      <c r="I44" s="31">
        <f>'TB HF 2022'!D19+SUM('2023 Xero HF'!D41:O41)+SUM('2024 Xero HF  '!E41:O41)</f>
        <v>63535.24</v>
      </c>
      <c r="J44" s="31">
        <f>'TB HF 2022'!D19+SUM('2023 Xero HF'!D41:O41)+SUM('2024 Xero HF  '!D41:O41)</f>
        <v>63535.24</v>
      </c>
      <c r="K44" s="31">
        <f>'TB HF 2022'!D19+SUM('2023 Xero HF'!D41:O41)+SUM('2024 Xero HF  '!D41:O41)+SUM('2025 Xero HF'!O40)</f>
        <v>74751.37</v>
      </c>
      <c r="L44" s="31">
        <f>'TB HF 2022'!D19+SUM('2023 Xero HF'!D41:O41)+SUM('2024 Xero HF  '!D41:O41)+SUM('2025 Xero HF'!N40:O40)</f>
        <v>72273.86</v>
      </c>
      <c r="M44" s="31">
        <f>'TB HF 2022'!D19+SUM('2023 Xero HF'!D41:O41)+SUM('2024 Xero HF  '!D41:O41)+SUM('2025 Xero HF'!M39:O39)</f>
        <v>71535.239999999991</v>
      </c>
      <c r="N44" s="31">
        <f>'TB HF 2022'!D19+SUM('2023 Xero HF'!D41:O41)+SUM('2024 Xero HF  '!D41:O41)+SUM('2025 Xero HF'!L40:O40)</f>
        <v>74798.7</v>
      </c>
      <c r="O44" s="31">
        <f>'TB HF 2022'!D19+SUM('2023 Xero HF'!D41:O41)+SUM('2024 Xero HF  '!D41:O41)+SUM('2025 Xero HF'!K40:O40)</f>
        <v>74798.7</v>
      </c>
      <c r="P44" s="31">
        <f>'TB HF 2022'!D19+SUM('2023 Xero HF'!D41:O41)+SUM('2024 Xero HF  '!D41:O41)+SUM('2025 Xero HF'!J40:O40)</f>
        <v>74798.7</v>
      </c>
    </row>
    <row r="45" spans="1:16" x14ac:dyDescent="0.2">
      <c r="A45" t="s">
        <v>121</v>
      </c>
      <c r="B45" s="131">
        <f>'TB HF 2022'!D21</f>
        <v>250</v>
      </c>
      <c r="C45" s="131">
        <f>'TB HF 2022'!D21</f>
        <v>250</v>
      </c>
      <c r="D45" s="31">
        <f>'TB HF 2022'!D21</f>
        <v>250</v>
      </c>
      <c r="E45" s="31">
        <f>'TB HF 2022'!D21</f>
        <v>250</v>
      </c>
      <c r="F45" s="31">
        <f>'TB HF 2022'!D21</f>
        <v>250</v>
      </c>
      <c r="G45" s="31">
        <f>'TB HF 2022'!D21</f>
        <v>250</v>
      </c>
      <c r="H45" s="31">
        <f>'TB HF 2022'!D21</f>
        <v>250</v>
      </c>
      <c r="I45" s="31">
        <f>'TB HF 2022'!D21</f>
        <v>250</v>
      </c>
      <c r="J45" s="31">
        <f>'TB HF 2022'!D21</f>
        <v>250</v>
      </c>
      <c r="K45" s="31">
        <f>'TB HF 2022'!D21</f>
        <v>250</v>
      </c>
      <c r="L45" s="31">
        <f>'TB HF 2022'!D21</f>
        <v>250</v>
      </c>
      <c r="M45" s="31">
        <f>'TB HF 2022'!D21</f>
        <v>250</v>
      </c>
      <c r="N45" s="31">
        <f>'TB HF 2022'!D21</f>
        <v>250</v>
      </c>
      <c r="O45" s="31">
        <f>'TB HF 2022'!D21</f>
        <v>250</v>
      </c>
      <c r="P45" s="31">
        <f>'TB HF 2022'!D21</f>
        <v>250</v>
      </c>
    </row>
    <row r="46" spans="1:16" x14ac:dyDescent="0.2">
      <c r="A46" t="s">
        <v>122</v>
      </c>
      <c r="B46" s="131">
        <f>SUM('2023 Xero HF'!D42:O42)+SUM('2024 Xero HF  '!L42:O42)</f>
        <v>53345.22</v>
      </c>
      <c r="C46" s="131">
        <f>SUM('2023 Xero HF'!D42:O42)+SUM('2024 Xero HF  '!K42:O42)</f>
        <v>63805.19</v>
      </c>
      <c r="D46" s="31">
        <f>SUM('2023 Xero HF'!D42:O42)+SUM('2024 Xero HF  '!J42:O42)</f>
        <v>63805.19</v>
      </c>
      <c r="E46" s="31">
        <f>SUM('2023 Xero HF'!D42:O42)+SUM('2024 Xero HF  '!H42:O42)</f>
        <v>63805.19</v>
      </c>
      <c r="F46" s="31">
        <f>SUM('2023 Xero HF'!D42:O42)+SUM('2024 Xero HF  '!H42:O42)</f>
        <v>63805.19</v>
      </c>
      <c r="G46" s="31">
        <f>SUM('2023 Xero HF'!D42:O42)+SUM('2024 Xero HF  '!G42:O42)</f>
        <v>63805.19</v>
      </c>
      <c r="H46" s="31">
        <f>SUM('2023 Xero HF'!D42:O42)+SUM('2024 Xero HF  '!F42:O42)</f>
        <v>63805.19</v>
      </c>
      <c r="I46" s="31">
        <f>SUM('2023 Xero HF'!D42:O42)+SUM('2024 Xero HF  '!E42:O42)</f>
        <v>63805.19</v>
      </c>
      <c r="J46" s="31">
        <f>SUM('2023 Xero HF'!D42:O42)+SUM('2024 Xero HF  '!D42:O42)</f>
        <v>63805.19</v>
      </c>
      <c r="K46" s="31">
        <f>SUM('2023 Xero HF'!D42:O42)+SUM('2024 Xero HF  '!D42:O42)+SUM('2025 Xero HF'!O41)</f>
        <v>63805.19</v>
      </c>
      <c r="L46" s="31">
        <f>SUM('2023 Xero HF'!D42:O42)+SUM('2024 Xero HF  '!D42:O42)+SUM('2025 Xero HF'!N41:O41)</f>
        <v>71155.520000000004</v>
      </c>
      <c r="M46" s="31">
        <f>SUM('2023 Xero HF'!D42:O42)+SUM('2024 Xero HF  '!D42:O42)+SUM('2025 Xero HF'!M41:O41)</f>
        <v>79979.42</v>
      </c>
      <c r="N46" s="31">
        <f>SUM('2023 Xero HF'!D42:O42)+SUM('2024 Xero HF  '!D42:O42)+SUM('2025 Xero HF'!L41:O41)</f>
        <v>90721.08</v>
      </c>
      <c r="O46" s="31">
        <f>SUM('2023 Xero HF'!D42:O42)+SUM('2024 Xero HF  '!D42:O42)+SUM('2025 Xero HF'!K41:O41)</f>
        <v>90721.08</v>
      </c>
      <c r="P46" s="31">
        <f>SUM('2023 Xero HF'!D42:O42)+SUM('2024 Xero HF  '!D42:O42)+SUM('2025 Xero HF'!J41:O41)</f>
        <v>90721.08</v>
      </c>
    </row>
    <row r="47" spans="1:16" x14ac:dyDescent="0.2">
      <c r="A47" t="s">
        <v>123</v>
      </c>
      <c r="B47" s="131">
        <f>'TB HF 2022'!D22+SUM('2023 Xero HF'!D43:O43)+SUM('2024 Xero HF  '!L43:O43)</f>
        <v>90.009999999999877</v>
      </c>
      <c r="C47" s="131">
        <f>'TB HF 2022'!D22+SUM('2023 Xero HF'!D43:O43)+SUM('2024 Xero HF  '!K43:O43)</f>
        <v>90.009999999999877</v>
      </c>
      <c r="D47" s="31">
        <f>'TB HF 2022'!D22+SUM('2023 Xero HF'!D43:O43)+SUM('2024 Xero HF  '!J43:O43)</f>
        <v>90.009999999999877</v>
      </c>
      <c r="E47" s="31">
        <f>'TB HF 2022'!D22+SUM('2023 Xero HF'!D43:O43)+SUM('2024 Xero HF  '!I43:O43)</f>
        <v>90.009999999999877</v>
      </c>
      <c r="F47" s="31">
        <f>'TB HF 2022'!D22+SUM('2023 Xero HF'!D43:O43)+SUM('2024 Xero HF  '!H43:O43)</f>
        <v>90.009999999999877</v>
      </c>
      <c r="G47" s="31">
        <f>'TB HF 2022'!D22+SUM('2023 Xero HF'!D43:O43)+SUM('2024 Xero HF  '!G43:O43)</f>
        <v>90.009999999999877</v>
      </c>
      <c r="H47" s="31">
        <f>'TB HF 2022'!D22+SUM('2023 Xero HF'!D43:O43)+SUM('2024 Xero HF  '!F43:O43)</f>
        <v>90.009999999999877</v>
      </c>
      <c r="I47" s="31">
        <f>'TB HF 2022'!D22+SUM('2023 Xero HF'!D43:O43)+SUM('2024 Xero HF  '!E43:O43)</f>
        <v>90.009999999999877</v>
      </c>
      <c r="J47" s="31">
        <f>'TB HF 2022'!D22+SUM('2023 Xero HF'!D43:O43)+SUM('2024 Xero HF  '!D43:O43)</f>
        <v>90.009999999999877</v>
      </c>
      <c r="K47" s="31">
        <f>'TB HF 2022'!D22+SUM('2023 Xero HF'!D43:O43)+SUM('2024 Xero HF  '!D43:O43)</f>
        <v>90.009999999999877</v>
      </c>
      <c r="L47" s="31">
        <f>'TB HF 2022'!D22+SUM('2023 Xero HF'!D43:O43)+SUM('2024 Xero HF  '!D43:O43)</f>
        <v>90.009999999999877</v>
      </c>
      <c r="M47" s="31">
        <f>'TB HF 2022'!D22+SUM('2023 Xero HF'!D43:O43)+SUM('2024 Xero HF  '!D43:O43)</f>
        <v>90.009999999999877</v>
      </c>
      <c r="N47" s="31">
        <f>'TB HF 2022'!D22+SUM('2023 Xero HF'!D43:O43)+SUM('2024 Xero HF  '!D43:O43)</f>
        <v>90.009999999999877</v>
      </c>
      <c r="O47" s="31">
        <f>'TB HF 2022'!D22+SUM('2023 Xero HF'!D43:O43)+SUM('2024 Xero HF  '!D43:O43)</f>
        <v>90.009999999999877</v>
      </c>
      <c r="P47" s="31">
        <f>'TB HF 2022'!D22+SUM('2023 Xero HF'!D43:O43)+SUM('2024 Xero HF  '!D43:O43)</f>
        <v>90.009999999999877</v>
      </c>
    </row>
    <row r="48" spans="1:16" x14ac:dyDescent="0.2">
      <c r="A48" t="s">
        <v>103</v>
      </c>
      <c r="B48" s="131">
        <f>SUM('2024 Xero HF  '!L60:O60)</f>
        <v>71583.149999999994</v>
      </c>
      <c r="C48" s="131">
        <f>SUM('2024 Xero HF  '!K60:O60)</f>
        <v>76865.829999999987</v>
      </c>
      <c r="D48" s="31">
        <f>SUM('2024 Xero HF  '!J60:O60)</f>
        <v>76865.829999999987</v>
      </c>
      <c r="E48" s="31">
        <f>SUM('2024 Xero HF  '!I60:O60)</f>
        <v>76865.829999999987</v>
      </c>
      <c r="F48" s="31">
        <f>SUM('2024 Xero HF  '!H60:O60)</f>
        <v>76865.829999999987</v>
      </c>
      <c r="G48" s="31">
        <f>SUM('2024 Xero HF  '!G60:O60)</f>
        <v>76865.829999999987</v>
      </c>
      <c r="H48" s="31">
        <f>SUM('2024 Xero HF  '!F60:O60)</f>
        <v>76865.829999999987</v>
      </c>
      <c r="I48" s="31">
        <f>SUM('2024 Xero HF  '!E60:O60)</f>
        <v>76865.829999999987</v>
      </c>
      <c r="J48" s="31">
        <f>SUM('2024 Xero HF  '!D60:O60)</f>
        <v>76865.829999999987</v>
      </c>
      <c r="K48" s="31">
        <f>SUM('2024 Xero HF  '!D60:O60)+SUM('2025 Xero HF'!O56)+SUM('2025 Xero HF'!O42)</f>
        <v>77047.499999999985</v>
      </c>
      <c r="L48" s="31">
        <f>SUM('2024 Xero HF  '!D60:O60)+SUM('2025 Xero HF'!N56:O56)+SUM('2025 Xero HF'!N42:O42)</f>
        <v>76332.029999999984</v>
      </c>
      <c r="M48" s="31">
        <f>SUM('2024 Xero HF  '!D60:O60)+SUM('2025 Xero HF'!M56:O56)+SUM('2025 Xero HF'!M42:O42)</f>
        <v>76332.029999999984</v>
      </c>
      <c r="N48" s="31">
        <f>SUM('2024 Xero HF  '!D60:O60)+SUM('2025 Xero HF'!L56:O56)+SUM('2025 Xero HF'!L42:O42)</f>
        <v>147915.18</v>
      </c>
      <c r="O48" s="31">
        <f>SUM('2024 Xero HF  '!D60:O60)+SUM('2025 Xero HF'!K56:O56)+SUM('2025 Xero HF'!K42:O42)</f>
        <v>147915.18</v>
      </c>
      <c r="P48" s="31">
        <f>SUM('2024 Xero HF  '!D60:O60)+SUM('2025 Xero HF'!J56:O56)+SUM('2025 Xero HF'!J42:O42)</f>
        <v>147915.18</v>
      </c>
    </row>
    <row r="49" spans="1:16" x14ac:dyDescent="0.2">
      <c r="A49" t="s">
        <v>124</v>
      </c>
      <c r="B49" s="131">
        <f>'TB HF 2022'!D24+SUM('2023 Xero HF'!D56:O56)</f>
        <v>765</v>
      </c>
      <c r="C49" s="131">
        <f>'TB HF 2022'!D24+SUM('2023 Xero HF'!D56:O56)</f>
        <v>765</v>
      </c>
      <c r="D49" s="31">
        <f>'TB HF 2022'!D24+SUM('2023 Xero HF'!D56:O56)</f>
        <v>765</v>
      </c>
      <c r="E49" s="31">
        <f>'TB HF 2022'!D24+SUM('2023 Xero HF'!D56:O56)</f>
        <v>765</v>
      </c>
      <c r="F49" s="31">
        <f>'TB HF 2022'!D24+SUM('2023 Xero HF'!D56:O56)</f>
        <v>765</v>
      </c>
      <c r="G49" s="31">
        <f>'TB HF 2022'!D24+SUM('2023 Xero HF'!D56:O56)</f>
        <v>765</v>
      </c>
      <c r="H49" s="31">
        <f>'TB HF 2022'!D24+SUM('2023 Xero HF'!D56:O56)</f>
        <v>765</v>
      </c>
      <c r="I49" s="31">
        <f>'TB HF 2022'!D24+SUM('2023 Xero HF'!D56:O56)</f>
        <v>765</v>
      </c>
      <c r="J49" s="31">
        <f>'TB HF 2022'!D24+SUM('2023 Xero HF'!D56:O56)</f>
        <v>765</v>
      </c>
      <c r="K49" s="31">
        <f>'TB HF 2022'!D24+SUM('2023 Xero HF'!D56:O56)</f>
        <v>765</v>
      </c>
      <c r="L49" s="31">
        <f>'TB HF 2022'!D24+SUM('2023 Xero HF'!D56:O56)</f>
        <v>765</v>
      </c>
      <c r="M49" s="31">
        <f>'TB HF 2022'!D24+SUM('2023 Xero HF'!D56:O56)</f>
        <v>765</v>
      </c>
      <c r="N49" s="31">
        <f>'TB HF 2022'!D24+SUM('2023 Xero HF'!D56:O56)</f>
        <v>765</v>
      </c>
      <c r="O49" s="31">
        <f>'TB HF 2022'!D24+SUM('2023 Xero HF'!D56:O56)</f>
        <v>765</v>
      </c>
      <c r="P49" s="31">
        <f>'TB HF 2022'!D24+SUM('2023 Xero HF'!D56:O56)</f>
        <v>765</v>
      </c>
    </row>
    <row r="50" spans="1:16" x14ac:dyDescent="0.2">
      <c r="A50" t="s">
        <v>125</v>
      </c>
      <c r="B50" s="131">
        <f>'TB HF 2022'!D25+SUM('2023 Xero HF'!D57:O57)+SUM('2024 Xero HF  '!L58:O58)</f>
        <v>51772.549999999996</v>
      </c>
      <c r="C50" s="131">
        <f>'TB HF 2022'!D25+SUM('2023 Xero HF'!D57:O57)+SUM('2024 Xero HF  '!K58:O58)</f>
        <v>51772.549999999996</v>
      </c>
      <c r="D50" s="31">
        <f>'TB HF 2022'!D25+SUM('2023 Xero HF'!D57:O57)+SUM('2024 Xero HF  '!J58:O58)</f>
        <v>51772.549999999996</v>
      </c>
      <c r="E50" s="31">
        <f>'TB HF 2022'!D25+SUM('2023 Xero HF'!D57:O57)+SUM('2024 Xero HF  '!I58:O58)</f>
        <v>51772.549999999996</v>
      </c>
      <c r="F50" s="31">
        <f>'TB HF 2022'!D25+SUM('2023 Xero HF'!D57:O57)+SUM('2024 Xero HF  '!H58:O58)</f>
        <v>51772.549999999996</v>
      </c>
      <c r="G50" s="31">
        <f>'TB HF 2022'!D25+SUM('2023 Xero HF'!D57:O57)+SUM('2024 Xero HF  '!G58:O58)</f>
        <v>51772.549999999996</v>
      </c>
      <c r="H50" s="31">
        <f>'TB HF 2022'!D25+SUM('2023 Xero HF'!D57:O57)+SUM('2024 Xero HF  '!F58:O58)</f>
        <v>51772.549999999996</v>
      </c>
      <c r="I50" s="31">
        <f>'TB HF 2022'!D25+SUM('2023 Xero HF'!D57:O57)+SUM('2024 Xero HF  '!E58:O58)</f>
        <v>51772.549999999996</v>
      </c>
      <c r="J50" s="31">
        <f>'TB HF 2022'!D25+SUM('2023 Xero HF'!D57:O57)+SUM('2024 Xero HF  '!D58:O58)</f>
        <v>51772.549999999996</v>
      </c>
      <c r="K50" s="31">
        <f>'TB HF 2022'!D25+SUM('2023 Xero HF'!D57:O57)+SUM('2024 Xero HF  '!D58:O58)+SUM('2025 Xero HF'!O54)</f>
        <v>82591.799999999988</v>
      </c>
      <c r="L50" s="31">
        <f>'TB HF 2022'!D25+SUM('2023 Xero HF'!D57:O57)+SUM('2024 Xero HF  '!D58:O58)+SUM('2025 Xero HF'!N54:O54)</f>
        <v>40375.039999999994</v>
      </c>
      <c r="M50" s="31">
        <f>'TB HF 2022'!D25+SUM('2023 Xero HF'!D57:O57)+SUM('2024 Xero HF  '!D58:O58)+SUM('2025 Xero HF'!M54:O54)</f>
        <v>40375.039999999994</v>
      </c>
      <c r="N50" s="31">
        <f>'TB HF 2022'!D25+SUM('2023 Xero HF'!D57:O57)+SUM('2024 Xero HF  '!D58:O58)+SUM('2025 Xero HF'!L54:O54)</f>
        <v>40375.039999999994</v>
      </c>
      <c r="O50" s="31">
        <f>'TB HF 2022'!D25+SUM('2023 Xero HF'!D57:O57)+SUM('2024 Xero HF  '!D58:O58)+SUM('2025 Xero HF'!K54:O54)</f>
        <v>40375.039999999994</v>
      </c>
      <c r="P50" s="31">
        <f>'TB HF 2022'!D25+SUM('2023 Xero HF'!D57:O57)+SUM('2024 Xero HF  '!D58:O58)+SUM('2025 Xero HF'!J54:O54)</f>
        <v>40375.039999999994</v>
      </c>
    </row>
    <row r="51" spans="1:16" x14ac:dyDescent="0.2">
      <c r="A51" t="s">
        <v>126</v>
      </c>
      <c r="B51" s="131">
        <f>SUM('2023 Xero HF'!D58:O58)+SUM('2024 Xero HF  '!L59:O59)</f>
        <v>21380.400000000001</v>
      </c>
      <c r="C51" s="131">
        <f>SUM('2023 Xero HF'!D58:O58)+SUM('2024 Xero HF  '!K59:O59)</f>
        <v>21380.400000000001</v>
      </c>
      <c r="D51" s="31">
        <f>SUM('2023 Xero HF'!D58:O58)+SUM('2024 Xero HF  '!J59:O59)</f>
        <v>21380.400000000001</v>
      </c>
      <c r="E51" s="31">
        <f>SUM('2023 Xero HF'!D58:O58)+SUM('2024 Xero HF  '!I59:O59)</f>
        <v>21380.400000000001</v>
      </c>
      <c r="F51" s="31">
        <f>SUM('2023 Xero HF'!D58:O58)+SUM('2024 Xero HF  '!H59:O59)</f>
        <v>21380.400000000001</v>
      </c>
      <c r="G51" s="31">
        <f>SUM('2023 Xero HF'!D58:O58)+SUM('2024 Xero HF  '!G59:O59)</f>
        <v>21380.400000000001</v>
      </c>
      <c r="H51" s="31">
        <f>SUM('2023 Xero HF'!D58:O58)+SUM('2024 Xero HF  '!F59:O59)</f>
        <v>21380.400000000001</v>
      </c>
      <c r="I51" s="31">
        <f>SUM('2023 Xero HF'!D58:O58)+SUM('2024 Xero HF  '!E59:O59)</f>
        <v>21380.400000000001</v>
      </c>
      <c r="J51" s="31">
        <f>SUM('2023 Xero HF'!D58:O58)+SUM('2024 Xero HF  '!D59:O59)</f>
        <v>21380.400000000001</v>
      </c>
      <c r="K51" s="31">
        <f>SUM('2023 Xero HF'!D58:O58)+SUM('2024 Xero HF  '!D59:O59)+SUM('2025 Xero HF'!O55)</f>
        <v>32070.600000000002</v>
      </c>
      <c r="L51" s="31">
        <f>SUM('2023 Xero HF'!D58:O58)+SUM('2024 Xero HF  '!D59:O59)+SUM('2025 Xero HF'!N55:O55)</f>
        <v>32070.600000000002</v>
      </c>
      <c r="M51" s="31">
        <f>SUM('2023 Xero HF'!D58:O58)+SUM('2024 Xero HF  '!D59:O59)+SUM('2025 Xero HF'!M55:O55)</f>
        <v>32070.600000000002</v>
      </c>
      <c r="N51" s="31">
        <f>SUM('2023 Xero HF'!D58:O58)+SUM('2024 Xero HF  '!D59:O59)+SUM('2025 Xero HF'!L55:O55)</f>
        <v>32070.600000000002</v>
      </c>
      <c r="O51" s="31">
        <f>SUM('2023 Xero HF'!D58:O58)+SUM('2024 Xero HF  '!D59:O59)+SUM('2025 Xero HF'!K55:O55)</f>
        <v>32070.600000000002</v>
      </c>
      <c r="P51" s="31">
        <f>SUM('2023 Xero HF'!D58:O58)+SUM('2024 Xero HF  '!D59:O59)+SUM('2025 Xero HF'!J55:O55)</f>
        <v>32070.600000000002</v>
      </c>
    </row>
    <row r="52" spans="1:16" x14ac:dyDescent="0.2">
      <c r="A52" t="s">
        <v>127</v>
      </c>
      <c r="B52" s="131">
        <f>'TB HF 2022'!D26+SUM('2023 Xero HF'!D59:O59)+SUM('2024 Xero HF  '!L61:O61)</f>
        <v>22969.989999999998</v>
      </c>
      <c r="C52" s="131">
        <f>'TB HF 2022'!D26+SUM('2023 Xero HF'!D59:O59)+SUM('2024 Xero HF  '!K61:O61)</f>
        <v>22969.989999999998</v>
      </c>
      <c r="D52" s="31">
        <f>'TB HF 2022'!D26+SUM('2023 Xero HF'!D59:O59)+SUM('2024 Xero HF  '!J61:O61)</f>
        <v>22969.989999999998</v>
      </c>
      <c r="E52" s="31">
        <f>'TB HF 2022'!D26+SUM('2023 Xero HF'!D59:O59)+SUM('2024 Xero HF  '!I61:O61)</f>
        <v>22969.989999999998</v>
      </c>
      <c r="F52" s="31">
        <f>'TB HF 2022'!D26+SUM('2023 Xero HF'!D59:O59)+SUM('2024 Xero HF  '!H61:O61)</f>
        <v>22969.989999999998</v>
      </c>
      <c r="G52" s="31">
        <f>'TB HF 2022'!D26+SUM('2023 Xero HF'!D59:O59)+SUM('2024 Xero HF  '!G61:O61)</f>
        <v>22969.989999999998</v>
      </c>
      <c r="H52" s="31">
        <f>'TB HF 2022'!D26+SUM('2023 Xero HF'!D59:O59)+SUM('2024 Xero HF  '!F61:O61)</f>
        <v>22969.989999999998</v>
      </c>
      <c r="I52" s="31">
        <f>'TB HF 2022'!D26+SUM('2023 Xero HF'!D59:O59)+SUM('2024 Xero HF  '!E61:O61)</f>
        <v>22969.989999999998</v>
      </c>
      <c r="J52" s="31">
        <f>'TB HF 2022'!D26+SUM('2023 Xero HF'!D59:O59)+SUM('2024 Xero HF  '!D61:O61)</f>
        <v>22969.989999999998</v>
      </c>
      <c r="K52" s="31">
        <f>'TB HF 2022'!D26+SUM('2023 Xero HF'!D59:O59)+SUM('2024 Xero HF  '!D61:O61)</f>
        <v>22969.989999999998</v>
      </c>
      <c r="L52" s="31">
        <f>'TB HF 2022'!D26+SUM('2023 Xero HF'!D59:O59)+SUM('2024 Xero HF  '!D61:O61)</f>
        <v>22969.989999999998</v>
      </c>
      <c r="M52" s="31">
        <f>'TB HF 2022'!D26+SUM('2023 Xero HF'!D59:O59)+SUM('2024 Xero HF  '!D61:O61)</f>
        <v>22969.989999999998</v>
      </c>
      <c r="N52" s="31">
        <f>'TB HF 2022'!D26+SUM('2023 Xero HF'!D59:O59)+SUM('2024 Xero HF  '!D61:O61)</f>
        <v>22969.989999999998</v>
      </c>
      <c r="O52" s="31">
        <f>'TB HF 2022'!D26+SUM('2023 Xero HF'!D59:O59)+SUM('2024 Xero HF  '!D61:O61)</f>
        <v>22969.989999999998</v>
      </c>
      <c r="P52" s="31">
        <f>'TB HF 2022'!D26+SUM('2023 Xero HF'!D59:O59)+SUM('2024 Xero HF  '!D61:O61)</f>
        <v>22969.989999999998</v>
      </c>
    </row>
    <row r="53" spans="1:16" x14ac:dyDescent="0.2">
      <c r="A53" t="s">
        <v>128</v>
      </c>
      <c r="B53" s="131">
        <f>'TB HF 2022'!D27</f>
        <v>17000</v>
      </c>
      <c r="C53" s="131">
        <f>'TB HF 2022'!D27</f>
        <v>17000</v>
      </c>
      <c r="D53" s="31">
        <f>'TB HF 2022'!D27</f>
        <v>17000</v>
      </c>
      <c r="E53" s="31">
        <f>'TB HF 2022'!D27</f>
        <v>17000</v>
      </c>
      <c r="F53" s="31">
        <f>'TB HF 2022'!D27</f>
        <v>17000</v>
      </c>
      <c r="G53" s="31">
        <f>'TB HF 2022'!D27</f>
        <v>17000</v>
      </c>
      <c r="H53" s="31">
        <f>'TB HF 2022'!D27</f>
        <v>17000</v>
      </c>
      <c r="I53" s="31">
        <f>'TB HF 2022'!D27</f>
        <v>17000</v>
      </c>
      <c r="J53" s="31">
        <f>'TB HF 2022'!D27</f>
        <v>17000</v>
      </c>
      <c r="K53" s="31">
        <f>'TB HF 2022'!D27</f>
        <v>17000</v>
      </c>
      <c r="L53" s="31">
        <f>'TB HF 2022'!D27</f>
        <v>17000</v>
      </c>
      <c r="M53" s="31">
        <f>'TB HF 2022'!D27</f>
        <v>17000</v>
      </c>
      <c r="N53" s="31">
        <f>'TB HF 2022'!D27</f>
        <v>17000</v>
      </c>
      <c r="O53" s="31">
        <f>'TB HF 2022'!D27</f>
        <v>17000</v>
      </c>
      <c r="P53" s="31">
        <f>'TB HF 2022'!D27</f>
        <v>17000</v>
      </c>
    </row>
    <row r="54" spans="1:16" x14ac:dyDescent="0.2">
      <c r="A54" t="s">
        <v>129</v>
      </c>
      <c r="B54" s="131">
        <f>SUM('2023 Xero HF'!D61:O61)+SUM('2024 Xero HF  '!L63:O63)</f>
        <v>339.72</v>
      </c>
      <c r="C54" s="131">
        <f>SUM('2023 Xero HF'!D61:O61)+SUM('2024 Xero HF  '!K63:O63)</f>
        <v>339.72</v>
      </c>
      <c r="D54" s="31">
        <f>SUM('2023 Xero HF'!D61:O61)+SUM('2024 Xero HF  '!J63:O63)</f>
        <v>339.72</v>
      </c>
      <c r="E54" s="31">
        <f>SUM('2023 Xero HF'!D61:O61)+SUM('2024 Xero HF  '!I63:O63)</f>
        <v>339.72</v>
      </c>
      <c r="F54" s="31">
        <f>SUM('2023 Xero HF'!D61:O61)+SUM('2024 Xero HF  '!H63:O63)</f>
        <v>339.72</v>
      </c>
      <c r="G54" s="31">
        <f>SUM('2023 Xero HF'!D61:O61)+SUM('2024 Xero HF  '!G63:O63)</f>
        <v>339.72</v>
      </c>
      <c r="H54" s="31">
        <f>SUM('2023 Xero HF'!D61:O61)+SUM('2024 Xero HF  '!F63:O63)</f>
        <v>339.72</v>
      </c>
      <c r="I54" s="31">
        <f>SUM('2023 Xero HF'!D61:O61)+SUM('2024 Xero HF  '!E63:O63)</f>
        <v>339.72</v>
      </c>
      <c r="J54" s="31">
        <f>SUM('2023 Xero HF'!D61:O61)+SUM('2024 Xero HF  '!D63:O63)</f>
        <v>339.72</v>
      </c>
      <c r="K54" s="31">
        <f>SUM('2023 Xero HF'!D61:O61)+SUM('2024 Xero HF  '!D63:O63)+SUM('2025 Xero HF'!O59)</f>
        <v>539.71</v>
      </c>
      <c r="L54" s="31">
        <f>SUM('2023 Xero HF'!D61:O61)+SUM('2024 Xero HF  '!D63:O63)+SUM('2025 Xero HF'!N59:O59)</f>
        <v>539.71</v>
      </c>
      <c r="M54" s="31">
        <f>SUM('2023 Xero HF'!D61:O61)+SUM('2024 Xero HF  '!D63:O63)+SUM('2025 Xero HF'!M59:O59)</f>
        <v>579.18000000000006</v>
      </c>
      <c r="N54" s="31">
        <f>SUM('2023 Xero HF'!D61:O61)+SUM('2024 Xero HF  '!D63:O63)+SUM('2025 Xero HF'!L59:O59)</f>
        <v>579.18000000000006</v>
      </c>
      <c r="O54" s="31">
        <f>SUM('2023 Xero HF'!D61:O61)+SUM('2024 Xero HF  '!D63:O63)+SUM('2025 Xero HF'!K59:O59)</f>
        <v>579.18000000000006</v>
      </c>
      <c r="P54" s="31">
        <f>SUM('2023 Xero HF'!D61:O61)+SUM('2024 Xero HF  '!D63:O63)+SUM('2025 Xero HF'!J59:O59)</f>
        <v>579.18000000000006</v>
      </c>
    </row>
    <row r="55" spans="1:16" x14ac:dyDescent="0.2">
      <c r="A55" t="s">
        <v>130</v>
      </c>
      <c r="B55" s="131">
        <f>'TB HF 2022'!D20+SUM('2023 Xero HF'!D65:O65)+SUM('2024 Xero HF  '!L66:O66)</f>
        <v>125464.19</v>
      </c>
      <c r="C55" s="131">
        <f>'TB HF 2022'!D20+SUM('2023 Xero HF'!D65:O65)+SUM('2024 Xero HF  '!K66:O66)</f>
        <v>125464.19</v>
      </c>
      <c r="D55" s="31">
        <f>'TB HF 2022'!D20+SUM('2023 Xero HF'!D65:O65)+SUM('2024 Xero HF  '!J66:O66)</f>
        <v>125464.19</v>
      </c>
      <c r="E55" s="31">
        <f>'TB HF 2022'!D20+SUM('2023 Xero HF'!D65:O65)+SUM('2024 Xero HF  '!I66:O66)</f>
        <v>125464.19</v>
      </c>
      <c r="F55" s="31">
        <f>'TB HF 2022'!D20+SUM('2023 Xero HF'!D65:O65)+SUM('2024 Xero HF  '!H66:O66)</f>
        <v>125464.19</v>
      </c>
      <c r="G55" s="31">
        <f>'TB HF 2022'!D20+SUM('2023 Xero HF'!D65:O65)+SUM('2024 Xero HF  '!G66:O66)</f>
        <v>125464.19</v>
      </c>
      <c r="H55" s="31">
        <f>'TB HF 2022'!D20+SUM('2023 Xero HF'!D65:O65)+SUM('2024 Xero HF  '!F66:O66)</f>
        <v>125464.19</v>
      </c>
      <c r="I55" s="31">
        <f>'TB HF 2022'!D20+SUM('2023 Xero HF'!D65:O65)+SUM('2024 Xero HF  '!E66:O66)</f>
        <v>125464.19</v>
      </c>
      <c r="J55" s="31">
        <f>'TB HF 2022'!D20+SUM('2023 Xero HF'!D65:O65)+SUM('2024 Xero HF  '!D66:O66)</f>
        <v>125464.19</v>
      </c>
      <c r="K55" s="31">
        <f>'TB HF 2022'!D20+SUM('2023 Xero HF'!D65:O65)+SUM('2024 Xero HF  '!D66:O66)+SUM('2025 Xero HF'!O62)</f>
        <v>164813.22</v>
      </c>
      <c r="L55" s="31">
        <f>'TB HF 2022'!D20+SUM('2023 Xero HF'!D65:O65)+SUM('2024 Xero HF  '!D66:O66)+SUM('2025 Xero HF'!N62:O62)</f>
        <v>160511.38</v>
      </c>
      <c r="M55" s="31">
        <f>'TB HF 2022'!D20+SUM('2023 Xero HF'!D65:O65)+SUM('2024 Xero HF  '!D66:O66)+SUM('2025 Xero HF'!M62:O62)</f>
        <v>169343.62</v>
      </c>
      <c r="N55" s="31">
        <f>'TB HF 2022'!D20+SUM('2023 Xero HF'!D65:O65)+SUM('2024 Xero HF  '!D66:O66)+SUM('2025 Xero HF'!L62:O62)</f>
        <v>169343.62</v>
      </c>
      <c r="O55" s="31">
        <f>'TB HF 2022'!D20+SUM('2023 Xero HF'!D65:O65)+SUM('2024 Xero HF  '!D66:O66)+SUM('2025 Xero HF'!K62:O62)</f>
        <v>169343.62</v>
      </c>
      <c r="P55" s="31">
        <f>'TB HF 2022'!D20+SUM('2023 Xero HF'!D65:O65)+SUM('2024 Xero HF  '!D66:O66)+SUM('2025 Xero HF'!J62:O62)</f>
        <v>169343.62</v>
      </c>
    </row>
    <row r="56" spans="1:16" x14ac:dyDescent="0.2">
      <c r="A56" t="s">
        <v>131</v>
      </c>
      <c r="B56" s="131">
        <f>'TB HF 2022'!D29+'TB HF 2022'!D30+'TB HF 2022'!D11+SUM('2023 Xero HF'!D62:O64)+SUM('2024 Xero HF  '!L64:O65)</f>
        <v>16360.36</v>
      </c>
      <c r="C56" s="131">
        <f>'TB HF 2022'!D29+'TB HF 2022'!D30+'TB HF 2022'!D11+SUM('2023 Xero HF'!D62:O64)+SUM('2024 Xero HF  '!K64:O65)</f>
        <v>16360.36</v>
      </c>
      <c r="D56" s="31">
        <f>'TB HF 2022'!D29+'TB HF 2022'!D30+'TB HF 2022'!D11+SUM('2023 Xero HF'!D62:O64)+SUM('2024 Xero HF  '!J64:O65)</f>
        <v>16360.36</v>
      </c>
      <c r="E56" s="31">
        <f>'TB HF 2022'!D29+'TB HF 2022'!D30+'TB HF 2022'!D11+SUM('2023 Xero HF'!D62:O64)+SUM('2024 Xero HF  '!I64:O65)</f>
        <v>16360.36</v>
      </c>
      <c r="F56" s="31">
        <f>'TB HF 2022'!D29+'TB HF 2022'!D30+'TB HF 2022'!D11+SUM('2023 Xero HF'!D62:O64)+SUM('2024 Xero HF  '!H64:O65)</f>
        <v>16360.36</v>
      </c>
      <c r="G56" s="31">
        <f>'TB HF 2022'!D29+'TB HF 2022'!D30+'TB HF 2022'!D11+SUM('2023 Xero HF'!D62:O64)+SUM('2024 Xero HF  '!G64:O65)</f>
        <v>16360.36</v>
      </c>
      <c r="H56" s="31">
        <f>'TB HF 2022'!D29+'TB HF 2022'!D30+'TB HF 2022'!D11+SUM('2023 Xero HF'!D62:O64)+SUM('2024 Xero HF  '!F64:O65)</f>
        <v>16360.36</v>
      </c>
      <c r="I56" s="31">
        <f>'TB HF 2022'!D29+'TB HF 2022'!D30+'TB HF 2022'!D11+SUM('2023 Xero HF'!D62:O64)+SUM('2024 Xero HF  '!E64:O65)</f>
        <v>16360.36</v>
      </c>
      <c r="J56" s="31">
        <f>'TB HF 2022'!D29+'TB HF 2022'!D30+'TB HF 2022'!D11+SUM('2023 Xero HF'!D62:O64)+SUM('2024 Xero HF  '!D64:O65)</f>
        <v>16360.36</v>
      </c>
      <c r="K56" s="31">
        <f>'TB HF 2022'!D29+'TB HF 2022'!D30+'TB HF 2022'!D11+SUM('2023 Xero HF'!D62:O64)+SUM('2024 Xero HF  '!D64:O65)+SUM('2025 Xero HF'!O60:O61)</f>
        <v>16960.36</v>
      </c>
      <c r="L56" s="31">
        <f>'TB HF 2022'!D29+'TB HF 2022'!D30+'TB HF 2022'!D11+SUM('2023 Xero HF'!D62:O64)+SUM('2024 Xero HF  '!D64:O65)+SUM('2025 Xero HF'!N60:O61)</f>
        <v>17560.36</v>
      </c>
      <c r="M56" s="31">
        <f>'TB HF 2022'!D29+'TB HF 2022'!D30+'TB HF 2022'!D11+SUM('2023 Xero HF'!D62:O64)+SUM('2024 Xero HF  '!D64:O65)+SUM('2025 Xero HF'!M60:O61)</f>
        <v>18160.36</v>
      </c>
      <c r="N56" s="31">
        <f>'TB HF 2022'!D29+'TB HF 2022'!D30+'TB HF 2022'!D11+SUM('2023 Xero HF'!D62:O64)+SUM('2024 Xero HF  '!D64:O65)+SUM('2025 Xero HF'!L60:O61)</f>
        <v>18760.36</v>
      </c>
      <c r="O56" s="31">
        <f>'TB HF 2022'!D29+'TB HF 2022'!D30+'TB HF 2022'!D11+SUM('2023 Xero HF'!D62:O64)+SUM('2024 Xero HF  '!D64:O65)+SUM('2025 Xero HF'!K60:O61)</f>
        <v>18760.36</v>
      </c>
      <c r="P56" s="31">
        <f>'TB HF 2022'!D29+'TB HF 2022'!D30+'TB HF 2022'!D11+SUM('2023 Xero HF'!D62:O64)+SUM('2024 Xero HF  '!D64:O65)+SUM('2025 Xero HF'!J60:O61)</f>
        <v>18760.36</v>
      </c>
    </row>
    <row r="57" spans="1:16" x14ac:dyDescent="0.2">
      <c r="A57" t="s">
        <v>132</v>
      </c>
      <c r="B57" s="130">
        <f>'TB HF 2022'!D28+SUM('2023 Xero HF'!D60:O60)+SUM('2024 Xero HF  '!L62:O62)</f>
        <v>11335.380000000001</v>
      </c>
      <c r="C57" s="130">
        <f>'TB HF 2022'!D28+SUM('2023 Xero HF'!D60:O60)+SUM('2024 Xero HF  '!K62:O62)</f>
        <v>11335.380000000001</v>
      </c>
      <c r="D57" s="30">
        <f>'TB HF 2022'!D28+SUM('2023 Xero HF'!D60:O60)+SUM('2024 Xero HF  '!J62:O62)</f>
        <v>11335.380000000001</v>
      </c>
      <c r="E57" s="30">
        <f>'TB HF 2022'!D28+SUM('2023 Xero HF'!D60:O60)+SUM('2024 Xero HF  '!I62:O62)</f>
        <v>11335.380000000001</v>
      </c>
      <c r="F57" s="30">
        <f>'TB HF 2022'!D28+SUM('2023 Xero HF'!D60:O60)+SUM('2024 Xero HF  '!H62:O62)</f>
        <v>11335.380000000001</v>
      </c>
      <c r="G57" s="30">
        <f>'TB HF 2022'!D28+SUM('2023 Xero HF'!D60:O60)+SUM('2024 Xero HF  '!G62:O62)</f>
        <v>11335.380000000001</v>
      </c>
      <c r="H57" s="30">
        <f>'TB HF 2022'!D28+SUM('2023 Xero HF'!D60:O60)+SUM('2024 Xero HF  '!F62:O62)</f>
        <v>11335.380000000001</v>
      </c>
      <c r="I57" s="30">
        <f>'TB HF 2022'!D28+SUM('2023 Xero HF'!D60:O60)+SUM('2024 Xero HF  '!E62:O62)</f>
        <v>11335.380000000001</v>
      </c>
      <c r="J57" s="30">
        <f>'TB HF 2022'!D28+SUM('2023 Xero HF'!D60:O60)+SUM('2024 Xero HF  '!D62:O62)</f>
        <v>11335.380000000001</v>
      </c>
      <c r="K57" s="30">
        <f>'TB HF 2022'!D28+SUM('2023 Xero HF'!D60:O60)+SUM('2024 Xero HF  '!D62:O62)+SUM('2025 Xero HF'!O58)</f>
        <v>11663.76</v>
      </c>
      <c r="L57" s="30">
        <f>'TB HF 2022'!D28+SUM('2023 Xero HF'!D60:O60)+SUM('2024 Xero HF  '!D62:O62)+SUM('2025 Xero HF'!N58:O58)</f>
        <v>11992.140000000001</v>
      </c>
      <c r="M57" s="30">
        <f>'TB HF 2022'!D28+SUM('2023 Xero HF'!D60:O60)+SUM('2024 Xero HF  '!D62:O62)+SUM('2025 Xero HF'!M58:O58)</f>
        <v>12320.52</v>
      </c>
      <c r="N57" s="30">
        <f>'TB HF 2022'!D28+SUM('2023 Xero HF'!D60:O60)+SUM('2024 Xero HF  '!D62:O62)+SUM('2025 Xero HF'!L58:O58)</f>
        <v>12686.660000000002</v>
      </c>
      <c r="O57" s="30">
        <f>'TB HF 2022'!D28+SUM('2023 Xero HF'!D60:O60)+SUM('2024 Xero HF  '!D62:O62)+SUM('2025 Xero HF'!K58:O58)</f>
        <v>12686.660000000002</v>
      </c>
      <c r="P57" s="30">
        <f>'TB HF 2022'!D28+SUM('2023 Xero HF'!D60:O60)+SUM('2024 Xero HF  '!D62:O62)+SUM('2025 Xero HF'!J58:O58)</f>
        <v>12686.660000000002</v>
      </c>
    </row>
    <row r="59" spans="1:16" ht="16" customHeight="1" thickBot="1" x14ac:dyDescent="0.25">
      <c r="A59" s="28" t="s">
        <v>133</v>
      </c>
      <c r="B59" s="132">
        <f t="shared" ref="B59:P59" si="6">B29+B31-B36</f>
        <v>-18327409.074999999</v>
      </c>
      <c r="C59" s="132">
        <f t="shared" si="6"/>
        <v>-17561798.524999987</v>
      </c>
      <c r="D59" s="27">
        <f t="shared" si="6"/>
        <v>-17561798.524999987</v>
      </c>
      <c r="E59" s="27">
        <f t="shared" si="6"/>
        <v>-15799598.514999997</v>
      </c>
      <c r="F59" s="27">
        <f t="shared" si="6"/>
        <v>-14898811.534999993</v>
      </c>
      <c r="G59" s="27">
        <f t="shared" si="6"/>
        <v>-13998024.554999981</v>
      </c>
      <c r="H59" s="27">
        <f t="shared" si="6"/>
        <v>-13199839.854999993</v>
      </c>
      <c r="I59" s="27">
        <f t="shared" si="6"/>
        <v>-12299052.874999989</v>
      </c>
      <c r="J59" s="27">
        <f t="shared" si="6"/>
        <v>-11398265.894999985</v>
      </c>
      <c r="K59" s="27">
        <f t="shared" si="6"/>
        <v>-10759577.814999979</v>
      </c>
      <c r="L59" s="27">
        <f t="shared" si="6"/>
        <v>-11053212.334999988</v>
      </c>
      <c r="M59" s="27">
        <f t="shared" si="6"/>
        <v>-10162219.384999977</v>
      </c>
      <c r="N59" s="27">
        <f t="shared" si="6"/>
        <v>-9806667.0549999699</v>
      </c>
      <c r="O59" s="27">
        <f t="shared" si="6"/>
        <v>-9807311.2249999698</v>
      </c>
      <c r="P59" s="27">
        <f t="shared" si="6"/>
        <v>-10178855.138043454</v>
      </c>
    </row>
    <row r="60" spans="1:16" ht="16" customHeight="1" thickTop="1" x14ac:dyDescent="0.2"/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showGridLines="0" topLeftCell="A66" zoomScaleNormal="100" workbookViewId="0">
      <selection activeCell="F65" sqref="F65"/>
    </sheetView>
  </sheetViews>
  <sheetFormatPr baseColWidth="10" defaultColWidth="8.83203125" defaultRowHeight="12" x14ac:dyDescent="0.15"/>
  <cols>
    <col min="1" max="1" width="37.33203125" style="107" customWidth="1"/>
    <col min="2" max="4" width="11.83203125" style="107" customWidth="1"/>
    <col min="5" max="5" width="15.1640625" style="107" bestFit="1" customWidth="1"/>
    <col min="6" max="8" width="8.83203125" style="107" customWidth="1"/>
    <col min="9" max="16384" width="8.83203125" style="107"/>
  </cols>
  <sheetData>
    <row r="1" spans="1:4" s="105" customFormat="1" ht="18" customHeight="1" x14ac:dyDescent="0.2">
      <c r="A1" s="159" t="s">
        <v>134</v>
      </c>
      <c r="B1" s="160"/>
      <c r="C1" s="160"/>
      <c r="D1" s="160"/>
    </row>
    <row r="2" spans="1:4" s="106" customFormat="1" ht="15.5" customHeight="1" x14ac:dyDescent="0.2">
      <c r="A2" s="161" t="s">
        <v>1</v>
      </c>
      <c r="B2" s="162"/>
      <c r="C2" s="162"/>
      <c r="D2" s="162"/>
    </row>
    <row r="3" spans="1:4" s="106" customFormat="1" ht="15.5" customHeight="1" x14ac:dyDescent="0.2">
      <c r="A3" s="161" t="s">
        <v>135</v>
      </c>
      <c r="B3" s="162"/>
      <c r="C3" s="162"/>
      <c r="D3" s="162"/>
    </row>
    <row r="4" spans="1:4" ht="13.25" customHeight="1" x14ac:dyDescent="0.15"/>
    <row r="5" spans="1:4" s="110" customFormat="1" ht="13" customHeight="1" x14ac:dyDescent="0.15">
      <c r="A5" s="108" t="s">
        <v>136</v>
      </c>
      <c r="B5" s="109" t="s">
        <v>137</v>
      </c>
      <c r="C5" s="109" t="s">
        <v>138</v>
      </c>
      <c r="D5" s="109" t="s">
        <v>139</v>
      </c>
    </row>
    <row r="6" spans="1:4" ht="13.25" customHeight="1" x14ac:dyDescent="0.15"/>
    <row r="7" spans="1:4" s="110" customFormat="1" ht="13" customHeight="1" x14ac:dyDescent="0.2">
      <c r="A7" s="158" t="s">
        <v>140</v>
      </c>
      <c r="B7" s="154"/>
      <c r="C7" s="154"/>
      <c r="D7" s="154"/>
    </row>
    <row r="8" spans="1:4" ht="11.75" customHeight="1" x14ac:dyDescent="0.15">
      <c r="A8" s="111" t="s">
        <v>141</v>
      </c>
      <c r="B8" s="112">
        <v>0</v>
      </c>
      <c r="C8" s="112">
        <v>0</v>
      </c>
      <c r="D8" s="112">
        <v>-4.3600000000000003</v>
      </c>
    </row>
    <row r="9" spans="1:4" ht="11.75" customHeight="1" x14ac:dyDescent="0.15">
      <c r="A9" s="113" t="s">
        <v>142</v>
      </c>
      <c r="B9" s="114">
        <v>0</v>
      </c>
      <c r="C9" s="114">
        <v>12046638.060000001</v>
      </c>
      <c r="D9" s="114">
        <v>17741366.120000001</v>
      </c>
    </row>
    <row r="10" spans="1:4" ht="11.75" customHeight="1" x14ac:dyDescent="0.15">
      <c r="A10" s="113" t="s">
        <v>143</v>
      </c>
      <c r="B10" s="114">
        <v>0</v>
      </c>
      <c r="C10" s="114">
        <v>0</v>
      </c>
      <c r="D10" s="114">
        <v>2966308.21</v>
      </c>
    </row>
    <row r="11" spans="1:4" ht="11.75" customHeight="1" x14ac:dyDescent="0.15">
      <c r="A11" s="113" t="s">
        <v>144</v>
      </c>
      <c r="B11" s="114">
        <v>22830636.539999999</v>
      </c>
      <c r="C11" s="114">
        <v>51856469.729999997</v>
      </c>
      <c r="D11" s="114">
        <v>160638.13</v>
      </c>
    </row>
    <row r="12" spans="1:4" ht="11.75" customHeight="1" x14ac:dyDescent="0.15">
      <c r="A12" s="113" t="s">
        <v>145</v>
      </c>
      <c r="B12" s="114">
        <v>0</v>
      </c>
      <c r="C12" s="114">
        <v>1782369.8</v>
      </c>
      <c r="D12" s="114">
        <v>0</v>
      </c>
    </row>
    <row r="13" spans="1:4" ht="11.75" customHeight="1" x14ac:dyDescent="0.15">
      <c r="A13" s="113" t="s">
        <v>146</v>
      </c>
      <c r="B13" s="114">
        <v>0</v>
      </c>
      <c r="C13" s="114">
        <v>-1616.91</v>
      </c>
      <c r="D13" s="114">
        <v>0</v>
      </c>
    </row>
    <row r="14" spans="1:4" ht="11.75" customHeight="1" x14ac:dyDescent="0.15">
      <c r="A14" s="115" t="s">
        <v>147</v>
      </c>
      <c r="B14" s="116">
        <f>SUM(B8:B13)</f>
        <v>22830636.539999999</v>
      </c>
      <c r="C14" s="116">
        <f>SUM(C8:C13)</f>
        <v>65683860.68</v>
      </c>
      <c r="D14" s="116">
        <f>SUM(D8:D13)</f>
        <v>20868308.100000001</v>
      </c>
    </row>
    <row r="15" spans="1:4" ht="13.25" customHeight="1" x14ac:dyDescent="0.15"/>
    <row r="16" spans="1:4" s="110" customFormat="1" ht="13" customHeight="1" x14ac:dyDescent="0.2">
      <c r="A16" s="158" t="s">
        <v>148</v>
      </c>
      <c r="B16" s="154"/>
      <c r="C16" s="154"/>
      <c r="D16" s="154"/>
    </row>
    <row r="17" spans="1:6" ht="11.75" customHeight="1" x14ac:dyDescent="0.15">
      <c r="A17" s="119" t="s">
        <v>149</v>
      </c>
      <c r="B17" s="112">
        <v>17292.48</v>
      </c>
      <c r="C17" s="149">
        <v>32261.99</v>
      </c>
      <c r="D17" s="112">
        <v>0</v>
      </c>
      <c r="E17" s="148"/>
    </row>
    <row r="18" spans="1:6" ht="11.75" customHeight="1" x14ac:dyDescent="0.15">
      <c r="A18" s="120" t="s">
        <v>150</v>
      </c>
      <c r="B18" s="114">
        <v>286.95999999999998</v>
      </c>
      <c r="C18" s="114">
        <v>0</v>
      </c>
      <c r="D18" s="114">
        <v>0</v>
      </c>
    </row>
    <row r="19" spans="1:6" ht="11.75" customHeight="1" x14ac:dyDescent="0.15">
      <c r="A19" s="120" t="s">
        <v>151</v>
      </c>
      <c r="B19" s="114">
        <v>86.96</v>
      </c>
      <c r="C19" s="114">
        <v>0</v>
      </c>
      <c r="D19" s="114">
        <v>0</v>
      </c>
    </row>
    <row r="20" spans="1:6" ht="11.75" customHeight="1" x14ac:dyDescent="0.15">
      <c r="A20" s="120" t="s">
        <v>152</v>
      </c>
      <c r="B20" s="114">
        <v>0</v>
      </c>
      <c r="C20" s="114">
        <v>0</v>
      </c>
      <c r="D20" s="114">
        <v>15000</v>
      </c>
    </row>
    <row r="21" spans="1:6" ht="11.75" customHeight="1" x14ac:dyDescent="0.15">
      <c r="A21" s="120" t="s">
        <v>153</v>
      </c>
      <c r="B21" s="114">
        <v>0</v>
      </c>
      <c r="C21" s="114">
        <v>0</v>
      </c>
      <c r="D21" s="114">
        <v>691.29</v>
      </c>
    </row>
    <row r="22" spans="1:6" ht="11.75" customHeight="1" x14ac:dyDescent="0.15">
      <c r="A22" s="120" t="s">
        <v>154</v>
      </c>
      <c r="B22" s="114">
        <v>0</v>
      </c>
      <c r="C22" s="150">
        <v>2473.65</v>
      </c>
      <c r="D22" s="114">
        <v>27618.92</v>
      </c>
    </row>
    <row r="23" spans="1:6" ht="11.75" customHeight="1" x14ac:dyDescent="0.15">
      <c r="A23" s="120" t="s">
        <v>155</v>
      </c>
      <c r="B23" s="114">
        <v>0</v>
      </c>
      <c r="C23" s="150">
        <v>19600</v>
      </c>
      <c r="D23" s="114">
        <v>38828.36</v>
      </c>
    </row>
    <row r="24" spans="1:6" ht="11.75" customHeight="1" x14ac:dyDescent="0.15">
      <c r="A24" s="120" t="s">
        <v>156</v>
      </c>
      <c r="B24" s="114">
        <v>0</v>
      </c>
      <c r="C24" s="150">
        <v>269.64999999999998</v>
      </c>
      <c r="D24" s="114">
        <v>1121.02</v>
      </c>
    </row>
    <row r="25" spans="1:6" ht="11.75" customHeight="1" x14ac:dyDescent="0.15">
      <c r="A25" s="120" t="s">
        <v>157</v>
      </c>
      <c r="B25" s="114">
        <v>0</v>
      </c>
      <c r="C25" s="150">
        <v>11000</v>
      </c>
      <c r="D25" s="114">
        <v>92009.65</v>
      </c>
    </row>
    <row r="26" spans="1:6" ht="11.75" customHeight="1" x14ac:dyDescent="0.15">
      <c r="A26" s="120" t="s">
        <v>158</v>
      </c>
      <c r="B26" s="114">
        <v>0</v>
      </c>
      <c r="C26" s="114">
        <v>0</v>
      </c>
      <c r="D26" s="114">
        <v>24820</v>
      </c>
    </row>
    <row r="27" spans="1:6" ht="11.75" customHeight="1" x14ac:dyDescent="0.15">
      <c r="A27" s="120" t="s">
        <v>159</v>
      </c>
      <c r="B27" s="114">
        <v>0</v>
      </c>
      <c r="C27" s="114">
        <v>0</v>
      </c>
      <c r="D27" s="114">
        <v>15796.19</v>
      </c>
    </row>
    <row r="28" spans="1:6" ht="11.75" customHeight="1" x14ac:dyDescent="0.15">
      <c r="A28" s="120" t="s">
        <v>160</v>
      </c>
      <c r="B28" s="114">
        <v>760.87</v>
      </c>
      <c r="C28" s="150">
        <v>937.39</v>
      </c>
      <c r="D28" s="114">
        <v>10101.06</v>
      </c>
    </row>
    <row r="29" spans="1:6" ht="11.75" customHeight="1" x14ac:dyDescent="0.15">
      <c r="A29" s="120" t="s">
        <v>161</v>
      </c>
      <c r="B29" s="114">
        <v>238370.49</v>
      </c>
      <c r="C29" s="150">
        <v>17315669.25</v>
      </c>
      <c r="D29" s="114">
        <v>15328368.1</v>
      </c>
    </row>
    <row r="30" spans="1:6" ht="11.75" customHeight="1" x14ac:dyDescent="0.15">
      <c r="A30" s="120" t="s">
        <v>162</v>
      </c>
      <c r="B30" s="114">
        <v>136790.53</v>
      </c>
      <c r="C30" s="114">
        <v>995364.35</v>
      </c>
      <c r="D30" s="114">
        <v>399319.19</v>
      </c>
      <c r="F30" s="146"/>
    </row>
    <row r="31" spans="1:6" ht="11.75" customHeight="1" x14ac:dyDescent="0.15">
      <c r="A31" s="120" t="s">
        <v>163</v>
      </c>
      <c r="B31" s="114">
        <v>0</v>
      </c>
      <c r="C31" s="114">
        <v>957.28</v>
      </c>
      <c r="D31" s="114">
        <v>9290</v>
      </c>
    </row>
    <row r="32" spans="1:6" ht="11.75" customHeight="1" x14ac:dyDescent="0.15">
      <c r="A32" s="120" t="s">
        <v>164</v>
      </c>
      <c r="B32" s="114">
        <v>0</v>
      </c>
      <c r="C32" s="114">
        <v>18418</v>
      </c>
      <c r="D32" s="114">
        <v>0</v>
      </c>
    </row>
    <row r="33" spans="1:4" ht="11.75" customHeight="1" x14ac:dyDescent="0.15">
      <c r="A33" s="121" t="s">
        <v>165</v>
      </c>
      <c r="B33" s="114">
        <v>6492.72</v>
      </c>
      <c r="C33" s="114">
        <v>7880.91</v>
      </c>
      <c r="D33" s="114">
        <v>1085.22</v>
      </c>
    </row>
    <row r="34" spans="1:4" ht="11.75" customHeight="1" x14ac:dyDescent="0.15">
      <c r="A34" s="121" t="s">
        <v>166</v>
      </c>
      <c r="B34" s="114">
        <v>0</v>
      </c>
      <c r="C34" s="114">
        <v>0</v>
      </c>
      <c r="D34" s="114">
        <v>2233.79</v>
      </c>
    </row>
    <row r="35" spans="1:4" ht="11.75" customHeight="1" x14ac:dyDescent="0.15">
      <c r="A35" s="121" t="s">
        <v>167</v>
      </c>
      <c r="B35" s="114">
        <v>1415622.27</v>
      </c>
      <c r="C35" s="114">
        <v>31638299.07</v>
      </c>
      <c r="D35" s="114">
        <v>154088.35</v>
      </c>
    </row>
    <row r="36" spans="1:4" ht="11.75" customHeight="1" x14ac:dyDescent="0.15">
      <c r="A36" s="121" t="s">
        <v>168</v>
      </c>
      <c r="B36" s="114">
        <v>0</v>
      </c>
      <c r="C36" s="114">
        <v>0</v>
      </c>
      <c r="D36" s="114">
        <v>450</v>
      </c>
    </row>
    <row r="37" spans="1:4" ht="11.75" customHeight="1" x14ac:dyDescent="0.15">
      <c r="A37" s="121" t="s">
        <v>169</v>
      </c>
      <c r="B37" s="114">
        <v>694.78</v>
      </c>
      <c r="C37" s="114">
        <v>22286.3</v>
      </c>
      <c r="D37" s="114">
        <v>8516.61</v>
      </c>
    </row>
    <row r="38" spans="1:4" ht="11.75" customHeight="1" x14ac:dyDescent="0.15">
      <c r="A38" s="121" t="s">
        <v>170</v>
      </c>
      <c r="B38" s="114">
        <v>0</v>
      </c>
      <c r="C38" s="114">
        <v>0</v>
      </c>
      <c r="D38" s="114">
        <v>8350</v>
      </c>
    </row>
    <row r="39" spans="1:4" ht="11.75" customHeight="1" x14ac:dyDescent="0.15">
      <c r="A39" s="121" t="s">
        <v>171</v>
      </c>
      <c r="B39" s="114">
        <v>294826.68</v>
      </c>
      <c r="C39" s="114">
        <v>2957880.44</v>
      </c>
      <c r="D39" s="114">
        <v>68008.83</v>
      </c>
    </row>
    <row r="40" spans="1:4" ht="11.75" customHeight="1" x14ac:dyDescent="0.15">
      <c r="A40" s="121" t="s">
        <v>172</v>
      </c>
      <c r="B40" s="114">
        <v>1129.57</v>
      </c>
      <c r="C40" s="114">
        <v>3439.66</v>
      </c>
      <c r="D40" s="114">
        <v>2693.11</v>
      </c>
    </row>
    <row r="41" spans="1:4" ht="11.75" customHeight="1" x14ac:dyDescent="0.15">
      <c r="A41" s="121" t="s">
        <v>173</v>
      </c>
      <c r="B41" s="114">
        <v>0</v>
      </c>
      <c r="C41" s="114">
        <v>20565.22</v>
      </c>
      <c r="D41" s="114">
        <v>0</v>
      </c>
    </row>
    <row r="42" spans="1:4" ht="11.75" customHeight="1" x14ac:dyDescent="0.15">
      <c r="A42" s="121" t="s">
        <v>174</v>
      </c>
      <c r="B42" s="114">
        <v>0</v>
      </c>
      <c r="C42" s="114">
        <v>11169.12</v>
      </c>
      <c r="D42" s="114">
        <v>0</v>
      </c>
    </row>
    <row r="43" spans="1:4" ht="11.75" customHeight="1" x14ac:dyDescent="0.15">
      <c r="A43" s="122" t="s">
        <v>175</v>
      </c>
      <c r="B43" s="114">
        <v>14250287.4</v>
      </c>
      <c r="C43" s="114">
        <v>6565647.2199999997</v>
      </c>
      <c r="D43" s="114">
        <v>0</v>
      </c>
    </row>
    <row r="44" spans="1:4" ht="11.75" customHeight="1" x14ac:dyDescent="0.15">
      <c r="A44" s="122" t="s">
        <v>176</v>
      </c>
      <c r="B44" s="114">
        <v>483912.08</v>
      </c>
      <c r="C44" s="114">
        <v>299511.87</v>
      </c>
      <c r="D44" s="114">
        <v>0</v>
      </c>
    </row>
    <row r="45" spans="1:4" ht="11.75" customHeight="1" x14ac:dyDescent="0.15">
      <c r="A45" s="122" t="s">
        <v>177</v>
      </c>
      <c r="B45" s="114">
        <v>11130.85</v>
      </c>
      <c r="C45" s="114">
        <v>4300.41</v>
      </c>
      <c r="D45" s="114">
        <v>0</v>
      </c>
    </row>
    <row r="46" spans="1:4" ht="11.75" customHeight="1" x14ac:dyDescent="0.15">
      <c r="A46" s="113" t="s">
        <v>178</v>
      </c>
      <c r="B46" s="114">
        <v>2719.43</v>
      </c>
      <c r="C46" s="114">
        <v>45609.01</v>
      </c>
      <c r="D46" s="114">
        <v>20069.650000000001</v>
      </c>
    </row>
    <row r="47" spans="1:4" ht="11.75" customHeight="1" x14ac:dyDescent="0.15">
      <c r="A47" s="113" t="s">
        <v>179</v>
      </c>
      <c r="B47" s="114">
        <v>0</v>
      </c>
      <c r="C47" s="114">
        <v>31736.5</v>
      </c>
      <c r="D47" s="114">
        <v>0</v>
      </c>
    </row>
    <row r="48" spans="1:4" ht="11.75" customHeight="1" x14ac:dyDescent="0.15">
      <c r="A48" s="113" t="s">
        <v>180</v>
      </c>
      <c r="B48" s="114">
        <v>0</v>
      </c>
      <c r="C48" s="114">
        <v>1876.17</v>
      </c>
      <c r="D48" s="114">
        <v>0</v>
      </c>
    </row>
    <row r="49" spans="1:5" ht="11.75" customHeight="1" x14ac:dyDescent="0.15">
      <c r="A49" s="113" t="s">
        <v>181</v>
      </c>
      <c r="B49" s="114">
        <v>0</v>
      </c>
      <c r="C49" s="114">
        <v>0</v>
      </c>
      <c r="D49" s="114">
        <v>2783.31</v>
      </c>
    </row>
    <row r="50" spans="1:5" ht="11.75" customHeight="1" x14ac:dyDescent="0.15">
      <c r="A50" s="113" t="s">
        <v>182</v>
      </c>
      <c r="B50" s="114">
        <v>0</v>
      </c>
      <c r="C50" s="114">
        <v>0</v>
      </c>
      <c r="D50" s="114">
        <v>15997.39</v>
      </c>
    </row>
    <row r="51" spans="1:5" ht="11.75" customHeight="1" x14ac:dyDescent="0.15">
      <c r="A51" s="113" t="s">
        <v>183</v>
      </c>
      <c r="B51" s="114">
        <v>28977.16</v>
      </c>
      <c r="C51" s="114">
        <v>4661.74</v>
      </c>
      <c r="D51" s="114">
        <v>24889.96</v>
      </c>
    </row>
    <row r="52" spans="1:5" ht="11.75" customHeight="1" x14ac:dyDescent="0.15">
      <c r="A52" s="113" t="s">
        <v>184</v>
      </c>
      <c r="B52" s="114">
        <v>41620.910000000003</v>
      </c>
      <c r="C52" s="114">
        <v>0</v>
      </c>
      <c r="D52" s="114">
        <v>0</v>
      </c>
    </row>
    <row r="53" spans="1:5" ht="11.75" customHeight="1" x14ac:dyDescent="0.15">
      <c r="A53" s="113" t="s">
        <v>185</v>
      </c>
      <c r="B53" s="114">
        <v>0</v>
      </c>
      <c r="C53" s="114">
        <v>0</v>
      </c>
      <c r="D53" s="114">
        <v>1207.3499999999999</v>
      </c>
    </row>
    <row r="54" spans="1:5" ht="11.75" customHeight="1" x14ac:dyDescent="0.15">
      <c r="A54" s="113" t="s">
        <v>186</v>
      </c>
      <c r="B54" s="114">
        <v>0</v>
      </c>
      <c r="C54" s="114">
        <v>3500</v>
      </c>
      <c r="D54" s="114">
        <v>0</v>
      </c>
    </row>
    <row r="55" spans="1:5" ht="11.75" customHeight="1" x14ac:dyDescent="0.15">
      <c r="A55" s="113" t="s">
        <v>187</v>
      </c>
      <c r="B55" s="114">
        <v>0</v>
      </c>
      <c r="C55" s="114">
        <v>0</v>
      </c>
      <c r="D55" s="114">
        <v>4850</v>
      </c>
    </row>
    <row r="56" spans="1:5" ht="11.75" customHeight="1" x14ac:dyDescent="0.15">
      <c r="A56" s="113" t="s">
        <v>188</v>
      </c>
      <c r="B56" s="114">
        <v>0</v>
      </c>
      <c r="C56" s="114">
        <v>0</v>
      </c>
      <c r="D56" s="114">
        <v>3900</v>
      </c>
    </row>
    <row r="57" spans="1:5" ht="11.75" customHeight="1" x14ac:dyDescent="0.15">
      <c r="A57" s="113" t="s">
        <v>189</v>
      </c>
      <c r="B57" s="114">
        <v>0</v>
      </c>
      <c r="C57" s="114">
        <v>0</v>
      </c>
      <c r="D57" s="114">
        <v>83.48</v>
      </c>
    </row>
    <row r="58" spans="1:5" ht="11.75" customHeight="1" x14ac:dyDescent="0.15">
      <c r="A58" s="113" t="s">
        <v>190</v>
      </c>
      <c r="B58" s="114">
        <v>0</v>
      </c>
      <c r="C58" s="114">
        <v>6160.34</v>
      </c>
      <c r="D58" s="114">
        <v>0</v>
      </c>
    </row>
    <row r="59" spans="1:5" ht="11.75" customHeight="1" x14ac:dyDescent="0.15">
      <c r="A59" s="113" t="s">
        <v>191</v>
      </c>
      <c r="B59" s="114">
        <v>0</v>
      </c>
      <c r="C59" s="114">
        <v>4440.6099999999997</v>
      </c>
      <c r="D59" s="114">
        <v>0</v>
      </c>
    </row>
    <row r="60" spans="1:5" ht="11.75" customHeight="1" x14ac:dyDescent="0.15">
      <c r="A60" s="113" t="s">
        <v>192</v>
      </c>
      <c r="B60" s="114">
        <v>0</v>
      </c>
      <c r="C60" s="114">
        <v>250</v>
      </c>
      <c r="D60" s="114">
        <v>0</v>
      </c>
    </row>
    <row r="61" spans="1:5" ht="11.75" customHeight="1" x14ac:dyDescent="0.15">
      <c r="A61" s="113" t="s">
        <v>148</v>
      </c>
      <c r="B61" s="114">
        <v>0</v>
      </c>
      <c r="C61" s="114">
        <v>-762078.59</v>
      </c>
      <c r="D61" s="114">
        <v>0</v>
      </c>
    </row>
    <row r="62" spans="1:5" ht="11.75" customHeight="1" x14ac:dyDescent="0.15">
      <c r="A62" s="113" t="s">
        <v>193</v>
      </c>
      <c r="B62" s="114">
        <v>15444.95</v>
      </c>
      <c r="C62" s="114">
        <v>0</v>
      </c>
      <c r="D62" s="114">
        <v>0</v>
      </c>
    </row>
    <row r="63" spans="1:5" ht="11.75" customHeight="1" x14ac:dyDescent="0.15">
      <c r="A63" s="115" t="s">
        <v>194</v>
      </c>
      <c r="B63" s="116">
        <f>SUM(B17:B62)</f>
        <v>16946447.09</v>
      </c>
      <c r="C63" s="116">
        <f>SUM(C17:C62)</f>
        <v>59264087.559999987</v>
      </c>
      <c r="D63" s="116">
        <f>SUM(D17:D62)</f>
        <v>16282170.83</v>
      </c>
    </row>
    <row r="64" spans="1:5" ht="13.25" customHeight="1" x14ac:dyDescent="0.15">
      <c r="C64" s="116"/>
      <c r="E64" s="147"/>
    </row>
    <row r="65" spans="1:4" ht="11.75" customHeight="1" x14ac:dyDescent="0.15">
      <c r="A65" s="123" t="s">
        <v>195</v>
      </c>
      <c r="B65" s="124">
        <f>(B14 - B63)</f>
        <v>5884189.4499999993</v>
      </c>
      <c r="C65" s="124">
        <f>(C14 - C63)</f>
        <v>6419773.1200000122</v>
      </c>
      <c r="D65" s="124">
        <f>(D14 - D63)</f>
        <v>4586137.2700000014</v>
      </c>
    </row>
    <row r="66" spans="1:4" ht="13.25" customHeight="1" x14ac:dyDescent="0.15"/>
    <row r="67" spans="1:4" s="110" customFormat="1" ht="13" customHeight="1" x14ac:dyDescent="0.2">
      <c r="A67" s="158" t="s">
        <v>196</v>
      </c>
      <c r="B67" s="154"/>
      <c r="C67" s="154"/>
      <c r="D67" s="154"/>
    </row>
    <row r="68" spans="1:4" ht="11.75" customHeight="1" x14ac:dyDescent="0.15">
      <c r="A68" s="111" t="s">
        <v>197</v>
      </c>
      <c r="B68" s="112">
        <v>0</v>
      </c>
      <c r="C68" s="112">
        <v>2839.7</v>
      </c>
      <c r="D68" s="112">
        <v>-387.08</v>
      </c>
    </row>
    <row r="69" spans="1:4" ht="11.75" customHeight="1" x14ac:dyDescent="0.15">
      <c r="A69" s="113" t="s">
        <v>198</v>
      </c>
      <c r="B69" s="114">
        <v>504.91</v>
      </c>
      <c r="C69" s="114">
        <v>3216.44</v>
      </c>
      <c r="D69" s="114">
        <v>0</v>
      </c>
    </row>
    <row r="70" spans="1:4" ht="11.75" customHeight="1" x14ac:dyDescent="0.15">
      <c r="A70" s="113" t="s">
        <v>199</v>
      </c>
      <c r="B70" s="114">
        <v>18.03</v>
      </c>
      <c r="C70" s="114">
        <v>27.68</v>
      </c>
      <c r="D70" s="114">
        <v>9.64</v>
      </c>
    </row>
    <row r="71" spans="1:4" ht="11.75" customHeight="1" x14ac:dyDescent="0.15">
      <c r="A71" s="113" t="s">
        <v>200</v>
      </c>
      <c r="B71" s="114">
        <v>-3490.94</v>
      </c>
      <c r="C71" s="114">
        <v>31418.46</v>
      </c>
      <c r="D71" s="114">
        <v>10472.82</v>
      </c>
    </row>
    <row r="72" spans="1:4" ht="11.75" customHeight="1" x14ac:dyDescent="0.15">
      <c r="A72" s="115" t="s">
        <v>201</v>
      </c>
      <c r="B72" s="116">
        <f>SUM(B68:B71)</f>
        <v>-2968</v>
      </c>
      <c r="C72" s="116">
        <f>SUM(C68:C71)</f>
        <v>37502.28</v>
      </c>
      <c r="D72" s="116">
        <f>SUM(D68:D71)</f>
        <v>10095.379999999999</v>
      </c>
    </row>
    <row r="73" spans="1:4" ht="13.25" customHeight="1" x14ac:dyDescent="0.15"/>
    <row r="74" spans="1:4" s="110" customFormat="1" ht="13" customHeight="1" x14ac:dyDescent="0.2">
      <c r="A74" s="158" t="s">
        <v>202</v>
      </c>
      <c r="B74" s="154"/>
      <c r="C74" s="154"/>
      <c r="D74" s="154"/>
    </row>
    <row r="75" spans="1:4" ht="11.75" customHeight="1" x14ac:dyDescent="0.15">
      <c r="A75" s="111" t="s">
        <v>203</v>
      </c>
      <c r="B75" s="112">
        <v>0</v>
      </c>
      <c r="C75" s="112">
        <v>0</v>
      </c>
      <c r="D75" s="112">
        <v>190600</v>
      </c>
    </row>
    <row r="76" spans="1:4" ht="11.75" customHeight="1" x14ac:dyDescent="0.15">
      <c r="A76" s="113" t="s">
        <v>204</v>
      </c>
      <c r="B76" s="114">
        <v>0</v>
      </c>
      <c r="C76" s="114">
        <v>0</v>
      </c>
      <c r="D76" s="114">
        <v>51000</v>
      </c>
    </row>
    <row r="77" spans="1:4" ht="11.75" customHeight="1" x14ac:dyDescent="0.15">
      <c r="A77" s="113" t="s">
        <v>205</v>
      </c>
      <c r="B77" s="114">
        <v>0</v>
      </c>
      <c r="C77" s="114">
        <v>0</v>
      </c>
      <c r="D77" s="114">
        <v>107300</v>
      </c>
    </row>
    <row r="78" spans="1:4" ht="11.75" customHeight="1" x14ac:dyDescent="0.15">
      <c r="A78" s="113" t="s">
        <v>206</v>
      </c>
      <c r="B78" s="114">
        <v>0</v>
      </c>
      <c r="C78" s="114">
        <v>0</v>
      </c>
      <c r="D78" s="114">
        <v>5575</v>
      </c>
    </row>
    <row r="79" spans="1:4" ht="11.75" customHeight="1" x14ac:dyDescent="0.15">
      <c r="A79" s="113" t="s">
        <v>207</v>
      </c>
      <c r="B79" s="125">
        <v>11170</v>
      </c>
      <c r="C79" s="125">
        <v>10600</v>
      </c>
      <c r="D79" s="125">
        <v>17995</v>
      </c>
    </row>
    <row r="80" spans="1:4" ht="11.75" customHeight="1" x14ac:dyDescent="0.15">
      <c r="A80" s="113" t="s">
        <v>208</v>
      </c>
      <c r="B80" s="125">
        <v>580</v>
      </c>
      <c r="C80" s="125">
        <v>0</v>
      </c>
      <c r="D80" s="125">
        <v>2215</v>
      </c>
    </row>
    <row r="81" spans="1:4" ht="11.75" customHeight="1" x14ac:dyDescent="0.15">
      <c r="A81" s="113" t="s">
        <v>209</v>
      </c>
      <c r="B81" s="125">
        <v>0</v>
      </c>
      <c r="C81" s="125">
        <v>0</v>
      </c>
      <c r="D81" s="125">
        <v>1847.5</v>
      </c>
    </row>
    <row r="82" spans="1:4" ht="11.75" customHeight="1" x14ac:dyDescent="0.15">
      <c r="A82" s="113" t="s">
        <v>210</v>
      </c>
      <c r="B82" s="125">
        <v>0</v>
      </c>
      <c r="C82" s="125">
        <v>14139.13</v>
      </c>
      <c r="D82" s="125">
        <v>9065.5400000000009</v>
      </c>
    </row>
    <row r="83" spans="1:4" ht="11.75" customHeight="1" x14ac:dyDescent="0.15">
      <c r="A83" s="113" t="s">
        <v>211</v>
      </c>
      <c r="B83" s="125">
        <v>295</v>
      </c>
      <c r="C83" s="125">
        <v>7275</v>
      </c>
      <c r="D83" s="125">
        <v>0</v>
      </c>
    </row>
    <row r="84" spans="1:4" ht="11.75" customHeight="1" x14ac:dyDescent="0.15">
      <c r="A84" s="113" t="s">
        <v>212</v>
      </c>
      <c r="B84" s="125">
        <v>1597</v>
      </c>
      <c r="C84" s="125">
        <v>137.5</v>
      </c>
      <c r="D84" s="125">
        <v>4597</v>
      </c>
    </row>
    <row r="85" spans="1:4" ht="11.75" customHeight="1" x14ac:dyDescent="0.15">
      <c r="A85" s="113" t="s">
        <v>213</v>
      </c>
      <c r="B85" s="125">
        <v>4650</v>
      </c>
      <c r="C85" s="125">
        <v>24268.79</v>
      </c>
      <c r="D85" s="125">
        <v>13699</v>
      </c>
    </row>
    <row r="86" spans="1:4" ht="11.75" customHeight="1" x14ac:dyDescent="0.15">
      <c r="A86" s="113" t="s">
        <v>214</v>
      </c>
      <c r="B86" s="125">
        <v>8972.74</v>
      </c>
      <c r="C86" s="125">
        <v>30880.41</v>
      </c>
      <c r="D86" s="125">
        <v>14247.61</v>
      </c>
    </row>
    <row r="87" spans="1:4" ht="11.75" customHeight="1" x14ac:dyDescent="0.15">
      <c r="A87" s="113" t="s">
        <v>215</v>
      </c>
      <c r="B87" s="114">
        <v>15075.35</v>
      </c>
      <c r="C87" s="114">
        <v>81099.64</v>
      </c>
      <c r="D87" s="114">
        <v>293.56</v>
      </c>
    </row>
    <row r="88" spans="1:4" ht="11.75" customHeight="1" x14ac:dyDescent="0.15">
      <c r="A88" s="113" t="s">
        <v>216</v>
      </c>
      <c r="B88" s="114">
        <v>4562.1000000000004</v>
      </c>
      <c r="C88" s="114">
        <v>27399.55</v>
      </c>
      <c r="D88" s="114">
        <v>115.56</v>
      </c>
    </row>
    <row r="89" spans="1:4" ht="11.75" customHeight="1" x14ac:dyDescent="0.15">
      <c r="A89" s="113" t="s">
        <v>217</v>
      </c>
      <c r="B89" s="125">
        <v>0</v>
      </c>
      <c r="C89" s="125">
        <v>7949.43</v>
      </c>
      <c r="D89" s="125">
        <v>6888.14</v>
      </c>
    </row>
    <row r="90" spans="1:4" ht="11.75" customHeight="1" x14ac:dyDescent="0.15">
      <c r="A90" s="113" t="s">
        <v>218</v>
      </c>
      <c r="B90" s="125">
        <v>433.65</v>
      </c>
      <c r="C90" s="125">
        <v>2353.79</v>
      </c>
      <c r="D90" s="125">
        <v>9905.65</v>
      </c>
    </row>
    <row r="91" spans="1:4" ht="11.75" customHeight="1" x14ac:dyDescent="0.15">
      <c r="A91" s="113" t="s">
        <v>219</v>
      </c>
      <c r="B91" s="125">
        <v>18199</v>
      </c>
      <c r="C91" s="125">
        <v>48329</v>
      </c>
      <c r="D91" s="125">
        <v>0</v>
      </c>
    </row>
    <row r="92" spans="1:4" ht="11.75" customHeight="1" x14ac:dyDescent="0.15">
      <c r="A92" s="113" t="s">
        <v>220</v>
      </c>
      <c r="B92" s="125">
        <v>3603.65</v>
      </c>
      <c r="C92" s="125">
        <v>5948.56</v>
      </c>
      <c r="D92" s="125">
        <v>11533.14</v>
      </c>
    </row>
    <row r="93" spans="1:4" ht="11.75" customHeight="1" x14ac:dyDescent="0.15">
      <c r="A93" s="113" t="s">
        <v>221</v>
      </c>
      <c r="B93" s="114">
        <v>0</v>
      </c>
      <c r="C93" s="114">
        <v>0</v>
      </c>
      <c r="D93" s="114">
        <v>2250</v>
      </c>
    </row>
    <row r="94" spans="1:4" ht="11.75" customHeight="1" x14ac:dyDescent="0.15">
      <c r="A94" s="113" t="s">
        <v>222</v>
      </c>
      <c r="B94" s="114">
        <v>613049.69999999995</v>
      </c>
      <c r="C94" s="114">
        <v>1539997.79</v>
      </c>
      <c r="D94" s="114">
        <v>533569.54</v>
      </c>
    </row>
    <row r="95" spans="1:4" ht="11.75" customHeight="1" x14ac:dyDescent="0.15">
      <c r="A95" s="113" t="s">
        <v>223</v>
      </c>
      <c r="B95" s="125">
        <v>0</v>
      </c>
      <c r="C95" s="125">
        <v>318572.45</v>
      </c>
      <c r="D95" s="125">
        <v>392000</v>
      </c>
    </row>
    <row r="96" spans="1:4" ht="11.75" customHeight="1" x14ac:dyDescent="0.15">
      <c r="A96" s="113" t="s">
        <v>224</v>
      </c>
      <c r="B96" s="125">
        <v>0</v>
      </c>
      <c r="C96" s="125">
        <v>0</v>
      </c>
      <c r="D96" s="125">
        <v>42899.25</v>
      </c>
    </row>
    <row r="97" spans="1:4" ht="11.75" customHeight="1" x14ac:dyDescent="0.15">
      <c r="A97" s="113" t="s">
        <v>225</v>
      </c>
      <c r="B97" s="125">
        <v>86.09</v>
      </c>
      <c r="C97" s="125">
        <v>1539.13</v>
      </c>
      <c r="D97" s="125">
        <v>165.83</v>
      </c>
    </row>
    <row r="98" spans="1:4" ht="11.75" customHeight="1" x14ac:dyDescent="0.15">
      <c r="A98" s="113" t="s">
        <v>226</v>
      </c>
      <c r="B98" s="114">
        <v>13295.58</v>
      </c>
      <c r="C98" s="114">
        <v>23781.9</v>
      </c>
      <c r="D98" s="114">
        <v>5012.09</v>
      </c>
    </row>
    <row r="99" spans="1:4" ht="11.75" customHeight="1" x14ac:dyDescent="0.15">
      <c r="A99" s="113" t="s">
        <v>227</v>
      </c>
      <c r="B99" s="114">
        <v>2190.6999999999998</v>
      </c>
      <c r="C99" s="114">
        <v>5487.86</v>
      </c>
      <c r="D99" s="114">
        <v>406.69</v>
      </c>
    </row>
    <row r="100" spans="1:4" ht="11.75" customHeight="1" x14ac:dyDescent="0.15">
      <c r="A100" s="113" t="s">
        <v>228</v>
      </c>
      <c r="B100" s="114">
        <v>2764.06</v>
      </c>
      <c r="C100" s="114">
        <v>2320</v>
      </c>
      <c r="D100" s="114">
        <v>805.56</v>
      </c>
    </row>
    <row r="101" spans="1:4" ht="11.75" customHeight="1" x14ac:dyDescent="0.15">
      <c r="A101" s="113" t="s">
        <v>229</v>
      </c>
      <c r="B101" s="114">
        <v>0</v>
      </c>
      <c r="C101" s="114">
        <v>39610.1</v>
      </c>
      <c r="D101" s="114">
        <v>43213</v>
      </c>
    </row>
    <row r="102" spans="1:4" ht="11.75" customHeight="1" x14ac:dyDescent="0.15">
      <c r="A102" s="113" t="s">
        <v>230</v>
      </c>
      <c r="B102" s="114">
        <v>32459.66</v>
      </c>
      <c r="C102" s="114">
        <v>62866.2</v>
      </c>
      <c r="D102" s="114">
        <v>39730.769999999997</v>
      </c>
    </row>
    <row r="103" spans="1:4" ht="11.75" customHeight="1" x14ac:dyDescent="0.15">
      <c r="A103" s="113" t="s">
        <v>231</v>
      </c>
      <c r="B103" s="125">
        <v>0</v>
      </c>
      <c r="C103" s="125">
        <v>7651.52</v>
      </c>
      <c r="D103" s="125">
        <v>11183.99</v>
      </c>
    </row>
    <row r="104" spans="1:4" ht="11.75" customHeight="1" x14ac:dyDescent="0.15">
      <c r="A104" s="113" t="s">
        <v>232</v>
      </c>
      <c r="B104" s="125">
        <v>0</v>
      </c>
      <c r="C104" s="125">
        <v>0</v>
      </c>
      <c r="D104" s="125">
        <v>4742.88</v>
      </c>
    </row>
    <row r="105" spans="1:4" ht="11.75" customHeight="1" x14ac:dyDescent="0.15">
      <c r="A105" s="113" t="s">
        <v>122</v>
      </c>
      <c r="B105" s="125">
        <v>0</v>
      </c>
      <c r="C105" s="125">
        <v>819.63</v>
      </c>
      <c r="D105" s="125">
        <v>0</v>
      </c>
    </row>
    <row r="106" spans="1:4" ht="11.75" customHeight="1" x14ac:dyDescent="0.15">
      <c r="A106" s="113" t="s">
        <v>233</v>
      </c>
      <c r="B106" s="125">
        <v>0</v>
      </c>
      <c r="C106" s="125">
        <v>1425.42</v>
      </c>
      <c r="D106" s="125">
        <v>3161.15</v>
      </c>
    </row>
    <row r="107" spans="1:4" ht="11.75" customHeight="1" x14ac:dyDescent="0.15">
      <c r="A107" s="113" t="s">
        <v>234</v>
      </c>
      <c r="B107" s="125">
        <v>9887.42</v>
      </c>
      <c r="C107" s="125">
        <v>15085.07</v>
      </c>
      <c r="D107" s="125">
        <v>12209.23</v>
      </c>
    </row>
    <row r="108" spans="1:4" ht="11.75" customHeight="1" x14ac:dyDescent="0.15">
      <c r="A108" s="113" t="s">
        <v>235</v>
      </c>
      <c r="B108" s="114">
        <v>0</v>
      </c>
      <c r="C108" s="114">
        <v>1209.8699999999999</v>
      </c>
      <c r="D108" s="114">
        <v>0</v>
      </c>
    </row>
    <row r="109" spans="1:4" ht="11.75" customHeight="1" x14ac:dyDescent="0.15">
      <c r="A109" s="113" t="s">
        <v>236</v>
      </c>
      <c r="B109" s="114">
        <v>0</v>
      </c>
      <c r="C109" s="114">
        <v>0</v>
      </c>
      <c r="D109" s="114">
        <v>2234.7800000000002</v>
      </c>
    </row>
    <row r="110" spans="1:4" ht="11.75" customHeight="1" x14ac:dyDescent="0.15">
      <c r="A110" s="113" t="s">
        <v>237</v>
      </c>
      <c r="B110" s="114">
        <v>0</v>
      </c>
      <c r="C110" s="114">
        <v>0</v>
      </c>
      <c r="D110" s="114">
        <v>500</v>
      </c>
    </row>
    <row r="111" spans="1:4" ht="11.75" customHeight="1" x14ac:dyDescent="0.15">
      <c r="A111" s="113" t="s">
        <v>238</v>
      </c>
      <c r="B111" s="114">
        <v>0</v>
      </c>
      <c r="C111" s="114">
        <v>165.33</v>
      </c>
      <c r="D111" s="114">
        <v>0</v>
      </c>
    </row>
    <row r="112" spans="1:4" ht="11.75" customHeight="1" x14ac:dyDescent="0.15">
      <c r="A112" s="113" t="s">
        <v>239</v>
      </c>
      <c r="B112" s="114">
        <v>0</v>
      </c>
      <c r="C112" s="114">
        <v>-1376.11</v>
      </c>
      <c r="D112" s="114">
        <v>6393.06</v>
      </c>
    </row>
    <row r="113" spans="1:4" ht="11.75" customHeight="1" x14ac:dyDescent="0.15">
      <c r="A113" s="113" t="s">
        <v>240</v>
      </c>
      <c r="B113" s="125">
        <v>5202.88</v>
      </c>
      <c r="C113" s="114">
        <v>0</v>
      </c>
      <c r="D113" s="114">
        <v>0</v>
      </c>
    </row>
    <row r="114" spans="1:4" ht="11.75" customHeight="1" x14ac:dyDescent="0.15">
      <c r="A114" s="113" t="s">
        <v>241</v>
      </c>
      <c r="B114" s="125">
        <v>1069</v>
      </c>
      <c r="C114" s="125">
        <v>1200</v>
      </c>
      <c r="D114" s="125">
        <v>2277</v>
      </c>
    </row>
    <row r="115" spans="1:4" ht="11.75" customHeight="1" x14ac:dyDescent="0.15">
      <c r="A115" s="113" t="s">
        <v>242</v>
      </c>
      <c r="B115" s="125">
        <v>20981.53</v>
      </c>
      <c r="C115" s="125">
        <v>3830.55</v>
      </c>
      <c r="D115" s="125">
        <v>500</v>
      </c>
    </row>
    <row r="116" spans="1:4" ht="11.75" customHeight="1" x14ac:dyDescent="0.15">
      <c r="A116" s="113" t="s">
        <v>243</v>
      </c>
      <c r="B116" s="125">
        <v>0</v>
      </c>
      <c r="C116" s="125">
        <v>11070.86</v>
      </c>
      <c r="D116" s="125">
        <v>1000</v>
      </c>
    </row>
    <row r="117" spans="1:4" ht="11.75" customHeight="1" x14ac:dyDescent="0.15">
      <c r="A117" s="113" t="s">
        <v>244</v>
      </c>
      <c r="B117" s="125">
        <v>362</v>
      </c>
      <c r="C117" s="125">
        <v>0</v>
      </c>
      <c r="D117" s="125">
        <v>0</v>
      </c>
    </row>
    <row r="118" spans="1:4" ht="11.75" customHeight="1" x14ac:dyDescent="0.15">
      <c r="A118" s="113" t="s">
        <v>245</v>
      </c>
      <c r="B118" s="114">
        <v>312788.23</v>
      </c>
      <c r="C118" s="114">
        <v>442349.97</v>
      </c>
      <c r="D118" s="114">
        <v>429767.12</v>
      </c>
    </row>
    <row r="119" spans="1:4" ht="11.75" customHeight="1" x14ac:dyDescent="0.15">
      <c r="A119" s="113" t="s">
        <v>246</v>
      </c>
      <c r="B119" s="125">
        <v>8967.85</v>
      </c>
      <c r="C119" s="125">
        <v>7599.09</v>
      </c>
      <c r="D119" s="125">
        <v>1243.42</v>
      </c>
    </row>
    <row r="120" spans="1:4" ht="11.75" customHeight="1" x14ac:dyDescent="0.15">
      <c r="A120" s="113" t="s">
        <v>247</v>
      </c>
      <c r="B120" s="125">
        <v>14467.02</v>
      </c>
      <c r="C120" s="125">
        <v>13979.16</v>
      </c>
      <c r="D120" s="125">
        <v>17017.21</v>
      </c>
    </row>
    <row r="121" spans="1:4" ht="11.75" customHeight="1" x14ac:dyDescent="0.15">
      <c r="A121" s="113" t="s">
        <v>125</v>
      </c>
      <c r="B121" s="114">
        <v>7089.04</v>
      </c>
      <c r="C121" s="114">
        <v>10123.200000000001</v>
      </c>
      <c r="D121" s="114">
        <v>5216.4799999999996</v>
      </c>
    </row>
    <row r="122" spans="1:4" ht="11.75" customHeight="1" x14ac:dyDescent="0.15">
      <c r="A122" s="113" t="s">
        <v>248</v>
      </c>
      <c r="B122" s="114">
        <v>177600</v>
      </c>
      <c r="C122" s="114">
        <v>320879.62</v>
      </c>
      <c r="D122" s="114">
        <v>167539.67000000001</v>
      </c>
    </row>
    <row r="123" spans="1:4" ht="11.75" customHeight="1" x14ac:dyDescent="0.15">
      <c r="A123" s="113" t="s">
        <v>249</v>
      </c>
      <c r="B123" s="125">
        <v>14779.4</v>
      </c>
      <c r="C123" s="125">
        <v>33383.839999999997</v>
      </c>
      <c r="D123" s="125">
        <v>89553.61</v>
      </c>
    </row>
    <row r="124" spans="1:4" ht="11.75" customHeight="1" x14ac:dyDescent="0.15">
      <c r="A124" s="113" t="s">
        <v>250</v>
      </c>
      <c r="B124" s="114">
        <v>5192.13</v>
      </c>
      <c r="C124" s="114">
        <v>3746.27</v>
      </c>
      <c r="D124" s="114">
        <v>1063.2</v>
      </c>
    </row>
    <row r="125" spans="1:4" ht="11.75" customHeight="1" x14ac:dyDescent="0.15">
      <c r="A125" s="113" t="s">
        <v>251</v>
      </c>
      <c r="B125" s="114">
        <v>1345068.58</v>
      </c>
      <c r="C125" s="114">
        <v>2682374.7999999998</v>
      </c>
      <c r="D125" s="114">
        <v>1701130.08</v>
      </c>
    </row>
    <row r="126" spans="1:4" ht="11.75" customHeight="1" x14ac:dyDescent="0.15">
      <c r="A126" s="113" t="s">
        <v>252</v>
      </c>
      <c r="B126" s="114">
        <v>0</v>
      </c>
      <c r="C126" s="114">
        <v>0</v>
      </c>
      <c r="D126" s="114">
        <v>35500</v>
      </c>
    </row>
    <row r="127" spans="1:4" ht="11.75" customHeight="1" x14ac:dyDescent="0.15">
      <c r="A127" s="113" t="s">
        <v>253</v>
      </c>
      <c r="B127" s="114">
        <v>16077.76</v>
      </c>
      <c r="C127" s="114">
        <v>29745.7</v>
      </c>
      <c r="D127" s="114">
        <v>20692.98</v>
      </c>
    </row>
    <row r="128" spans="1:4" ht="11.75" customHeight="1" x14ac:dyDescent="0.15">
      <c r="A128" s="113" t="s">
        <v>254</v>
      </c>
      <c r="B128" s="125">
        <v>4000</v>
      </c>
      <c r="C128" s="125">
        <v>2500</v>
      </c>
      <c r="D128" s="125">
        <v>450</v>
      </c>
    </row>
    <row r="129" spans="1:4" ht="11.75" customHeight="1" x14ac:dyDescent="0.15">
      <c r="A129" s="113" t="s">
        <v>132</v>
      </c>
      <c r="B129" s="125">
        <v>886.65</v>
      </c>
      <c r="C129" s="125">
        <v>1872.75</v>
      </c>
      <c r="D129" s="114">
        <v>0</v>
      </c>
    </row>
    <row r="130" spans="1:4" ht="11.75" customHeight="1" x14ac:dyDescent="0.15">
      <c r="A130" s="113" t="s">
        <v>255</v>
      </c>
      <c r="B130" s="125">
        <v>7213.91</v>
      </c>
      <c r="C130" s="125">
        <v>13955.28</v>
      </c>
      <c r="D130" s="125">
        <v>24786.43</v>
      </c>
    </row>
    <row r="131" spans="1:4" ht="11.75" customHeight="1" x14ac:dyDescent="0.15">
      <c r="A131" s="113" t="s">
        <v>256</v>
      </c>
      <c r="B131" s="125">
        <v>0</v>
      </c>
      <c r="C131" s="125">
        <v>6800</v>
      </c>
      <c r="D131" s="125">
        <v>2000</v>
      </c>
    </row>
    <row r="132" spans="1:4" ht="11.75" customHeight="1" x14ac:dyDescent="0.15">
      <c r="A132" s="113" t="s">
        <v>257</v>
      </c>
      <c r="B132" s="125">
        <v>7889.58</v>
      </c>
      <c r="C132" s="125">
        <v>4899.1400000000003</v>
      </c>
      <c r="D132" s="125">
        <v>34301.160000000003</v>
      </c>
    </row>
    <row r="133" spans="1:4" ht="11.75" customHeight="1" x14ac:dyDescent="0.15">
      <c r="A133" s="113" t="s">
        <v>258</v>
      </c>
      <c r="B133" s="125">
        <v>0</v>
      </c>
      <c r="C133" s="125">
        <v>13765</v>
      </c>
      <c r="D133" s="125">
        <v>0</v>
      </c>
    </row>
    <row r="134" spans="1:4" ht="11.75" customHeight="1" x14ac:dyDescent="0.15">
      <c r="A134" s="113" t="s">
        <v>259</v>
      </c>
      <c r="B134" s="125">
        <v>0</v>
      </c>
      <c r="C134" s="125">
        <v>0</v>
      </c>
      <c r="D134" s="125">
        <v>6661.9</v>
      </c>
    </row>
    <row r="135" spans="1:4" ht="11.75" customHeight="1" x14ac:dyDescent="0.15">
      <c r="A135" s="113" t="s">
        <v>260</v>
      </c>
      <c r="B135" s="125">
        <v>3192.73</v>
      </c>
      <c r="C135" s="125">
        <v>5512.76</v>
      </c>
      <c r="D135" s="125">
        <v>2439.41</v>
      </c>
    </row>
    <row r="136" spans="1:4" ht="11.75" customHeight="1" x14ac:dyDescent="0.15">
      <c r="A136" s="113" t="s">
        <v>261</v>
      </c>
      <c r="B136" s="125">
        <v>10825.49</v>
      </c>
      <c r="C136" s="125">
        <v>0</v>
      </c>
      <c r="D136" s="125">
        <v>9463.01</v>
      </c>
    </row>
    <row r="137" spans="1:4" ht="11.75" customHeight="1" x14ac:dyDescent="0.15">
      <c r="A137" s="113" t="s">
        <v>262</v>
      </c>
      <c r="B137" s="125">
        <v>2988</v>
      </c>
      <c r="C137" s="125">
        <v>7574</v>
      </c>
      <c r="D137" s="125">
        <v>3704</v>
      </c>
    </row>
    <row r="138" spans="1:4" ht="11.75" customHeight="1" x14ac:dyDescent="0.15">
      <c r="A138" s="113" t="s">
        <v>263</v>
      </c>
      <c r="B138" s="125">
        <v>3000</v>
      </c>
      <c r="C138" s="125">
        <v>7200</v>
      </c>
      <c r="D138" s="125">
        <v>8700</v>
      </c>
    </row>
    <row r="139" spans="1:4" ht="11.75" customHeight="1" x14ac:dyDescent="0.15">
      <c r="A139" s="113" t="s">
        <v>264</v>
      </c>
      <c r="B139" s="125">
        <v>8875.9699999999993</v>
      </c>
      <c r="C139" s="125">
        <v>526.32000000000005</v>
      </c>
      <c r="D139" s="125">
        <v>988.14</v>
      </c>
    </row>
    <row r="140" spans="1:4" ht="11.75" customHeight="1" x14ac:dyDescent="0.15">
      <c r="A140" s="113" t="s">
        <v>265</v>
      </c>
      <c r="B140" s="125">
        <v>0</v>
      </c>
      <c r="C140" s="125">
        <v>0</v>
      </c>
      <c r="D140" s="125">
        <v>10625.73</v>
      </c>
    </row>
    <row r="141" spans="1:4" ht="11.75" customHeight="1" x14ac:dyDescent="0.15">
      <c r="A141" s="113" t="s">
        <v>266</v>
      </c>
      <c r="B141" s="125">
        <v>0</v>
      </c>
      <c r="C141" s="125">
        <v>13.04</v>
      </c>
      <c r="D141" s="125">
        <v>1275</v>
      </c>
    </row>
    <row r="142" spans="1:4" ht="11.75" customHeight="1" x14ac:dyDescent="0.15">
      <c r="A142" s="113" t="s">
        <v>267</v>
      </c>
      <c r="B142" s="114">
        <v>8425.6200000000008</v>
      </c>
      <c r="C142" s="114">
        <v>20100.580000000002</v>
      </c>
      <c r="D142" s="114">
        <v>11467.74</v>
      </c>
    </row>
    <row r="143" spans="1:4" ht="11.75" customHeight="1" x14ac:dyDescent="0.15">
      <c r="A143" s="113" t="s">
        <v>268</v>
      </c>
      <c r="B143" s="114">
        <v>8425.6200000000008</v>
      </c>
      <c r="C143" s="114">
        <v>20100.580000000002</v>
      </c>
      <c r="D143" s="114">
        <v>8195.9</v>
      </c>
    </row>
    <row r="144" spans="1:4" ht="11.75" customHeight="1" x14ac:dyDescent="0.15">
      <c r="A144" s="115" t="s">
        <v>269</v>
      </c>
      <c r="B144" s="116">
        <f>SUM(B75:B143)</f>
        <v>2738240.6900000004</v>
      </c>
      <c r="C144" s="116">
        <f>SUM(C75:C143)</f>
        <v>5944639.4700000007</v>
      </c>
      <c r="D144" s="116">
        <f>SUM(D75:D143)</f>
        <v>4144914.7100000004</v>
      </c>
    </row>
    <row r="145" spans="1:4" ht="13.25" customHeight="1" x14ac:dyDescent="0.15"/>
    <row r="146" spans="1:4" ht="11.75" customHeight="1" x14ac:dyDescent="0.15">
      <c r="A146" s="123" t="s">
        <v>270</v>
      </c>
      <c r="B146" s="124">
        <f>((B65 + B72) - B144)</f>
        <v>3142980.7599999988</v>
      </c>
      <c r="C146" s="124">
        <f>((C65 + C72) - C144)</f>
        <v>512635.93000001181</v>
      </c>
      <c r="D146" s="124">
        <f>((D65 + D72) - D144)</f>
        <v>451317.94000000088</v>
      </c>
    </row>
  </sheetData>
  <mergeCells count="7">
    <mergeCell ref="A74:D74"/>
    <mergeCell ref="A1:D1"/>
    <mergeCell ref="A2:D2"/>
    <mergeCell ref="A3:D3"/>
    <mergeCell ref="A7:D7"/>
    <mergeCell ref="A16:D16"/>
    <mergeCell ref="A67:D67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9"/>
  <sheetViews>
    <sheetView topLeftCell="A356" zoomScaleNormal="100" workbookViewId="0">
      <selection activeCell="A374" sqref="A374"/>
    </sheetView>
  </sheetViews>
  <sheetFormatPr baseColWidth="10" defaultColWidth="8.83203125" defaultRowHeight="12.75" customHeight="1" x14ac:dyDescent="0.2"/>
  <cols>
    <col min="1" max="1" width="71.83203125" style="49" bestFit="1" customWidth="1"/>
    <col min="2" max="4" width="14.33203125" style="49" customWidth="1"/>
    <col min="5" max="256" width="8.83203125" style="49" customWidth="1"/>
    <col min="257" max="257" width="71.83203125" style="49" bestFit="1" customWidth="1"/>
    <col min="258" max="260" width="14.33203125" style="49" customWidth="1"/>
    <col min="261" max="512" width="8.83203125" style="49" customWidth="1"/>
    <col min="513" max="513" width="71.83203125" style="49" bestFit="1" customWidth="1"/>
    <col min="514" max="516" width="14.33203125" style="49" customWidth="1"/>
    <col min="517" max="768" width="8.83203125" style="49" customWidth="1"/>
    <col min="769" max="769" width="71.83203125" style="49" bestFit="1" customWidth="1"/>
    <col min="770" max="772" width="14.33203125" style="49" customWidth="1"/>
    <col min="773" max="1024" width="8.83203125" style="49" customWidth="1"/>
    <col min="1025" max="1025" width="71.83203125" style="49" bestFit="1" customWidth="1"/>
    <col min="1026" max="1028" width="14.33203125" style="49" customWidth="1"/>
    <col min="1029" max="1280" width="8.83203125" style="49" customWidth="1"/>
    <col min="1281" max="1281" width="71.83203125" style="49" bestFit="1" customWidth="1"/>
    <col min="1282" max="1284" width="14.33203125" style="49" customWidth="1"/>
    <col min="1285" max="1536" width="8.83203125" style="49" customWidth="1"/>
    <col min="1537" max="1537" width="71.83203125" style="49" bestFit="1" customWidth="1"/>
    <col min="1538" max="1540" width="14.33203125" style="49" customWidth="1"/>
    <col min="1541" max="1792" width="8.83203125" style="49" customWidth="1"/>
    <col min="1793" max="1793" width="71.83203125" style="49" bestFit="1" customWidth="1"/>
    <col min="1794" max="1796" width="14.33203125" style="49" customWidth="1"/>
    <col min="1797" max="2048" width="8.83203125" style="49" customWidth="1"/>
    <col min="2049" max="2049" width="71.83203125" style="49" bestFit="1" customWidth="1"/>
    <col min="2050" max="2052" width="14.33203125" style="49" customWidth="1"/>
    <col min="2053" max="2304" width="8.83203125" style="49" customWidth="1"/>
    <col min="2305" max="2305" width="71.83203125" style="49" bestFit="1" customWidth="1"/>
    <col min="2306" max="2308" width="14.33203125" style="49" customWidth="1"/>
    <col min="2309" max="2560" width="8.83203125" style="49" customWidth="1"/>
    <col min="2561" max="2561" width="71.83203125" style="49" bestFit="1" customWidth="1"/>
    <col min="2562" max="2564" width="14.33203125" style="49" customWidth="1"/>
    <col min="2565" max="2816" width="8.83203125" style="49" customWidth="1"/>
    <col min="2817" max="2817" width="71.83203125" style="49" bestFit="1" customWidth="1"/>
    <col min="2818" max="2820" width="14.33203125" style="49" customWidth="1"/>
    <col min="2821" max="3072" width="8.83203125" style="49" customWidth="1"/>
    <col min="3073" max="3073" width="71.83203125" style="49" bestFit="1" customWidth="1"/>
    <col min="3074" max="3076" width="14.33203125" style="49" customWidth="1"/>
    <col min="3077" max="3328" width="8.83203125" style="49" customWidth="1"/>
    <col min="3329" max="3329" width="71.83203125" style="49" bestFit="1" customWidth="1"/>
    <col min="3330" max="3332" width="14.33203125" style="49" customWidth="1"/>
    <col min="3333" max="3584" width="8.83203125" style="49" customWidth="1"/>
    <col min="3585" max="3585" width="71.83203125" style="49" bestFit="1" customWidth="1"/>
    <col min="3586" max="3588" width="14.33203125" style="49" customWidth="1"/>
    <col min="3589" max="3840" width="8.83203125" style="49" customWidth="1"/>
    <col min="3841" max="3841" width="71.83203125" style="49" bestFit="1" customWidth="1"/>
    <col min="3842" max="3844" width="14.33203125" style="49" customWidth="1"/>
    <col min="3845" max="4096" width="8.83203125" style="49" customWidth="1"/>
    <col min="4097" max="4097" width="71.83203125" style="49" bestFit="1" customWidth="1"/>
    <col min="4098" max="4100" width="14.33203125" style="49" customWidth="1"/>
    <col min="4101" max="4352" width="8.83203125" style="49" customWidth="1"/>
    <col min="4353" max="4353" width="71.83203125" style="49" bestFit="1" customWidth="1"/>
    <col min="4354" max="4356" width="14.33203125" style="49" customWidth="1"/>
    <col min="4357" max="4608" width="8.83203125" style="49" customWidth="1"/>
    <col min="4609" max="4609" width="71.83203125" style="49" bestFit="1" customWidth="1"/>
    <col min="4610" max="4612" width="14.33203125" style="49" customWidth="1"/>
    <col min="4613" max="4864" width="8.83203125" style="49" customWidth="1"/>
    <col min="4865" max="4865" width="71.83203125" style="49" bestFit="1" customWidth="1"/>
    <col min="4866" max="4868" width="14.33203125" style="49" customWidth="1"/>
    <col min="4869" max="5120" width="8.83203125" style="49" customWidth="1"/>
    <col min="5121" max="5121" width="71.83203125" style="49" bestFit="1" customWidth="1"/>
    <col min="5122" max="5124" width="14.33203125" style="49" customWidth="1"/>
    <col min="5125" max="5376" width="8.83203125" style="49" customWidth="1"/>
    <col min="5377" max="5377" width="71.83203125" style="49" bestFit="1" customWidth="1"/>
    <col min="5378" max="5380" width="14.33203125" style="49" customWidth="1"/>
    <col min="5381" max="5632" width="8.83203125" style="49" customWidth="1"/>
    <col min="5633" max="5633" width="71.83203125" style="49" bestFit="1" customWidth="1"/>
    <col min="5634" max="5636" width="14.33203125" style="49" customWidth="1"/>
    <col min="5637" max="5888" width="8.83203125" style="49" customWidth="1"/>
    <col min="5889" max="5889" width="71.83203125" style="49" bestFit="1" customWidth="1"/>
    <col min="5890" max="5892" width="14.33203125" style="49" customWidth="1"/>
    <col min="5893" max="6144" width="8.83203125" style="49" customWidth="1"/>
    <col min="6145" max="6145" width="71.83203125" style="49" bestFit="1" customWidth="1"/>
    <col min="6146" max="6148" width="14.33203125" style="49" customWidth="1"/>
    <col min="6149" max="6400" width="8.83203125" style="49" customWidth="1"/>
    <col min="6401" max="6401" width="71.83203125" style="49" bestFit="1" customWidth="1"/>
    <col min="6402" max="6404" width="14.33203125" style="49" customWidth="1"/>
    <col min="6405" max="6656" width="8.83203125" style="49" customWidth="1"/>
    <col min="6657" max="6657" width="71.83203125" style="49" bestFit="1" customWidth="1"/>
    <col min="6658" max="6660" width="14.33203125" style="49" customWidth="1"/>
    <col min="6661" max="6912" width="8.83203125" style="49" customWidth="1"/>
    <col min="6913" max="6913" width="71.83203125" style="49" bestFit="1" customWidth="1"/>
    <col min="6914" max="6916" width="14.33203125" style="49" customWidth="1"/>
    <col min="6917" max="7168" width="8.83203125" style="49" customWidth="1"/>
    <col min="7169" max="7169" width="71.83203125" style="49" bestFit="1" customWidth="1"/>
    <col min="7170" max="7172" width="14.33203125" style="49" customWidth="1"/>
    <col min="7173" max="7424" width="8.83203125" style="49" customWidth="1"/>
    <col min="7425" max="7425" width="71.83203125" style="49" bestFit="1" customWidth="1"/>
    <col min="7426" max="7428" width="14.33203125" style="49" customWidth="1"/>
    <col min="7429" max="7680" width="8.83203125" style="49" customWidth="1"/>
    <col min="7681" max="7681" width="71.83203125" style="49" bestFit="1" customWidth="1"/>
    <col min="7682" max="7684" width="14.33203125" style="49" customWidth="1"/>
    <col min="7685" max="7936" width="8.83203125" style="49" customWidth="1"/>
    <col min="7937" max="7937" width="71.83203125" style="49" bestFit="1" customWidth="1"/>
    <col min="7938" max="7940" width="14.33203125" style="49" customWidth="1"/>
    <col min="7941" max="8192" width="8.83203125" style="49" customWidth="1"/>
    <col min="8193" max="8193" width="71.83203125" style="49" bestFit="1" customWidth="1"/>
    <col min="8194" max="8196" width="14.33203125" style="49" customWidth="1"/>
    <col min="8197" max="8448" width="8.83203125" style="49" customWidth="1"/>
    <col min="8449" max="8449" width="71.83203125" style="49" bestFit="1" customWidth="1"/>
    <col min="8450" max="8452" width="14.33203125" style="49" customWidth="1"/>
    <col min="8453" max="8704" width="8.83203125" style="49" customWidth="1"/>
    <col min="8705" max="8705" width="71.83203125" style="49" bestFit="1" customWidth="1"/>
    <col min="8706" max="8708" width="14.33203125" style="49" customWidth="1"/>
    <col min="8709" max="8960" width="8.83203125" style="49" customWidth="1"/>
    <col min="8961" max="8961" width="71.83203125" style="49" bestFit="1" customWidth="1"/>
    <col min="8962" max="8964" width="14.33203125" style="49" customWidth="1"/>
    <col min="8965" max="9216" width="8.83203125" style="49" customWidth="1"/>
    <col min="9217" max="9217" width="71.83203125" style="49" bestFit="1" customWidth="1"/>
    <col min="9218" max="9220" width="14.33203125" style="49" customWidth="1"/>
    <col min="9221" max="9472" width="8.83203125" style="49" customWidth="1"/>
    <col min="9473" max="9473" width="71.83203125" style="49" bestFit="1" customWidth="1"/>
    <col min="9474" max="9476" width="14.33203125" style="49" customWidth="1"/>
    <col min="9477" max="9728" width="8.83203125" style="49" customWidth="1"/>
    <col min="9729" max="9729" width="71.83203125" style="49" bestFit="1" customWidth="1"/>
    <col min="9730" max="9732" width="14.33203125" style="49" customWidth="1"/>
    <col min="9733" max="9984" width="8.83203125" style="49" customWidth="1"/>
    <col min="9985" max="9985" width="71.83203125" style="49" bestFit="1" customWidth="1"/>
    <col min="9986" max="9988" width="14.33203125" style="49" customWidth="1"/>
    <col min="9989" max="10240" width="8.83203125" style="49" customWidth="1"/>
    <col min="10241" max="10241" width="71.83203125" style="49" bestFit="1" customWidth="1"/>
    <col min="10242" max="10244" width="14.33203125" style="49" customWidth="1"/>
    <col min="10245" max="10496" width="8.83203125" style="49" customWidth="1"/>
    <col min="10497" max="10497" width="71.83203125" style="49" bestFit="1" customWidth="1"/>
    <col min="10498" max="10500" width="14.33203125" style="49" customWidth="1"/>
    <col min="10501" max="10752" width="8.83203125" style="49" customWidth="1"/>
    <col min="10753" max="10753" width="71.83203125" style="49" bestFit="1" customWidth="1"/>
    <col min="10754" max="10756" width="14.33203125" style="49" customWidth="1"/>
    <col min="10757" max="11008" width="8.83203125" style="49" customWidth="1"/>
    <col min="11009" max="11009" width="71.83203125" style="49" bestFit="1" customWidth="1"/>
    <col min="11010" max="11012" width="14.33203125" style="49" customWidth="1"/>
    <col min="11013" max="11264" width="8.83203125" style="49" customWidth="1"/>
    <col min="11265" max="11265" width="71.83203125" style="49" bestFit="1" customWidth="1"/>
    <col min="11266" max="11268" width="14.33203125" style="49" customWidth="1"/>
    <col min="11269" max="11520" width="8.83203125" style="49" customWidth="1"/>
    <col min="11521" max="11521" width="71.83203125" style="49" bestFit="1" customWidth="1"/>
    <col min="11522" max="11524" width="14.33203125" style="49" customWidth="1"/>
    <col min="11525" max="11776" width="8.83203125" style="49" customWidth="1"/>
    <col min="11777" max="11777" width="71.83203125" style="49" bestFit="1" customWidth="1"/>
    <col min="11778" max="11780" width="14.33203125" style="49" customWidth="1"/>
    <col min="11781" max="12032" width="8.83203125" style="49" customWidth="1"/>
    <col min="12033" max="12033" width="71.83203125" style="49" bestFit="1" customWidth="1"/>
    <col min="12034" max="12036" width="14.33203125" style="49" customWidth="1"/>
    <col min="12037" max="12288" width="8.83203125" style="49" customWidth="1"/>
    <col min="12289" max="12289" width="71.83203125" style="49" bestFit="1" customWidth="1"/>
    <col min="12290" max="12292" width="14.33203125" style="49" customWidth="1"/>
    <col min="12293" max="12544" width="8.83203125" style="49" customWidth="1"/>
    <col min="12545" max="12545" width="71.83203125" style="49" bestFit="1" customWidth="1"/>
    <col min="12546" max="12548" width="14.33203125" style="49" customWidth="1"/>
    <col min="12549" max="12800" width="8.83203125" style="49" customWidth="1"/>
    <col min="12801" max="12801" width="71.83203125" style="49" bestFit="1" customWidth="1"/>
    <col min="12802" max="12804" width="14.33203125" style="49" customWidth="1"/>
    <col min="12805" max="13056" width="8.83203125" style="49" customWidth="1"/>
    <col min="13057" max="13057" width="71.83203125" style="49" bestFit="1" customWidth="1"/>
    <col min="13058" max="13060" width="14.33203125" style="49" customWidth="1"/>
    <col min="13061" max="13312" width="8.83203125" style="49" customWidth="1"/>
    <col min="13313" max="13313" width="71.83203125" style="49" bestFit="1" customWidth="1"/>
    <col min="13314" max="13316" width="14.33203125" style="49" customWidth="1"/>
    <col min="13317" max="13568" width="8.83203125" style="49" customWidth="1"/>
    <col min="13569" max="13569" width="71.83203125" style="49" bestFit="1" customWidth="1"/>
    <col min="13570" max="13572" width="14.33203125" style="49" customWidth="1"/>
    <col min="13573" max="13824" width="8.83203125" style="49" customWidth="1"/>
    <col min="13825" max="13825" width="71.83203125" style="49" bestFit="1" customWidth="1"/>
    <col min="13826" max="13828" width="14.33203125" style="49" customWidth="1"/>
    <col min="13829" max="14080" width="8.83203125" style="49" customWidth="1"/>
    <col min="14081" max="14081" width="71.83203125" style="49" bestFit="1" customWidth="1"/>
    <col min="14082" max="14084" width="14.33203125" style="49" customWidth="1"/>
    <col min="14085" max="14336" width="8.83203125" style="49" customWidth="1"/>
    <col min="14337" max="14337" width="71.83203125" style="49" bestFit="1" customWidth="1"/>
    <col min="14338" max="14340" width="14.33203125" style="49" customWidth="1"/>
    <col min="14341" max="14592" width="8.83203125" style="49" customWidth="1"/>
    <col min="14593" max="14593" width="71.83203125" style="49" bestFit="1" customWidth="1"/>
    <col min="14594" max="14596" width="14.33203125" style="49" customWidth="1"/>
    <col min="14597" max="14848" width="8.83203125" style="49" customWidth="1"/>
    <col min="14849" max="14849" width="71.83203125" style="49" bestFit="1" customWidth="1"/>
    <col min="14850" max="14852" width="14.33203125" style="49" customWidth="1"/>
    <col min="14853" max="15104" width="8.83203125" style="49" customWidth="1"/>
    <col min="15105" max="15105" width="71.83203125" style="49" bestFit="1" customWidth="1"/>
    <col min="15106" max="15108" width="14.33203125" style="49" customWidth="1"/>
    <col min="15109" max="15360" width="8.83203125" style="49" customWidth="1"/>
    <col min="15361" max="15361" width="71.83203125" style="49" bestFit="1" customWidth="1"/>
    <col min="15362" max="15364" width="14.33203125" style="49" customWidth="1"/>
    <col min="15365" max="15616" width="8.83203125" style="49" customWidth="1"/>
    <col min="15617" max="15617" width="71.83203125" style="49" bestFit="1" customWidth="1"/>
    <col min="15618" max="15620" width="14.33203125" style="49" customWidth="1"/>
    <col min="15621" max="15872" width="8.83203125" style="49" customWidth="1"/>
    <col min="15873" max="15873" width="71.83203125" style="49" bestFit="1" customWidth="1"/>
    <col min="15874" max="15876" width="14.33203125" style="49" customWidth="1"/>
    <col min="15877" max="16128" width="8.83203125" style="49" customWidth="1"/>
    <col min="16129" max="16129" width="71.83203125" style="49" bestFit="1" customWidth="1"/>
    <col min="16130" max="16132" width="14.33203125" style="49" customWidth="1"/>
    <col min="16133" max="16384" width="8.83203125" style="49" customWidth="1"/>
  </cols>
  <sheetData>
    <row r="1" spans="1:5" ht="12.75" customHeight="1" x14ac:dyDescent="0.2">
      <c r="A1" s="163" t="s">
        <v>271</v>
      </c>
      <c r="B1" s="164"/>
      <c r="C1" s="164"/>
      <c r="D1" s="164"/>
    </row>
    <row r="2" spans="1:5" ht="12.75" customHeight="1" x14ac:dyDescent="0.2">
      <c r="A2" s="165" t="s">
        <v>1</v>
      </c>
      <c r="B2" s="164"/>
      <c r="C2" s="164"/>
      <c r="D2" s="164"/>
    </row>
    <row r="3" spans="1:5" ht="12.75" customHeight="1" x14ac:dyDescent="0.2">
      <c r="A3" s="165" t="s">
        <v>272</v>
      </c>
      <c r="B3" s="164"/>
      <c r="C3" s="164"/>
      <c r="D3" s="164"/>
    </row>
    <row r="4" spans="1:5" ht="12.75" customHeight="1" x14ac:dyDescent="0.2">
      <c r="A4" s="165" t="s">
        <v>273</v>
      </c>
      <c r="B4" s="164"/>
      <c r="C4" s="164"/>
      <c r="D4" s="164"/>
    </row>
    <row r="6" spans="1:5" ht="12.75" customHeight="1" x14ac:dyDescent="0.2">
      <c r="A6" s="50" t="s">
        <v>274</v>
      </c>
      <c r="B6" s="50" t="s">
        <v>275</v>
      </c>
      <c r="C6" s="50" t="s">
        <v>276</v>
      </c>
      <c r="D6" s="50" t="s">
        <v>277</v>
      </c>
      <c r="E6" s="51"/>
    </row>
    <row r="8" spans="1:5" ht="12.75" customHeight="1" x14ac:dyDescent="0.2">
      <c r="A8" s="52" t="s">
        <v>278</v>
      </c>
    </row>
    <row r="9" spans="1:5" ht="12.75" customHeight="1" x14ac:dyDescent="0.2">
      <c r="A9" s="53" t="s">
        <v>279</v>
      </c>
      <c r="B9" s="53">
        <v>0</v>
      </c>
      <c r="C9" s="53">
        <v>34405.1</v>
      </c>
      <c r="D9" s="53">
        <f t="shared" ref="D9:D40" si="0">B9+C9</f>
        <v>34405.1</v>
      </c>
      <c r="E9" s="51"/>
    </row>
    <row r="10" spans="1:5" ht="12.75" customHeight="1" x14ac:dyDescent="0.2">
      <c r="A10" s="53" t="s">
        <v>280</v>
      </c>
      <c r="B10" s="53">
        <v>0</v>
      </c>
      <c r="C10" s="53">
        <v>5150</v>
      </c>
      <c r="D10" s="53">
        <f t="shared" si="0"/>
        <v>5150</v>
      </c>
      <c r="E10" s="51"/>
    </row>
    <row r="11" spans="1:5" ht="12.75" customHeight="1" x14ac:dyDescent="0.2">
      <c r="A11" s="53" t="s">
        <v>281</v>
      </c>
      <c r="B11" s="53">
        <v>0</v>
      </c>
      <c r="C11" s="53">
        <v>417.52</v>
      </c>
      <c r="D11" s="53">
        <f t="shared" si="0"/>
        <v>417.52</v>
      </c>
      <c r="E11" s="51"/>
    </row>
    <row r="12" spans="1:5" ht="12.75" customHeight="1" x14ac:dyDescent="0.2">
      <c r="A12" s="53" t="s">
        <v>282</v>
      </c>
      <c r="B12" s="53">
        <v>0</v>
      </c>
      <c r="C12" s="53">
        <v>4850</v>
      </c>
      <c r="D12" s="53">
        <f t="shared" si="0"/>
        <v>4850</v>
      </c>
      <c r="E12" s="51"/>
    </row>
    <row r="13" spans="1:5" ht="12.75" customHeight="1" x14ac:dyDescent="0.2">
      <c r="A13" s="53" t="s">
        <v>283</v>
      </c>
      <c r="B13" s="53">
        <v>0</v>
      </c>
      <c r="C13" s="53">
        <v>92038.399999999994</v>
      </c>
      <c r="D13" s="53">
        <f t="shared" si="0"/>
        <v>92038.399999999994</v>
      </c>
      <c r="E13" s="51"/>
    </row>
    <row r="14" spans="1:5" ht="12.75" customHeight="1" x14ac:dyDescent="0.2">
      <c r="A14" s="53" t="s">
        <v>284</v>
      </c>
      <c r="B14" s="53">
        <v>0</v>
      </c>
      <c r="C14" s="53">
        <v>43905.87</v>
      </c>
      <c r="D14" s="53">
        <f t="shared" si="0"/>
        <v>43905.87</v>
      </c>
      <c r="E14" s="51"/>
    </row>
    <row r="15" spans="1:5" ht="12.75" customHeight="1" x14ac:dyDescent="0.2">
      <c r="A15" s="53" t="s">
        <v>285</v>
      </c>
      <c r="B15" s="53">
        <v>0</v>
      </c>
      <c r="C15" s="53">
        <v>19977.650000000001</v>
      </c>
      <c r="D15" s="53">
        <f t="shared" si="0"/>
        <v>19977.650000000001</v>
      </c>
      <c r="E15" s="51"/>
    </row>
    <row r="16" spans="1:5" ht="12.75" customHeight="1" x14ac:dyDescent="0.2">
      <c r="A16" s="53" t="s">
        <v>286</v>
      </c>
      <c r="B16" s="53">
        <v>0</v>
      </c>
      <c r="C16" s="53">
        <v>20008.3</v>
      </c>
      <c r="D16" s="53">
        <f t="shared" si="0"/>
        <v>20008.3</v>
      </c>
      <c r="E16" s="51"/>
    </row>
    <row r="17" spans="1:5" ht="12.75" customHeight="1" x14ac:dyDescent="0.2">
      <c r="A17" s="53" t="s">
        <v>287</v>
      </c>
      <c r="B17" s="53">
        <v>0</v>
      </c>
      <c r="C17" s="53">
        <v>59967.98</v>
      </c>
      <c r="D17" s="53">
        <f t="shared" si="0"/>
        <v>59967.98</v>
      </c>
      <c r="E17" s="51"/>
    </row>
    <row r="18" spans="1:5" ht="12.75" customHeight="1" x14ac:dyDescent="0.2">
      <c r="A18" s="53" t="s">
        <v>288</v>
      </c>
      <c r="B18" s="53">
        <v>0</v>
      </c>
      <c r="C18" s="53">
        <v>3080</v>
      </c>
      <c r="D18" s="53">
        <f t="shared" si="0"/>
        <v>3080</v>
      </c>
      <c r="E18" s="51"/>
    </row>
    <row r="19" spans="1:5" ht="12.75" customHeight="1" x14ac:dyDescent="0.2">
      <c r="A19" s="53" t="s">
        <v>289</v>
      </c>
      <c r="B19" s="53">
        <v>0</v>
      </c>
      <c r="C19" s="53">
        <v>32667.86</v>
      </c>
      <c r="D19" s="53">
        <f t="shared" si="0"/>
        <v>32667.86</v>
      </c>
      <c r="E19" s="51"/>
    </row>
    <row r="20" spans="1:5" ht="12.75" customHeight="1" x14ac:dyDescent="0.2">
      <c r="A20" s="53" t="s">
        <v>290</v>
      </c>
      <c r="B20" s="53">
        <v>0</v>
      </c>
      <c r="C20" s="53">
        <v>1383.53</v>
      </c>
      <c r="D20" s="53">
        <f t="shared" si="0"/>
        <v>1383.53</v>
      </c>
      <c r="E20" s="51"/>
    </row>
    <row r="21" spans="1:5" ht="12.75" customHeight="1" x14ac:dyDescent="0.2">
      <c r="A21" s="53" t="s">
        <v>291</v>
      </c>
      <c r="B21" s="53">
        <v>0</v>
      </c>
      <c r="C21" s="53">
        <v>2622.61</v>
      </c>
      <c r="D21" s="53">
        <f t="shared" si="0"/>
        <v>2622.61</v>
      </c>
      <c r="E21" s="51"/>
    </row>
    <row r="22" spans="1:5" ht="12.75" customHeight="1" x14ac:dyDescent="0.2">
      <c r="A22" s="53" t="s">
        <v>292</v>
      </c>
      <c r="B22" s="53">
        <v>0</v>
      </c>
      <c r="C22" s="53">
        <v>1606.82</v>
      </c>
      <c r="D22" s="53">
        <f t="shared" si="0"/>
        <v>1606.82</v>
      </c>
      <c r="E22" s="51"/>
    </row>
    <row r="23" spans="1:5" ht="12.75" customHeight="1" x14ac:dyDescent="0.2">
      <c r="A23" s="53" t="s">
        <v>293</v>
      </c>
      <c r="B23" s="53">
        <v>0</v>
      </c>
      <c r="C23" s="53">
        <v>51208.61</v>
      </c>
      <c r="D23" s="53">
        <f t="shared" si="0"/>
        <v>51208.61</v>
      </c>
      <c r="E23" s="51"/>
    </row>
    <row r="24" spans="1:5" ht="12.75" customHeight="1" x14ac:dyDescent="0.2">
      <c r="A24" s="53" t="s">
        <v>294</v>
      </c>
      <c r="B24" s="53">
        <v>0</v>
      </c>
      <c r="C24" s="53">
        <v>83375.28</v>
      </c>
      <c r="D24" s="53">
        <f t="shared" si="0"/>
        <v>83375.28</v>
      </c>
      <c r="E24" s="51"/>
    </row>
    <row r="25" spans="1:5" ht="12.75" customHeight="1" x14ac:dyDescent="0.2">
      <c r="A25" s="53" t="s">
        <v>295</v>
      </c>
      <c r="B25" s="53">
        <v>0</v>
      </c>
      <c r="C25" s="53">
        <v>24401.69</v>
      </c>
      <c r="D25" s="53">
        <f t="shared" si="0"/>
        <v>24401.69</v>
      </c>
      <c r="E25" s="51"/>
    </row>
    <row r="26" spans="1:5" ht="12.75" customHeight="1" x14ac:dyDescent="0.2">
      <c r="A26" s="53" t="s">
        <v>296</v>
      </c>
      <c r="B26" s="53">
        <v>0</v>
      </c>
      <c r="C26" s="53">
        <v>1121.74</v>
      </c>
      <c r="D26" s="53">
        <f t="shared" si="0"/>
        <v>1121.74</v>
      </c>
      <c r="E26" s="51"/>
    </row>
    <row r="27" spans="1:5" ht="12.75" customHeight="1" x14ac:dyDescent="0.2">
      <c r="A27" s="53" t="s">
        <v>297</v>
      </c>
      <c r="B27" s="53">
        <v>0</v>
      </c>
      <c r="C27" s="53">
        <v>10170.27</v>
      </c>
      <c r="D27" s="53">
        <f t="shared" si="0"/>
        <v>10170.27</v>
      </c>
      <c r="E27" s="51"/>
    </row>
    <row r="28" spans="1:5" ht="12.75" customHeight="1" x14ac:dyDescent="0.2">
      <c r="A28" s="53" t="s">
        <v>298</v>
      </c>
      <c r="B28" s="53">
        <v>0</v>
      </c>
      <c r="C28" s="53">
        <v>698074.26</v>
      </c>
      <c r="D28" s="53">
        <f t="shared" si="0"/>
        <v>698074.26</v>
      </c>
      <c r="E28" s="51"/>
    </row>
    <row r="29" spans="1:5" ht="12.75" customHeight="1" x14ac:dyDescent="0.2">
      <c r="A29" s="53" t="s">
        <v>299</v>
      </c>
      <c r="B29" s="53">
        <v>0</v>
      </c>
      <c r="C29" s="53">
        <v>44323.67</v>
      </c>
      <c r="D29" s="53">
        <f t="shared" si="0"/>
        <v>44323.67</v>
      </c>
      <c r="E29" s="51"/>
    </row>
    <row r="30" spans="1:5" ht="12.75" customHeight="1" x14ac:dyDescent="0.2">
      <c r="A30" s="53" t="s">
        <v>300</v>
      </c>
      <c r="B30" s="53">
        <v>0</v>
      </c>
      <c r="C30" s="53">
        <v>153545.71</v>
      </c>
      <c r="D30" s="53">
        <f t="shared" si="0"/>
        <v>153545.71</v>
      </c>
      <c r="E30" s="51"/>
    </row>
    <row r="31" spans="1:5" ht="12.75" customHeight="1" x14ac:dyDescent="0.2">
      <c r="A31" s="53" t="s">
        <v>301</v>
      </c>
      <c r="B31" s="53">
        <v>0</v>
      </c>
      <c r="C31" s="53">
        <v>340981.86</v>
      </c>
      <c r="D31" s="53">
        <f t="shared" si="0"/>
        <v>340981.86</v>
      </c>
      <c r="E31" s="51"/>
    </row>
    <row r="32" spans="1:5" ht="12.75" customHeight="1" x14ac:dyDescent="0.2">
      <c r="A32" s="53" t="s">
        <v>302</v>
      </c>
      <c r="B32" s="53">
        <v>0</v>
      </c>
      <c r="C32" s="53">
        <v>1100</v>
      </c>
      <c r="D32" s="53">
        <f t="shared" si="0"/>
        <v>1100</v>
      </c>
      <c r="E32" s="51"/>
    </row>
    <row r="33" spans="1:5" ht="12.75" customHeight="1" x14ac:dyDescent="0.2">
      <c r="A33" s="53" t="s">
        <v>303</v>
      </c>
      <c r="B33" s="53">
        <v>0</v>
      </c>
      <c r="C33" s="53">
        <v>316734.87</v>
      </c>
      <c r="D33" s="53">
        <f t="shared" si="0"/>
        <v>316734.87</v>
      </c>
      <c r="E33" s="51"/>
    </row>
    <row r="34" spans="1:5" ht="12.75" customHeight="1" x14ac:dyDescent="0.2">
      <c r="A34" s="53" t="s">
        <v>304</v>
      </c>
      <c r="B34" s="53">
        <v>0</v>
      </c>
      <c r="C34" s="53">
        <v>41778.42</v>
      </c>
      <c r="D34" s="53">
        <f t="shared" si="0"/>
        <v>41778.42</v>
      </c>
      <c r="E34" s="51"/>
    </row>
    <row r="35" spans="1:5" ht="12.75" customHeight="1" x14ac:dyDescent="0.2">
      <c r="A35" s="53" t="s">
        <v>305</v>
      </c>
      <c r="B35" s="53">
        <v>0</v>
      </c>
      <c r="C35" s="53">
        <v>10458666.279999999</v>
      </c>
      <c r="D35" s="53">
        <f t="shared" si="0"/>
        <v>10458666.279999999</v>
      </c>
      <c r="E35" s="51"/>
    </row>
    <row r="36" spans="1:5" ht="12.75" customHeight="1" x14ac:dyDescent="0.2">
      <c r="A36" s="53" t="s">
        <v>306</v>
      </c>
      <c r="B36" s="53">
        <v>0</v>
      </c>
      <c r="C36" s="53">
        <v>3278494.19</v>
      </c>
      <c r="D36" s="53">
        <f t="shared" si="0"/>
        <v>3278494.19</v>
      </c>
      <c r="E36" s="51"/>
    </row>
    <row r="37" spans="1:5" ht="12.75" customHeight="1" x14ac:dyDescent="0.2">
      <c r="A37" s="53" t="s">
        <v>307</v>
      </c>
      <c r="B37" s="53">
        <v>0</v>
      </c>
      <c r="C37" s="53">
        <v>3367869.83</v>
      </c>
      <c r="D37" s="53">
        <f t="shared" si="0"/>
        <v>3367869.83</v>
      </c>
      <c r="E37" s="51"/>
    </row>
    <row r="38" spans="1:5" ht="12.75" customHeight="1" x14ac:dyDescent="0.2">
      <c r="A38" s="53" t="s">
        <v>308</v>
      </c>
      <c r="B38" s="53">
        <v>0</v>
      </c>
      <c r="C38" s="53">
        <v>4441000.6100000003</v>
      </c>
      <c r="D38" s="53">
        <f t="shared" si="0"/>
        <v>4441000.6100000003</v>
      </c>
      <c r="E38" s="51"/>
    </row>
    <row r="39" spans="1:5" ht="12.75" customHeight="1" x14ac:dyDescent="0.2">
      <c r="A39" s="53" t="s">
        <v>309</v>
      </c>
      <c r="B39" s="53">
        <v>0</v>
      </c>
      <c r="C39" s="53">
        <v>4640370.37</v>
      </c>
      <c r="D39" s="53">
        <f t="shared" si="0"/>
        <v>4640370.37</v>
      </c>
      <c r="E39" s="51"/>
    </row>
    <row r="40" spans="1:5" ht="12.75" customHeight="1" x14ac:dyDescent="0.2">
      <c r="A40" s="53" t="s">
        <v>310</v>
      </c>
      <c r="B40" s="53">
        <v>0</v>
      </c>
      <c r="C40" s="53">
        <v>3601830.65</v>
      </c>
      <c r="D40" s="53">
        <f t="shared" si="0"/>
        <v>3601830.65</v>
      </c>
      <c r="E40" s="51"/>
    </row>
    <row r="41" spans="1:5" ht="12.75" customHeight="1" x14ac:dyDescent="0.2">
      <c r="A41" s="53" t="s">
        <v>311</v>
      </c>
      <c r="B41" s="53">
        <v>0</v>
      </c>
      <c r="C41" s="53">
        <v>316246</v>
      </c>
      <c r="D41" s="53">
        <f t="shared" ref="D41:D72" si="1">B41+C41</f>
        <v>316246</v>
      </c>
      <c r="E41" s="51"/>
    </row>
    <row r="42" spans="1:5" ht="12.75" customHeight="1" x14ac:dyDescent="0.2">
      <c r="A42" s="53" t="s">
        <v>312</v>
      </c>
      <c r="B42" s="53">
        <v>0</v>
      </c>
      <c r="C42" s="53">
        <v>8365</v>
      </c>
      <c r="D42" s="53">
        <f t="shared" si="1"/>
        <v>8365</v>
      </c>
      <c r="E42" s="51"/>
    </row>
    <row r="43" spans="1:5" ht="12.75" customHeight="1" x14ac:dyDescent="0.2">
      <c r="A43" s="53" t="s">
        <v>313</v>
      </c>
      <c r="B43" s="53">
        <v>0</v>
      </c>
      <c r="C43" s="53">
        <v>9795.7800000000007</v>
      </c>
      <c r="D43" s="53">
        <f t="shared" si="1"/>
        <v>9795.7800000000007</v>
      </c>
      <c r="E43" s="51"/>
    </row>
    <row r="44" spans="1:5" ht="12.75" customHeight="1" x14ac:dyDescent="0.2">
      <c r="A44" s="53" t="s">
        <v>314</v>
      </c>
      <c r="B44" s="53">
        <v>0</v>
      </c>
      <c r="C44" s="53">
        <v>183482.98</v>
      </c>
      <c r="D44" s="53">
        <f t="shared" si="1"/>
        <v>183482.98</v>
      </c>
      <c r="E44" s="51"/>
    </row>
    <row r="45" spans="1:5" ht="12.75" customHeight="1" x14ac:dyDescent="0.2">
      <c r="A45" s="53" t="s">
        <v>315</v>
      </c>
      <c r="B45" s="53">
        <v>0</v>
      </c>
      <c r="C45" s="53">
        <v>62530.01</v>
      </c>
      <c r="D45" s="53">
        <f t="shared" si="1"/>
        <v>62530.01</v>
      </c>
      <c r="E45" s="51"/>
    </row>
    <row r="46" spans="1:5" ht="12.75" customHeight="1" x14ac:dyDescent="0.2">
      <c r="A46" s="53" t="s">
        <v>316</v>
      </c>
      <c r="B46" s="53">
        <v>0</v>
      </c>
      <c r="C46" s="53">
        <v>10757.12</v>
      </c>
      <c r="D46" s="53">
        <f t="shared" si="1"/>
        <v>10757.12</v>
      </c>
      <c r="E46" s="51"/>
    </row>
    <row r="47" spans="1:5" ht="12.75" customHeight="1" x14ac:dyDescent="0.2">
      <c r="A47" s="53" t="s">
        <v>317</v>
      </c>
      <c r="B47" s="53">
        <v>0</v>
      </c>
      <c r="C47" s="53">
        <v>8626.23</v>
      </c>
      <c r="D47" s="53">
        <f t="shared" si="1"/>
        <v>8626.23</v>
      </c>
      <c r="E47" s="51"/>
    </row>
    <row r="48" spans="1:5" ht="12.75" customHeight="1" x14ac:dyDescent="0.2">
      <c r="A48" s="53" t="s">
        <v>318</v>
      </c>
      <c r="B48" s="53">
        <v>0</v>
      </c>
      <c r="C48" s="53">
        <v>8626.23</v>
      </c>
      <c r="D48" s="53">
        <f t="shared" si="1"/>
        <v>8626.23</v>
      </c>
      <c r="E48" s="51"/>
    </row>
    <row r="49" spans="1:5" ht="12.75" customHeight="1" x14ac:dyDescent="0.2">
      <c r="A49" s="53" t="s">
        <v>319</v>
      </c>
      <c r="B49" s="53">
        <v>0</v>
      </c>
      <c r="C49" s="53">
        <v>9795.7800000000007</v>
      </c>
      <c r="D49" s="53">
        <f t="shared" si="1"/>
        <v>9795.7800000000007</v>
      </c>
      <c r="E49" s="51"/>
    </row>
    <row r="50" spans="1:5" ht="12.75" customHeight="1" x14ac:dyDescent="0.2">
      <c r="A50" s="53" t="s">
        <v>320</v>
      </c>
      <c r="B50" s="53">
        <v>0</v>
      </c>
      <c r="C50" s="53">
        <v>48237.4</v>
      </c>
      <c r="D50" s="53">
        <f t="shared" si="1"/>
        <v>48237.4</v>
      </c>
      <c r="E50" s="51"/>
    </row>
    <row r="51" spans="1:5" ht="12.75" customHeight="1" x14ac:dyDescent="0.2">
      <c r="A51" s="53" t="s">
        <v>321</v>
      </c>
      <c r="B51" s="53">
        <v>0</v>
      </c>
      <c r="C51" s="53">
        <v>9300</v>
      </c>
      <c r="D51" s="53">
        <f t="shared" si="1"/>
        <v>9300</v>
      </c>
      <c r="E51" s="51"/>
    </row>
    <row r="52" spans="1:5" ht="12.75" customHeight="1" x14ac:dyDescent="0.2">
      <c r="A52" s="53" t="s">
        <v>322</v>
      </c>
      <c r="B52" s="53">
        <v>0</v>
      </c>
      <c r="C52" s="53">
        <v>64170.080000000002</v>
      </c>
      <c r="D52" s="53">
        <f t="shared" si="1"/>
        <v>64170.080000000002</v>
      </c>
      <c r="E52" s="51"/>
    </row>
    <row r="53" spans="1:5" ht="12.75" customHeight="1" x14ac:dyDescent="0.2">
      <c r="A53" s="53" t="s">
        <v>323</v>
      </c>
      <c r="B53" s="53">
        <v>0</v>
      </c>
      <c r="C53" s="53">
        <v>8626.23</v>
      </c>
      <c r="D53" s="53">
        <f t="shared" si="1"/>
        <v>8626.23</v>
      </c>
      <c r="E53" s="51"/>
    </row>
    <row r="54" spans="1:5" ht="12.75" customHeight="1" x14ac:dyDescent="0.2">
      <c r="A54" s="53" t="s">
        <v>324</v>
      </c>
      <c r="B54" s="53">
        <v>0</v>
      </c>
      <c r="C54" s="53">
        <v>57556.71</v>
      </c>
      <c r="D54" s="53">
        <f t="shared" si="1"/>
        <v>57556.71</v>
      </c>
      <c r="E54" s="51"/>
    </row>
    <row r="55" spans="1:5" ht="12.75" customHeight="1" x14ac:dyDescent="0.2">
      <c r="A55" s="53" t="s">
        <v>325</v>
      </c>
      <c r="B55" s="53">
        <v>0</v>
      </c>
      <c r="C55" s="53">
        <v>77462.12</v>
      </c>
      <c r="D55" s="53">
        <f t="shared" si="1"/>
        <v>77462.12</v>
      </c>
      <c r="E55" s="51"/>
    </row>
    <row r="56" spans="1:5" ht="12.75" customHeight="1" x14ac:dyDescent="0.2">
      <c r="A56" s="53" t="s">
        <v>326</v>
      </c>
      <c r="B56" s="53">
        <v>0</v>
      </c>
      <c r="C56" s="53">
        <v>105677.58</v>
      </c>
      <c r="D56" s="53">
        <f t="shared" si="1"/>
        <v>105677.58</v>
      </c>
      <c r="E56" s="51"/>
    </row>
    <row r="57" spans="1:5" ht="12.75" customHeight="1" x14ac:dyDescent="0.2">
      <c r="A57" s="53" t="s">
        <v>327</v>
      </c>
      <c r="B57" s="53">
        <v>0</v>
      </c>
      <c r="C57" s="53">
        <v>367597.26</v>
      </c>
      <c r="D57" s="53">
        <f t="shared" si="1"/>
        <v>367597.26</v>
      </c>
      <c r="E57" s="51"/>
    </row>
    <row r="58" spans="1:5" ht="12.75" customHeight="1" x14ac:dyDescent="0.2">
      <c r="A58" s="53" t="s">
        <v>328</v>
      </c>
      <c r="B58" s="53">
        <v>0</v>
      </c>
      <c r="C58" s="53">
        <v>348582</v>
      </c>
      <c r="D58" s="53">
        <f t="shared" si="1"/>
        <v>348582</v>
      </c>
      <c r="E58" s="51"/>
    </row>
    <row r="59" spans="1:5" ht="12.75" customHeight="1" x14ac:dyDescent="0.2">
      <c r="A59" s="53" t="s">
        <v>329</v>
      </c>
      <c r="B59" s="53"/>
      <c r="C59" s="53"/>
      <c r="D59" s="53"/>
      <c r="E59" s="51"/>
    </row>
    <row r="60" spans="1:5" ht="12.75" customHeight="1" x14ac:dyDescent="0.2">
      <c r="A60" s="53" t="s">
        <v>330</v>
      </c>
      <c r="B60" s="53">
        <v>0</v>
      </c>
      <c r="C60" s="53">
        <v>122942.34</v>
      </c>
      <c r="D60" s="53">
        <f t="shared" ref="D60:D67" si="2">B60+C60</f>
        <v>122942.34</v>
      </c>
      <c r="E60" s="51"/>
    </row>
    <row r="61" spans="1:5" ht="12.75" customHeight="1" x14ac:dyDescent="0.2">
      <c r="A61" s="53" t="s">
        <v>331</v>
      </c>
      <c r="B61" s="53">
        <v>0</v>
      </c>
      <c r="C61" s="53">
        <v>2796.35</v>
      </c>
      <c r="D61" s="53">
        <f t="shared" si="2"/>
        <v>2796.35</v>
      </c>
      <c r="E61" s="51"/>
    </row>
    <row r="62" spans="1:5" ht="12.75" customHeight="1" x14ac:dyDescent="0.2">
      <c r="A62" s="53" t="s">
        <v>332</v>
      </c>
      <c r="B62" s="53">
        <v>0</v>
      </c>
      <c r="C62" s="53">
        <v>88014.78</v>
      </c>
      <c r="D62" s="53">
        <f t="shared" si="2"/>
        <v>88014.78</v>
      </c>
      <c r="E62" s="51"/>
    </row>
    <row r="63" spans="1:5" ht="12.75" customHeight="1" x14ac:dyDescent="0.2">
      <c r="A63" s="53" t="s">
        <v>333</v>
      </c>
      <c r="B63" s="53">
        <v>0</v>
      </c>
      <c r="C63" s="53">
        <v>114155.71</v>
      </c>
      <c r="D63" s="53">
        <f t="shared" si="2"/>
        <v>114155.71</v>
      </c>
      <c r="E63" s="51"/>
    </row>
    <row r="64" spans="1:5" ht="12.75" customHeight="1" x14ac:dyDescent="0.2">
      <c r="A64" s="53" t="s">
        <v>334</v>
      </c>
      <c r="B64" s="53">
        <v>0</v>
      </c>
      <c r="C64" s="53">
        <v>46516.66</v>
      </c>
      <c r="D64" s="53">
        <f t="shared" si="2"/>
        <v>46516.66</v>
      </c>
      <c r="E64" s="51"/>
    </row>
    <row r="65" spans="1:5" ht="12.75" customHeight="1" x14ac:dyDescent="0.2">
      <c r="A65" s="53" t="s">
        <v>335</v>
      </c>
      <c r="B65" s="53">
        <v>0</v>
      </c>
      <c r="C65" s="53">
        <v>2135</v>
      </c>
      <c r="D65" s="53">
        <f t="shared" si="2"/>
        <v>2135</v>
      </c>
      <c r="E65" s="51"/>
    </row>
    <row r="66" spans="1:5" ht="12.75" customHeight="1" x14ac:dyDescent="0.2">
      <c r="A66" s="53" t="s">
        <v>336</v>
      </c>
      <c r="B66" s="53">
        <v>0</v>
      </c>
      <c r="C66" s="53">
        <v>515764.35</v>
      </c>
      <c r="D66" s="53">
        <f t="shared" si="2"/>
        <v>515764.35</v>
      </c>
      <c r="E66" s="51"/>
    </row>
    <row r="67" spans="1:5" ht="12.75" customHeight="1" x14ac:dyDescent="0.2">
      <c r="A67" s="53" t="s">
        <v>337</v>
      </c>
      <c r="B67" s="53">
        <v>0</v>
      </c>
      <c r="C67" s="53">
        <v>42290.76</v>
      </c>
      <c r="D67" s="53">
        <f t="shared" si="2"/>
        <v>42290.76</v>
      </c>
      <c r="E67" s="51"/>
    </row>
    <row r="68" spans="1:5" ht="12.75" customHeight="1" x14ac:dyDescent="0.2">
      <c r="A68" s="53" t="s">
        <v>338</v>
      </c>
      <c r="B68" s="53">
        <v>0</v>
      </c>
      <c r="C68" s="53">
        <v>1800</v>
      </c>
      <c r="D68" s="53">
        <v>1800</v>
      </c>
      <c r="E68" s="51"/>
    </row>
    <row r="69" spans="1:5" ht="12.75" customHeight="1" x14ac:dyDescent="0.2">
      <c r="A69" s="53" t="s">
        <v>339</v>
      </c>
      <c r="B69" s="53">
        <v>0</v>
      </c>
      <c r="C69" s="53">
        <v>1500</v>
      </c>
      <c r="D69" s="53">
        <v>1500</v>
      </c>
      <c r="E69" s="51"/>
    </row>
    <row r="70" spans="1:5" ht="12.75" customHeight="1" x14ac:dyDescent="0.2">
      <c r="A70" s="53" t="s">
        <v>340</v>
      </c>
      <c r="B70" s="53">
        <v>0</v>
      </c>
      <c r="C70" s="53">
        <v>20161.61</v>
      </c>
      <c r="D70" s="104">
        <f t="shared" ref="D70:D101" si="3">B70+C70</f>
        <v>20161.61</v>
      </c>
      <c r="E70" s="51"/>
    </row>
    <row r="71" spans="1:5" ht="12.75" customHeight="1" x14ac:dyDescent="0.2">
      <c r="A71" s="53" t="s">
        <v>341</v>
      </c>
      <c r="B71" s="53">
        <v>0</v>
      </c>
      <c r="C71" s="53">
        <v>15376.77</v>
      </c>
      <c r="D71" s="54">
        <f t="shared" si="3"/>
        <v>15376.77</v>
      </c>
      <c r="E71" s="51"/>
    </row>
    <row r="72" spans="1:5" ht="12.75" customHeight="1" x14ac:dyDescent="0.2">
      <c r="A72" s="53" t="s">
        <v>342</v>
      </c>
      <c r="B72" s="53">
        <v>0</v>
      </c>
      <c r="C72" s="53">
        <v>1000</v>
      </c>
      <c r="D72" s="54">
        <f t="shared" si="3"/>
        <v>1000</v>
      </c>
      <c r="E72" s="51"/>
    </row>
    <row r="73" spans="1:5" ht="12.75" customHeight="1" x14ac:dyDescent="0.2">
      <c r="A73" s="53" t="s">
        <v>343</v>
      </c>
      <c r="B73" s="53">
        <v>0</v>
      </c>
      <c r="C73" s="53">
        <v>33992.99</v>
      </c>
      <c r="D73" s="54">
        <f t="shared" si="3"/>
        <v>33992.99</v>
      </c>
      <c r="E73" s="51"/>
    </row>
    <row r="74" spans="1:5" ht="12.75" customHeight="1" x14ac:dyDescent="0.2">
      <c r="A74" s="53" t="s">
        <v>344</v>
      </c>
      <c r="B74" s="53">
        <v>0</v>
      </c>
      <c r="C74" s="53">
        <v>3665</v>
      </c>
      <c r="D74" s="54">
        <f t="shared" si="3"/>
        <v>3665</v>
      </c>
      <c r="E74" s="51"/>
    </row>
    <row r="75" spans="1:5" ht="12.75" customHeight="1" x14ac:dyDescent="0.2">
      <c r="A75" s="53" t="s">
        <v>345</v>
      </c>
      <c r="B75" s="53">
        <v>0</v>
      </c>
      <c r="C75" s="53">
        <v>193599.22</v>
      </c>
      <c r="D75" s="54">
        <f t="shared" si="3"/>
        <v>193599.22</v>
      </c>
      <c r="E75" s="51"/>
    </row>
    <row r="76" spans="1:5" ht="12.75" customHeight="1" x14ac:dyDescent="0.2">
      <c r="A76" s="53" t="s">
        <v>346</v>
      </c>
      <c r="B76" s="53">
        <v>0</v>
      </c>
      <c r="C76" s="53">
        <v>33910.58</v>
      </c>
      <c r="D76" s="54">
        <f t="shared" si="3"/>
        <v>33910.58</v>
      </c>
      <c r="E76" s="51"/>
    </row>
    <row r="77" spans="1:5" ht="12.75" customHeight="1" x14ac:dyDescent="0.2">
      <c r="A77" s="53" t="s">
        <v>347</v>
      </c>
      <c r="B77" s="53">
        <v>0</v>
      </c>
      <c r="C77" s="53">
        <v>1791.3</v>
      </c>
      <c r="D77" s="54">
        <f t="shared" si="3"/>
        <v>1791.3</v>
      </c>
      <c r="E77" s="51"/>
    </row>
    <row r="78" spans="1:5" ht="12.75" customHeight="1" x14ac:dyDescent="0.2">
      <c r="A78" s="53" t="s">
        <v>348</v>
      </c>
      <c r="B78" s="53">
        <v>0</v>
      </c>
      <c r="C78" s="53">
        <v>2500</v>
      </c>
      <c r="D78" s="54">
        <f t="shared" si="3"/>
        <v>2500</v>
      </c>
      <c r="E78" s="51"/>
    </row>
    <row r="79" spans="1:5" ht="12.75" customHeight="1" x14ac:dyDescent="0.2">
      <c r="A79" s="53" t="s">
        <v>349</v>
      </c>
      <c r="B79" s="53">
        <v>0</v>
      </c>
      <c r="C79" s="53">
        <v>67830.09</v>
      </c>
      <c r="D79" s="54">
        <f t="shared" si="3"/>
        <v>67830.09</v>
      </c>
      <c r="E79" s="51"/>
    </row>
    <row r="80" spans="1:5" ht="12.75" customHeight="1" x14ac:dyDescent="0.2">
      <c r="A80" s="53" t="s">
        <v>350</v>
      </c>
      <c r="B80" s="53">
        <v>0</v>
      </c>
      <c r="C80" s="53">
        <v>3929.47</v>
      </c>
      <c r="D80" s="54">
        <f t="shared" si="3"/>
        <v>3929.47</v>
      </c>
      <c r="E80" s="51"/>
    </row>
    <row r="81" spans="1:5" ht="12.75" customHeight="1" x14ac:dyDescent="0.2">
      <c r="A81" s="53" t="s">
        <v>351</v>
      </c>
      <c r="B81" s="53">
        <v>0</v>
      </c>
      <c r="C81" s="53">
        <v>131303.18</v>
      </c>
      <c r="D81" s="54">
        <f t="shared" si="3"/>
        <v>131303.18</v>
      </c>
      <c r="E81" s="51"/>
    </row>
    <row r="82" spans="1:5" ht="12.75" customHeight="1" x14ac:dyDescent="0.2">
      <c r="A82" s="53" t="s">
        <v>352</v>
      </c>
      <c r="B82" s="53">
        <v>0</v>
      </c>
      <c r="C82" s="53">
        <v>9397.06</v>
      </c>
      <c r="D82" s="54">
        <f t="shared" si="3"/>
        <v>9397.06</v>
      </c>
      <c r="E82" s="51"/>
    </row>
    <row r="83" spans="1:5" ht="12.75" customHeight="1" x14ac:dyDescent="0.2">
      <c r="A83" s="53" t="s">
        <v>353</v>
      </c>
      <c r="B83" s="53">
        <v>0</v>
      </c>
      <c r="C83" s="53">
        <v>14482.41</v>
      </c>
      <c r="D83" s="54">
        <f t="shared" si="3"/>
        <v>14482.41</v>
      </c>
      <c r="E83" s="51"/>
    </row>
    <row r="84" spans="1:5" ht="12.75" customHeight="1" x14ac:dyDescent="0.2">
      <c r="A84" s="53" t="s">
        <v>354</v>
      </c>
      <c r="B84" s="53">
        <v>0</v>
      </c>
      <c r="C84" s="53">
        <v>72410.289999999994</v>
      </c>
      <c r="D84" s="54">
        <f t="shared" si="3"/>
        <v>72410.289999999994</v>
      </c>
      <c r="E84" s="51"/>
    </row>
    <row r="85" spans="1:5" ht="12.75" customHeight="1" x14ac:dyDescent="0.2">
      <c r="A85" s="53" t="s">
        <v>355</v>
      </c>
      <c r="B85" s="53">
        <v>0</v>
      </c>
      <c r="C85" s="53">
        <v>13992.98</v>
      </c>
      <c r="D85" s="54">
        <f t="shared" si="3"/>
        <v>13992.98</v>
      </c>
      <c r="E85" s="51"/>
    </row>
    <row r="86" spans="1:5" ht="12.75" customHeight="1" x14ac:dyDescent="0.2">
      <c r="A86" s="53" t="s">
        <v>356</v>
      </c>
      <c r="B86" s="53">
        <v>0</v>
      </c>
      <c r="C86" s="53">
        <v>25472.83</v>
      </c>
      <c r="D86" s="54">
        <f t="shared" si="3"/>
        <v>25472.83</v>
      </c>
      <c r="E86" s="51"/>
    </row>
    <row r="87" spans="1:5" ht="12.75" customHeight="1" x14ac:dyDescent="0.2">
      <c r="A87" s="53" t="s">
        <v>357</v>
      </c>
      <c r="B87" s="53">
        <v>0</v>
      </c>
      <c r="C87" s="53">
        <v>2140</v>
      </c>
      <c r="D87" s="54">
        <f t="shared" si="3"/>
        <v>2140</v>
      </c>
      <c r="E87" s="51"/>
    </row>
    <row r="88" spans="1:5" ht="12.75" customHeight="1" x14ac:dyDescent="0.2">
      <c r="A88" s="53" t="s">
        <v>358</v>
      </c>
      <c r="B88" s="53">
        <v>0</v>
      </c>
      <c r="C88" s="53">
        <v>13383.4</v>
      </c>
      <c r="D88" s="54">
        <f t="shared" si="3"/>
        <v>13383.4</v>
      </c>
      <c r="E88" s="51"/>
    </row>
    <row r="89" spans="1:5" ht="12.75" customHeight="1" x14ac:dyDescent="0.2">
      <c r="A89" s="53" t="s">
        <v>359</v>
      </c>
      <c r="B89" s="53">
        <v>0</v>
      </c>
      <c r="C89" s="53">
        <v>1748813.4</v>
      </c>
      <c r="D89" s="54">
        <f t="shared" si="3"/>
        <v>1748813.4</v>
      </c>
      <c r="E89" s="51"/>
    </row>
    <row r="90" spans="1:5" ht="12.75" customHeight="1" x14ac:dyDescent="0.2">
      <c r="A90" s="53" t="s">
        <v>360</v>
      </c>
      <c r="B90" s="53">
        <v>0</v>
      </c>
      <c r="C90" s="53">
        <v>88109.9</v>
      </c>
      <c r="D90" s="54">
        <f t="shared" si="3"/>
        <v>88109.9</v>
      </c>
      <c r="E90" s="51"/>
    </row>
    <row r="91" spans="1:5" ht="12.75" customHeight="1" x14ac:dyDescent="0.2">
      <c r="A91" s="53" t="s">
        <v>361</v>
      </c>
      <c r="B91" s="53">
        <v>0</v>
      </c>
      <c r="C91" s="53">
        <v>202299.15</v>
      </c>
      <c r="D91" s="54">
        <f t="shared" si="3"/>
        <v>202299.15</v>
      </c>
      <c r="E91" s="51"/>
    </row>
    <row r="92" spans="1:5" ht="12.75" customHeight="1" x14ac:dyDescent="0.2">
      <c r="A92" s="53" t="s">
        <v>362</v>
      </c>
      <c r="B92" s="53">
        <v>0</v>
      </c>
      <c r="C92" s="53">
        <v>176908.91</v>
      </c>
      <c r="D92" s="54">
        <f t="shared" si="3"/>
        <v>176908.91</v>
      </c>
      <c r="E92" s="51"/>
    </row>
    <row r="93" spans="1:5" ht="12.75" customHeight="1" x14ac:dyDescent="0.2">
      <c r="A93" s="53" t="s">
        <v>363</v>
      </c>
      <c r="B93" s="53">
        <v>0</v>
      </c>
      <c r="C93" s="53">
        <v>8400</v>
      </c>
      <c r="D93" s="54">
        <f t="shared" si="3"/>
        <v>8400</v>
      </c>
      <c r="E93" s="51"/>
    </row>
    <row r="94" spans="1:5" ht="12.75" customHeight="1" x14ac:dyDescent="0.2">
      <c r="A94" s="53" t="s">
        <v>364</v>
      </c>
      <c r="B94" s="53">
        <v>0</v>
      </c>
      <c r="C94" s="53">
        <v>541351.85</v>
      </c>
      <c r="D94" s="54">
        <f t="shared" si="3"/>
        <v>541351.85</v>
      </c>
      <c r="E94" s="51"/>
    </row>
    <row r="95" spans="1:5" ht="12.75" customHeight="1" x14ac:dyDescent="0.2">
      <c r="A95" s="53" t="s">
        <v>365</v>
      </c>
      <c r="B95" s="53">
        <v>0</v>
      </c>
      <c r="C95" s="53">
        <v>16885.650000000001</v>
      </c>
      <c r="D95" s="54">
        <f t="shared" si="3"/>
        <v>16885.650000000001</v>
      </c>
      <c r="E95" s="51"/>
    </row>
    <row r="96" spans="1:5" ht="12.75" customHeight="1" x14ac:dyDescent="0.2">
      <c r="A96" s="53" t="s">
        <v>366</v>
      </c>
      <c r="B96" s="53">
        <v>0</v>
      </c>
      <c r="C96" s="53">
        <v>325.22000000000003</v>
      </c>
      <c r="D96" s="54">
        <f t="shared" si="3"/>
        <v>325.22000000000003</v>
      </c>
      <c r="E96" s="51"/>
    </row>
    <row r="97" spans="1:5" ht="12.75" customHeight="1" x14ac:dyDescent="0.2">
      <c r="A97" s="53" t="s">
        <v>367</v>
      </c>
      <c r="B97" s="53">
        <v>0</v>
      </c>
      <c r="C97" s="53">
        <v>9456200.5600000005</v>
      </c>
      <c r="D97" s="57">
        <f t="shared" si="3"/>
        <v>9456200.5600000005</v>
      </c>
      <c r="E97" s="51"/>
    </row>
    <row r="98" spans="1:5" ht="12.75" customHeight="1" x14ac:dyDescent="0.2">
      <c r="A98" s="53" t="s">
        <v>368</v>
      </c>
      <c r="B98" s="53">
        <v>0</v>
      </c>
      <c r="C98" s="53">
        <v>19634067.16</v>
      </c>
      <c r="D98" s="57">
        <f t="shared" si="3"/>
        <v>19634067.16</v>
      </c>
      <c r="E98" s="51"/>
    </row>
    <row r="99" spans="1:5" ht="12.75" customHeight="1" x14ac:dyDescent="0.2">
      <c r="A99" s="53" t="s">
        <v>369</v>
      </c>
      <c r="B99" s="53">
        <v>0</v>
      </c>
      <c r="C99" s="53">
        <v>517697.11</v>
      </c>
      <c r="D99" s="57">
        <f t="shared" si="3"/>
        <v>517697.11</v>
      </c>
      <c r="E99" s="51"/>
    </row>
    <row r="100" spans="1:5" ht="12.75" customHeight="1" x14ac:dyDescent="0.2">
      <c r="A100" s="53" t="s">
        <v>370</v>
      </c>
      <c r="B100" s="53">
        <v>0</v>
      </c>
      <c r="C100" s="53">
        <v>398225</v>
      </c>
      <c r="D100" s="57">
        <f t="shared" si="3"/>
        <v>398225</v>
      </c>
      <c r="E100" s="51"/>
    </row>
    <row r="101" spans="1:5" ht="12.75" customHeight="1" x14ac:dyDescent="0.2">
      <c r="A101" s="53" t="s">
        <v>371</v>
      </c>
      <c r="B101" s="53">
        <v>0</v>
      </c>
      <c r="C101" s="53">
        <v>15143.41</v>
      </c>
      <c r="D101" s="57">
        <f t="shared" si="3"/>
        <v>15143.41</v>
      </c>
      <c r="E101" s="51"/>
    </row>
    <row r="102" spans="1:5" ht="12.75" customHeight="1" x14ac:dyDescent="0.2">
      <c r="A102" s="53" t="s">
        <v>372</v>
      </c>
      <c r="B102" s="53">
        <v>0</v>
      </c>
      <c r="C102" s="53">
        <v>16875.080000000002</v>
      </c>
      <c r="D102" s="57">
        <f t="shared" ref="D102:D133" si="4">B102+C102</f>
        <v>16875.080000000002</v>
      </c>
      <c r="E102" s="51"/>
    </row>
    <row r="103" spans="1:5" ht="12.75" customHeight="1" x14ac:dyDescent="0.2">
      <c r="A103" s="53" t="s">
        <v>373</v>
      </c>
      <c r="B103" s="53">
        <v>0</v>
      </c>
      <c r="C103" s="53">
        <v>56430</v>
      </c>
      <c r="D103" s="57">
        <f t="shared" si="4"/>
        <v>56430</v>
      </c>
      <c r="E103" s="51"/>
    </row>
    <row r="104" spans="1:5" ht="12.75" customHeight="1" x14ac:dyDescent="0.2">
      <c r="A104" s="53" t="s">
        <v>374</v>
      </c>
      <c r="B104" s="53">
        <v>0</v>
      </c>
      <c r="C104" s="53">
        <v>56140.28</v>
      </c>
      <c r="D104" s="57">
        <f t="shared" si="4"/>
        <v>56140.28</v>
      </c>
      <c r="E104" s="51"/>
    </row>
    <row r="105" spans="1:5" ht="12.75" customHeight="1" x14ac:dyDescent="0.2">
      <c r="A105" s="53" t="s">
        <v>375</v>
      </c>
      <c r="B105" s="53">
        <v>0</v>
      </c>
      <c r="C105" s="53">
        <v>4947.63</v>
      </c>
      <c r="D105" s="57">
        <f t="shared" si="4"/>
        <v>4947.63</v>
      </c>
      <c r="E105" s="51"/>
    </row>
    <row r="106" spans="1:5" ht="12.75" customHeight="1" x14ac:dyDescent="0.2">
      <c r="A106" s="53" t="s">
        <v>376</v>
      </c>
      <c r="B106" s="53">
        <v>0</v>
      </c>
      <c r="C106" s="53">
        <v>20342.099999999999</v>
      </c>
      <c r="D106" s="57">
        <f t="shared" si="4"/>
        <v>20342.099999999999</v>
      </c>
      <c r="E106" s="51"/>
    </row>
    <row r="107" spans="1:5" ht="12.75" customHeight="1" x14ac:dyDescent="0.2">
      <c r="A107" s="53" t="s">
        <v>377</v>
      </c>
      <c r="B107" s="53">
        <v>0</v>
      </c>
      <c r="C107" s="53">
        <v>184863.26</v>
      </c>
      <c r="D107" s="57">
        <f t="shared" si="4"/>
        <v>184863.26</v>
      </c>
      <c r="E107" s="51"/>
    </row>
    <row r="108" spans="1:5" ht="12.75" customHeight="1" x14ac:dyDescent="0.2">
      <c r="A108" s="53" t="s">
        <v>378</v>
      </c>
      <c r="B108" s="53">
        <v>0</v>
      </c>
      <c r="C108" s="53">
        <v>11071</v>
      </c>
      <c r="D108" s="57">
        <f t="shared" si="4"/>
        <v>11071</v>
      </c>
      <c r="E108" s="51"/>
    </row>
    <row r="109" spans="1:5" ht="12.75" customHeight="1" x14ac:dyDescent="0.2">
      <c r="A109" s="53" t="s">
        <v>379</v>
      </c>
      <c r="B109" s="53">
        <v>0</v>
      </c>
      <c r="C109" s="53">
        <v>227473.85</v>
      </c>
      <c r="D109" s="57">
        <f t="shared" si="4"/>
        <v>227473.85</v>
      </c>
      <c r="E109" s="51"/>
    </row>
    <row r="110" spans="1:5" ht="12.75" customHeight="1" x14ac:dyDescent="0.2">
      <c r="A110" s="53" t="s">
        <v>380</v>
      </c>
      <c r="B110" s="53">
        <v>0</v>
      </c>
      <c r="C110" s="53">
        <v>490215.59</v>
      </c>
      <c r="D110" s="57">
        <f t="shared" si="4"/>
        <v>490215.59</v>
      </c>
      <c r="E110" s="51"/>
    </row>
    <row r="111" spans="1:5" ht="12.75" customHeight="1" x14ac:dyDescent="0.2">
      <c r="A111" s="53" t="s">
        <v>381</v>
      </c>
      <c r="B111" s="53">
        <v>0</v>
      </c>
      <c r="C111" s="53">
        <v>143.46</v>
      </c>
      <c r="D111" s="57">
        <f t="shared" si="4"/>
        <v>143.46</v>
      </c>
      <c r="E111" s="51"/>
    </row>
    <row r="112" spans="1:5" ht="12.75" customHeight="1" x14ac:dyDescent="0.2">
      <c r="A112" s="53" t="s">
        <v>382</v>
      </c>
      <c r="B112" s="53">
        <v>0</v>
      </c>
      <c r="C112" s="53">
        <v>1821.16</v>
      </c>
      <c r="D112" s="57">
        <f t="shared" si="4"/>
        <v>1821.16</v>
      </c>
      <c r="E112" s="51"/>
    </row>
    <row r="113" spans="1:5" ht="12.75" customHeight="1" x14ac:dyDescent="0.2">
      <c r="A113" s="53" t="s">
        <v>383</v>
      </c>
      <c r="B113" s="53">
        <v>0</v>
      </c>
      <c r="C113" s="53">
        <v>145701.51</v>
      </c>
      <c r="D113" s="57">
        <f t="shared" si="4"/>
        <v>145701.51</v>
      </c>
      <c r="E113" s="51"/>
    </row>
    <row r="114" spans="1:5" ht="12.75" customHeight="1" x14ac:dyDescent="0.2">
      <c r="A114" s="53" t="s">
        <v>384</v>
      </c>
      <c r="B114" s="53">
        <v>0</v>
      </c>
      <c r="C114" s="53">
        <v>50448.01</v>
      </c>
      <c r="D114" s="57">
        <f t="shared" si="4"/>
        <v>50448.01</v>
      </c>
      <c r="E114" s="51"/>
    </row>
    <row r="115" spans="1:5" ht="12.75" customHeight="1" x14ac:dyDescent="0.2">
      <c r="A115" s="53" t="s">
        <v>385</v>
      </c>
      <c r="B115" s="53">
        <v>0</v>
      </c>
      <c r="C115" s="53">
        <v>477.39</v>
      </c>
      <c r="D115" s="57">
        <f t="shared" si="4"/>
        <v>477.39</v>
      </c>
      <c r="E115" s="51"/>
    </row>
    <row r="116" spans="1:5" ht="12.75" customHeight="1" x14ac:dyDescent="0.2">
      <c r="A116" s="53" t="s">
        <v>386</v>
      </c>
      <c r="B116" s="53">
        <v>0</v>
      </c>
      <c r="C116" s="53">
        <v>159808.70000000001</v>
      </c>
      <c r="D116" s="57">
        <f t="shared" si="4"/>
        <v>159808.70000000001</v>
      </c>
      <c r="E116" s="51"/>
    </row>
    <row r="117" spans="1:5" ht="12.75" customHeight="1" x14ac:dyDescent="0.2">
      <c r="A117" s="53" t="s">
        <v>387</v>
      </c>
      <c r="B117" s="53">
        <v>0</v>
      </c>
      <c r="C117" s="53">
        <v>50699.360000000001</v>
      </c>
      <c r="D117" s="57">
        <f t="shared" si="4"/>
        <v>50699.360000000001</v>
      </c>
      <c r="E117" s="51"/>
    </row>
    <row r="118" spans="1:5" ht="12.75" customHeight="1" x14ac:dyDescent="0.2">
      <c r="A118" s="53" t="s">
        <v>388</v>
      </c>
      <c r="B118" s="53">
        <v>0</v>
      </c>
      <c r="C118" s="53">
        <v>5251</v>
      </c>
      <c r="D118" s="57">
        <f t="shared" si="4"/>
        <v>5251</v>
      </c>
      <c r="E118" s="51"/>
    </row>
    <row r="119" spans="1:5" ht="12.75" customHeight="1" x14ac:dyDescent="0.2">
      <c r="A119" s="53" t="s">
        <v>389</v>
      </c>
      <c r="B119" s="53">
        <v>0</v>
      </c>
      <c r="C119" s="53">
        <v>598567.19999999995</v>
      </c>
      <c r="D119" s="57">
        <f t="shared" si="4"/>
        <v>598567.19999999995</v>
      </c>
      <c r="E119" s="51"/>
    </row>
    <row r="120" spans="1:5" ht="12.75" customHeight="1" x14ac:dyDescent="0.2">
      <c r="A120" s="53" t="s">
        <v>390</v>
      </c>
      <c r="B120" s="53">
        <v>0</v>
      </c>
      <c r="C120" s="53">
        <v>228922.61</v>
      </c>
      <c r="D120" s="57">
        <f t="shared" si="4"/>
        <v>228922.61</v>
      </c>
      <c r="E120" s="51"/>
    </row>
    <row r="121" spans="1:5" ht="12.75" customHeight="1" x14ac:dyDescent="0.2">
      <c r="A121" s="53" t="s">
        <v>391</v>
      </c>
      <c r="B121" s="53">
        <v>0</v>
      </c>
      <c r="C121" s="53">
        <v>10500</v>
      </c>
      <c r="D121" s="57">
        <v>10500</v>
      </c>
      <c r="E121" s="51"/>
    </row>
    <row r="122" spans="1:5" ht="12.75" customHeight="1" x14ac:dyDescent="0.2">
      <c r="A122" s="53" t="s">
        <v>392</v>
      </c>
      <c r="B122" s="53">
        <v>0</v>
      </c>
      <c r="C122" s="53">
        <v>3885</v>
      </c>
      <c r="D122" s="57">
        <v>3885</v>
      </c>
      <c r="E122" s="51"/>
    </row>
    <row r="123" spans="1:5" ht="12.75" customHeight="1" x14ac:dyDescent="0.2">
      <c r="A123" s="53" t="s">
        <v>393</v>
      </c>
      <c r="B123" s="53">
        <v>0</v>
      </c>
      <c r="C123" s="53">
        <v>78672.39</v>
      </c>
      <c r="D123" s="53">
        <f t="shared" ref="D123:D186" si="5">B123+C123</f>
        <v>78672.39</v>
      </c>
      <c r="E123" s="51"/>
    </row>
    <row r="124" spans="1:5" ht="12.75" customHeight="1" x14ac:dyDescent="0.2">
      <c r="A124" s="53" t="s">
        <v>394</v>
      </c>
      <c r="B124" s="53">
        <v>0</v>
      </c>
      <c r="C124" s="53">
        <v>377.02</v>
      </c>
      <c r="D124" s="53">
        <f t="shared" si="5"/>
        <v>377.02</v>
      </c>
      <c r="E124" s="51"/>
    </row>
    <row r="125" spans="1:5" ht="12.75" customHeight="1" x14ac:dyDescent="0.2">
      <c r="A125" s="53" t="s">
        <v>395</v>
      </c>
      <c r="B125" s="53">
        <v>0</v>
      </c>
      <c r="C125" s="53">
        <v>1886.83</v>
      </c>
      <c r="D125" s="53">
        <f t="shared" si="5"/>
        <v>1886.83</v>
      </c>
      <c r="E125" s="51"/>
    </row>
    <row r="126" spans="1:5" ht="12.75" customHeight="1" x14ac:dyDescent="0.2">
      <c r="A126" s="53" t="s">
        <v>396</v>
      </c>
      <c r="B126" s="53">
        <v>0</v>
      </c>
      <c r="C126" s="53">
        <v>750</v>
      </c>
      <c r="D126" s="53">
        <f t="shared" si="5"/>
        <v>750</v>
      </c>
      <c r="E126" s="51"/>
    </row>
    <row r="127" spans="1:5" ht="12.75" customHeight="1" x14ac:dyDescent="0.2">
      <c r="A127" s="53" t="s">
        <v>397</v>
      </c>
      <c r="B127" s="53">
        <v>0</v>
      </c>
      <c r="C127" s="53">
        <v>-3300</v>
      </c>
      <c r="D127" s="53">
        <f t="shared" si="5"/>
        <v>-3300</v>
      </c>
      <c r="E127" s="51"/>
    </row>
    <row r="128" spans="1:5" ht="12.75" customHeight="1" x14ac:dyDescent="0.2">
      <c r="A128" s="53" t="s">
        <v>398</v>
      </c>
      <c r="B128" s="53">
        <v>0</v>
      </c>
      <c r="C128" s="53">
        <v>24813.05</v>
      </c>
      <c r="D128" s="53">
        <f t="shared" si="5"/>
        <v>24813.05</v>
      </c>
      <c r="E128" s="51"/>
    </row>
    <row r="129" spans="1:5" ht="12.75" customHeight="1" x14ac:dyDescent="0.2">
      <c r="A129" s="53" t="s">
        <v>399</v>
      </c>
      <c r="B129" s="53">
        <v>0</v>
      </c>
      <c r="C129" s="53">
        <v>1800</v>
      </c>
      <c r="D129" s="53">
        <f t="shared" si="5"/>
        <v>1800</v>
      </c>
      <c r="E129" s="51"/>
    </row>
    <row r="130" spans="1:5" ht="12.75" customHeight="1" x14ac:dyDescent="0.2">
      <c r="A130" s="53" t="s">
        <v>400</v>
      </c>
      <c r="B130" s="53">
        <v>0</v>
      </c>
      <c r="C130" s="53">
        <v>15216.8</v>
      </c>
      <c r="D130" s="53">
        <f t="shared" si="5"/>
        <v>15216.8</v>
      </c>
      <c r="E130" s="51"/>
    </row>
    <row r="131" spans="1:5" ht="12.75" customHeight="1" x14ac:dyDescent="0.2">
      <c r="A131" s="53" t="s">
        <v>401</v>
      </c>
      <c r="B131" s="53">
        <v>0</v>
      </c>
      <c r="C131" s="53">
        <v>2077.6</v>
      </c>
      <c r="D131" s="53">
        <f t="shared" si="5"/>
        <v>2077.6</v>
      </c>
      <c r="E131" s="51"/>
    </row>
    <row r="132" spans="1:5" ht="12.75" customHeight="1" x14ac:dyDescent="0.2">
      <c r="A132" s="53" t="s">
        <v>402</v>
      </c>
      <c r="B132" s="53">
        <v>0</v>
      </c>
      <c r="C132" s="53">
        <v>120.87</v>
      </c>
      <c r="D132" s="53">
        <f t="shared" si="5"/>
        <v>120.87</v>
      </c>
      <c r="E132" s="51"/>
    </row>
    <row r="133" spans="1:5" ht="12.75" customHeight="1" x14ac:dyDescent="0.2">
      <c r="A133" s="53" t="s">
        <v>403</v>
      </c>
      <c r="B133" s="53">
        <v>0</v>
      </c>
      <c r="C133" s="53">
        <v>199.13</v>
      </c>
      <c r="D133" s="53">
        <f t="shared" si="5"/>
        <v>199.13</v>
      </c>
      <c r="E133" s="51"/>
    </row>
    <row r="134" spans="1:5" ht="12.75" customHeight="1" x14ac:dyDescent="0.2">
      <c r="A134" s="53" t="s">
        <v>404</v>
      </c>
      <c r="B134" s="53">
        <v>0</v>
      </c>
      <c r="C134" s="53">
        <v>4501082.79</v>
      </c>
      <c r="D134" s="53">
        <f t="shared" si="5"/>
        <v>4501082.79</v>
      </c>
      <c r="E134" s="51"/>
    </row>
    <row r="135" spans="1:5" ht="12.75" customHeight="1" x14ac:dyDescent="0.2">
      <c r="A135" s="53" t="s">
        <v>405</v>
      </c>
      <c r="B135" s="53">
        <v>0</v>
      </c>
      <c r="C135" s="53">
        <v>836.52</v>
      </c>
      <c r="D135" s="53">
        <f t="shared" si="5"/>
        <v>836.52</v>
      </c>
      <c r="E135" s="51"/>
    </row>
    <row r="136" spans="1:5" ht="12.75" customHeight="1" x14ac:dyDescent="0.2">
      <c r="A136" s="53" t="s">
        <v>406</v>
      </c>
      <c r="B136" s="53">
        <v>0</v>
      </c>
      <c r="C136" s="53">
        <v>836.52</v>
      </c>
      <c r="D136" s="53">
        <f t="shared" si="5"/>
        <v>836.52</v>
      </c>
      <c r="E136" s="51"/>
    </row>
    <row r="137" spans="1:5" ht="12.75" customHeight="1" x14ac:dyDescent="0.2">
      <c r="A137" s="53" t="s">
        <v>407</v>
      </c>
      <c r="B137" s="53">
        <v>0</v>
      </c>
      <c r="C137" s="53">
        <v>131893.84</v>
      </c>
      <c r="D137" s="53">
        <f t="shared" si="5"/>
        <v>131893.84</v>
      </c>
      <c r="E137" s="51"/>
    </row>
    <row r="138" spans="1:5" ht="12.75" customHeight="1" x14ac:dyDescent="0.2">
      <c r="A138" s="53" t="s">
        <v>408</v>
      </c>
      <c r="B138" s="53">
        <v>0</v>
      </c>
      <c r="C138" s="53">
        <v>1555797.18</v>
      </c>
      <c r="D138" s="53">
        <f t="shared" si="5"/>
        <v>1555797.18</v>
      </c>
      <c r="E138" s="51"/>
    </row>
    <row r="139" spans="1:5" ht="12.75" customHeight="1" x14ac:dyDescent="0.2">
      <c r="A139" s="53" t="s">
        <v>409</v>
      </c>
      <c r="B139" s="53">
        <v>0</v>
      </c>
      <c r="C139" s="53">
        <v>38216.519999999997</v>
      </c>
      <c r="D139" s="53">
        <f t="shared" si="5"/>
        <v>38216.519999999997</v>
      </c>
      <c r="E139" s="51"/>
    </row>
    <row r="140" spans="1:5" ht="12.75" customHeight="1" x14ac:dyDescent="0.2">
      <c r="A140" s="53" t="s">
        <v>410</v>
      </c>
      <c r="B140" s="53">
        <v>0</v>
      </c>
      <c r="C140" s="53">
        <v>4950</v>
      </c>
      <c r="D140" s="53">
        <f t="shared" si="5"/>
        <v>4950</v>
      </c>
      <c r="E140" s="51"/>
    </row>
    <row r="141" spans="1:5" ht="12.75" customHeight="1" x14ac:dyDescent="0.2">
      <c r="A141" s="53" t="s">
        <v>411</v>
      </c>
      <c r="B141" s="53">
        <v>0</v>
      </c>
      <c r="C141" s="53">
        <v>30600</v>
      </c>
      <c r="D141" s="53">
        <f t="shared" si="5"/>
        <v>30600</v>
      </c>
      <c r="E141" s="51"/>
    </row>
    <row r="142" spans="1:5" ht="12.75" customHeight="1" x14ac:dyDescent="0.2">
      <c r="A142" s="53" t="s">
        <v>412</v>
      </c>
      <c r="B142" s="53">
        <v>0</v>
      </c>
      <c r="C142" s="53">
        <v>313.8</v>
      </c>
      <c r="D142" s="53">
        <f t="shared" si="5"/>
        <v>313.8</v>
      </c>
      <c r="E142" s="51"/>
    </row>
    <row r="143" spans="1:5" ht="12.75" customHeight="1" x14ac:dyDescent="0.2">
      <c r="A143" s="53" t="s">
        <v>413</v>
      </c>
      <c r="B143" s="53">
        <v>0</v>
      </c>
      <c r="C143" s="53">
        <v>4257.6099999999997</v>
      </c>
      <c r="D143" s="53">
        <f t="shared" si="5"/>
        <v>4257.6099999999997</v>
      </c>
      <c r="E143" s="51"/>
    </row>
    <row r="144" spans="1:5" ht="12.75" customHeight="1" x14ac:dyDescent="0.2">
      <c r="A144" s="53" t="s">
        <v>414</v>
      </c>
      <c r="B144" s="53">
        <v>0</v>
      </c>
      <c r="C144" s="53">
        <v>4304.3500000000004</v>
      </c>
      <c r="D144" s="53">
        <f t="shared" si="5"/>
        <v>4304.3500000000004</v>
      </c>
      <c r="E144" s="51"/>
    </row>
    <row r="145" spans="1:5" ht="12.75" customHeight="1" x14ac:dyDescent="0.2">
      <c r="A145" s="53" t="s">
        <v>415</v>
      </c>
      <c r="B145" s="53">
        <v>0</v>
      </c>
      <c r="C145" s="53">
        <v>1325.25</v>
      </c>
      <c r="D145" s="53">
        <f t="shared" si="5"/>
        <v>1325.25</v>
      </c>
      <c r="E145" s="51"/>
    </row>
    <row r="146" spans="1:5" ht="12.75" customHeight="1" x14ac:dyDescent="0.2">
      <c r="A146" s="53" t="s">
        <v>416</v>
      </c>
      <c r="B146" s="53">
        <v>0</v>
      </c>
      <c r="C146" s="53">
        <v>14431.68</v>
      </c>
      <c r="D146" s="53">
        <f t="shared" si="5"/>
        <v>14431.68</v>
      </c>
      <c r="E146" s="51"/>
    </row>
    <row r="147" spans="1:5" ht="12.75" customHeight="1" x14ac:dyDescent="0.2">
      <c r="A147" s="53" t="s">
        <v>417</v>
      </c>
      <c r="B147" s="53">
        <v>0</v>
      </c>
      <c r="C147" s="53">
        <v>9234.2999999999993</v>
      </c>
      <c r="D147" s="53">
        <f t="shared" si="5"/>
        <v>9234.2999999999993</v>
      </c>
      <c r="E147" s="51"/>
    </row>
    <row r="148" spans="1:5" ht="12.75" customHeight="1" x14ac:dyDescent="0.2">
      <c r="A148" s="53" t="s">
        <v>418</v>
      </c>
      <c r="B148" s="53">
        <v>0</v>
      </c>
      <c r="C148" s="53">
        <v>39256</v>
      </c>
      <c r="D148" s="53">
        <f t="shared" si="5"/>
        <v>39256</v>
      </c>
      <c r="E148" s="51"/>
    </row>
    <row r="149" spans="1:5" ht="12.75" customHeight="1" x14ac:dyDescent="0.2">
      <c r="A149" s="53" t="s">
        <v>419</v>
      </c>
      <c r="B149" s="53">
        <v>0</v>
      </c>
      <c r="C149" s="53">
        <v>65482.8</v>
      </c>
      <c r="D149" s="53">
        <f t="shared" si="5"/>
        <v>65482.8</v>
      </c>
      <c r="E149" s="51"/>
    </row>
    <row r="150" spans="1:5" ht="12.75" customHeight="1" x14ac:dyDescent="0.2">
      <c r="A150" s="53" t="s">
        <v>420</v>
      </c>
      <c r="B150" s="53">
        <v>0</v>
      </c>
      <c r="C150" s="53">
        <v>161834.16</v>
      </c>
      <c r="D150" s="53">
        <f t="shared" si="5"/>
        <v>161834.16</v>
      </c>
      <c r="E150" s="51"/>
    </row>
    <row r="151" spans="1:5" ht="12.75" customHeight="1" x14ac:dyDescent="0.2">
      <c r="A151" s="53" t="s">
        <v>421</v>
      </c>
      <c r="B151" s="53">
        <v>0</v>
      </c>
      <c r="C151" s="53">
        <v>58877.95</v>
      </c>
      <c r="D151" s="53">
        <f t="shared" si="5"/>
        <v>58877.95</v>
      </c>
      <c r="E151" s="51"/>
    </row>
    <row r="152" spans="1:5" ht="12.75" customHeight="1" x14ac:dyDescent="0.2">
      <c r="A152" s="53" t="s">
        <v>422</v>
      </c>
      <c r="B152" s="53">
        <v>0</v>
      </c>
      <c r="C152" s="53">
        <v>1085</v>
      </c>
      <c r="D152" s="53">
        <f t="shared" si="5"/>
        <v>1085</v>
      </c>
      <c r="E152" s="51"/>
    </row>
    <row r="153" spans="1:5" ht="12.75" customHeight="1" x14ac:dyDescent="0.2">
      <c r="A153" s="53" t="s">
        <v>423</v>
      </c>
      <c r="B153" s="53">
        <v>0</v>
      </c>
      <c r="C153" s="53">
        <v>28350</v>
      </c>
      <c r="D153" s="53">
        <f t="shared" si="5"/>
        <v>28350</v>
      </c>
      <c r="E153" s="51"/>
    </row>
    <row r="154" spans="1:5" ht="12.75" customHeight="1" x14ac:dyDescent="0.2">
      <c r="A154" s="53" t="s">
        <v>424</v>
      </c>
      <c r="B154" s="53">
        <v>0</v>
      </c>
      <c r="C154" s="53">
        <v>104580</v>
      </c>
      <c r="D154" s="53">
        <f t="shared" si="5"/>
        <v>104580</v>
      </c>
      <c r="E154" s="51"/>
    </row>
    <row r="155" spans="1:5" ht="12.75" customHeight="1" x14ac:dyDescent="0.2">
      <c r="A155" s="53" t="s">
        <v>425</v>
      </c>
      <c r="B155" s="53">
        <v>0</v>
      </c>
      <c r="C155" s="53">
        <v>22535.52</v>
      </c>
      <c r="D155" s="53">
        <f t="shared" si="5"/>
        <v>22535.52</v>
      </c>
      <c r="E155" s="51"/>
    </row>
    <row r="156" spans="1:5" ht="12.75" customHeight="1" x14ac:dyDescent="0.2">
      <c r="A156" s="53" t="s">
        <v>426</v>
      </c>
      <c r="B156" s="53">
        <v>0</v>
      </c>
      <c r="C156" s="53">
        <v>524.14</v>
      </c>
      <c r="D156" s="53">
        <f t="shared" si="5"/>
        <v>524.14</v>
      </c>
      <c r="E156" s="51"/>
    </row>
    <row r="157" spans="1:5" ht="12.75" customHeight="1" x14ac:dyDescent="0.2">
      <c r="A157" s="53" t="s">
        <v>427</v>
      </c>
      <c r="B157" s="53">
        <v>0</v>
      </c>
      <c r="C157" s="53">
        <v>5883.05</v>
      </c>
      <c r="D157" s="53">
        <f t="shared" si="5"/>
        <v>5883.05</v>
      </c>
      <c r="E157" s="51"/>
    </row>
    <row r="158" spans="1:5" ht="12.75" customHeight="1" x14ac:dyDescent="0.2">
      <c r="A158" s="53" t="s">
        <v>428</v>
      </c>
      <c r="B158" s="53">
        <v>0</v>
      </c>
      <c r="C158" s="53">
        <v>26638</v>
      </c>
      <c r="D158" s="53">
        <f t="shared" si="5"/>
        <v>26638</v>
      </c>
      <c r="E158" s="51"/>
    </row>
    <row r="159" spans="1:5" ht="12.75" customHeight="1" x14ac:dyDescent="0.2">
      <c r="A159" s="53" t="s">
        <v>429</v>
      </c>
      <c r="B159" s="53">
        <v>0</v>
      </c>
      <c r="C159" s="53">
        <v>22910.26</v>
      </c>
      <c r="D159" s="53">
        <f t="shared" si="5"/>
        <v>22910.26</v>
      </c>
      <c r="E159" s="51"/>
    </row>
    <row r="160" spans="1:5" ht="12.75" customHeight="1" x14ac:dyDescent="0.2">
      <c r="A160" s="53" t="s">
        <v>430</v>
      </c>
      <c r="B160" s="53">
        <v>0</v>
      </c>
      <c r="C160" s="53">
        <v>46626.720000000001</v>
      </c>
      <c r="D160" s="53">
        <f t="shared" si="5"/>
        <v>46626.720000000001</v>
      </c>
      <c r="E160" s="51"/>
    </row>
    <row r="161" spans="1:5" ht="12.75" customHeight="1" x14ac:dyDescent="0.2">
      <c r="A161" s="53" t="s">
        <v>431</v>
      </c>
      <c r="B161" s="53">
        <v>0</v>
      </c>
      <c r="C161" s="53">
        <v>59762.62</v>
      </c>
      <c r="D161" s="53">
        <f t="shared" si="5"/>
        <v>59762.62</v>
      </c>
      <c r="E161" s="51"/>
    </row>
    <row r="162" spans="1:5" ht="12.75" customHeight="1" x14ac:dyDescent="0.2">
      <c r="A162" s="53" t="s">
        <v>432</v>
      </c>
      <c r="B162" s="53">
        <v>0</v>
      </c>
      <c r="C162" s="53">
        <v>11754.8</v>
      </c>
      <c r="D162" s="53">
        <f t="shared" si="5"/>
        <v>11754.8</v>
      </c>
      <c r="E162" s="51"/>
    </row>
    <row r="163" spans="1:5" ht="12.75" customHeight="1" x14ac:dyDescent="0.2">
      <c r="A163" s="53" t="s">
        <v>433</v>
      </c>
      <c r="B163" s="53">
        <v>0</v>
      </c>
      <c r="C163" s="53">
        <v>4824</v>
      </c>
      <c r="D163" s="53">
        <f t="shared" si="5"/>
        <v>4824</v>
      </c>
      <c r="E163" s="51"/>
    </row>
    <row r="164" spans="1:5" ht="12.75" customHeight="1" x14ac:dyDescent="0.2">
      <c r="A164" s="53" t="s">
        <v>434</v>
      </c>
      <c r="B164" s="53">
        <v>0</v>
      </c>
      <c r="C164" s="53">
        <v>65475</v>
      </c>
      <c r="D164" s="53">
        <f t="shared" si="5"/>
        <v>65475</v>
      </c>
      <c r="E164" s="51"/>
    </row>
    <row r="165" spans="1:5" ht="12.75" customHeight="1" x14ac:dyDescent="0.2">
      <c r="A165" s="53" t="s">
        <v>435</v>
      </c>
      <c r="B165" s="53">
        <v>0</v>
      </c>
      <c r="C165" s="53">
        <v>24238.85</v>
      </c>
      <c r="D165" s="53">
        <f t="shared" si="5"/>
        <v>24238.85</v>
      </c>
      <c r="E165" s="51"/>
    </row>
    <row r="166" spans="1:5" ht="12.75" customHeight="1" x14ac:dyDescent="0.2">
      <c r="A166" s="53" t="s">
        <v>436</v>
      </c>
      <c r="B166" s="53">
        <v>0</v>
      </c>
      <c r="C166" s="53">
        <v>3450</v>
      </c>
      <c r="D166" s="53">
        <f t="shared" si="5"/>
        <v>3450</v>
      </c>
      <c r="E166" s="51"/>
    </row>
    <row r="167" spans="1:5" ht="12.75" customHeight="1" x14ac:dyDescent="0.2">
      <c r="A167" s="53" t="s">
        <v>437</v>
      </c>
      <c r="B167" s="53">
        <v>0</v>
      </c>
      <c r="C167" s="53">
        <v>55676</v>
      </c>
      <c r="D167" s="53">
        <f t="shared" si="5"/>
        <v>55676</v>
      </c>
      <c r="E167" s="51"/>
    </row>
    <row r="168" spans="1:5" ht="12.75" customHeight="1" x14ac:dyDescent="0.2">
      <c r="A168" s="53" t="s">
        <v>438</v>
      </c>
      <c r="B168" s="53">
        <v>0</v>
      </c>
      <c r="C168" s="53">
        <v>756</v>
      </c>
      <c r="D168" s="53">
        <f t="shared" si="5"/>
        <v>756</v>
      </c>
      <c r="E168" s="51"/>
    </row>
    <row r="169" spans="1:5" ht="12.75" customHeight="1" x14ac:dyDescent="0.2">
      <c r="A169" s="53" t="s">
        <v>439</v>
      </c>
      <c r="B169" s="53">
        <v>0</v>
      </c>
      <c r="C169" s="53">
        <v>352.8</v>
      </c>
      <c r="D169" s="53">
        <f t="shared" si="5"/>
        <v>352.8</v>
      </c>
      <c r="E169" s="51"/>
    </row>
    <row r="170" spans="1:5" ht="12.75" customHeight="1" x14ac:dyDescent="0.2">
      <c r="A170" s="53" t="s">
        <v>440</v>
      </c>
      <c r="B170" s="53">
        <v>0</v>
      </c>
      <c r="C170" s="53">
        <v>14270</v>
      </c>
      <c r="D170" s="53">
        <f t="shared" si="5"/>
        <v>14270</v>
      </c>
      <c r="E170" s="51"/>
    </row>
    <row r="171" spans="1:5" ht="12.75" customHeight="1" x14ac:dyDescent="0.2">
      <c r="A171" s="53" t="s">
        <v>441</v>
      </c>
      <c r="B171" s="53">
        <v>0</v>
      </c>
      <c r="C171" s="53">
        <v>3750</v>
      </c>
      <c r="D171" s="53">
        <f t="shared" si="5"/>
        <v>3750</v>
      </c>
      <c r="E171" s="51"/>
    </row>
    <row r="172" spans="1:5" ht="12.75" customHeight="1" x14ac:dyDescent="0.2">
      <c r="A172" s="53" t="s">
        <v>442</v>
      </c>
      <c r="B172" s="53">
        <v>0</v>
      </c>
      <c r="C172" s="53">
        <v>12757.5</v>
      </c>
      <c r="D172" s="53">
        <f t="shared" si="5"/>
        <v>12757.5</v>
      </c>
      <c r="E172" s="51"/>
    </row>
    <row r="173" spans="1:5" ht="12.75" customHeight="1" x14ac:dyDescent="0.2">
      <c r="A173" s="53" t="s">
        <v>443</v>
      </c>
      <c r="B173" s="53">
        <v>0</v>
      </c>
      <c r="C173" s="53">
        <v>13029.36</v>
      </c>
      <c r="D173" s="53">
        <f t="shared" si="5"/>
        <v>13029.36</v>
      </c>
      <c r="E173" s="51"/>
    </row>
    <row r="174" spans="1:5" ht="12.75" customHeight="1" x14ac:dyDescent="0.2">
      <c r="A174" s="53" t="s">
        <v>444</v>
      </c>
      <c r="B174" s="53">
        <v>0</v>
      </c>
      <c r="C174" s="53">
        <v>241.74</v>
      </c>
      <c r="D174" s="53">
        <f t="shared" si="5"/>
        <v>241.74</v>
      </c>
      <c r="E174" s="51"/>
    </row>
    <row r="175" spans="1:5" ht="12.75" customHeight="1" x14ac:dyDescent="0.2">
      <c r="A175" s="53" t="s">
        <v>445</v>
      </c>
      <c r="B175" s="53">
        <v>0</v>
      </c>
      <c r="C175" s="53">
        <v>398.26</v>
      </c>
      <c r="D175" s="53">
        <f t="shared" si="5"/>
        <v>398.26</v>
      </c>
      <c r="E175" s="51"/>
    </row>
    <row r="176" spans="1:5" ht="12.75" customHeight="1" x14ac:dyDescent="0.2">
      <c r="A176" s="53" t="s">
        <v>446</v>
      </c>
      <c r="B176" s="53">
        <v>0</v>
      </c>
      <c r="C176" s="53">
        <v>954.78</v>
      </c>
      <c r="D176" s="53">
        <f t="shared" si="5"/>
        <v>954.78</v>
      </c>
      <c r="E176" s="51"/>
    </row>
    <row r="177" spans="1:5" ht="12.75" customHeight="1" x14ac:dyDescent="0.2">
      <c r="A177" s="53" t="s">
        <v>447</v>
      </c>
      <c r="B177" s="53">
        <v>0</v>
      </c>
      <c r="C177" s="53">
        <v>11607.9</v>
      </c>
      <c r="D177" s="53">
        <f t="shared" si="5"/>
        <v>11607.9</v>
      </c>
      <c r="E177" s="51"/>
    </row>
    <row r="178" spans="1:5" ht="12.75" customHeight="1" x14ac:dyDescent="0.2">
      <c r="A178" s="53" t="s">
        <v>448</v>
      </c>
      <c r="B178" s="53">
        <v>0</v>
      </c>
      <c r="C178" s="53">
        <v>9125.2199999999993</v>
      </c>
      <c r="D178" s="53">
        <f t="shared" si="5"/>
        <v>9125.2199999999993</v>
      </c>
      <c r="E178" s="51"/>
    </row>
    <row r="179" spans="1:5" ht="12.75" customHeight="1" x14ac:dyDescent="0.2">
      <c r="A179" s="53" t="s">
        <v>449</v>
      </c>
      <c r="B179" s="53">
        <v>0</v>
      </c>
      <c r="C179" s="53">
        <v>51679</v>
      </c>
      <c r="D179" s="53">
        <f t="shared" si="5"/>
        <v>51679</v>
      </c>
      <c r="E179" s="51"/>
    </row>
    <row r="180" spans="1:5" ht="12.75" customHeight="1" x14ac:dyDescent="0.2">
      <c r="A180" s="53" t="s">
        <v>450</v>
      </c>
      <c r="B180" s="53">
        <v>0</v>
      </c>
      <c r="C180" s="53">
        <v>12285</v>
      </c>
      <c r="D180" s="53">
        <f t="shared" si="5"/>
        <v>12285</v>
      </c>
      <c r="E180" s="51"/>
    </row>
    <row r="181" spans="1:5" ht="12.75" customHeight="1" x14ac:dyDescent="0.2">
      <c r="A181" s="53" t="s">
        <v>451</v>
      </c>
      <c r="B181" s="53">
        <v>0</v>
      </c>
      <c r="C181" s="53">
        <v>2000</v>
      </c>
      <c r="D181" s="53">
        <f t="shared" si="5"/>
        <v>2000</v>
      </c>
      <c r="E181" s="51"/>
    </row>
    <row r="182" spans="1:5" ht="12.75" customHeight="1" x14ac:dyDescent="0.2">
      <c r="A182" s="53" t="s">
        <v>452</v>
      </c>
      <c r="B182" s="53">
        <v>0</v>
      </c>
      <c r="C182" s="53">
        <v>1043.48</v>
      </c>
      <c r="D182" s="53">
        <f t="shared" si="5"/>
        <v>1043.48</v>
      </c>
      <c r="E182" s="51"/>
    </row>
    <row r="183" spans="1:5" ht="12.75" customHeight="1" x14ac:dyDescent="0.2">
      <c r="A183" s="53" t="s">
        <v>453</v>
      </c>
      <c r="B183" s="53">
        <v>0</v>
      </c>
      <c r="C183" s="53">
        <v>9552.6</v>
      </c>
      <c r="D183" s="53">
        <f t="shared" si="5"/>
        <v>9552.6</v>
      </c>
      <c r="E183" s="51"/>
    </row>
    <row r="184" spans="1:5" ht="12.75" customHeight="1" x14ac:dyDescent="0.2">
      <c r="A184" s="53" t="s">
        <v>454</v>
      </c>
      <c r="B184" s="53">
        <v>0</v>
      </c>
      <c r="C184" s="53">
        <v>19085</v>
      </c>
      <c r="D184" s="53">
        <f t="shared" si="5"/>
        <v>19085</v>
      </c>
      <c r="E184" s="51"/>
    </row>
    <row r="185" spans="1:5" ht="12.75" customHeight="1" x14ac:dyDescent="0.2">
      <c r="A185" s="53" t="s">
        <v>455</v>
      </c>
      <c r="B185" s="53">
        <v>0</v>
      </c>
      <c r="C185" s="53">
        <v>9456.5300000000007</v>
      </c>
      <c r="D185" s="53">
        <f t="shared" si="5"/>
        <v>9456.5300000000007</v>
      </c>
      <c r="E185" s="51"/>
    </row>
    <row r="186" spans="1:5" ht="12.75" customHeight="1" x14ac:dyDescent="0.2">
      <c r="A186" s="53" t="s">
        <v>456</v>
      </c>
      <c r="B186" s="53">
        <v>0</v>
      </c>
      <c r="C186" s="53">
        <v>55886.12</v>
      </c>
      <c r="D186" s="53">
        <f t="shared" si="5"/>
        <v>55886.12</v>
      </c>
      <c r="E186" s="51"/>
    </row>
    <row r="187" spans="1:5" ht="12.75" customHeight="1" x14ac:dyDescent="0.2">
      <c r="A187" s="53" t="s">
        <v>457</v>
      </c>
      <c r="B187" s="53">
        <v>0</v>
      </c>
      <c r="C187" s="53">
        <v>5945.36</v>
      </c>
      <c r="D187" s="53">
        <f t="shared" ref="D187:D250" si="6">B187+C187</f>
        <v>5945.36</v>
      </c>
      <c r="E187" s="51"/>
    </row>
    <row r="188" spans="1:5" ht="12.75" customHeight="1" x14ac:dyDescent="0.2">
      <c r="A188" s="53" t="s">
        <v>458</v>
      </c>
      <c r="B188" s="53">
        <v>0</v>
      </c>
      <c r="C188" s="53">
        <v>36670</v>
      </c>
      <c r="D188" s="53">
        <f t="shared" si="6"/>
        <v>36670</v>
      </c>
      <c r="E188" s="51"/>
    </row>
    <row r="189" spans="1:5" ht="12.75" customHeight="1" x14ac:dyDescent="0.2">
      <c r="A189" s="53" t="s">
        <v>459</v>
      </c>
      <c r="B189" s="53">
        <v>0</v>
      </c>
      <c r="C189" s="53">
        <v>30319.84</v>
      </c>
      <c r="D189" s="53">
        <f t="shared" si="6"/>
        <v>30319.84</v>
      </c>
      <c r="E189" s="51"/>
    </row>
    <row r="190" spans="1:5" ht="12.75" customHeight="1" x14ac:dyDescent="0.2">
      <c r="A190" s="53" t="s">
        <v>460</v>
      </c>
      <c r="B190" s="53">
        <v>0</v>
      </c>
      <c r="C190" s="53">
        <v>7500</v>
      </c>
      <c r="D190" s="53">
        <f t="shared" si="6"/>
        <v>7500</v>
      </c>
      <c r="E190" s="51"/>
    </row>
    <row r="191" spans="1:5" ht="12.75" customHeight="1" x14ac:dyDescent="0.2">
      <c r="A191" s="53" t="s">
        <v>461</v>
      </c>
      <c r="B191" s="53">
        <v>0</v>
      </c>
      <c r="C191" s="53">
        <v>108101.4</v>
      </c>
      <c r="D191" s="53">
        <f t="shared" si="6"/>
        <v>108101.4</v>
      </c>
      <c r="E191" s="51"/>
    </row>
    <row r="192" spans="1:5" ht="12.75" customHeight="1" x14ac:dyDescent="0.2">
      <c r="A192" s="53" t="s">
        <v>462</v>
      </c>
      <c r="B192" s="53">
        <v>0</v>
      </c>
      <c r="C192" s="53">
        <v>42344.5</v>
      </c>
      <c r="D192" s="53">
        <f t="shared" si="6"/>
        <v>42344.5</v>
      </c>
      <c r="E192" s="51"/>
    </row>
    <row r="193" spans="1:5" ht="12.75" customHeight="1" x14ac:dyDescent="0.2">
      <c r="A193" s="53" t="s">
        <v>463</v>
      </c>
      <c r="B193" s="53">
        <v>0</v>
      </c>
      <c r="C193" s="53">
        <v>2700</v>
      </c>
      <c r="D193" s="53">
        <f t="shared" si="6"/>
        <v>2700</v>
      </c>
      <c r="E193" s="51"/>
    </row>
    <row r="194" spans="1:5" ht="12.75" customHeight="1" x14ac:dyDescent="0.2">
      <c r="A194" s="53" t="s">
        <v>464</v>
      </c>
      <c r="B194" s="53">
        <v>0</v>
      </c>
      <c r="C194" s="53">
        <v>20655</v>
      </c>
      <c r="D194" s="53">
        <f t="shared" si="6"/>
        <v>20655</v>
      </c>
      <c r="E194" s="51"/>
    </row>
    <row r="195" spans="1:5" ht="12.75" customHeight="1" x14ac:dyDescent="0.2">
      <c r="A195" s="53" t="s">
        <v>465</v>
      </c>
      <c r="B195" s="53">
        <v>0</v>
      </c>
      <c r="C195" s="53">
        <v>63566.74</v>
      </c>
      <c r="D195" s="53">
        <f t="shared" si="6"/>
        <v>63566.74</v>
      </c>
      <c r="E195" s="51"/>
    </row>
    <row r="196" spans="1:5" ht="12.75" customHeight="1" x14ac:dyDescent="0.2">
      <c r="A196" s="53" t="s">
        <v>466</v>
      </c>
      <c r="B196" s="53">
        <v>0</v>
      </c>
      <c r="C196" s="53">
        <v>626.09</v>
      </c>
      <c r="D196" s="53">
        <f t="shared" si="6"/>
        <v>626.09</v>
      </c>
      <c r="E196" s="51"/>
    </row>
    <row r="197" spans="1:5" ht="12.75" customHeight="1" x14ac:dyDescent="0.2">
      <c r="A197" s="53" t="s">
        <v>467</v>
      </c>
      <c r="B197" s="53">
        <v>0</v>
      </c>
      <c r="C197" s="53">
        <v>49703.03</v>
      </c>
      <c r="D197" s="53">
        <f t="shared" si="6"/>
        <v>49703.03</v>
      </c>
      <c r="E197" s="51"/>
    </row>
    <row r="198" spans="1:5" ht="12.75" customHeight="1" x14ac:dyDescent="0.2">
      <c r="A198" s="53" t="s">
        <v>468</v>
      </c>
      <c r="B198" s="53">
        <v>0</v>
      </c>
      <c r="C198" s="53">
        <v>840</v>
      </c>
      <c r="D198" s="53">
        <f t="shared" si="6"/>
        <v>840</v>
      </c>
      <c r="E198" s="51"/>
    </row>
    <row r="199" spans="1:5" ht="12.75" customHeight="1" x14ac:dyDescent="0.2">
      <c r="A199" s="53" t="s">
        <v>469</v>
      </c>
      <c r="B199" s="53">
        <v>0</v>
      </c>
      <c r="C199" s="53">
        <v>1758.41</v>
      </c>
      <c r="D199" s="53">
        <f t="shared" si="6"/>
        <v>1758.41</v>
      </c>
      <c r="E199" s="51"/>
    </row>
    <row r="200" spans="1:5" ht="12.75" customHeight="1" x14ac:dyDescent="0.2">
      <c r="A200" s="53" t="s">
        <v>470</v>
      </c>
      <c r="B200" s="53">
        <v>0</v>
      </c>
      <c r="C200" s="53">
        <v>6616.7</v>
      </c>
      <c r="D200" s="53">
        <f t="shared" si="6"/>
        <v>6616.7</v>
      </c>
      <c r="E200" s="51"/>
    </row>
    <row r="201" spans="1:5" ht="12.75" customHeight="1" x14ac:dyDescent="0.2">
      <c r="A201" s="53" t="s">
        <v>471</v>
      </c>
      <c r="B201" s="53">
        <v>0</v>
      </c>
      <c r="C201" s="53">
        <v>30191.3</v>
      </c>
      <c r="D201" s="53">
        <f t="shared" si="6"/>
        <v>30191.3</v>
      </c>
      <c r="E201" s="51"/>
    </row>
    <row r="202" spans="1:5" ht="12.75" customHeight="1" x14ac:dyDescent="0.2">
      <c r="A202" s="53" t="s">
        <v>472</v>
      </c>
      <c r="B202" s="53">
        <v>0</v>
      </c>
      <c r="C202" s="53">
        <v>8547.43</v>
      </c>
      <c r="D202" s="53">
        <f t="shared" si="6"/>
        <v>8547.43</v>
      </c>
      <c r="E202" s="51"/>
    </row>
    <row r="203" spans="1:5" ht="12.75" customHeight="1" x14ac:dyDescent="0.2">
      <c r="A203" s="53" t="s">
        <v>473</v>
      </c>
      <c r="B203" s="53">
        <v>0</v>
      </c>
      <c r="C203" s="53">
        <v>22400</v>
      </c>
      <c r="D203" s="53">
        <f t="shared" si="6"/>
        <v>22400</v>
      </c>
      <c r="E203" s="51"/>
    </row>
    <row r="204" spans="1:5" ht="12.75" customHeight="1" x14ac:dyDescent="0.2">
      <c r="A204" s="53" t="s">
        <v>474</v>
      </c>
      <c r="B204" s="53">
        <v>0</v>
      </c>
      <c r="C204" s="53">
        <v>73.91</v>
      </c>
      <c r="D204" s="53">
        <f t="shared" si="6"/>
        <v>73.91</v>
      </c>
      <c r="E204" s="51"/>
    </row>
    <row r="205" spans="1:5" ht="12.75" customHeight="1" x14ac:dyDescent="0.2">
      <c r="A205" s="53" t="s">
        <v>475</v>
      </c>
      <c r="B205" s="53">
        <v>0</v>
      </c>
      <c r="C205" s="53">
        <v>145942.69</v>
      </c>
      <c r="D205" s="53">
        <f t="shared" si="6"/>
        <v>145942.69</v>
      </c>
      <c r="E205" s="51"/>
    </row>
    <row r="206" spans="1:5" ht="12.75" customHeight="1" x14ac:dyDescent="0.2">
      <c r="A206" s="53" t="s">
        <v>476</v>
      </c>
      <c r="B206" s="53">
        <v>0</v>
      </c>
      <c r="C206" s="53">
        <v>7091.31</v>
      </c>
      <c r="D206" s="53">
        <f t="shared" si="6"/>
        <v>7091.31</v>
      </c>
      <c r="E206" s="51"/>
    </row>
    <row r="207" spans="1:5" ht="12.75" customHeight="1" x14ac:dyDescent="0.2">
      <c r="A207" s="53" t="s">
        <v>477</v>
      </c>
      <c r="B207" s="53">
        <v>0</v>
      </c>
      <c r="C207" s="53">
        <v>203806.15</v>
      </c>
      <c r="D207" s="53">
        <f t="shared" si="6"/>
        <v>203806.15</v>
      </c>
      <c r="E207" s="51"/>
    </row>
    <row r="208" spans="1:5" ht="12.75" customHeight="1" x14ac:dyDescent="0.2">
      <c r="A208" s="53" t="s">
        <v>478</v>
      </c>
      <c r="B208" s="53">
        <v>0</v>
      </c>
      <c r="C208" s="53">
        <v>33500</v>
      </c>
      <c r="D208" s="53">
        <f t="shared" si="6"/>
        <v>33500</v>
      </c>
      <c r="E208" s="51"/>
    </row>
    <row r="209" spans="1:5" ht="12.75" customHeight="1" x14ac:dyDescent="0.2">
      <c r="A209" s="53" t="s">
        <v>479</v>
      </c>
      <c r="B209" s="53">
        <v>0</v>
      </c>
      <c r="C209" s="53">
        <v>104626.9</v>
      </c>
      <c r="D209" s="53">
        <f t="shared" si="6"/>
        <v>104626.9</v>
      </c>
      <c r="E209" s="51"/>
    </row>
    <row r="210" spans="1:5" ht="12.75" customHeight="1" x14ac:dyDescent="0.2">
      <c r="A210" s="53" t="s">
        <v>480</v>
      </c>
      <c r="B210" s="53">
        <v>0</v>
      </c>
      <c r="C210" s="53">
        <v>24677.89</v>
      </c>
      <c r="D210" s="53">
        <f t="shared" si="6"/>
        <v>24677.89</v>
      </c>
      <c r="E210" s="51"/>
    </row>
    <row r="211" spans="1:5" ht="12.75" customHeight="1" x14ac:dyDescent="0.2">
      <c r="A211" s="53" t="s">
        <v>481</v>
      </c>
      <c r="B211" s="53">
        <v>0</v>
      </c>
      <c r="C211" s="53">
        <v>7300</v>
      </c>
      <c r="D211" s="53">
        <f t="shared" si="6"/>
        <v>7300</v>
      </c>
      <c r="E211" s="51"/>
    </row>
    <row r="212" spans="1:5" ht="12.75" customHeight="1" x14ac:dyDescent="0.2">
      <c r="A212" s="53" t="s">
        <v>482</v>
      </c>
      <c r="B212" s="53">
        <v>0</v>
      </c>
      <c r="C212" s="53">
        <v>12074.78</v>
      </c>
      <c r="D212" s="53">
        <f t="shared" si="6"/>
        <v>12074.78</v>
      </c>
      <c r="E212" s="51"/>
    </row>
    <row r="213" spans="1:5" ht="12.75" customHeight="1" x14ac:dyDescent="0.2">
      <c r="A213" s="53" t="s">
        <v>483</v>
      </c>
      <c r="B213" s="53">
        <v>0</v>
      </c>
      <c r="C213" s="53">
        <v>-2801.74</v>
      </c>
      <c r="D213" s="53">
        <f t="shared" si="6"/>
        <v>-2801.74</v>
      </c>
      <c r="E213" s="51"/>
    </row>
    <row r="214" spans="1:5" ht="12.75" customHeight="1" x14ac:dyDescent="0.2">
      <c r="A214" s="53" t="s">
        <v>484</v>
      </c>
      <c r="B214" s="53">
        <v>0</v>
      </c>
      <c r="C214" s="53">
        <v>3160</v>
      </c>
      <c r="D214" s="53">
        <f t="shared" si="6"/>
        <v>3160</v>
      </c>
      <c r="E214" s="51"/>
    </row>
    <row r="215" spans="1:5" ht="12.75" customHeight="1" x14ac:dyDescent="0.2">
      <c r="A215" s="53" t="s">
        <v>485</v>
      </c>
      <c r="B215" s="53">
        <v>0</v>
      </c>
      <c r="C215" s="53">
        <v>23438.5</v>
      </c>
      <c r="D215" s="53">
        <f t="shared" si="6"/>
        <v>23438.5</v>
      </c>
      <c r="E215" s="51"/>
    </row>
    <row r="216" spans="1:5" ht="12.75" customHeight="1" x14ac:dyDescent="0.2">
      <c r="A216" s="53" t="s">
        <v>486</v>
      </c>
      <c r="B216" s="53">
        <v>0</v>
      </c>
      <c r="C216" s="53">
        <v>5964</v>
      </c>
      <c r="D216" s="53">
        <f t="shared" si="6"/>
        <v>5964</v>
      </c>
      <c r="E216" s="51"/>
    </row>
    <row r="217" spans="1:5" ht="12.75" customHeight="1" x14ac:dyDescent="0.2">
      <c r="A217" s="53" t="s">
        <v>487</v>
      </c>
      <c r="B217" s="53">
        <v>0</v>
      </c>
      <c r="C217" s="53">
        <v>7216</v>
      </c>
      <c r="D217" s="53">
        <f t="shared" si="6"/>
        <v>7216</v>
      </c>
      <c r="E217" s="51"/>
    </row>
    <row r="218" spans="1:5" ht="12.75" customHeight="1" x14ac:dyDescent="0.2">
      <c r="A218" s="53" t="s">
        <v>488</v>
      </c>
      <c r="B218" s="53">
        <v>0</v>
      </c>
      <c r="C218" s="53">
        <v>4182</v>
      </c>
      <c r="D218" s="53">
        <f t="shared" si="6"/>
        <v>4182</v>
      </c>
      <c r="E218" s="51"/>
    </row>
    <row r="219" spans="1:5" ht="12.75" customHeight="1" x14ac:dyDescent="0.2">
      <c r="A219" s="53" t="s">
        <v>489</v>
      </c>
      <c r="B219" s="53">
        <v>0</v>
      </c>
      <c r="C219" s="53">
        <v>2200</v>
      </c>
      <c r="D219" s="53">
        <f t="shared" si="6"/>
        <v>2200</v>
      </c>
      <c r="E219" s="51"/>
    </row>
    <row r="220" spans="1:5" ht="12.75" customHeight="1" x14ac:dyDescent="0.2">
      <c r="A220" s="53" t="s">
        <v>490</v>
      </c>
      <c r="B220" s="53">
        <v>0</v>
      </c>
      <c r="C220" s="53">
        <v>2560.87</v>
      </c>
      <c r="D220" s="53">
        <f t="shared" si="6"/>
        <v>2560.87</v>
      </c>
      <c r="E220" s="51"/>
    </row>
    <row r="221" spans="1:5" ht="12.75" customHeight="1" x14ac:dyDescent="0.2">
      <c r="A221" s="53" t="s">
        <v>491</v>
      </c>
      <c r="B221" s="53">
        <v>0</v>
      </c>
      <c r="C221" s="53">
        <v>2021.74</v>
      </c>
      <c r="D221" s="53">
        <f t="shared" si="6"/>
        <v>2021.74</v>
      </c>
      <c r="E221" s="51"/>
    </row>
    <row r="222" spans="1:5" ht="12.75" customHeight="1" x14ac:dyDescent="0.2">
      <c r="A222" s="53" t="s">
        <v>492</v>
      </c>
      <c r="B222" s="53">
        <v>0</v>
      </c>
      <c r="C222" s="53">
        <v>20169.5</v>
      </c>
      <c r="D222" s="53">
        <f t="shared" si="6"/>
        <v>20169.5</v>
      </c>
      <c r="E222" s="51"/>
    </row>
    <row r="223" spans="1:5" ht="12.75" customHeight="1" x14ac:dyDescent="0.2">
      <c r="A223" s="53" t="s">
        <v>493</v>
      </c>
      <c r="B223" s="53">
        <v>0</v>
      </c>
      <c r="C223" s="53">
        <v>51301.599999999999</v>
      </c>
      <c r="D223" s="53">
        <f t="shared" si="6"/>
        <v>51301.599999999999</v>
      </c>
      <c r="E223" s="51"/>
    </row>
    <row r="224" spans="1:5" ht="12.75" customHeight="1" x14ac:dyDescent="0.2">
      <c r="A224" s="53" t="s">
        <v>494</v>
      </c>
      <c r="B224" s="53">
        <v>0</v>
      </c>
      <c r="C224" s="53">
        <v>67006.44</v>
      </c>
      <c r="D224" s="53">
        <f t="shared" si="6"/>
        <v>67006.44</v>
      </c>
      <c r="E224" s="51"/>
    </row>
    <row r="225" spans="1:5" ht="12.75" customHeight="1" x14ac:dyDescent="0.2">
      <c r="A225" s="53" t="s">
        <v>495</v>
      </c>
      <c r="B225" s="53">
        <v>0</v>
      </c>
      <c r="C225" s="53">
        <v>5655</v>
      </c>
      <c r="D225" s="53">
        <f t="shared" si="6"/>
        <v>5655</v>
      </c>
      <c r="E225" s="51"/>
    </row>
    <row r="226" spans="1:5" ht="12.75" customHeight="1" x14ac:dyDescent="0.2">
      <c r="A226" s="53" t="s">
        <v>496</v>
      </c>
      <c r="B226" s="53">
        <v>0</v>
      </c>
      <c r="C226" s="53">
        <v>2919.28</v>
      </c>
      <c r="D226" s="53">
        <f t="shared" si="6"/>
        <v>2919.28</v>
      </c>
      <c r="E226" s="51"/>
    </row>
    <row r="227" spans="1:5" ht="12.75" customHeight="1" x14ac:dyDescent="0.2">
      <c r="A227" s="53" t="s">
        <v>497</v>
      </c>
      <c r="B227" s="53">
        <v>0</v>
      </c>
      <c r="C227" s="53">
        <v>69792</v>
      </c>
      <c r="D227" s="53">
        <f t="shared" si="6"/>
        <v>69792</v>
      </c>
      <c r="E227" s="51"/>
    </row>
    <row r="228" spans="1:5" ht="12.75" customHeight="1" x14ac:dyDescent="0.2">
      <c r="A228" s="53" t="s">
        <v>498</v>
      </c>
      <c r="B228" s="53">
        <v>0</v>
      </c>
      <c r="C228" s="53">
        <v>18600</v>
      </c>
      <c r="D228" s="53">
        <f t="shared" si="6"/>
        <v>18600</v>
      </c>
      <c r="E228" s="51"/>
    </row>
    <row r="229" spans="1:5" ht="12.75" customHeight="1" x14ac:dyDescent="0.2">
      <c r="A229" s="53" t="s">
        <v>499</v>
      </c>
      <c r="B229" s="53">
        <v>0</v>
      </c>
      <c r="C229" s="53">
        <v>7669.2</v>
      </c>
      <c r="D229" s="53">
        <f t="shared" si="6"/>
        <v>7669.2</v>
      </c>
      <c r="E229" s="51"/>
    </row>
    <row r="230" spans="1:5" ht="12.75" customHeight="1" x14ac:dyDescent="0.2">
      <c r="A230" s="53" t="s">
        <v>500</v>
      </c>
      <c r="B230" s="53">
        <v>0</v>
      </c>
      <c r="C230" s="53">
        <v>13452</v>
      </c>
      <c r="D230" s="53">
        <f t="shared" si="6"/>
        <v>13452</v>
      </c>
      <c r="E230" s="51"/>
    </row>
    <row r="231" spans="1:5" ht="12.75" customHeight="1" x14ac:dyDescent="0.2">
      <c r="A231" s="53" t="s">
        <v>501</v>
      </c>
      <c r="B231" s="53">
        <v>0</v>
      </c>
      <c r="C231" s="53">
        <v>20592</v>
      </c>
      <c r="D231" s="53">
        <f t="shared" si="6"/>
        <v>20592</v>
      </c>
      <c r="E231" s="51"/>
    </row>
    <row r="232" spans="1:5" ht="12.75" customHeight="1" x14ac:dyDescent="0.2">
      <c r="A232" s="53" t="s">
        <v>502</v>
      </c>
      <c r="B232" s="53">
        <v>0</v>
      </c>
      <c r="C232" s="53">
        <v>6864</v>
      </c>
      <c r="D232" s="53">
        <f t="shared" si="6"/>
        <v>6864</v>
      </c>
      <c r="E232" s="51"/>
    </row>
    <row r="233" spans="1:5" ht="12.75" customHeight="1" x14ac:dyDescent="0.2">
      <c r="A233" s="53" t="s">
        <v>503</v>
      </c>
      <c r="B233" s="53">
        <v>0</v>
      </c>
      <c r="C233" s="53">
        <v>49611.06</v>
      </c>
      <c r="D233" s="53">
        <f t="shared" si="6"/>
        <v>49611.06</v>
      </c>
      <c r="E233" s="51"/>
    </row>
    <row r="234" spans="1:5" ht="12.75" customHeight="1" x14ac:dyDescent="0.2">
      <c r="A234" s="53" t="s">
        <v>504</v>
      </c>
      <c r="B234" s="53">
        <v>0</v>
      </c>
      <c r="C234" s="53">
        <v>4542.7</v>
      </c>
      <c r="D234" s="53">
        <f t="shared" si="6"/>
        <v>4542.7</v>
      </c>
      <c r="E234" s="51"/>
    </row>
    <row r="235" spans="1:5" ht="12.75" customHeight="1" x14ac:dyDescent="0.2">
      <c r="A235" s="53" t="s">
        <v>505</v>
      </c>
      <c r="B235" s="53">
        <v>0</v>
      </c>
      <c r="C235" s="53">
        <v>18886.759999999998</v>
      </c>
      <c r="D235" s="53">
        <f t="shared" si="6"/>
        <v>18886.759999999998</v>
      </c>
      <c r="E235" s="51"/>
    </row>
    <row r="236" spans="1:5" ht="12.75" customHeight="1" x14ac:dyDescent="0.2">
      <c r="A236" s="53" t="s">
        <v>506</v>
      </c>
      <c r="B236" s="53">
        <v>0</v>
      </c>
      <c r="C236" s="53">
        <v>30281.87</v>
      </c>
      <c r="D236" s="53">
        <f t="shared" si="6"/>
        <v>30281.87</v>
      </c>
      <c r="E236" s="51"/>
    </row>
    <row r="237" spans="1:5" ht="12.75" customHeight="1" x14ac:dyDescent="0.2">
      <c r="A237" s="53" t="s">
        <v>507</v>
      </c>
      <c r="B237" s="53">
        <v>0</v>
      </c>
      <c r="C237" s="53">
        <v>18956.36</v>
      </c>
      <c r="D237" s="53">
        <f t="shared" si="6"/>
        <v>18956.36</v>
      </c>
      <c r="E237" s="51"/>
    </row>
    <row r="238" spans="1:5" ht="12.75" customHeight="1" x14ac:dyDescent="0.2">
      <c r="A238" s="53" t="s">
        <v>508</v>
      </c>
      <c r="B238" s="53">
        <v>0</v>
      </c>
      <c r="C238" s="53">
        <v>15170</v>
      </c>
      <c r="D238" s="53">
        <f t="shared" si="6"/>
        <v>15170</v>
      </c>
      <c r="E238" s="51"/>
    </row>
    <row r="239" spans="1:5" ht="12.75" customHeight="1" x14ac:dyDescent="0.2">
      <c r="A239" s="53" t="s">
        <v>509</v>
      </c>
      <c r="B239" s="53">
        <v>0</v>
      </c>
      <c r="C239" s="53">
        <v>16687</v>
      </c>
      <c r="D239" s="53">
        <f t="shared" si="6"/>
        <v>16687</v>
      </c>
      <c r="E239" s="51"/>
    </row>
    <row r="240" spans="1:5" ht="12.75" customHeight="1" x14ac:dyDescent="0.2">
      <c r="A240" s="53" t="s">
        <v>510</v>
      </c>
      <c r="B240" s="53">
        <v>0</v>
      </c>
      <c r="C240" s="53">
        <v>21681</v>
      </c>
      <c r="D240" s="53">
        <f t="shared" si="6"/>
        <v>21681</v>
      </c>
      <c r="E240" s="51"/>
    </row>
    <row r="241" spans="1:5" ht="12.75" customHeight="1" x14ac:dyDescent="0.2">
      <c r="A241" s="53" t="s">
        <v>511</v>
      </c>
      <c r="B241" s="53">
        <v>0</v>
      </c>
      <c r="C241" s="53">
        <v>3933.57</v>
      </c>
      <c r="D241" s="53">
        <f t="shared" si="6"/>
        <v>3933.57</v>
      </c>
      <c r="E241" s="51"/>
    </row>
    <row r="242" spans="1:5" ht="12.75" customHeight="1" x14ac:dyDescent="0.2">
      <c r="A242" s="53" t="s">
        <v>512</v>
      </c>
      <c r="B242" s="53">
        <v>0</v>
      </c>
      <c r="C242" s="53">
        <v>1739.08</v>
      </c>
      <c r="D242" s="53">
        <f t="shared" si="6"/>
        <v>1739.08</v>
      </c>
      <c r="E242" s="51"/>
    </row>
    <row r="243" spans="1:5" ht="12.75" customHeight="1" x14ac:dyDescent="0.2">
      <c r="A243" s="53" t="s">
        <v>513</v>
      </c>
      <c r="B243" s="53">
        <v>0</v>
      </c>
      <c r="C243" s="53">
        <v>31570</v>
      </c>
      <c r="D243" s="53">
        <f t="shared" si="6"/>
        <v>31570</v>
      </c>
      <c r="E243" s="51"/>
    </row>
    <row r="244" spans="1:5" ht="12.75" customHeight="1" x14ac:dyDescent="0.2">
      <c r="A244" s="53" t="s">
        <v>514</v>
      </c>
      <c r="B244" s="53">
        <v>0</v>
      </c>
      <c r="C244" s="53">
        <v>185996.34</v>
      </c>
      <c r="D244" s="53">
        <f t="shared" si="6"/>
        <v>185996.34</v>
      </c>
      <c r="E244" s="51"/>
    </row>
    <row r="245" spans="1:5" ht="12.75" customHeight="1" x14ac:dyDescent="0.2">
      <c r="A245" s="53" t="s">
        <v>515</v>
      </c>
      <c r="B245" s="53">
        <v>0</v>
      </c>
      <c r="C245" s="53">
        <v>10735</v>
      </c>
      <c r="D245" s="53">
        <f t="shared" si="6"/>
        <v>10735</v>
      </c>
      <c r="E245" s="51"/>
    </row>
    <row r="246" spans="1:5" ht="12.75" customHeight="1" x14ac:dyDescent="0.2">
      <c r="A246" s="53" t="s">
        <v>516</v>
      </c>
      <c r="B246" s="53">
        <v>0</v>
      </c>
      <c r="C246" s="53">
        <v>52594</v>
      </c>
      <c r="D246" s="53">
        <f t="shared" si="6"/>
        <v>52594</v>
      </c>
      <c r="E246" s="51"/>
    </row>
    <row r="247" spans="1:5" ht="12.75" customHeight="1" x14ac:dyDescent="0.2">
      <c r="A247" s="53" t="s">
        <v>517</v>
      </c>
      <c r="B247" s="53">
        <v>0</v>
      </c>
      <c r="C247" s="53">
        <v>275656.49</v>
      </c>
      <c r="D247" s="53">
        <f t="shared" si="6"/>
        <v>275656.49</v>
      </c>
      <c r="E247" s="51"/>
    </row>
    <row r="248" spans="1:5" ht="12.75" customHeight="1" x14ac:dyDescent="0.2">
      <c r="A248" s="53" t="s">
        <v>518</v>
      </c>
      <c r="B248" s="53">
        <v>0</v>
      </c>
      <c r="C248" s="53">
        <v>154901.21</v>
      </c>
      <c r="D248" s="53">
        <f t="shared" si="6"/>
        <v>154901.21</v>
      </c>
      <c r="E248" s="51"/>
    </row>
    <row r="249" spans="1:5" ht="12.75" customHeight="1" x14ac:dyDescent="0.2">
      <c r="A249" s="53" t="s">
        <v>519</v>
      </c>
      <c r="B249" s="53">
        <v>0</v>
      </c>
      <c r="C249" s="53">
        <v>3003.48</v>
      </c>
      <c r="D249" s="53">
        <f t="shared" si="6"/>
        <v>3003.48</v>
      </c>
      <c r="E249" s="51"/>
    </row>
    <row r="250" spans="1:5" ht="12.75" customHeight="1" x14ac:dyDescent="0.2">
      <c r="A250" s="53" t="s">
        <v>520</v>
      </c>
      <c r="B250" s="53">
        <v>0</v>
      </c>
      <c r="C250" s="53">
        <v>599.13</v>
      </c>
      <c r="D250" s="53">
        <f t="shared" si="6"/>
        <v>599.13</v>
      </c>
      <c r="E250" s="51"/>
    </row>
    <row r="251" spans="1:5" ht="12.75" customHeight="1" x14ac:dyDescent="0.2">
      <c r="A251" s="53" t="s">
        <v>521</v>
      </c>
      <c r="B251" s="53">
        <v>0</v>
      </c>
      <c r="C251" s="53">
        <v>520.87</v>
      </c>
      <c r="D251" s="53">
        <f t="shared" ref="D251:D314" si="7">B251+C251</f>
        <v>520.87</v>
      </c>
      <c r="E251" s="51"/>
    </row>
    <row r="252" spans="1:5" ht="12.75" customHeight="1" x14ac:dyDescent="0.2">
      <c r="A252" s="53" t="s">
        <v>522</v>
      </c>
      <c r="B252" s="53">
        <v>0</v>
      </c>
      <c r="C252" s="53">
        <v>78.25</v>
      </c>
      <c r="D252" s="53">
        <f t="shared" si="7"/>
        <v>78.25</v>
      </c>
      <c r="E252" s="51"/>
    </row>
    <row r="253" spans="1:5" ht="12.75" customHeight="1" x14ac:dyDescent="0.2">
      <c r="A253" s="53" t="s">
        <v>523</v>
      </c>
      <c r="B253" s="53">
        <v>0</v>
      </c>
      <c r="C253" s="53">
        <v>16984.13</v>
      </c>
      <c r="D253" s="53">
        <f t="shared" si="7"/>
        <v>16984.13</v>
      </c>
      <c r="E253" s="51"/>
    </row>
    <row r="254" spans="1:5" ht="12.75" customHeight="1" x14ac:dyDescent="0.2">
      <c r="A254" s="53" t="s">
        <v>524</v>
      </c>
      <c r="B254" s="53">
        <v>0</v>
      </c>
      <c r="C254" s="53">
        <v>11275.53</v>
      </c>
      <c r="D254" s="53">
        <f t="shared" si="7"/>
        <v>11275.53</v>
      </c>
      <c r="E254" s="51"/>
    </row>
    <row r="255" spans="1:5" ht="12.75" customHeight="1" x14ac:dyDescent="0.2">
      <c r="A255" s="53" t="s">
        <v>525</v>
      </c>
      <c r="B255" s="53">
        <v>0</v>
      </c>
      <c r="C255" s="53">
        <v>36013.96</v>
      </c>
      <c r="D255" s="53">
        <f t="shared" si="7"/>
        <v>36013.96</v>
      </c>
      <c r="E255" s="51"/>
    </row>
    <row r="256" spans="1:5" ht="12.75" customHeight="1" x14ac:dyDescent="0.2">
      <c r="A256" s="53" t="s">
        <v>526</v>
      </c>
      <c r="B256" s="53">
        <v>0</v>
      </c>
      <c r="C256" s="53">
        <v>4125</v>
      </c>
      <c r="D256" s="53">
        <f t="shared" si="7"/>
        <v>4125</v>
      </c>
      <c r="E256" s="51"/>
    </row>
    <row r="257" spans="1:5" ht="12.75" customHeight="1" x14ac:dyDescent="0.2">
      <c r="A257" s="53" t="s">
        <v>527</v>
      </c>
      <c r="B257" s="53">
        <v>0</v>
      </c>
      <c r="C257" s="53">
        <v>253526.87</v>
      </c>
      <c r="D257" s="53">
        <f t="shared" si="7"/>
        <v>253526.87</v>
      </c>
      <c r="E257" s="51"/>
    </row>
    <row r="258" spans="1:5" ht="12.75" customHeight="1" x14ac:dyDescent="0.2">
      <c r="A258" s="53" t="s">
        <v>528</v>
      </c>
      <c r="B258" s="53">
        <v>0</v>
      </c>
      <c r="C258" s="53">
        <v>2499</v>
      </c>
      <c r="D258" s="53">
        <f t="shared" si="7"/>
        <v>2499</v>
      </c>
      <c r="E258" s="51"/>
    </row>
    <row r="259" spans="1:5" ht="12.75" customHeight="1" x14ac:dyDescent="0.2">
      <c r="A259" s="53" t="s">
        <v>529</v>
      </c>
      <c r="B259" s="53">
        <v>0</v>
      </c>
      <c r="C259" s="53">
        <v>4197</v>
      </c>
      <c r="D259" s="53">
        <f t="shared" si="7"/>
        <v>4197</v>
      </c>
      <c r="E259" s="51"/>
    </row>
    <row r="260" spans="1:5" ht="12.75" customHeight="1" x14ac:dyDescent="0.2">
      <c r="A260" s="53" t="s">
        <v>530</v>
      </c>
      <c r="B260" s="53">
        <v>0</v>
      </c>
      <c r="C260" s="53">
        <v>5997</v>
      </c>
      <c r="D260" s="53">
        <f t="shared" si="7"/>
        <v>5997</v>
      </c>
      <c r="E260" s="51"/>
    </row>
    <row r="261" spans="1:5" ht="12.75" customHeight="1" x14ac:dyDescent="0.2">
      <c r="A261" s="53" t="s">
        <v>531</v>
      </c>
      <c r="B261" s="53">
        <v>0</v>
      </c>
      <c r="C261" s="53">
        <v>11097</v>
      </c>
      <c r="D261" s="53">
        <f t="shared" si="7"/>
        <v>11097</v>
      </c>
      <c r="E261" s="51"/>
    </row>
    <row r="262" spans="1:5" ht="12.75" customHeight="1" x14ac:dyDescent="0.2">
      <c r="A262" s="53" t="s">
        <v>532</v>
      </c>
      <c r="B262" s="53">
        <v>0</v>
      </c>
      <c r="C262" s="53">
        <v>146803.04</v>
      </c>
      <c r="D262" s="53">
        <f t="shared" si="7"/>
        <v>146803.04</v>
      </c>
      <c r="E262" s="51"/>
    </row>
    <row r="263" spans="1:5" ht="12.75" customHeight="1" x14ac:dyDescent="0.2">
      <c r="A263" s="53" t="s">
        <v>533</v>
      </c>
      <c r="B263" s="53">
        <v>0</v>
      </c>
      <c r="C263" s="53">
        <v>600</v>
      </c>
      <c r="D263" s="53">
        <f t="shared" si="7"/>
        <v>600</v>
      </c>
      <c r="E263" s="51"/>
    </row>
    <row r="264" spans="1:5" ht="12.75" customHeight="1" x14ac:dyDescent="0.2">
      <c r="A264" s="53" t="s">
        <v>534</v>
      </c>
      <c r="B264" s="53">
        <v>0</v>
      </c>
      <c r="C264" s="53">
        <v>2086.96</v>
      </c>
      <c r="D264" s="53">
        <f t="shared" si="7"/>
        <v>2086.96</v>
      </c>
      <c r="E264" s="51"/>
    </row>
    <row r="265" spans="1:5" ht="12.75" customHeight="1" x14ac:dyDescent="0.2">
      <c r="A265" s="53" t="s">
        <v>535</v>
      </c>
      <c r="B265" s="53">
        <v>0</v>
      </c>
      <c r="C265" s="53">
        <v>76.52</v>
      </c>
      <c r="D265" s="53">
        <f t="shared" si="7"/>
        <v>76.52</v>
      </c>
      <c r="E265" s="51"/>
    </row>
    <row r="266" spans="1:5" ht="12.75" customHeight="1" x14ac:dyDescent="0.2">
      <c r="A266" s="53" t="s">
        <v>536</v>
      </c>
      <c r="B266" s="53">
        <v>0</v>
      </c>
      <c r="C266" s="53">
        <v>39912</v>
      </c>
      <c r="D266" s="53">
        <f t="shared" si="7"/>
        <v>39912</v>
      </c>
      <c r="E266" s="51"/>
    </row>
    <row r="267" spans="1:5" ht="12.75" customHeight="1" x14ac:dyDescent="0.2">
      <c r="A267" s="53" t="s">
        <v>537</v>
      </c>
      <c r="B267" s="53">
        <v>0</v>
      </c>
      <c r="C267" s="53">
        <v>482107.11</v>
      </c>
      <c r="D267" s="53">
        <f t="shared" si="7"/>
        <v>482107.11</v>
      </c>
      <c r="E267" s="51"/>
    </row>
    <row r="268" spans="1:5" ht="12.75" customHeight="1" x14ac:dyDescent="0.2">
      <c r="A268" s="53" t="s">
        <v>538</v>
      </c>
      <c r="B268" s="53">
        <v>0</v>
      </c>
      <c r="C268" s="53">
        <v>22100</v>
      </c>
      <c r="D268" s="53">
        <f t="shared" si="7"/>
        <v>22100</v>
      </c>
      <c r="E268" s="51"/>
    </row>
    <row r="269" spans="1:5" ht="12.75" customHeight="1" x14ac:dyDescent="0.2">
      <c r="A269" s="53" t="s">
        <v>539</v>
      </c>
      <c r="B269" s="53">
        <v>0</v>
      </c>
      <c r="C269" s="53">
        <v>32943</v>
      </c>
      <c r="D269" s="53">
        <f t="shared" si="7"/>
        <v>32943</v>
      </c>
      <c r="E269" s="51"/>
    </row>
    <row r="270" spans="1:5" ht="12.75" customHeight="1" x14ac:dyDescent="0.2">
      <c r="A270" s="53" t="s">
        <v>540</v>
      </c>
      <c r="B270" s="53">
        <v>0</v>
      </c>
      <c r="C270" s="53">
        <v>459220</v>
      </c>
      <c r="D270" s="53">
        <f t="shared" si="7"/>
        <v>459220</v>
      </c>
      <c r="E270" s="51"/>
    </row>
    <row r="271" spans="1:5" ht="12.75" customHeight="1" x14ac:dyDescent="0.2">
      <c r="A271" s="53" t="s">
        <v>541</v>
      </c>
      <c r="B271" s="53">
        <v>0</v>
      </c>
      <c r="C271" s="53">
        <v>136583</v>
      </c>
      <c r="D271" s="53">
        <f t="shared" si="7"/>
        <v>136583</v>
      </c>
      <c r="E271" s="51"/>
    </row>
    <row r="272" spans="1:5" ht="12.75" customHeight="1" x14ac:dyDescent="0.2">
      <c r="A272" s="53" t="s">
        <v>542</v>
      </c>
      <c r="B272" s="53">
        <v>0</v>
      </c>
      <c r="C272" s="53">
        <v>593646.4</v>
      </c>
      <c r="D272" s="53">
        <f t="shared" si="7"/>
        <v>593646.4</v>
      </c>
      <c r="E272" s="51"/>
    </row>
    <row r="273" spans="1:5" ht="12.75" customHeight="1" x14ac:dyDescent="0.2">
      <c r="A273" s="53" t="s">
        <v>543</v>
      </c>
      <c r="B273" s="53">
        <v>0</v>
      </c>
      <c r="C273" s="53">
        <v>8960</v>
      </c>
      <c r="D273" s="53">
        <f t="shared" si="7"/>
        <v>8960</v>
      </c>
      <c r="E273" s="51"/>
    </row>
    <row r="274" spans="1:5" ht="12.75" customHeight="1" x14ac:dyDescent="0.2">
      <c r="A274" s="53" t="s">
        <v>544</v>
      </c>
      <c r="B274" s="53">
        <v>0</v>
      </c>
      <c r="C274" s="53">
        <v>11200</v>
      </c>
      <c r="D274" s="53">
        <f t="shared" si="7"/>
        <v>11200</v>
      </c>
      <c r="E274" s="51"/>
    </row>
    <row r="275" spans="1:5" ht="12.75" customHeight="1" x14ac:dyDescent="0.2">
      <c r="A275" s="53" t="s">
        <v>545</v>
      </c>
      <c r="B275" s="53">
        <v>0</v>
      </c>
      <c r="C275" s="53">
        <v>1209.5999999999999</v>
      </c>
      <c r="D275" s="53">
        <f t="shared" si="7"/>
        <v>1209.5999999999999</v>
      </c>
      <c r="E275" s="51"/>
    </row>
    <row r="276" spans="1:5" ht="12.75" customHeight="1" x14ac:dyDescent="0.2">
      <c r="A276" s="53" t="s">
        <v>546</v>
      </c>
      <c r="B276" s="53">
        <v>0</v>
      </c>
      <c r="C276" s="53">
        <v>179424</v>
      </c>
      <c r="D276" s="53">
        <f t="shared" si="7"/>
        <v>179424</v>
      </c>
      <c r="E276" s="51"/>
    </row>
    <row r="277" spans="1:5" ht="12.75" customHeight="1" x14ac:dyDescent="0.2">
      <c r="A277" s="53" t="s">
        <v>547</v>
      </c>
      <c r="B277" s="53">
        <v>0</v>
      </c>
      <c r="C277" s="53">
        <v>4300.8</v>
      </c>
      <c r="D277" s="53">
        <f t="shared" si="7"/>
        <v>4300.8</v>
      </c>
      <c r="E277" s="51"/>
    </row>
    <row r="278" spans="1:5" ht="12.75" customHeight="1" x14ac:dyDescent="0.2">
      <c r="A278" s="53" t="s">
        <v>548</v>
      </c>
      <c r="B278" s="53">
        <v>0</v>
      </c>
      <c r="C278" s="53">
        <v>230</v>
      </c>
      <c r="D278" s="53">
        <f t="shared" si="7"/>
        <v>230</v>
      </c>
      <c r="E278" s="51"/>
    </row>
    <row r="279" spans="1:5" ht="12.75" customHeight="1" x14ac:dyDescent="0.2">
      <c r="A279" s="53" t="s">
        <v>549</v>
      </c>
      <c r="B279" s="53">
        <v>0</v>
      </c>
      <c r="C279" s="53">
        <v>540</v>
      </c>
      <c r="D279" s="53">
        <f t="shared" si="7"/>
        <v>540</v>
      </c>
      <c r="E279" s="51"/>
    </row>
    <row r="280" spans="1:5" ht="12.75" customHeight="1" x14ac:dyDescent="0.2">
      <c r="A280" s="53" t="s">
        <v>550</v>
      </c>
      <c r="B280" s="53">
        <v>0</v>
      </c>
      <c r="C280" s="53">
        <v>1314</v>
      </c>
      <c r="D280" s="53">
        <f t="shared" si="7"/>
        <v>1314</v>
      </c>
      <c r="E280" s="51"/>
    </row>
    <row r="281" spans="1:5" ht="12.75" customHeight="1" x14ac:dyDescent="0.2">
      <c r="A281" s="53" t="s">
        <v>551</v>
      </c>
      <c r="B281" s="53">
        <v>0</v>
      </c>
      <c r="C281" s="53">
        <v>780</v>
      </c>
      <c r="D281" s="53">
        <f t="shared" si="7"/>
        <v>780</v>
      </c>
      <c r="E281" s="51"/>
    </row>
    <row r="282" spans="1:5" ht="12.75" customHeight="1" x14ac:dyDescent="0.2">
      <c r="A282" s="53" t="s">
        <v>552</v>
      </c>
      <c r="B282" s="53">
        <v>0</v>
      </c>
      <c r="C282" s="53">
        <v>3472</v>
      </c>
      <c r="D282" s="53">
        <f t="shared" si="7"/>
        <v>3472</v>
      </c>
      <c r="E282" s="51"/>
    </row>
    <row r="283" spans="1:5" ht="12.75" customHeight="1" x14ac:dyDescent="0.2">
      <c r="A283" s="53" t="s">
        <v>553</v>
      </c>
      <c r="B283" s="53">
        <v>0</v>
      </c>
      <c r="C283" s="53">
        <v>-4582.87</v>
      </c>
      <c r="D283" s="53">
        <f t="shared" si="7"/>
        <v>-4582.87</v>
      </c>
      <c r="E283" s="51"/>
    </row>
    <row r="284" spans="1:5" ht="12.75" customHeight="1" x14ac:dyDescent="0.2">
      <c r="A284" s="53" t="s">
        <v>554</v>
      </c>
      <c r="B284" s="53">
        <v>0</v>
      </c>
      <c r="C284" s="53">
        <v>4564</v>
      </c>
      <c r="D284" s="53">
        <f t="shared" si="7"/>
        <v>4564</v>
      </c>
      <c r="E284" s="51"/>
    </row>
    <row r="285" spans="1:5" ht="12.75" customHeight="1" x14ac:dyDescent="0.2">
      <c r="A285" s="53" t="s">
        <v>555</v>
      </c>
      <c r="B285" s="53">
        <v>0</v>
      </c>
      <c r="C285" s="53">
        <v>10890</v>
      </c>
      <c r="D285" s="53">
        <f t="shared" si="7"/>
        <v>10890</v>
      </c>
      <c r="E285" s="51"/>
    </row>
    <row r="286" spans="1:5" ht="12.75" customHeight="1" x14ac:dyDescent="0.2">
      <c r="A286" s="53" t="s">
        <v>556</v>
      </c>
      <c r="B286" s="53">
        <v>0</v>
      </c>
      <c r="C286" s="53">
        <v>45341.37</v>
      </c>
      <c r="D286" s="53">
        <f t="shared" si="7"/>
        <v>45341.37</v>
      </c>
      <c r="E286" s="51"/>
    </row>
    <row r="287" spans="1:5" ht="12.75" customHeight="1" x14ac:dyDescent="0.2">
      <c r="A287" s="53" t="s">
        <v>557</v>
      </c>
      <c r="B287" s="53">
        <v>0</v>
      </c>
      <c r="C287" s="53">
        <v>506769.26</v>
      </c>
      <c r="D287" s="53">
        <f t="shared" si="7"/>
        <v>506769.26</v>
      </c>
      <c r="E287" s="51"/>
    </row>
    <row r="288" spans="1:5" ht="12.75" customHeight="1" x14ac:dyDescent="0.2">
      <c r="A288" s="53" t="s">
        <v>558</v>
      </c>
      <c r="B288" s="53">
        <v>0</v>
      </c>
      <c r="C288" s="53">
        <v>71967.23</v>
      </c>
      <c r="D288" s="53">
        <f t="shared" si="7"/>
        <v>71967.23</v>
      </c>
      <c r="E288" s="51"/>
    </row>
    <row r="289" spans="1:5" ht="12.75" customHeight="1" x14ac:dyDescent="0.2">
      <c r="A289" s="53" t="s">
        <v>559</v>
      </c>
      <c r="B289" s="53">
        <v>0</v>
      </c>
      <c r="C289" s="53">
        <v>6200</v>
      </c>
      <c r="D289" s="53">
        <f t="shared" si="7"/>
        <v>6200</v>
      </c>
      <c r="E289" s="51"/>
    </row>
    <row r="290" spans="1:5" ht="12.75" customHeight="1" x14ac:dyDescent="0.2">
      <c r="A290" s="53" t="s">
        <v>560</v>
      </c>
      <c r="B290" s="53">
        <v>0</v>
      </c>
      <c r="C290" s="53">
        <v>24504</v>
      </c>
      <c r="D290" s="53">
        <f t="shared" si="7"/>
        <v>24504</v>
      </c>
      <c r="E290" s="51"/>
    </row>
    <row r="291" spans="1:5" ht="12.75" customHeight="1" x14ac:dyDescent="0.2">
      <c r="A291" s="53" t="s">
        <v>561</v>
      </c>
      <c r="B291" s="53">
        <v>0</v>
      </c>
      <c r="C291" s="53">
        <v>5200</v>
      </c>
      <c r="D291" s="53">
        <f t="shared" si="7"/>
        <v>5200</v>
      </c>
      <c r="E291" s="51"/>
    </row>
    <row r="292" spans="1:5" ht="12.75" customHeight="1" x14ac:dyDescent="0.2">
      <c r="A292" s="53" t="s">
        <v>562</v>
      </c>
      <c r="B292" s="53">
        <v>0</v>
      </c>
      <c r="C292" s="53">
        <v>36457.599999999999</v>
      </c>
      <c r="D292" s="53">
        <f t="shared" si="7"/>
        <v>36457.599999999999</v>
      </c>
      <c r="E292" s="51"/>
    </row>
    <row r="293" spans="1:5" ht="12.75" customHeight="1" x14ac:dyDescent="0.2">
      <c r="A293" s="53" t="s">
        <v>563</v>
      </c>
      <c r="B293" s="53">
        <v>0</v>
      </c>
      <c r="C293" s="53">
        <v>12489.06</v>
      </c>
      <c r="D293" s="53">
        <f t="shared" si="7"/>
        <v>12489.06</v>
      </c>
      <c r="E293" s="51"/>
    </row>
    <row r="294" spans="1:5" ht="12.75" customHeight="1" x14ac:dyDescent="0.2">
      <c r="A294" s="53" t="s">
        <v>564</v>
      </c>
      <c r="B294" s="53">
        <v>0</v>
      </c>
      <c r="C294" s="53">
        <v>37769.760000000002</v>
      </c>
      <c r="D294" s="53">
        <f t="shared" si="7"/>
        <v>37769.760000000002</v>
      </c>
      <c r="E294" s="51"/>
    </row>
    <row r="295" spans="1:5" ht="12.75" customHeight="1" x14ac:dyDescent="0.2">
      <c r="A295" s="53" t="s">
        <v>565</v>
      </c>
      <c r="B295" s="53">
        <v>0</v>
      </c>
      <c r="C295" s="53">
        <v>10800</v>
      </c>
      <c r="D295" s="53">
        <f t="shared" si="7"/>
        <v>10800</v>
      </c>
      <c r="E295" s="51"/>
    </row>
    <row r="296" spans="1:5" ht="12.75" customHeight="1" x14ac:dyDescent="0.2">
      <c r="A296" s="53" t="s">
        <v>566</v>
      </c>
      <c r="B296" s="53">
        <v>0</v>
      </c>
      <c r="C296" s="53">
        <v>54297.32</v>
      </c>
      <c r="D296" s="53">
        <f t="shared" si="7"/>
        <v>54297.32</v>
      </c>
      <c r="E296" s="51"/>
    </row>
    <row r="297" spans="1:5" ht="12.75" customHeight="1" x14ac:dyDescent="0.2">
      <c r="A297" s="53" t="s">
        <v>567</v>
      </c>
      <c r="B297" s="53">
        <v>0</v>
      </c>
      <c r="C297" s="53">
        <v>118530.11</v>
      </c>
      <c r="D297" s="53">
        <f t="shared" si="7"/>
        <v>118530.11</v>
      </c>
      <c r="E297" s="51"/>
    </row>
    <row r="298" spans="1:5" ht="12.75" customHeight="1" x14ac:dyDescent="0.2">
      <c r="A298" s="53" t="s">
        <v>568</v>
      </c>
      <c r="B298" s="53">
        <v>0</v>
      </c>
      <c r="C298" s="53">
        <v>341.74</v>
      </c>
      <c r="D298" s="53">
        <f t="shared" si="7"/>
        <v>341.74</v>
      </c>
      <c r="E298" s="51"/>
    </row>
    <row r="299" spans="1:5" ht="12.75" customHeight="1" x14ac:dyDescent="0.2">
      <c r="A299" s="53" t="s">
        <v>569</v>
      </c>
      <c r="B299" s="53">
        <v>0</v>
      </c>
      <c r="C299" s="53">
        <v>3173.92</v>
      </c>
      <c r="D299" s="53">
        <f t="shared" si="7"/>
        <v>3173.92</v>
      </c>
      <c r="E299" s="51"/>
    </row>
    <row r="300" spans="1:5" ht="12.75" customHeight="1" x14ac:dyDescent="0.2">
      <c r="A300" s="53" t="s">
        <v>570</v>
      </c>
      <c r="B300" s="53">
        <v>0</v>
      </c>
      <c r="C300" s="53">
        <v>1100</v>
      </c>
      <c r="D300" s="53">
        <f t="shared" si="7"/>
        <v>1100</v>
      </c>
      <c r="E300" s="51"/>
    </row>
    <row r="301" spans="1:5" ht="12.75" customHeight="1" x14ac:dyDescent="0.2">
      <c r="A301" s="53" t="s">
        <v>571</v>
      </c>
      <c r="B301" s="53">
        <v>0</v>
      </c>
      <c r="C301" s="53">
        <v>10035.32</v>
      </c>
      <c r="D301" s="53">
        <f t="shared" si="7"/>
        <v>10035.32</v>
      </c>
      <c r="E301" s="51"/>
    </row>
    <row r="302" spans="1:5" ht="12.75" customHeight="1" x14ac:dyDescent="0.2">
      <c r="A302" s="53" t="s">
        <v>572</v>
      </c>
      <c r="B302" s="53">
        <v>0</v>
      </c>
      <c r="C302" s="53">
        <v>3840</v>
      </c>
      <c r="D302" s="53">
        <f t="shared" si="7"/>
        <v>3840</v>
      </c>
      <c r="E302" s="51"/>
    </row>
    <row r="303" spans="1:5" ht="12.75" customHeight="1" x14ac:dyDescent="0.2">
      <c r="A303" s="53" t="s">
        <v>573</v>
      </c>
      <c r="B303" s="53">
        <v>0</v>
      </c>
      <c r="C303" s="53">
        <v>4680</v>
      </c>
      <c r="D303" s="53">
        <f t="shared" si="7"/>
        <v>4680</v>
      </c>
      <c r="E303" s="51"/>
    </row>
    <row r="304" spans="1:5" ht="12.75" customHeight="1" x14ac:dyDescent="0.2">
      <c r="A304" s="53" t="s">
        <v>574</v>
      </c>
      <c r="B304" s="53">
        <v>0</v>
      </c>
      <c r="C304" s="53">
        <v>8548.32</v>
      </c>
      <c r="D304" s="53">
        <f t="shared" si="7"/>
        <v>8548.32</v>
      </c>
      <c r="E304" s="51"/>
    </row>
    <row r="305" spans="1:5" ht="12.75" customHeight="1" x14ac:dyDescent="0.2">
      <c r="A305" s="53" t="s">
        <v>575</v>
      </c>
      <c r="B305" s="53">
        <v>0</v>
      </c>
      <c r="C305" s="53">
        <v>50741.94</v>
      </c>
      <c r="D305" s="53">
        <f t="shared" si="7"/>
        <v>50741.94</v>
      </c>
      <c r="E305" s="51"/>
    </row>
    <row r="306" spans="1:5" ht="12.75" customHeight="1" x14ac:dyDescent="0.2">
      <c r="A306" s="53" t="s">
        <v>576</v>
      </c>
      <c r="B306" s="53">
        <v>0</v>
      </c>
      <c r="C306" s="53">
        <v>49469.32</v>
      </c>
      <c r="D306" s="53">
        <f t="shared" si="7"/>
        <v>49469.32</v>
      </c>
      <c r="E306" s="51"/>
    </row>
    <row r="307" spans="1:5" ht="12.75" customHeight="1" x14ac:dyDescent="0.2">
      <c r="A307" s="53" t="s">
        <v>577</v>
      </c>
      <c r="B307" s="53">
        <v>0</v>
      </c>
      <c r="C307" s="53">
        <v>160145</v>
      </c>
      <c r="D307" s="53">
        <f t="shared" si="7"/>
        <v>160145</v>
      </c>
      <c r="E307" s="51"/>
    </row>
    <row r="308" spans="1:5" ht="12.75" customHeight="1" x14ac:dyDescent="0.2">
      <c r="A308" s="53" t="s">
        <v>578</v>
      </c>
      <c r="B308" s="53">
        <v>0</v>
      </c>
      <c r="C308" s="53">
        <v>53208.95</v>
      </c>
      <c r="D308" s="53">
        <f t="shared" si="7"/>
        <v>53208.95</v>
      </c>
      <c r="E308" s="51"/>
    </row>
    <row r="309" spans="1:5" ht="12.75" customHeight="1" x14ac:dyDescent="0.2">
      <c r="A309" s="53" t="s">
        <v>579</v>
      </c>
      <c r="B309" s="53">
        <v>0</v>
      </c>
      <c r="C309" s="53">
        <v>1037.18</v>
      </c>
      <c r="D309" s="53">
        <f t="shared" si="7"/>
        <v>1037.18</v>
      </c>
      <c r="E309" s="51"/>
    </row>
    <row r="310" spans="1:5" ht="12.75" customHeight="1" x14ac:dyDescent="0.2">
      <c r="A310" s="53" t="s">
        <v>580</v>
      </c>
      <c r="B310" s="53">
        <v>0</v>
      </c>
      <c r="C310" s="53">
        <v>13708.8</v>
      </c>
      <c r="D310" s="53">
        <f t="shared" si="7"/>
        <v>13708.8</v>
      </c>
      <c r="E310" s="51"/>
    </row>
    <row r="311" spans="1:5" ht="12.75" customHeight="1" x14ac:dyDescent="0.2">
      <c r="A311" s="53" t="s">
        <v>581</v>
      </c>
      <c r="B311" s="53">
        <v>0</v>
      </c>
      <c r="C311" s="53">
        <v>1085</v>
      </c>
      <c r="D311" s="53">
        <f t="shared" si="7"/>
        <v>1085</v>
      </c>
      <c r="E311" s="51"/>
    </row>
    <row r="312" spans="1:5" ht="12.75" customHeight="1" x14ac:dyDescent="0.2">
      <c r="A312" s="53" t="s">
        <v>582</v>
      </c>
      <c r="B312" s="53">
        <v>0</v>
      </c>
      <c r="C312" s="53">
        <v>52430.400000000001</v>
      </c>
      <c r="D312" s="53">
        <f t="shared" si="7"/>
        <v>52430.400000000001</v>
      </c>
      <c r="E312" s="51"/>
    </row>
    <row r="313" spans="1:5" ht="12.75" customHeight="1" x14ac:dyDescent="0.2">
      <c r="A313" s="53" t="s">
        <v>583</v>
      </c>
      <c r="B313" s="53">
        <v>0</v>
      </c>
      <c r="C313" s="53">
        <v>25163.599999999999</v>
      </c>
      <c r="D313" s="53">
        <f t="shared" si="7"/>
        <v>25163.599999999999</v>
      </c>
      <c r="E313" s="51"/>
    </row>
    <row r="314" spans="1:5" ht="12.75" customHeight="1" x14ac:dyDescent="0.2">
      <c r="A314" s="53" t="s">
        <v>584</v>
      </c>
      <c r="B314" s="53">
        <v>0</v>
      </c>
      <c r="C314" s="53">
        <v>7614</v>
      </c>
      <c r="D314" s="53">
        <f t="shared" si="7"/>
        <v>7614</v>
      </c>
      <c r="E314" s="51"/>
    </row>
    <row r="315" spans="1:5" ht="12.75" customHeight="1" x14ac:dyDescent="0.2">
      <c r="A315" s="53" t="s">
        <v>585</v>
      </c>
      <c r="B315" s="53">
        <v>0</v>
      </c>
      <c r="C315" s="53">
        <v>5880</v>
      </c>
      <c r="D315" s="53">
        <f t="shared" ref="D315:D378" si="8">B315+C315</f>
        <v>5880</v>
      </c>
      <c r="E315" s="51"/>
    </row>
    <row r="316" spans="1:5" ht="12.75" customHeight="1" x14ac:dyDescent="0.2">
      <c r="A316" s="53" t="s">
        <v>586</v>
      </c>
      <c r="B316" s="53">
        <v>0</v>
      </c>
      <c r="C316" s="53">
        <v>24360</v>
      </c>
      <c r="D316" s="53">
        <f t="shared" si="8"/>
        <v>24360</v>
      </c>
      <c r="E316" s="51"/>
    </row>
    <row r="317" spans="1:5" ht="12.75" customHeight="1" x14ac:dyDescent="0.2">
      <c r="A317" s="53" t="s">
        <v>587</v>
      </c>
      <c r="B317" s="53">
        <v>0</v>
      </c>
      <c r="C317" s="53">
        <v>5241.6000000000004</v>
      </c>
      <c r="D317" s="53">
        <f t="shared" si="8"/>
        <v>5241.6000000000004</v>
      </c>
      <c r="E317" s="51"/>
    </row>
    <row r="318" spans="1:5" ht="12.75" customHeight="1" x14ac:dyDescent="0.2">
      <c r="A318" s="53" t="s">
        <v>588</v>
      </c>
      <c r="B318" s="53">
        <v>0</v>
      </c>
      <c r="C318" s="53">
        <v>6615</v>
      </c>
      <c r="D318" s="53">
        <f t="shared" si="8"/>
        <v>6615</v>
      </c>
      <c r="E318" s="51"/>
    </row>
    <row r="319" spans="1:5" ht="12.75" customHeight="1" x14ac:dyDescent="0.2">
      <c r="A319" s="53" t="s">
        <v>589</v>
      </c>
      <c r="B319" s="53">
        <v>0</v>
      </c>
      <c r="C319" s="53">
        <v>4233.6000000000004</v>
      </c>
      <c r="D319" s="53">
        <f t="shared" si="8"/>
        <v>4233.6000000000004</v>
      </c>
      <c r="E319" s="51"/>
    </row>
    <row r="320" spans="1:5" ht="12.75" customHeight="1" x14ac:dyDescent="0.2">
      <c r="A320" s="53" t="s">
        <v>590</v>
      </c>
      <c r="B320" s="53">
        <v>0</v>
      </c>
      <c r="C320" s="53">
        <v>4158</v>
      </c>
      <c r="D320" s="53">
        <f t="shared" si="8"/>
        <v>4158</v>
      </c>
      <c r="E320" s="51"/>
    </row>
    <row r="321" spans="1:5" ht="12.75" customHeight="1" x14ac:dyDescent="0.2">
      <c r="A321" s="53" t="s">
        <v>591</v>
      </c>
      <c r="B321" s="53">
        <v>0</v>
      </c>
      <c r="C321" s="53">
        <v>2854</v>
      </c>
      <c r="D321" s="53">
        <f t="shared" si="8"/>
        <v>2854</v>
      </c>
      <c r="E321" s="51"/>
    </row>
    <row r="322" spans="1:5" ht="12.75" customHeight="1" x14ac:dyDescent="0.2">
      <c r="A322" s="53" t="s">
        <v>592</v>
      </c>
      <c r="B322" s="53">
        <v>0</v>
      </c>
      <c r="C322" s="53">
        <v>7086</v>
      </c>
      <c r="D322" s="53">
        <f t="shared" si="8"/>
        <v>7086</v>
      </c>
      <c r="E322" s="51"/>
    </row>
    <row r="323" spans="1:5" ht="12.75" customHeight="1" x14ac:dyDescent="0.2">
      <c r="A323" s="53" t="s">
        <v>593</v>
      </c>
      <c r="B323" s="53">
        <v>0</v>
      </c>
      <c r="C323" s="53">
        <v>7157.39</v>
      </c>
      <c r="D323" s="53">
        <f t="shared" si="8"/>
        <v>7157.39</v>
      </c>
      <c r="E323" s="51"/>
    </row>
    <row r="324" spans="1:5" ht="12.75" customHeight="1" x14ac:dyDescent="0.2">
      <c r="A324" s="53" t="s">
        <v>594</v>
      </c>
      <c r="B324" s="53">
        <v>0</v>
      </c>
      <c r="C324" s="53">
        <v>1180</v>
      </c>
      <c r="D324" s="53">
        <f t="shared" si="8"/>
        <v>1180</v>
      </c>
      <c r="E324" s="51"/>
    </row>
    <row r="325" spans="1:5" ht="12.75" customHeight="1" x14ac:dyDescent="0.2">
      <c r="A325" s="53" t="s">
        <v>595</v>
      </c>
      <c r="B325" s="53">
        <v>0</v>
      </c>
      <c r="C325" s="53">
        <v>652.16999999999996</v>
      </c>
      <c r="D325" s="53">
        <f t="shared" si="8"/>
        <v>652.16999999999996</v>
      </c>
      <c r="E325" s="51"/>
    </row>
    <row r="326" spans="1:5" ht="12.75" customHeight="1" x14ac:dyDescent="0.2">
      <c r="A326" s="53" t="s">
        <v>596</v>
      </c>
      <c r="B326" s="53">
        <v>0</v>
      </c>
      <c r="C326" s="53">
        <v>3271.3</v>
      </c>
      <c r="D326" s="53">
        <f t="shared" si="8"/>
        <v>3271.3</v>
      </c>
      <c r="E326" s="51"/>
    </row>
    <row r="327" spans="1:5" ht="12.75" customHeight="1" x14ac:dyDescent="0.2">
      <c r="A327" s="53" t="s">
        <v>597</v>
      </c>
      <c r="B327" s="53">
        <v>0</v>
      </c>
      <c r="C327" s="53">
        <v>4306.08</v>
      </c>
      <c r="D327" s="53">
        <f t="shared" si="8"/>
        <v>4306.08</v>
      </c>
      <c r="E327" s="51"/>
    </row>
    <row r="328" spans="1:5" ht="12.75" customHeight="1" x14ac:dyDescent="0.2">
      <c r="A328" s="53" t="s">
        <v>598</v>
      </c>
      <c r="B328" s="53">
        <v>0</v>
      </c>
      <c r="C328" s="53">
        <v>4000</v>
      </c>
      <c r="D328" s="53">
        <f t="shared" si="8"/>
        <v>4000</v>
      </c>
      <c r="E328" s="51"/>
    </row>
    <row r="329" spans="1:5" ht="12.75" customHeight="1" x14ac:dyDescent="0.2">
      <c r="A329" s="53" t="s">
        <v>599</v>
      </c>
      <c r="B329" s="53">
        <v>0</v>
      </c>
      <c r="C329" s="53">
        <v>19197.89</v>
      </c>
      <c r="D329" s="53">
        <f t="shared" si="8"/>
        <v>19197.89</v>
      </c>
      <c r="E329" s="51"/>
    </row>
    <row r="330" spans="1:5" ht="12.75" customHeight="1" x14ac:dyDescent="0.2">
      <c r="A330" s="53" t="s">
        <v>600</v>
      </c>
      <c r="B330" s="53">
        <v>0</v>
      </c>
      <c r="C330" s="53">
        <v>8619.2999999999993</v>
      </c>
      <c r="D330" s="53">
        <f t="shared" si="8"/>
        <v>8619.2999999999993</v>
      </c>
      <c r="E330" s="51"/>
    </row>
    <row r="331" spans="1:5" ht="12.75" customHeight="1" x14ac:dyDescent="0.2">
      <c r="A331" s="53" t="s">
        <v>601</v>
      </c>
      <c r="B331" s="53">
        <v>0</v>
      </c>
      <c r="C331" s="53">
        <v>1053</v>
      </c>
      <c r="D331" s="53">
        <f t="shared" si="8"/>
        <v>1053</v>
      </c>
      <c r="E331" s="51"/>
    </row>
    <row r="332" spans="1:5" ht="12.75" customHeight="1" x14ac:dyDescent="0.2">
      <c r="A332" s="53" t="s">
        <v>602</v>
      </c>
      <c r="B332" s="53">
        <v>0</v>
      </c>
      <c r="C332" s="53">
        <v>59722</v>
      </c>
      <c r="D332" s="53">
        <f t="shared" si="8"/>
        <v>59722</v>
      </c>
      <c r="E332" s="51"/>
    </row>
    <row r="333" spans="1:5" ht="12.75" customHeight="1" x14ac:dyDescent="0.2">
      <c r="A333" s="53" t="s">
        <v>603</v>
      </c>
      <c r="B333" s="53">
        <v>0</v>
      </c>
      <c r="C333" s="53">
        <v>164.35</v>
      </c>
      <c r="D333" s="53">
        <f t="shared" si="8"/>
        <v>164.35</v>
      </c>
      <c r="E333" s="51"/>
    </row>
    <row r="334" spans="1:5" ht="12.75" customHeight="1" x14ac:dyDescent="0.2">
      <c r="A334" s="53" t="s">
        <v>604</v>
      </c>
      <c r="B334" s="53">
        <v>0</v>
      </c>
      <c r="C334" s="53">
        <v>173.9</v>
      </c>
      <c r="D334" s="53">
        <f t="shared" si="8"/>
        <v>173.9</v>
      </c>
      <c r="E334" s="51"/>
    </row>
    <row r="335" spans="1:5" ht="12.75" customHeight="1" x14ac:dyDescent="0.2">
      <c r="A335" s="53" t="s">
        <v>605</v>
      </c>
      <c r="B335" s="53">
        <v>0</v>
      </c>
      <c r="C335" s="53">
        <v>251.3</v>
      </c>
      <c r="D335" s="53">
        <f t="shared" si="8"/>
        <v>251.3</v>
      </c>
      <c r="E335" s="51"/>
    </row>
    <row r="336" spans="1:5" ht="12.75" customHeight="1" x14ac:dyDescent="0.2">
      <c r="A336" s="53" t="s">
        <v>606</v>
      </c>
      <c r="B336" s="53">
        <v>0</v>
      </c>
      <c r="C336" s="53">
        <v>320.87</v>
      </c>
      <c r="D336" s="53">
        <f t="shared" si="8"/>
        <v>320.87</v>
      </c>
      <c r="E336" s="51"/>
    </row>
    <row r="337" spans="1:5" ht="12.75" customHeight="1" x14ac:dyDescent="0.2">
      <c r="A337" s="53" t="s">
        <v>607</v>
      </c>
      <c r="B337" s="53">
        <v>0</v>
      </c>
      <c r="C337" s="53">
        <v>126.08</v>
      </c>
      <c r="D337" s="53">
        <f t="shared" si="8"/>
        <v>126.08</v>
      </c>
      <c r="E337" s="51"/>
    </row>
    <row r="338" spans="1:5" ht="12.75" customHeight="1" x14ac:dyDescent="0.2">
      <c r="A338" s="53" t="s">
        <v>608</v>
      </c>
      <c r="B338" s="53">
        <v>0</v>
      </c>
      <c r="C338" s="53">
        <v>564.34</v>
      </c>
      <c r="D338" s="53">
        <f t="shared" si="8"/>
        <v>564.34</v>
      </c>
      <c r="E338" s="51"/>
    </row>
    <row r="339" spans="1:5" ht="12.75" customHeight="1" x14ac:dyDescent="0.2">
      <c r="A339" s="53" t="s">
        <v>609</v>
      </c>
      <c r="B339" s="53">
        <v>0</v>
      </c>
      <c r="C339" s="53">
        <v>57.5</v>
      </c>
      <c r="D339" s="53">
        <f t="shared" si="8"/>
        <v>57.5</v>
      </c>
      <c r="E339" s="51"/>
    </row>
    <row r="340" spans="1:5" ht="12.75" customHeight="1" x14ac:dyDescent="0.2">
      <c r="A340" s="53" t="s">
        <v>610</v>
      </c>
      <c r="B340" s="53">
        <v>0</v>
      </c>
      <c r="C340" s="53">
        <v>12843</v>
      </c>
      <c r="D340" s="53">
        <f t="shared" si="8"/>
        <v>12843</v>
      </c>
      <c r="E340" s="51"/>
    </row>
    <row r="341" spans="1:5" ht="12.75" customHeight="1" x14ac:dyDescent="0.2">
      <c r="A341" s="53" t="s">
        <v>611</v>
      </c>
      <c r="B341" s="53">
        <v>0</v>
      </c>
      <c r="C341" s="53">
        <v>3458.06</v>
      </c>
      <c r="D341" s="53">
        <f t="shared" si="8"/>
        <v>3458.06</v>
      </c>
      <c r="E341" s="51"/>
    </row>
    <row r="342" spans="1:5" ht="12.75" customHeight="1" x14ac:dyDescent="0.2">
      <c r="A342" s="53" t="s">
        <v>612</v>
      </c>
      <c r="B342" s="53">
        <v>0</v>
      </c>
      <c r="C342" s="53">
        <v>911.25</v>
      </c>
      <c r="D342" s="53">
        <f t="shared" si="8"/>
        <v>911.25</v>
      </c>
      <c r="E342" s="51"/>
    </row>
    <row r="343" spans="1:5" ht="12.75" customHeight="1" x14ac:dyDescent="0.2">
      <c r="A343" s="53" t="s">
        <v>613</v>
      </c>
      <c r="B343" s="53">
        <v>0</v>
      </c>
      <c r="C343" s="53">
        <v>6366.33</v>
      </c>
      <c r="D343" s="53">
        <f t="shared" si="8"/>
        <v>6366.33</v>
      </c>
      <c r="E343" s="51"/>
    </row>
    <row r="344" spans="1:5" ht="12.75" customHeight="1" x14ac:dyDescent="0.2">
      <c r="A344" s="53" t="s">
        <v>614</v>
      </c>
      <c r="B344" s="53">
        <v>0</v>
      </c>
      <c r="C344" s="53">
        <v>2486.11</v>
      </c>
      <c r="D344" s="53">
        <f t="shared" si="8"/>
        <v>2486.11</v>
      </c>
      <c r="E344" s="51"/>
    </row>
    <row r="345" spans="1:5" ht="12.75" customHeight="1" x14ac:dyDescent="0.2">
      <c r="A345" s="53" t="s">
        <v>615</v>
      </c>
      <c r="B345" s="53">
        <v>0</v>
      </c>
      <c r="C345" s="53">
        <v>2739.99</v>
      </c>
      <c r="D345" s="53">
        <f t="shared" si="8"/>
        <v>2739.99</v>
      </c>
      <c r="E345" s="51"/>
    </row>
    <row r="346" spans="1:5" ht="12.75" customHeight="1" x14ac:dyDescent="0.2">
      <c r="A346" s="53" t="s">
        <v>616</v>
      </c>
      <c r="B346" s="53">
        <v>0</v>
      </c>
      <c r="C346" s="53">
        <v>280.56</v>
      </c>
      <c r="D346" s="53">
        <f t="shared" si="8"/>
        <v>280.56</v>
      </c>
      <c r="E346" s="51"/>
    </row>
    <row r="347" spans="1:5" ht="12.75" customHeight="1" x14ac:dyDescent="0.2">
      <c r="A347" s="53" t="s">
        <v>617</v>
      </c>
      <c r="B347" s="53">
        <v>0</v>
      </c>
      <c r="C347" s="53">
        <v>2895.63</v>
      </c>
      <c r="D347" s="53">
        <f t="shared" si="8"/>
        <v>2895.63</v>
      </c>
      <c r="E347" s="51"/>
    </row>
    <row r="348" spans="1:5" ht="12.75" customHeight="1" x14ac:dyDescent="0.2">
      <c r="A348" s="53" t="s">
        <v>618</v>
      </c>
      <c r="B348" s="53">
        <v>0</v>
      </c>
      <c r="C348" s="53">
        <v>15941.21</v>
      </c>
      <c r="D348" s="53">
        <f t="shared" si="8"/>
        <v>15941.21</v>
      </c>
      <c r="E348" s="51"/>
    </row>
    <row r="349" spans="1:5" ht="12.75" customHeight="1" x14ac:dyDescent="0.2">
      <c r="A349" s="53" t="s">
        <v>619</v>
      </c>
      <c r="B349" s="53">
        <v>0</v>
      </c>
      <c r="C349" s="53">
        <v>10679.58</v>
      </c>
      <c r="D349" s="53">
        <f t="shared" si="8"/>
        <v>10679.58</v>
      </c>
      <c r="E349" s="51"/>
    </row>
    <row r="350" spans="1:5" ht="12.75" customHeight="1" x14ac:dyDescent="0.2">
      <c r="A350" s="53" t="s">
        <v>620</v>
      </c>
      <c r="B350" s="53">
        <v>0</v>
      </c>
      <c r="C350" s="53">
        <v>16812.32</v>
      </c>
      <c r="D350" s="53">
        <f t="shared" si="8"/>
        <v>16812.32</v>
      </c>
      <c r="E350" s="51"/>
    </row>
    <row r="351" spans="1:5" ht="12.75" customHeight="1" x14ac:dyDescent="0.2">
      <c r="A351" s="53" t="s">
        <v>621</v>
      </c>
      <c r="B351" s="53">
        <v>0</v>
      </c>
      <c r="C351" s="53">
        <v>1607.93</v>
      </c>
      <c r="D351" s="53">
        <f t="shared" si="8"/>
        <v>1607.93</v>
      </c>
      <c r="E351" s="51"/>
    </row>
    <row r="352" spans="1:5" ht="12.75" customHeight="1" x14ac:dyDescent="0.2">
      <c r="A352" s="53" t="s">
        <v>622</v>
      </c>
      <c r="B352" s="53">
        <v>0</v>
      </c>
      <c r="C352" s="53">
        <v>24000</v>
      </c>
      <c r="D352" s="53">
        <f t="shared" si="8"/>
        <v>24000</v>
      </c>
      <c r="E352" s="51"/>
    </row>
    <row r="353" spans="1:5" ht="12.75" customHeight="1" x14ac:dyDescent="0.2">
      <c r="A353" s="53" t="s">
        <v>623</v>
      </c>
      <c r="B353" s="53">
        <v>0</v>
      </c>
      <c r="C353" s="53">
        <v>65.23</v>
      </c>
      <c r="D353" s="53">
        <f t="shared" si="8"/>
        <v>65.23</v>
      </c>
      <c r="E353" s="51"/>
    </row>
    <row r="354" spans="1:5" ht="12.75" customHeight="1" x14ac:dyDescent="0.2">
      <c r="A354" s="53" t="s">
        <v>624</v>
      </c>
      <c r="B354" s="53">
        <v>0</v>
      </c>
      <c r="C354" s="53">
        <v>186.96</v>
      </c>
      <c r="D354" s="53">
        <f t="shared" si="8"/>
        <v>186.96</v>
      </c>
      <c r="E354" s="51"/>
    </row>
    <row r="355" spans="1:5" ht="12.75" customHeight="1" x14ac:dyDescent="0.2">
      <c r="A355" s="53" t="s">
        <v>625</v>
      </c>
      <c r="B355" s="53">
        <v>0</v>
      </c>
      <c r="C355" s="53">
        <v>16726</v>
      </c>
      <c r="D355" s="53">
        <f t="shared" si="8"/>
        <v>16726</v>
      </c>
      <c r="E355" s="51"/>
    </row>
    <row r="356" spans="1:5" ht="12.75" customHeight="1" x14ac:dyDescent="0.2">
      <c r="A356" s="53" t="s">
        <v>626</v>
      </c>
      <c r="B356" s="53">
        <v>0</v>
      </c>
      <c r="C356" s="53">
        <v>112.17</v>
      </c>
      <c r="D356" s="53">
        <f t="shared" si="8"/>
        <v>112.17</v>
      </c>
      <c r="E356" s="51"/>
    </row>
    <row r="357" spans="1:5" ht="12.75" customHeight="1" x14ac:dyDescent="0.2">
      <c r="A357" s="53" t="s">
        <v>627</v>
      </c>
      <c r="B357" s="53">
        <v>0</v>
      </c>
      <c r="C357" s="53">
        <v>82.6</v>
      </c>
      <c r="D357" s="53">
        <f t="shared" si="8"/>
        <v>82.6</v>
      </c>
      <c r="E357" s="51"/>
    </row>
    <row r="358" spans="1:5" ht="12.75" customHeight="1" x14ac:dyDescent="0.2">
      <c r="A358" s="53" t="s">
        <v>628</v>
      </c>
      <c r="B358" s="53">
        <v>0</v>
      </c>
      <c r="C358" s="53">
        <v>143819.06</v>
      </c>
      <c r="D358" s="53">
        <f t="shared" si="8"/>
        <v>143819.06</v>
      </c>
      <c r="E358" s="51"/>
    </row>
    <row r="359" spans="1:5" ht="12.75" customHeight="1" x14ac:dyDescent="0.2">
      <c r="A359" s="53" t="s">
        <v>629</v>
      </c>
      <c r="B359" s="53">
        <v>0</v>
      </c>
      <c r="C359" s="53">
        <v>2671.88</v>
      </c>
      <c r="D359" s="53">
        <f t="shared" si="8"/>
        <v>2671.88</v>
      </c>
      <c r="E359" s="51"/>
    </row>
    <row r="360" spans="1:5" ht="12.75" customHeight="1" x14ac:dyDescent="0.2">
      <c r="A360" s="53" t="s">
        <v>630</v>
      </c>
      <c r="B360" s="53">
        <v>0</v>
      </c>
      <c r="C360" s="53">
        <v>12744</v>
      </c>
      <c r="D360" s="53">
        <f t="shared" si="8"/>
        <v>12744</v>
      </c>
      <c r="E360" s="51"/>
    </row>
    <row r="361" spans="1:5" ht="12.75" customHeight="1" x14ac:dyDescent="0.2">
      <c r="A361" s="53" t="s">
        <v>631</v>
      </c>
      <c r="B361" s="53">
        <v>0</v>
      </c>
      <c r="C361" s="53">
        <v>27704</v>
      </c>
      <c r="D361" s="53">
        <f t="shared" si="8"/>
        <v>27704</v>
      </c>
      <c r="E361" s="51"/>
    </row>
    <row r="362" spans="1:5" ht="12.75" customHeight="1" x14ac:dyDescent="0.2">
      <c r="A362" s="53" t="s">
        <v>632</v>
      </c>
      <c r="B362" s="53">
        <v>0</v>
      </c>
      <c r="C362" s="53">
        <v>167512</v>
      </c>
      <c r="D362" s="53">
        <f t="shared" si="8"/>
        <v>167512</v>
      </c>
      <c r="E362" s="51"/>
    </row>
    <row r="363" spans="1:5" ht="12.75" customHeight="1" x14ac:dyDescent="0.2">
      <c r="A363" s="53" t="s">
        <v>633</v>
      </c>
      <c r="B363" s="53">
        <v>0</v>
      </c>
      <c r="C363" s="53">
        <v>1721.74</v>
      </c>
      <c r="D363" s="53">
        <f t="shared" si="8"/>
        <v>1721.74</v>
      </c>
      <c r="E363" s="51"/>
    </row>
    <row r="364" spans="1:5" ht="12.75" customHeight="1" x14ac:dyDescent="0.2">
      <c r="A364" s="53" t="s">
        <v>634</v>
      </c>
      <c r="B364" s="53">
        <v>0</v>
      </c>
      <c r="C364" s="53">
        <v>20520</v>
      </c>
      <c r="D364" s="53">
        <f t="shared" si="8"/>
        <v>20520</v>
      </c>
      <c r="E364" s="51"/>
    </row>
    <row r="365" spans="1:5" ht="12.75" customHeight="1" x14ac:dyDescent="0.2">
      <c r="A365" s="53" t="s">
        <v>635</v>
      </c>
      <c r="B365" s="53">
        <v>0</v>
      </c>
      <c r="C365" s="53">
        <v>3400</v>
      </c>
      <c r="D365" s="53">
        <f t="shared" si="8"/>
        <v>3400</v>
      </c>
      <c r="E365" s="51"/>
    </row>
    <row r="366" spans="1:5" ht="12.75" customHeight="1" x14ac:dyDescent="0.2">
      <c r="A366" s="53" t="s">
        <v>636</v>
      </c>
      <c r="B366" s="53">
        <v>0</v>
      </c>
      <c r="C366" s="53">
        <v>586.29999999999995</v>
      </c>
      <c r="D366" s="53">
        <f t="shared" si="8"/>
        <v>586.29999999999995</v>
      </c>
      <c r="E366" s="51"/>
    </row>
    <row r="367" spans="1:5" ht="12.75" customHeight="1" x14ac:dyDescent="0.2">
      <c r="A367" s="53" t="s">
        <v>637</v>
      </c>
      <c r="B367" s="53">
        <v>0</v>
      </c>
      <c r="C367" s="53">
        <v>24367.200000000001</v>
      </c>
      <c r="D367" s="53">
        <f t="shared" si="8"/>
        <v>24367.200000000001</v>
      </c>
      <c r="E367" s="51"/>
    </row>
    <row r="368" spans="1:5" ht="12.75" customHeight="1" x14ac:dyDescent="0.2">
      <c r="A368" s="53" t="s">
        <v>638</v>
      </c>
      <c r="B368" s="53">
        <v>0</v>
      </c>
      <c r="C368" s="53">
        <v>13206.35</v>
      </c>
      <c r="D368" s="53">
        <f t="shared" si="8"/>
        <v>13206.35</v>
      </c>
      <c r="E368" s="51"/>
    </row>
    <row r="369" spans="1:5" ht="12.75" customHeight="1" x14ac:dyDescent="0.2">
      <c r="A369" s="53" t="s">
        <v>639</v>
      </c>
      <c r="B369" s="53">
        <v>0</v>
      </c>
      <c r="C369" s="53">
        <v>2945.7</v>
      </c>
      <c r="D369" s="53">
        <f t="shared" si="8"/>
        <v>2945.7</v>
      </c>
      <c r="E369" s="51"/>
    </row>
    <row r="370" spans="1:5" ht="12.75" customHeight="1" x14ac:dyDescent="0.2">
      <c r="A370" s="53" t="s">
        <v>640</v>
      </c>
      <c r="B370" s="53">
        <v>0</v>
      </c>
      <c r="C370" s="53">
        <v>630.54</v>
      </c>
      <c r="D370" s="53">
        <f t="shared" si="8"/>
        <v>630.54</v>
      </c>
      <c r="E370" s="51"/>
    </row>
    <row r="371" spans="1:5" ht="12.75" customHeight="1" x14ac:dyDescent="0.2">
      <c r="A371" s="53" t="s">
        <v>641</v>
      </c>
      <c r="B371" s="53">
        <v>0</v>
      </c>
      <c r="C371" s="53">
        <v>43114.79</v>
      </c>
      <c r="D371" s="53">
        <f t="shared" si="8"/>
        <v>43114.79</v>
      </c>
      <c r="E371" s="51"/>
    </row>
    <row r="372" spans="1:5" ht="12.75" customHeight="1" x14ac:dyDescent="0.2">
      <c r="A372" s="53" t="s">
        <v>642</v>
      </c>
      <c r="B372" s="53">
        <v>0</v>
      </c>
      <c r="C372" s="53">
        <v>36515.11</v>
      </c>
      <c r="D372" s="53">
        <f t="shared" si="8"/>
        <v>36515.11</v>
      </c>
      <c r="E372" s="51"/>
    </row>
    <row r="373" spans="1:5" ht="12.75" customHeight="1" x14ac:dyDescent="0.2">
      <c r="A373" s="53" t="s">
        <v>643</v>
      </c>
      <c r="B373" s="53">
        <v>0</v>
      </c>
      <c r="C373" s="53">
        <v>155059.24</v>
      </c>
      <c r="D373" s="53">
        <f t="shared" si="8"/>
        <v>155059.24</v>
      </c>
      <c r="E373" s="51"/>
    </row>
    <row r="374" spans="1:5" ht="12.75" customHeight="1" x14ac:dyDescent="0.2">
      <c r="A374" s="53" t="s">
        <v>644</v>
      </c>
      <c r="B374" s="53">
        <v>0</v>
      </c>
      <c r="C374" s="53">
        <v>6924.46</v>
      </c>
      <c r="D374" s="53">
        <f t="shared" si="8"/>
        <v>6924.46</v>
      </c>
      <c r="E374" s="51"/>
    </row>
    <row r="375" spans="1:5" ht="12.75" customHeight="1" x14ac:dyDescent="0.2">
      <c r="A375" s="53" t="s">
        <v>645</v>
      </c>
      <c r="B375" s="53">
        <v>0</v>
      </c>
      <c r="C375" s="53">
        <v>9443.3799999999992</v>
      </c>
      <c r="D375" s="53">
        <f t="shared" si="8"/>
        <v>9443.3799999999992</v>
      </c>
      <c r="E375" s="51"/>
    </row>
    <row r="376" spans="1:5" ht="12.75" customHeight="1" x14ac:dyDescent="0.2">
      <c r="A376" s="53" t="s">
        <v>646</v>
      </c>
      <c r="B376" s="53">
        <v>0</v>
      </c>
      <c r="C376" s="53">
        <v>11182.64</v>
      </c>
      <c r="D376" s="53">
        <f t="shared" si="8"/>
        <v>11182.64</v>
      </c>
      <c r="E376" s="51"/>
    </row>
    <row r="377" spans="1:5" ht="12.75" customHeight="1" x14ac:dyDescent="0.2">
      <c r="A377" s="53" t="s">
        <v>647</v>
      </c>
      <c r="B377" s="53">
        <v>0</v>
      </c>
      <c r="C377" s="53">
        <v>6068</v>
      </c>
      <c r="D377" s="53">
        <f t="shared" si="8"/>
        <v>6068</v>
      </c>
      <c r="E377" s="51"/>
    </row>
    <row r="378" spans="1:5" ht="12.75" customHeight="1" x14ac:dyDescent="0.2">
      <c r="A378" s="53" t="s">
        <v>648</v>
      </c>
      <c r="B378" s="53">
        <v>0</v>
      </c>
      <c r="C378" s="53">
        <v>7817.4</v>
      </c>
      <c r="D378" s="53">
        <f t="shared" si="8"/>
        <v>7817.4</v>
      </c>
      <c r="E378" s="51"/>
    </row>
    <row r="379" spans="1:5" ht="12.75" customHeight="1" x14ac:dyDescent="0.2">
      <c r="A379" s="53" t="s">
        <v>649</v>
      </c>
      <c r="B379" s="53">
        <v>0</v>
      </c>
      <c r="C379" s="53">
        <v>1085.1099999999999</v>
      </c>
      <c r="D379" s="53">
        <f t="shared" ref="D379:D442" si="9">B379+C379</f>
        <v>1085.1099999999999</v>
      </c>
      <c r="E379" s="51"/>
    </row>
    <row r="380" spans="1:5" ht="12.75" customHeight="1" x14ac:dyDescent="0.2">
      <c r="A380" s="53" t="s">
        <v>650</v>
      </c>
      <c r="B380" s="53">
        <v>0</v>
      </c>
      <c r="C380" s="53">
        <v>3000</v>
      </c>
      <c r="D380" s="53">
        <f t="shared" si="9"/>
        <v>3000</v>
      </c>
      <c r="E380" s="51"/>
    </row>
    <row r="381" spans="1:5" ht="12.75" customHeight="1" x14ac:dyDescent="0.2">
      <c r="A381" s="53" t="s">
        <v>651</v>
      </c>
      <c r="B381" s="53">
        <v>0</v>
      </c>
      <c r="C381" s="53">
        <v>17712</v>
      </c>
      <c r="D381" s="53">
        <f t="shared" si="9"/>
        <v>17712</v>
      </c>
      <c r="E381" s="51"/>
    </row>
    <row r="382" spans="1:5" ht="12.75" customHeight="1" x14ac:dyDescent="0.2">
      <c r="A382" s="53" t="s">
        <v>652</v>
      </c>
      <c r="B382" s="53">
        <v>0</v>
      </c>
      <c r="C382" s="53">
        <v>147017.97</v>
      </c>
      <c r="D382" s="53">
        <f t="shared" si="9"/>
        <v>147017.97</v>
      </c>
      <c r="E382" s="51"/>
    </row>
    <row r="383" spans="1:5" ht="12.75" customHeight="1" x14ac:dyDescent="0.2">
      <c r="A383" s="53" t="s">
        <v>653</v>
      </c>
      <c r="B383" s="53">
        <v>0</v>
      </c>
      <c r="C383" s="53">
        <v>6026.4</v>
      </c>
      <c r="D383" s="53">
        <f t="shared" si="9"/>
        <v>6026.4</v>
      </c>
      <c r="E383" s="51"/>
    </row>
    <row r="384" spans="1:5" ht="12.75" customHeight="1" x14ac:dyDescent="0.2">
      <c r="A384" s="53" t="s">
        <v>654</v>
      </c>
      <c r="B384" s="53">
        <v>0</v>
      </c>
      <c r="C384" s="53">
        <v>140400</v>
      </c>
      <c r="D384" s="53">
        <f t="shared" si="9"/>
        <v>140400</v>
      </c>
      <c r="E384" s="51"/>
    </row>
    <row r="385" spans="1:5" ht="12.75" customHeight="1" x14ac:dyDescent="0.2">
      <c r="A385" s="53" t="s">
        <v>655</v>
      </c>
      <c r="B385" s="53">
        <v>0</v>
      </c>
      <c r="C385" s="53">
        <v>181112.38</v>
      </c>
      <c r="D385" s="53">
        <f t="shared" si="9"/>
        <v>181112.38</v>
      </c>
      <c r="E385" s="51"/>
    </row>
    <row r="386" spans="1:5" ht="12.75" customHeight="1" x14ac:dyDescent="0.2">
      <c r="A386" s="53" t="s">
        <v>656</v>
      </c>
      <c r="B386" s="53">
        <v>0</v>
      </c>
      <c r="C386" s="53">
        <v>7637.96</v>
      </c>
      <c r="D386" s="53">
        <f t="shared" si="9"/>
        <v>7637.96</v>
      </c>
      <c r="E386" s="51"/>
    </row>
    <row r="387" spans="1:5" ht="12.75" customHeight="1" x14ac:dyDescent="0.2">
      <c r="A387" s="53" t="s">
        <v>657</v>
      </c>
      <c r="B387" s="53">
        <v>0</v>
      </c>
      <c r="C387" s="53">
        <v>43915.53</v>
      </c>
      <c r="D387" s="53">
        <f t="shared" si="9"/>
        <v>43915.53</v>
      </c>
      <c r="E387" s="51"/>
    </row>
    <row r="388" spans="1:5" ht="12.75" customHeight="1" x14ac:dyDescent="0.2">
      <c r="A388" s="53" t="s">
        <v>658</v>
      </c>
      <c r="B388" s="53">
        <v>0</v>
      </c>
      <c r="C388" s="53">
        <v>81950</v>
      </c>
      <c r="D388" s="53">
        <f t="shared" si="9"/>
        <v>81950</v>
      </c>
      <c r="E388" s="51"/>
    </row>
    <row r="389" spans="1:5" ht="12.75" customHeight="1" x14ac:dyDescent="0.2">
      <c r="A389" s="53" t="s">
        <v>659</v>
      </c>
      <c r="B389" s="53">
        <v>0</v>
      </c>
      <c r="C389" s="53">
        <v>123489.67</v>
      </c>
      <c r="D389" s="53">
        <f t="shared" si="9"/>
        <v>123489.67</v>
      </c>
      <c r="E389" s="51"/>
    </row>
    <row r="390" spans="1:5" ht="12.75" customHeight="1" x14ac:dyDescent="0.2">
      <c r="A390" s="53" t="s">
        <v>660</v>
      </c>
      <c r="B390" s="53">
        <v>0</v>
      </c>
      <c r="C390" s="53">
        <v>27090</v>
      </c>
      <c r="D390" s="53">
        <f t="shared" si="9"/>
        <v>27090</v>
      </c>
      <c r="E390" s="51"/>
    </row>
    <row r="391" spans="1:5" ht="12.75" customHeight="1" x14ac:dyDescent="0.2">
      <c r="A391" s="53" t="s">
        <v>661</v>
      </c>
      <c r="B391" s="53">
        <v>0</v>
      </c>
      <c r="C391" s="53">
        <v>50801.94</v>
      </c>
      <c r="D391" s="53">
        <f t="shared" si="9"/>
        <v>50801.94</v>
      </c>
      <c r="E391" s="51"/>
    </row>
    <row r="392" spans="1:5" ht="12.75" customHeight="1" x14ac:dyDescent="0.2">
      <c r="A392" s="53" t="s">
        <v>662</v>
      </c>
      <c r="B392" s="53">
        <v>0</v>
      </c>
      <c r="C392" s="53">
        <v>111460</v>
      </c>
      <c r="D392" s="53">
        <f t="shared" si="9"/>
        <v>111460</v>
      </c>
      <c r="E392" s="51"/>
    </row>
    <row r="393" spans="1:5" ht="12.75" customHeight="1" x14ac:dyDescent="0.2">
      <c r="A393" s="53" t="s">
        <v>663</v>
      </c>
      <c r="B393" s="53">
        <v>0</v>
      </c>
      <c r="C393" s="53">
        <v>44041</v>
      </c>
      <c r="D393" s="53">
        <f t="shared" si="9"/>
        <v>44041</v>
      </c>
      <c r="E393" s="51"/>
    </row>
    <row r="394" spans="1:5" ht="12.75" customHeight="1" x14ac:dyDescent="0.2">
      <c r="A394" s="53" t="s">
        <v>664</v>
      </c>
      <c r="B394" s="53">
        <v>0</v>
      </c>
      <c r="C394" s="53">
        <v>199000.51</v>
      </c>
      <c r="D394" s="53">
        <f t="shared" si="9"/>
        <v>199000.51</v>
      </c>
      <c r="E394" s="51"/>
    </row>
    <row r="395" spans="1:5" ht="12.75" customHeight="1" x14ac:dyDescent="0.2">
      <c r="A395" s="53" t="s">
        <v>665</v>
      </c>
      <c r="B395" s="53">
        <v>0</v>
      </c>
      <c r="C395" s="53">
        <v>203525</v>
      </c>
      <c r="D395" s="53">
        <f t="shared" si="9"/>
        <v>203525</v>
      </c>
      <c r="E395" s="51"/>
    </row>
    <row r="396" spans="1:5" ht="12.75" customHeight="1" x14ac:dyDescent="0.2">
      <c r="A396" s="53" t="s">
        <v>666</v>
      </c>
      <c r="B396" s="53">
        <v>0</v>
      </c>
      <c r="C396" s="53">
        <v>20212.5</v>
      </c>
      <c r="D396" s="53">
        <f t="shared" si="9"/>
        <v>20212.5</v>
      </c>
      <c r="E396" s="51"/>
    </row>
    <row r="397" spans="1:5" ht="12.75" customHeight="1" x14ac:dyDescent="0.2">
      <c r="A397" s="53" t="s">
        <v>667</v>
      </c>
      <c r="B397" s="53">
        <v>0</v>
      </c>
      <c r="C397" s="53">
        <v>116997.34</v>
      </c>
      <c r="D397" s="53">
        <f t="shared" si="9"/>
        <v>116997.34</v>
      </c>
      <c r="E397" s="51"/>
    </row>
    <row r="398" spans="1:5" ht="12.75" customHeight="1" x14ac:dyDescent="0.2">
      <c r="A398" s="53" t="s">
        <v>668</v>
      </c>
      <c r="B398" s="53">
        <v>0</v>
      </c>
      <c r="C398" s="53">
        <v>3750</v>
      </c>
      <c r="D398" s="53">
        <f t="shared" si="9"/>
        <v>3750</v>
      </c>
      <c r="E398" s="51"/>
    </row>
    <row r="399" spans="1:5" ht="12.75" customHeight="1" x14ac:dyDescent="0.2">
      <c r="A399" s="53" t="s">
        <v>669</v>
      </c>
      <c r="B399" s="53">
        <v>0</v>
      </c>
      <c r="C399" s="53">
        <v>130798.13</v>
      </c>
      <c r="D399" s="53">
        <f t="shared" si="9"/>
        <v>130798.13</v>
      </c>
      <c r="E399" s="51"/>
    </row>
    <row r="400" spans="1:5" ht="12.75" customHeight="1" x14ac:dyDescent="0.2">
      <c r="A400" s="53" t="s">
        <v>670</v>
      </c>
      <c r="B400" s="53">
        <v>0</v>
      </c>
      <c r="C400" s="53">
        <v>86920.19</v>
      </c>
      <c r="D400" s="53">
        <f t="shared" si="9"/>
        <v>86920.19</v>
      </c>
      <c r="E400" s="51"/>
    </row>
    <row r="401" spans="1:5" ht="12.75" customHeight="1" x14ac:dyDescent="0.2">
      <c r="A401" s="53" t="s">
        <v>671</v>
      </c>
      <c r="B401" s="53">
        <v>0</v>
      </c>
      <c r="C401" s="53">
        <v>3970.33</v>
      </c>
      <c r="D401" s="53">
        <f t="shared" si="9"/>
        <v>3970.33</v>
      </c>
      <c r="E401" s="51"/>
    </row>
    <row r="402" spans="1:5" ht="12.75" customHeight="1" x14ac:dyDescent="0.2">
      <c r="A402" s="53" t="s">
        <v>672</v>
      </c>
      <c r="B402" s="53">
        <v>0</v>
      </c>
      <c r="C402" s="53">
        <v>76528.14</v>
      </c>
      <c r="D402" s="53">
        <f t="shared" si="9"/>
        <v>76528.14</v>
      </c>
      <c r="E402" s="51"/>
    </row>
    <row r="403" spans="1:5" ht="12.75" customHeight="1" x14ac:dyDescent="0.2">
      <c r="A403" s="53" t="s">
        <v>673</v>
      </c>
      <c r="B403" s="53">
        <v>0</v>
      </c>
      <c r="C403" s="53">
        <v>30537</v>
      </c>
      <c r="D403" s="53">
        <f t="shared" si="9"/>
        <v>30537</v>
      </c>
      <c r="E403" s="51"/>
    </row>
    <row r="404" spans="1:5" ht="12.75" customHeight="1" x14ac:dyDescent="0.2">
      <c r="A404" s="53" t="s">
        <v>674</v>
      </c>
      <c r="B404" s="53">
        <v>0</v>
      </c>
      <c r="C404" s="53">
        <v>1716</v>
      </c>
      <c r="D404" s="53">
        <f t="shared" si="9"/>
        <v>1716</v>
      </c>
      <c r="E404" s="51"/>
    </row>
    <row r="405" spans="1:5" ht="12.75" customHeight="1" x14ac:dyDescent="0.2">
      <c r="A405" s="53" t="s">
        <v>675</v>
      </c>
      <c r="B405" s="53">
        <v>0</v>
      </c>
      <c r="C405" s="53">
        <v>4920</v>
      </c>
      <c r="D405" s="53">
        <f t="shared" si="9"/>
        <v>4920</v>
      </c>
      <c r="E405" s="51"/>
    </row>
    <row r="406" spans="1:5" ht="12.75" customHeight="1" x14ac:dyDescent="0.2">
      <c r="A406" s="53" t="s">
        <v>676</v>
      </c>
      <c r="B406" s="53">
        <v>0</v>
      </c>
      <c r="C406" s="53">
        <v>6885</v>
      </c>
      <c r="D406" s="53">
        <f t="shared" si="9"/>
        <v>6885</v>
      </c>
      <c r="E406" s="51"/>
    </row>
    <row r="407" spans="1:5" ht="12.75" customHeight="1" x14ac:dyDescent="0.2">
      <c r="A407" s="53" t="s">
        <v>677</v>
      </c>
      <c r="B407" s="53">
        <v>0</v>
      </c>
      <c r="C407" s="53">
        <v>111569.22</v>
      </c>
      <c r="D407" s="53">
        <f t="shared" si="9"/>
        <v>111569.22</v>
      </c>
      <c r="E407" s="51"/>
    </row>
    <row r="408" spans="1:5" ht="12.75" customHeight="1" x14ac:dyDescent="0.2">
      <c r="A408" s="53" t="s">
        <v>678</v>
      </c>
      <c r="B408" s="53">
        <v>0</v>
      </c>
      <c r="C408" s="53">
        <v>20469.25</v>
      </c>
      <c r="D408" s="53">
        <f t="shared" si="9"/>
        <v>20469.25</v>
      </c>
      <c r="E408" s="51"/>
    </row>
    <row r="409" spans="1:5" ht="12.75" customHeight="1" x14ac:dyDescent="0.2">
      <c r="A409" s="53" t="s">
        <v>679</v>
      </c>
      <c r="B409" s="53">
        <v>0</v>
      </c>
      <c r="C409" s="53">
        <v>40712.75</v>
      </c>
      <c r="D409" s="53">
        <f t="shared" si="9"/>
        <v>40712.75</v>
      </c>
      <c r="E409" s="51"/>
    </row>
    <row r="410" spans="1:5" ht="12.75" customHeight="1" x14ac:dyDescent="0.2">
      <c r="A410" s="53" t="s">
        <v>680</v>
      </c>
      <c r="B410" s="53">
        <v>0</v>
      </c>
      <c r="C410" s="53">
        <v>23069.25</v>
      </c>
      <c r="D410" s="53">
        <f t="shared" si="9"/>
        <v>23069.25</v>
      </c>
      <c r="E410" s="51"/>
    </row>
    <row r="411" spans="1:5" ht="12.75" customHeight="1" x14ac:dyDescent="0.2">
      <c r="A411" s="53" t="s">
        <v>681</v>
      </c>
      <c r="B411" s="53">
        <v>0</v>
      </c>
      <c r="C411" s="53">
        <v>80874.899999999994</v>
      </c>
      <c r="D411" s="53">
        <f t="shared" si="9"/>
        <v>80874.899999999994</v>
      </c>
      <c r="E411" s="51"/>
    </row>
    <row r="412" spans="1:5" ht="12.75" customHeight="1" x14ac:dyDescent="0.2">
      <c r="A412" s="53" t="s">
        <v>682</v>
      </c>
      <c r="B412" s="53">
        <v>0</v>
      </c>
      <c r="C412" s="53">
        <v>25010</v>
      </c>
      <c r="D412" s="53">
        <f t="shared" si="9"/>
        <v>25010</v>
      </c>
      <c r="E412" s="51"/>
    </row>
    <row r="413" spans="1:5" ht="12.75" customHeight="1" x14ac:dyDescent="0.2">
      <c r="A413" s="53" t="s">
        <v>683</v>
      </c>
      <c r="B413" s="53">
        <v>0</v>
      </c>
      <c r="C413" s="53">
        <v>1500</v>
      </c>
      <c r="D413" s="53">
        <f t="shared" si="9"/>
        <v>1500</v>
      </c>
      <c r="E413" s="51"/>
    </row>
    <row r="414" spans="1:5" ht="12.75" customHeight="1" x14ac:dyDescent="0.2">
      <c r="A414" s="53" t="s">
        <v>684</v>
      </c>
      <c r="B414" s="53">
        <v>0</v>
      </c>
      <c r="C414" s="53">
        <v>28579.29</v>
      </c>
      <c r="D414" s="53">
        <f t="shared" si="9"/>
        <v>28579.29</v>
      </c>
      <c r="E414" s="51"/>
    </row>
    <row r="415" spans="1:5" ht="12.75" customHeight="1" x14ac:dyDescent="0.2">
      <c r="A415" s="53" t="s">
        <v>685</v>
      </c>
      <c r="B415" s="53">
        <v>0</v>
      </c>
      <c r="C415" s="53">
        <v>6727.41</v>
      </c>
      <c r="D415" s="53">
        <f t="shared" si="9"/>
        <v>6727.41</v>
      </c>
      <c r="E415" s="51"/>
    </row>
    <row r="416" spans="1:5" ht="12.75" customHeight="1" x14ac:dyDescent="0.2">
      <c r="A416" s="53" t="s">
        <v>686</v>
      </c>
      <c r="B416" s="53">
        <v>0</v>
      </c>
      <c r="C416" s="53">
        <v>10172.5</v>
      </c>
      <c r="D416" s="53">
        <f t="shared" si="9"/>
        <v>10172.5</v>
      </c>
      <c r="E416" s="51"/>
    </row>
    <row r="417" spans="1:5" ht="12.75" customHeight="1" x14ac:dyDescent="0.2">
      <c r="A417" s="53" t="s">
        <v>687</v>
      </c>
      <c r="B417" s="53">
        <v>0</v>
      </c>
      <c r="C417" s="53">
        <v>5268.72</v>
      </c>
      <c r="D417" s="53">
        <f t="shared" si="9"/>
        <v>5268.72</v>
      </c>
      <c r="E417" s="51"/>
    </row>
    <row r="418" spans="1:5" ht="12.75" customHeight="1" x14ac:dyDescent="0.2">
      <c r="A418" s="53" t="s">
        <v>688</v>
      </c>
      <c r="B418" s="53">
        <v>0</v>
      </c>
      <c r="C418" s="53">
        <v>5708</v>
      </c>
      <c r="D418" s="53">
        <f t="shared" si="9"/>
        <v>5708</v>
      </c>
      <c r="E418" s="51"/>
    </row>
    <row r="419" spans="1:5" ht="12.75" customHeight="1" x14ac:dyDescent="0.2">
      <c r="A419" s="53" t="s">
        <v>689</v>
      </c>
      <c r="B419" s="53">
        <v>0</v>
      </c>
      <c r="C419" s="53">
        <v>3856.3</v>
      </c>
      <c r="D419" s="53">
        <f t="shared" si="9"/>
        <v>3856.3</v>
      </c>
      <c r="E419" s="51"/>
    </row>
    <row r="420" spans="1:5" ht="12.75" customHeight="1" x14ac:dyDescent="0.2">
      <c r="A420" s="53" t="s">
        <v>690</v>
      </c>
      <c r="B420" s="53">
        <v>0</v>
      </c>
      <c r="C420" s="53">
        <v>14903.01</v>
      </c>
      <c r="D420" s="53">
        <f t="shared" si="9"/>
        <v>14903.01</v>
      </c>
      <c r="E420" s="51"/>
    </row>
    <row r="421" spans="1:5" ht="12.75" customHeight="1" x14ac:dyDescent="0.2">
      <c r="A421" s="53" t="s">
        <v>691</v>
      </c>
      <c r="B421" s="53">
        <v>0</v>
      </c>
      <c r="C421" s="53">
        <v>10023.75</v>
      </c>
      <c r="D421" s="53">
        <f t="shared" si="9"/>
        <v>10023.75</v>
      </c>
      <c r="E421" s="51"/>
    </row>
    <row r="422" spans="1:5" ht="12.75" customHeight="1" x14ac:dyDescent="0.2">
      <c r="A422" s="53" t="s">
        <v>692</v>
      </c>
      <c r="B422" s="53">
        <v>0</v>
      </c>
      <c r="C422" s="53">
        <v>85908.6</v>
      </c>
      <c r="D422" s="53">
        <f t="shared" si="9"/>
        <v>85908.6</v>
      </c>
      <c r="E422" s="51"/>
    </row>
    <row r="423" spans="1:5" ht="12.75" customHeight="1" x14ac:dyDescent="0.2">
      <c r="A423" s="53" t="s">
        <v>693</v>
      </c>
      <c r="B423" s="53">
        <v>0</v>
      </c>
      <c r="C423" s="53">
        <v>3012.17</v>
      </c>
      <c r="D423" s="53">
        <f t="shared" si="9"/>
        <v>3012.17</v>
      </c>
      <c r="E423" s="51"/>
    </row>
    <row r="424" spans="1:5" ht="12.75" customHeight="1" x14ac:dyDescent="0.2">
      <c r="A424" s="53" t="s">
        <v>694</v>
      </c>
      <c r="B424" s="53">
        <v>0</v>
      </c>
      <c r="C424" s="53">
        <v>716.67</v>
      </c>
      <c r="D424" s="53">
        <f t="shared" si="9"/>
        <v>716.67</v>
      </c>
      <c r="E424" s="51"/>
    </row>
    <row r="425" spans="1:5" ht="12.75" customHeight="1" x14ac:dyDescent="0.2">
      <c r="A425" s="53" t="s">
        <v>695</v>
      </c>
      <c r="B425" s="53">
        <v>0</v>
      </c>
      <c r="C425" s="53">
        <v>358.33</v>
      </c>
      <c r="D425" s="53">
        <f t="shared" si="9"/>
        <v>358.33</v>
      </c>
      <c r="E425" s="51"/>
    </row>
    <row r="426" spans="1:5" ht="12.75" customHeight="1" x14ac:dyDescent="0.2">
      <c r="A426" s="53" t="s">
        <v>696</v>
      </c>
      <c r="B426" s="53">
        <v>0</v>
      </c>
      <c r="C426" s="53">
        <v>800</v>
      </c>
      <c r="D426" s="53">
        <f t="shared" si="9"/>
        <v>800</v>
      </c>
      <c r="E426" s="51"/>
    </row>
    <row r="427" spans="1:5" ht="12.75" customHeight="1" x14ac:dyDescent="0.2">
      <c r="A427" s="53" t="s">
        <v>697</v>
      </c>
      <c r="B427" s="53">
        <v>0</v>
      </c>
      <c r="C427" s="53">
        <v>1840</v>
      </c>
      <c r="D427" s="53">
        <f t="shared" si="9"/>
        <v>1840</v>
      </c>
      <c r="E427" s="51"/>
    </row>
    <row r="428" spans="1:5" ht="12.75" customHeight="1" x14ac:dyDescent="0.2">
      <c r="A428" s="53" t="s">
        <v>698</v>
      </c>
      <c r="B428" s="53">
        <v>0</v>
      </c>
      <c r="C428" s="53">
        <v>1075</v>
      </c>
      <c r="D428" s="53">
        <f t="shared" si="9"/>
        <v>1075</v>
      </c>
      <c r="E428" s="51"/>
    </row>
    <row r="429" spans="1:5" ht="12.75" customHeight="1" x14ac:dyDescent="0.2">
      <c r="A429" s="53" t="s">
        <v>699</v>
      </c>
      <c r="B429" s="53">
        <v>0</v>
      </c>
      <c r="C429" s="53">
        <v>2990</v>
      </c>
      <c r="D429" s="53">
        <f t="shared" si="9"/>
        <v>2990</v>
      </c>
      <c r="E429" s="51"/>
    </row>
    <row r="430" spans="1:5" ht="12.75" customHeight="1" x14ac:dyDescent="0.2">
      <c r="A430" s="53" t="s">
        <v>700</v>
      </c>
      <c r="B430" s="53">
        <v>0</v>
      </c>
      <c r="C430" s="53">
        <v>806.48</v>
      </c>
      <c r="D430" s="53">
        <f t="shared" si="9"/>
        <v>806.48</v>
      </c>
      <c r="E430" s="51"/>
    </row>
    <row r="431" spans="1:5" ht="12.75" customHeight="1" x14ac:dyDescent="0.2">
      <c r="A431" s="53" t="s">
        <v>701</v>
      </c>
      <c r="B431" s="53">
        <v>0</v>
      </c>
      <c r="C431" s="53">
        <v>4407.3900000000003</v>
      </c>
      <c r="D431" s="53">
        <f t="shared" si="9"/>
        <v>4407.3900000000003</v>
      </c>
      <c r="E431" s="51"/>
    </row>
    <row r="432" spans="1:5" ht="12.75" customHeight="1" x14ac:dyDescent="0.2">
      <c r="A432" s="53" t="s">
        <v>702</v>
      </c>
      <c r="B432" s="53">
        <v>0</v>
      </c>
      <c r="C432" s="53">
        <v>347.83</v>
      </c>
      <c r="D432" s="53">
        <f t="shared" si="9"/>
        <v>347.83</v>
      </c>
      <c r="E432" s="51"/>
    </row>
    <row r="433" spans="1:5" ht="12.75" customHeight="1" x14ac:dyDescent="0.2">
      <c r="A433" s="53" t="s">
        <v>703</v>
      </c>
      <c r="B433" s="53">
        <v>0</v>
      </c>
      <c r="C433" s="53">
        <v>2418.2600000000002</v>
      </c>
      <c r="D433" s="53">
        <f t="shared" si="9"/>
        <v>2418.2600000000002</v>
      </c>
      <c r="E433" s="51"/>
    </row>
    <row r="434" spans="1:5" ht="12.75" customHeight="1" x14ac:dyDescent="0.2">
      <c r="A434" s="53" t="s">
        <v>704</v>
      </c>
      <c r="B434" s="53">
        <v>0</v>
      </c>
      <c r="C434" s="53">
        <v>3250</v>
      </c>
      <c r="D434" s="53">
        <f t="shared" si="9"/>
        <v>3250</v>
      </c>
      <c r="E434" s="51"/>
    </row>
    <row r="435" spans="1:5" ht="12.75" customHeight="1" x14ac:dyDescent="0.2">
      <c r="A435" s="53" t="s">
        <v>705</v>
      </c>
      <c r="B435" s="53">
        <v>0</v>
      </c>
      <c r="C435" s="53">
        <v>8100</v>
      </c>
      <c r="D435" s="53">
        <f t="shared" si="9"/>
        <v>8100</v>
      </c>
      <c r="E435" s="51"/>
    </row>
    <row r="436" spans="1:5" ht="12.75" customHeight="1" x14ac:dyDescent="0.2">
      <c r="A436" s="53" t="s">
        <v>706</v>
      </c>
      <c r="B436" s="53">
        <v>0</v>
      </c>
      <c r="C436" s="53">
        <v>3000</v>
      </c>
      <c r="D436" s="53">
        <f t="shared" si="9"/>
        <v>3000</v>
      </c>
      <c r="E436" s="51"/>
    </row>
    <row r="437" spans="1:5" ht="12.75" customHeight="1" x14ac:dyDescent="0.2">
      <c r="A437" s="53" t="s">
        <v>707</v>
      </c>
      <c r="B437" s="53">
        <v>0</v>
      </c>
      <c r="C437" s="53">
        <v>9458</v>
      </c>
      <c r="D437" s="53">
        <f t="shared" si="9"/>
        <v>9458</v>
      </c>
      <c r="E437" s="51"/>
    </row>
    <row r="438" spans="1:5" ht="12.75" customHeight="1" x14ac:dyDescent="0.2">
      <c r="A438" s="53" t="s">
        <v>708</v>
      </c>
      <c r="B438" s="53">
        <v>0</v>
      </c>
      <c r="C438" s="53">
        <v>-234743.37</v>
      </c>
      <c r="D438" s="53">
        <f t="shared" si="9"/>
        <v>-234743.37</v>
      </c>
      <c r="E438" s="51"/>
    </row>
    <row r="439" spans="1:5" ht="12.75" customHeight="1" x14ac:dyDescent="0.2">
      <c r="A439" s="55" t="s">
        <v>194</v>
      </c>
      <c r="B439" s="56">
        <f>SUM(B9:B438)</f>
        <v>0</v>
      </c>
      <c r="C439" s="56">
        <f>SUM(C9:C438)</f>
        <v>86978035.749999925</v>
      </c>
      <c r="D439" s="56">
        <f t="shared" si="9"/>
        <v>86978035.749999925</v>
      </c>
      <c r="E439" s="51"/>
    </row>
  </sheetData>
  <mergeCells count="4">
    <mergeCell ref="A1:D1"/>
    <mergeCell ref="A2:D2"/>
    <mergeCell ref="A3:D3"/>
    <mergeCell ref="A4:D4"/>
  </mergeCell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M86"/>
  <sheetViews>
    <sheetView showGridLines="0" zoomScaleNormal="100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baseColWidth="10" defaultColWidth="8.83203125" defaultRowHeight="12" x14ac:dyDescent="0.15"/>
  <cols>
    <col min="1" max="1" width="33.83203125" style="107" bestFit="1" customWidth="1"/>
    <col min="2" max="8" width="11.1640625" style="107" bestFit="1" customWidth="1"/>
    <col min="9" max="13" width="10.1640625" style="107" bestFit="1" customWidth="1"/>
    <col min="14" max="16" width="8.83203125" style="107" customWidth="1"/>
    <col min="17" max="16384" width="8.83203125" style="107"/>
  </cols>
  <sheetData>
    <row r="1" spans="1:13" s="105" customFormat="1" ht="18" customHeight="1" x14ac:dyDescent="0.2">
      <c r="A1" s="159" t="s">
        <v>134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</row>
    <row r="2" spans="1:13" s="106" customFormat="1" ht="15.5" customHeight="1" x14ac:dyDescent="0.2">
      <c r="A2" s="161" t="s">
        <v>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1:13" s="106" customFormat="1" ht="15.5" customHeight="1" x14ac:dyDescent="0.2">
      <c r="A3" s="161" t="s">
        <v>709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ht="13.25" customHeight="1" x14ac:dyDescent="0.15"/>
    <row r="5" spans="1:13" s="110" customFormat="1" ht="13" customHeight="1" x14ac:dyDescent="0.15">
      <c r="A5" s="108" t="s">
        <v>136</v>
      </c>
      <c r="B5" s="109" t="s">
        <v>710</v>
      </c>
      <c r="C5" s="109" t="s">
        <v>711</v>
      </c>
      <c r="D5" s="109" t="s">
        <v>712</v>
      </c>
      <c r="E5" s="109" t="s">
        <v>713</v>
      </c>
      <c r="F5" s="109" t="s">
        <v>714</v>
      </c>
      <c r="G5" s="109" t="s">
        <v>715</v>
      </c>
      <c r="H5" s="109" t="s">
        <v>716</v>
      </c>
      <c r="I5" s="109" t="s">
        <v>717</v>
      </c>
      <c r="J5" s="109" t="s">
        <v>718</v>
      </c>
      <c r="K5" s="109" t="s">
        <v>719</v>
      </c>
      <c r="L5" s="109" t="s">
        <v>720</v>
      </c>
      <c r="M5" s="109" t="s">
        <v>721</v>
      </c>
    </row>
    <row r="6" spans="1:13" ht="13.25" customHeight="1" x14ac:dyDescent="0.15"/>
    <row r="7" spans="1:13" s="110" customFormat="1" ht="13" customHeight="1" x14ac:dyDescent="0.2">
      <c r="A7" s="158" t="s">
        <v>140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3" ht="11.75" customHeight="1" x14ac:dyDescent="0.15">
      <c r="A8" s="111" t="s">
        <v>144</v>
      </c>
      <c r="B8" s="112">
        <v>0</v>
      </c>
      <c r="C8" s="112">
        <v>0</v>
      </c>
      <c r="D8" s="112">
        <v>0</v>
      </c>
      <c r="E8" s="112">
        <v>0</v>
      </c>
      <c r="F8" s="112">
        <v>0</v>
      </c>
      <c r="G8" s="112">
        <v>0</v>
      </c>
      <c r="H8" s="112">
        <v>0</v>
      </c>
      <c r="I8" s="112">
        <v>4178067.3</v>
      </c>
      <c r="J8" s="112">
        <v>3889214.05</v>
      </c>
      <c r="K8" s="112">
        <v>4774233.25</v>
      </c>
      <c r="L8" s="112">
        <v>4336497.82</v>
      </c>
      <c r="M8" s="112">
        <v>4252624.12</v>
      </c>
    </row>
    <row r="9" spans="1:13" ht="11.75" customHeight="1" x14ac:dyDescent="0.15">
      <c r="A9" s="115" t="s">
        <v>147</v>
      </c>
      <c r="B9" s="116">
        <f t="shared" ref="B9:M9" si="0">B8</f>
        <v>0</v>
      </c>
      <c r="C9" s="116">
        <f t="shared" si="0"/>
        <v>0</v>
      </c>
      <c r="D9" s="116">
        <f t="shared" si="0"/>
        <v>0</v>
      </c>
      <c r="E9" s="116">
        <f t="shared" si="0"/>
        <v>0</v>
      </c>
      <c r="F9" s="116">
        <f t="shared" si="0"/>
        <v>0</v>
      </c>
      <c r="G9" s="116">
        <f t="shared" si="0"/>
        <v>0</v>
      </c>
      <c r="H9" s="116">
        <f t="shared" si="0"/>
        <v>0</v>
      </c>
      <c r="I9" s="116">
        <f t="shared" si="0"/>
        <v>4178067.3</v>
      </c>
      <c r="J9" s="116">
        <f t="shared" si="0"/>
        <v>3889214.05</v>
      </c>
      <c r="K9" s="116">
        <f t="shared" si="0"/>
        <v>4774233.25</v>
      </c>
      <c r="L9" s="116">
        <f t="shared" si="0"/>
        <v>4336497.82</v>
      </c>
      <c r="M9" s="116">
        <f t="shared" si="0"/>
        <v>4252624.12</v>
      </c>
    </row>
    <row r="10" spans="1:13" ht="13.25" customHeight="1" x14ac:dyDescent="0.15"/>
    <row r="11" spans="1:13" s="110" customFormat="1" ht="13" customHeight="1" x14ac:dyDescent="0.2">
      <c r="A11" s="158" t="s">
        <v>148</v>
      </c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</row>
    <row r="12" spans="1:13" ht="11.75" customHeight="1" x14ac:dyDescent="0.15">
      <c r="A12" s="111" t="s">
        <v>149</v>
      </c>
      <c r="B12" s="112">
        <v>0</v>
      </c>
      <c r="C12" s="112">
        <v>0</v>
      </c>
      <c r="D12" s="112">
        <v>0</v>
      </c>
      <c r="E12" s="112">
        <v>0</v>
      </c>
      <c r="F12" s="112">
        <v>0</v>
      </c>
      <c r="G12" s="112">
        <v>0</v>
      </c>
      <c r="H12" s="112">
        <v>0</v>
      </c>
      <c r="I12" s="112">
        <v>0</v>
      </c>
      <c r="J12" s="112">
        <v>0</v>
      </c>
      <c r="K12" s="112">
        <v>0</v>
      </c>
      <c r="L12" s="112">
        <v>0</v>
      </c>
      <c r="M12" s="112">
        <v>17292.48</v>
      </c>
    </row>
    <row r="13" spans="1:13" ht="11.75" customHeight="1" x14ac:dyDescent="0.15">
      <c r="A13" s="113" t="s">
        <v>150</v>
      </c>
      <c r="B13" s="114">
        <v>0</v>
      </c>
      <c r="C13" s="114">
        <v>0</v>
      </c>
      <c r="D13" s="114">
        <v>0</v>
      </c>
      <c r="E13" s="114">
        <v>0</v>
      </c>
      <c r="F13" s="114">
        <v>0</v>
      </c>
      <c r="G13" s="114">
        <v>0</v>
      </c>
      <c r="H13" s="114">
        <v>0</v>
      </c>
      <c r="I13" s="114">
        <v>0</v>
      </c>
      <c r="J13" s="114">
        <v>86.96</v>
      </c>
      <c r="K13" s="114">
        <v>0</v>
      </c>
      <c r="L13" s="114">
        <v>0</v>
      </c>
      <c r="M13" s="114">
        <v>200</v>
      </c>
    </row>
    <row r="14" spans="1:13" ht="11.75" customHeight="1" x14ac:dyDescent="0.15">
      <c r="A14" s="113" t="s">
        <v>151</v>
      </c>
      <c r="B14" s="114">
        <v>0</v>
      </c>
      <c r="C14" s="114">
        <v>0</v>
      </c>
      <c r="D14" s="114">
        <v>0</v>
      </c>
      <c r="E14" s="114">
        <v>0</v>
      </c>
      <c r="F14" s="114">
        <v>0</v>
      </c>
      <c r="G14" s="114">
        <v>0</v>
      </c>
      <c r="H14" s="114">
        <v>0</v>
      </c>
      <c r="I14" s="114">
        <v>0</v>
      </c>
      <c r="J14" s="114">
        <v>86.96</v>
      </c>
      <c r="K14" s="114">
        <v>0</v>
      </c>
      <c r="L14" s="114">
        <v>0</v>
      </c>
      <c r="M14" s="114">
        <v>0</v>
      </c>
    </row>
    <row r="15" spans="1:13" ht="11.75" customHeight="1" x14ac:dyDescent="0.15">
      <c r="A15" s="113" t="s">
        <v>160</v>
      </c>
      <c r="B15" s="114">
        <v>0</v>
      </c>
      <c r="C15" s="114">
        <v>0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760.87</v>
      </c>
    </row>
    <row r="16" spans="1:13" ht="11.75" customHeight="1" x14ac:dyDescent="0.15">
      <c r="A16" s="113" t="s">
        <v>161</v>
      </c>
      <c r="B16" s="114">
        <v>0</v>
      </c>
      <c r="C16" s="114">
        <v>0</v>
      </c>
      <c r="D16" s="114">
        <v>0</v>
      </c>
      <c r="E16" s="114">
        <v>0</v>
      </c>
      <c r="F16" s="114">
        <v>0</v>
      </c>
      <c r="G16" s="114">
        <v>0</v>
      </c>
      <c r="H16" s="114">
        <v>0</v>
      </c>
      <c r="I16" s="114">
        <v>12386.25</v>
      </c>
      <c r="J16" s="114">
        <v>16372.1</v>
      </c>
      <c r="K16" s="114">
        <v>28166.51</v>
      </c>
      <c r="L16" s="114">
        <v>1344.32</v>
      </c>
      <c r="M16" s="114">
        <v>191661.47</v>
      </c>
    </row>
    <row r="17" spans="1:13" ht="11.75" customHeight="1" x14ac:dyDescent="0.15">
      <c r="A17" s="113" t="s">
        <v>162</v>
      </c>
      <c r="B17" s="114">
        <v>0</v>
      </c>
      <c r="C17" s="114">
        <v>0</v>
      </c>
      <c r="D17" s="114">
        <v>0</v>
      </c>
      <c r="E17" s="114">
        <v>0</v>
      </c>
      <c r="F17" s="114">
        <v>0</v>
      </c>
      <c r="G17" s="114">
        <v>0</v>
      </c>
      <c r="H17" s="114">
        <v>0</v>
      </c>
      <c r="I17" s="114">
        <v>115757.06</v>
      </c>
      <c r="J17" s="114">
        <v>2570.42</v>
      </c>
      <c r="K17" s="114">
        <v>2880.57</v>
      </c>
      <c r="L17" s="114">
        <v>1250.3900000000001</v>
      </c>
      <c r="M17" s="114">
        <v>24545.15</v>
      </c>
    </row>
    <row r="18" spans="1:13" s="137" customFormat="1" ht="11.75" customHeight="1" x14ac:dyDescent="0.15">
      <c r="A18" s="135" t="s">
        <v>165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1483.14</v>
      </c>
      <c r="J18" s="136">
        <v>1440.87</v>
      </c>
      <c r="K18" s="136">
        <v>1189.57</v>
      </c>
      <c r="L18" s="136">
        <v>1189.57</v>
      </c>
      <c r="M18" s="136">
        <v>1189.57</v>
      </c>
    </row>
    <row r="19" spans="1:13" s="137" customFormat="1" ht="11.75" customHeight="1" x14ac:dyDescent="0.15">
      <c r="A19" s="135" t="s">
        <v>167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75191</v>
      </c>
      <c r="J19" s="136">
        <v>328611.84000000003</v>
      </c>
      <c r="K19" s="136">
        <v>149683.76999999999</v>
      </c>
      <c r="L19" s="136">
        <v>84649.57</v>
      </c>
      <c r="M19" s="136">
        <v>776649.41</v>
      </c>
    </row>
    <row r="20" spans="1:13" s="137" customFormat="1" ht="11.75" customHeight="1" x14ac:dyDescent="0.15">
      <c r="A20" s="135" t="s">
        <v>169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694.78</v>
      </c>
      <c r="M20" s="136">
        <v>0</v>
      </c>
    </row>
    <row r="21" spans="1:13" s="137" customFormat="1" ht="11.75" customHeight="1" x14ac:dyDescent="0.15">
      <c r="A21" s="135" t="s">
        <v>171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79865.240000000005</v>
      </c>
      <c r="J21" s="136">
        <v>40224.74</v>
      </c>
      <c r="K21" s="136">
        <v>50267.62</v>
      </c>
      <c r="L21" s="136">
        <v>53004.4</v>
      </c>
      <c r="M21" s="136">
        <v>59157.63</v>
      </c>
    </row>
    <row r="22" spans="1:13" s="137" customFormat="1" ht="11.75" customHeight="1" x14ac:dyDescent="0.15">
      <c r="A22" s="135" t="s">
        <v>172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1129.57</v>
      </c>
      <c r="L22" s="136">
        <v>0</v>
      </c>
      <c r="M22" s="136">
        <v>0</v>
      </c>
    </row>
    <row r="23" spans="1:13" ht="11.75" customHeight="1" x14ac:dyDescent="0.15">
      <c r="A23" s="113" t="s">
        <v>175</v>
      </c>
      <c r="B23" s="114">
        <v>8338713.5599999996</v>
      </c>
      <c r="C23" s="114">
        <v>9056635.5899999999</v>
      </c>
      <c r="D23" s="114">
        <v>5306635.59</v>
      </c>
      <c r="E23" s="114">
        <v>5306635.59</v>
      </c>
      <c r="F23" s="114">
        <v>3306635.59</v>
      </c>
      <c r="G23" s="114">
        <v>3306635.59</v>
      </c>
      <c r="H23" s="114">
        <v>3306635.59</v>
      </c>
      <c r="I23" s="114">
        <v>3233584.29</v>
      </c>
      <c r="J23" s="114">
        <v>2688761.77</v>
      </c>
      <c r="K23" s="114">
        <v>3793437.38</v>
      </c>
      <c r="L23" s="114">
        <v>3193925.31</v>
      </c>
      <c r="M23" s="114">
        <v>2483055.52</v>
      </c>
    </row>
    <row r="24" spans="1:13" ht="11.75" customHeight="1" x14ac:dyDescent="0.15">
      <c r="A24" s="113" t="s">
        <v>176</v>
      </c>
      <c r="B24" s="114">
        <v>24793.88</v>
      </c>
      <c r="C24" s="114">
        <v>24793.88</v>
      </c>
      <c r="D24" s="114">
        <v>24793.88</v>
      </c>
      <c r="E24" s="114">
        <v>24793.88</v>
      </c>
      <c r="F24" s="114">
        <v>24793.88</v>
      </c>
      <c r="G24" s="114">
        <v>24793.88</v>
      </c>
      <c r="H24" s="114">
        <v>24793.88</v>
      </c>
      <c r="I24" s="114">
        <v>24793.88</v>
      </c>
      <c r="J24" s="114">
        <v>28694.560000000001</v>
      </c>
      <c r="K24" s="114">
        <v>61021.919999999998</v>
      </c>
      <c r="L24" s="114">
        <v>111322.42</v>
      </c>
      <c r="M24" s="114">
        <v>263223.18</v>
      </c>
    </row>
    <row r="25" spans="1:13" ht="11.75" customHeight="1" x14ac:dyDescent="0.15">
      <c r="A25" s="113" t="s">
        <v>177</v>
      </c>
      <c r="B25" s="114">
        <v>107.39</v>
      </c>
      <c r="C25" s="114">
        <v>107.39</v>
      </c>
      <c r="D25" s="114">
        <v>107.39</v>
      </c>
      <c r="E25" s="114">
        <v>107.39</v>
      </c>
      <c r="F25" s="114">
        <v>107.39</v>
      </c>
      <c r="G25" s="114">
        <v>107.39</v>
      </c>
      <c r="H25" s="114">
        <v>107.39</v>
      </c>
      <c r="I25" s="114">
        <v>107.39</v>
      </c>
      <c r="J25" s="114">
        <v>8882.14</v>
      </c>
      <c r="K25" s="114">
        <v>2170.4499999999998</v>
      </c>
      <c r="L25" s="114">
        <v>78.260000000000005</v>
      </c>
      <c r="M25" s="114">
        <v>0</v>
      </c>
    </row>
    <row r="26" spans="1:13" ht="11.75" customHeight="1" x14ac:dyDescent="0.15">
      <c r="A26" s="113" t="s">
        <v>178</v>
      </c>
      <c r="B26" s="114">
        <v>0</v>
      </c>
      <c r="C26" s="114">
        <v>0</v>
      </c>
      <c r="D26" s="114">
        <v>0</v>
      </c>
      <c r="E26" s="114">
        <v>0</v>
      </c>
      <c r="F26" s="114">
        <v>0</v>
      </c>
      <c r="G26" s="114">
        <v>0</v>
      </c>
      <c r="H26" s="114">
        <v>0</v>
      </c>
      <c r="I26" s="114">
        <v>0</v>
      </c>
      <c r="J26" s="114">
        <v>0</v>
      </c>
      <c r="K26" s="114">
        <v>0</v>
      </c>
      <c r="L26" s="114">
        <v>0</v>
      </c>
      <c r="M26" s="114">
        <v>2719.43</v>
      </c>
    </row>
    <row r="27" spans="1:13" ht="11.75" customHeight="1" x14ac:dyDescent="0.15">
      <c r="A27" s="113" t="s">
        <v>722</v>
      </c>
      <c r="B27" s="114">
        <v>0</v>
      </c>
      <c r="C27" s="114">
        <v>0</v>
      </c>
      <c r="D27" s="114">
        <v>0</v>
      </c>
      <c r="E27" s="114">
        <v>0</v>
      </c>
      <c r="F27" s="114">
        <v>0</v>
      </c>
      <c r="G27" s="114">
        <v>0</v>
      </c>
      <c r="H27" s="114">
        <v>0</v>
      </c>
      <c r="I27" s="114">
        <v>468.7</v>
      </c>
      <c r="J27" s="114">
        <v>0</v>
      </c>
      <c r="K27" s="114">
        <v>0</v>
      </c>
      <c r="L27" s="114">
        <v>0</v>
      </c>
      <c r="M27" s="114">
        <v>0</v>
      </c>
    </row>
    <row r="28" spans="1:13" ht="11.75" customHeight="1" x14ac:dyDescent="0.15">
      <c r="A28" s="113" t="s">
        <v>183</v>
      </c>
      <c r="B28" s="114">
        <v>0</v>
      </c>
      <c r="C28" s="114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25461.52</v>
      </c>
      <c r="J28" s="114">
        <v>0</v>
      </c>
      <c r="K28" s="114">
        <v>0</v>
      </c>
      <c r="L28" s="114">
        <v>0</v>
      </c>
      <c r="M28" s="114">
        <v>0</v>
      </c>
    </row>
    <row r="29" spans="1:13" ht="11.75" customHeight="1" x14ac:dyDescent="0.15">
      <c r="A29" s="113" t="s">
        <v>184</v>
      </c>
      <c r="B29" s="114">
        <v>0</v>
      </c>
      <c r="C29" s="114">
        <v>0</v>
      </c>
      <c r="D29" s="114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11607.87</v>
      </c>
      <c r="J29" s="114">
        <v>30013.040000000001</v>
      </c>
      <c r="K29" s="114">
        <v>0</v>
      </c>
      <c r="L29" s="114">
        <v>0</v>
      </c>
      <c r="M29" s="114">
        <v>0</v>
      </c>
    </row>
    <row r="30" spans="1:13" ht="11.75" customHeight="1" x14ac:dyDescent="0.15">
      <c r="A30" s="113" t="s">
        <v>193</v>
      </c>
      <c r="B30" s="114">
        <v>0</v>
      </c>
      <c r="C30" s="114">
        <v>0</v>
      </c>
      <c r="D30" s="114">
        <v>0</v>
      </c>
      <c r="E30" s="114">
        <v>0</v>
      </c>
      <c r="F30" s="114">
        <v>0</v>
      </c>
      <c r="G30" s="114">
        <v>0</v>
      </c>
      <c r="H30" s="114">
        <v>0</v>
      </c>
      <c r="I30" s="114">
        <v>-19.48</v>
      </c>
      <c r="J30" s="114">
        <v>2500</v>
      </c>
      <c r="K30" s="114">
        <v>20456.5</v>
      </c>
      <c r="L30" s="114">
        <v>486.95</v>
      </c>
      <c r="M30" s="114">
        <v>0</v>
      </c>
    </row>
    <row r="31" spans="1:13" ht="11.75" customHeight="1" x14ac:dyDescent="0.15">
      <c r="A31" s="115" t="s">
        <v>194</v>
      </c>
      <c r="B31" s="116">
        <f t="shared" ref="B31:M31" si="1">SUM(B12:B30)</f>
        <v>8363614.8299999991</v>
      </c>
      <c r="C31" s="116">
        <f t="shared" si="1"/>
        <v>9081536.8600000013</v>
      </c>
      <c r="D31" s="116">
        <f t="shared" si="1"/>
        <v>5331536.8599999994</v>
      </c>
      <c r="E31" s="116">
        <f t="shared" si="1"/>
        <v>5331536.8599999994</v>
      </c>
      <c r="F31" s="116">
        <f t="shared" si="1"/>
        <v>3331536.86</v>
      </c>
      <c r="G31" s="116">
        <f t="shared" si="1"/>
        <v>3331536.86</v>
      </c>
      <c r="H31" s="116">
        <f t="shared" si="1"/>
        <v>3331536.86</v>
      </c>
      <c r="I31" s="116">
        <f t="shared" si="1"/>
        <v>3580686.8600000003</v>
      </c>
      <c r="J31" s="116">
        <f t="shared" si="1"/>
        <v>3148245.4000000004</v>
      </c>
      <c r="K31" s="116">
        <f t="shared" si="1"/>
        <v>4110403.86</v>
      </c>
      <c r="L31" s="116">
        <f t="shared" si="1"/>
        <v>3447945.9699999997</v>
      </c>
      <c r="M31" s="116">
        <f t="shared" si="1"/>
        <v>3820454.7100000004</v>
      </c>
    </row>
    <row r="32" spans="1:13" ht="13.25" customHeight="1" x14ac:dyDescent="0.15"/>
    <row r="33" spans="1:13" ht="11.75" customHeight="1" x14ac:dyDescent="0.15">
      <c r="A33" s="123" t="s">
        <v>195</v>
      </c>
      <c r="B33" s="124">
        <f t="shared" ref="B33:M33" si="2">(B9 - B31)</f>
        <v>-8363614.8299999991</v>
      </c>
      <c r="C33" s="124">
        <f t="shared" si="2"/>
        <v>-9081536.8600000013</v>
      </c>
      <c r="D33" s="124">
        <f t="shared" si="2"/>
        <v>-5331536.8599999994</v>
      </c>
      <c r="E33" s="124">
        <f t="shared" si="2"/>
        <v>-5331536.8599999994</v>
      </c>
      <c r="F33" s="124">
        <f t="shared" si="2"/>
        <v>-3331536.86</v>
      </c>
      <c r="G33" s="124">
        <f t="shared" si="2"/>
        <v>-3331536.86</v>
      </c>
      <c r="H33" s="124">
        <f t="shared" si="2"/>
        <v>-3331536.86</v>
      </c>
      <c r="I33" s="124">
        <f t="shared" si="2"/>
        <v>597380.43999999948</v>
      </c>
      <c r="J33" s="124">
        <f t="shared" si="2"/>
        <v>740968.64999999944</v>
      </c>
      <c r="K33" s="124">
        <f t="shared" si="2"/>
        <v>663829.39000000013</v>
      </c>
      <c r="L33" s="124">
        <f t="shared" si="2"/>
        <v>888551.85000000056</v>
      </c>
      <c r="M33" s="124">
        <f t="shared" si="2"/>
        <v>432169.40999999968</v>
      </c>
    </row>
    <row r="34" spans="1:13" ht="13.25" customHeight="1" x14ac:dyDescent="0.15"/>
    <row r="35" spans="1:13" s="110" customFormat="1" ht="13" customHeight="1" x14ac:dyDescent="0.2">
      <c r="A35" s="158" t="s">
        <v>196</v>
      </c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</row>
    <row r="36" spans="1:13" ht="11.75" customHeight="1" x14ac:dyDescent="0.15">
      <c r="A36" s="111" t="s">
        <v>198</v>
      </c>
      <c r="B36" s="112">
        <v>0</v>
      </c>
      <c r="C36" s="112">
        <v>0</v>
      </c>
      <c r="D36" s="112">
        <v>0</v>
      </c>
      <c r="E36" s="112">
        <v>0</v>
      </c>
      <c r="F36" s="112">
        <v>0</v>
      </c>
      <c r="G36" s="112">
        <v>0</v>
      </c>
      <c r="H36" s="112">
        <v>0</v>
      </c>
      <c r="I36" s="112">
        <v>99.6</v>
      </c>
      <c r="J36" s="112">
        <v>67.930000000000007</v>
      </c>
      <c r="K36" s="112">
        <v>17.190000000000001</v>
      </c>
      <c r="L36" s="112">
        <v>175.49</v>
      </c>
      <c r="M36" s="112">
        <v>144.69999999999999</v>
      </c>
    </row>
    <row r="37" spans="1:13" ht="11.75" customHeight="1" x14ac:dyDescent="0.15">
      <c r="A37" s="113" t="s">
        <v>199</v>
      </c>
      <c r="B37" s="114">
        <v>0</v>
      </c>
      <c r="C37" s="114">
        <v>0</v>
      </c>
      <c r="D37" s="114">
        <v>0</v>
      </c>
      <c r="E37" s="114">
        <v>0</v>
      </c>
      <c r="F37" s="114">
        <v>0</v>
      </c>
      <c r="G37" s="114">
        <v>0</v>
      </c>
      <c r="H37" s="114">
        <v>0</v>
      </c>
      <c r="I37" s="114">
        <v>4.0199999999999996</v>
      </c>
      <c r="J37" s="114">
        <v>7.64</v>
      </c>
      <c r="K37" s="114">
        <v>0</v>
      </c>
      <c r="L37" s="114">
        <v>3.58</v>
      </c>
      <c r="M37" s="114">
        <v>6.81</v>
      </c>
    </row>
    <row r="38" spans="1:13" ht="11.75" customHeight="1" x14ac:dyDescent="0.15">
      <c r="A38" s="113" t="s">
        <v>200</v>
      </c>
      <c r="B38" s="114">
        <v>0</v>
      </c>
      <c r="C38" s="114">
        <v>0</v>
      </c>
      <c r="D38" s="114">
        <v>0</v>
      </c>
      <c r="E38" s="114">
        <v>0</v>
      </c>
      <c r="F38" s="114">
        <v>0</v>
      </c>
      <c r="G38" s="114">
        <v>0</v>
      </c>
      <c r="H38" s="114">
        <v>0</v>
      </c>
      <c r="I38" s="114">
        <v>0</v>
      </c>
      <c r="J38" s="114">
        <v>0</v>
      </c>
      <c r="K38" s="114">
        <v>-3490.94</v>
      </c>
      <c r="L38" s="114">
        <v>0</v>
      </c>
      <c r="M38" s="114">
        <v>0</v>
      </c>
    </row>
    <row r="39" spans="1:13" ht="11.75" customHeight="1" x14ac:dyDescent="0.15">
      <c r="A39" s="115" t="s">
        <v>201</v>
      </c>
      <c r="B39" s="116">
        <f t="shared" ref="B39:M39" si="3">SUM(B36:B38)</f>
        <v>0</v>
      </c>
      <c r="C39" s="116">
        <f t="shared" si="3"/>
        <v>0</v>
      </c>
      <c r="D39" s="116">
        <f t="shared" si="3"/>
        <v>0</v>
      </c>
      <c r="E39" s="116">
        <f t="shared" si="3"/>
        <v>0</v>
      </c>
      <c r="F39" s="116">
        <f t="shared" si="3"/>
        <v>0</v>
      </c>
      <c r="G39" s="116">
        <f t="shared" si="3"/>
        <v>0</v>
      </c>
      <c r="H39" s="116">
        <f t="shared" si="3"/>
        <v>0</v>
      </c>
      <c r="I39" s="116">
        <f t="shared" si="3"/>
        <v>103.61999999999999</v>
      </c>
      <c r="J39" s="116">
        <f t="shared" si="3"/>
        <v>75.570000000000007</v>
      </c>
      <c r="K39" s="116">
        <f t="shared" si="3"/>
        <v>-3473.75</v>
      </c>
      <c r="L39" s="116">
        <f t="shared" si="3"/>
        <v>179.07000000000002</v>
      </c>
      <c r="M39" s="116">
        <f t="shared" si="3"/>
        <v>151.51</v>
      </c>
    </row>
    <row r="40" spans="1:13" ht="13.25" customHeight="1" x14ac:dyDescent="0.15"/>
    <row r="41" spans="1:13" s="110" customFormat="1" ht="13" customHeight="1" x14ac:dyDescent="0.2">
      <c r="A41" s="158" t="s">
        <v>202</v>
      </c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</row>
    <row r="42" spans="1:13" s="142" customFormat="1" ht="11.75" customHeight="1" x14ac:dyDescent="0.15">
      <c r="A42" s="143" t="s">
        <v>207</v>
      </c>
      <c r="B42" s="144">
        <v>0</v>
      </c>
      <c r="C42" s="144">
        <v>0</v>
      </c>
      <c r="D42" s="144">
        <v>0</v>
      </c>
      <c r="E42" s="144">
        <v>0</v>
      </c>
      <c r="F42" s="144">
        <v>0</v>
      </c>
      <c r="G42" s="144">
        <v>0</v>
      </c>
      <c r="H42" s="144">
        <v>0</v>
      </c>
      <c r="I42" s="144">
        <v>0</v>
      </c>
      <c r="J42" s="144">
        <v>11170</v>
      </c>
      <c r="K42" s="144">
        <v>0</v>
      </c>
      <c r="L42" s="144">
        <v>0</v>
      </c>
      <c r="M42" s="144">
        <v>0</v>
      </c>
    </row>
    <row r="43" spans="1:13" s="142" customFormat="1" ht="11.75" customHeight="1" x14ac:dyDescent="0.15">
      <c r="A43" s="140" t="s">
        <v>208</v>
      </c>
      <c r="B43" s="141">
        <v>0</v>
      </c>
      <c r="C43" s="141">
        <v>0</v>
      </c>
      <c r="D43" s="141">
        <v>0</v>
      </c>
      <c r="E43" s="141">
        <v>0</v>
      </c>
      <c r="F43" s="141">
        <v>0</v>
      </c>
      <c r="G43" s="141">
        <v>0</v>
      </c>
      <c r="H43" s="141">
        <v>0</v>
      </c>
      <c r="I43" s="141">
        <v>700</v>
      </c>
      <c r="J43" s="141">
        <v>580</v>
      </c>
      <c r="K43" s="141">
        <v>0</v>
      </c>
      <c r="L43" s="141">
        <v>0</v>
      </c>
      <c r="M43" s="141">
        <v>0</v>
      </c>
    </row>
    <row r="44" spans="1:13" s="142" customFormat="1" ht="11.75" customHeight="1" x14ac:dyDescent="0.15">
      <c r="A44" s="140" t="s">
        <v>211</v>
      </c>
      <c r="B44" s="141">
        <v>0</v>
      </c>
      <c r="C44" s="141">
        <v>0</v>
      </c>
      <c r="D44" s="141">
        <v>0</v>
      </c>
      <c r="E44" s="141">
        <v>0</v>
      </c>
      <c r="F44" s="141">
        <v>0</v>
      </c>
      <c r="G44" s="141">
        <v>0</v>
      </c>
      <c r="H44" s="141">
        <v>0</v>
      </c>
      <c r="I44" s="141">
        <v>0</v>
      </c>
      <c r="J44" s="141">
        <v>0</v>
      </c>
      <c r="K44" s="141">
        <v>0</v>
      </c>
      <c r="L44" s="141">
        <v>0</v>
      </c>
      <c r="M44" s="141">
        <v>295</v>
      </c>
    </row>
    <row r="45" spans="1:13" s="142" customFormat="1" ht="11.75" customHeight="1" x14ac:dyDescent="0.15">
      <c r="A45" s="140" t="s">
        <v>212</v>
      </c>
      <c r="B45" s="141">
        <v>0</v>
      </c>
      <c r="C45" s="141">
        <v>0</v>
      </c>
      <c r="D45" s="141">
        <v>0</v>
      </c>
      <c r="E45" s="141">
        <v>0</v>
      </c>
      <c r="F45" s="141">
        <v>0</v>
      </c>
      <c r="G45" s="141">
        <v>0</v>
      </c>
      <c r="H45" s="141">
        <v>0</v>
      </c>
      <c r="I45" s="141">
        <v>0</v>
      </c>
      <c r="J45" s="141">
        <v>885</v>
      </c>
      <c r="K45" s="141">
        <v>0</v>
      </c>
      <c r="L45" s="141">
        <v>0</v>
      </c>
      <c r="M45" s="141">
        <v>712</v>
      </c>
    </row>
    <row r="46" spans="1:13" s="142" customFormat="1" ht="11.75" customHeight="1" x14ac:dyDescent="0.15">
      <c r="A46" s="140" t="s">
        <v>213</v>
      </c>
      <c r="B46" s="141">
        <v>0</v>
      </c>
      <c r="C46" s="141">
        <v>0</v>
      </c>
      <c r="D46" s="141">
        <v>0</v>
      </c>
      <c r="E46" s="141">
        <v>0</v>
      </c>
      <c r="F46" s="141">
        <v>0</v>
      </c>
      <c r="G46" s="141">
        <v>0</v>
      </c>
      <c r="H46" s="141">
        <v>0</v>
      </c>
      <c r="I46" s="141">
        <v>3450</v>
      </c>
      <c r="J46" s="141">
        <v>1200</v>
      </c>
      <c r="K46" s="141">
        <v>0</v>
      </c>
      <c r="L46" s="141">
        <v>0</v>
      </c>
      <c r="M46" s="141">
        <v>0</v>
      </c>
    </row>
    <row r="47" spans="1:13" s="142" customFormat="1" ht="11.75" customHeight="1" x14ac:dyDescent="0.15">
      <c r="A47" s="140" t="s">
        <v>214</v>
      </c>
      <c r="B47" s="141">
        <v>0</v>
      </c>
      <c r="C47" s="141">
        <v>0</v>
      </c>
      <c r="D47" s="141">
        <v>0</v>
      </c>
      <c r="E47" s="141">
        <v>0</v>
      </c>
      <c r="F47" s="141">
        <v>0</v>
      </c>
      <c r="G47" s="141">
        <v>0</v>
      </c>
      <c r="H47" s="141">
        <v>0</v>
      </c>
      <c r="I47" s="141">
        <v>1918.65</v>
      </c>
      <c r="J47" s="141">
        <v>1821.46</v>
      </c>
      <c r="K47" s="141">
        <v>1869.9</v>
      </c>
      <c r="L47" s="141">
        <v>1777.27</v>
      </c>
      <c r="M47" s="141">
        <v>1931.46</v>
      </c>
    </row>
    <row r="48" spans="1:13" ht="11.75" customHeight="1" x14ac:dyDescent="0.15">
      <c r="A48" s="113" t="s">
        <v>215</v>
      </c>
      <c r="B48" s="114">
        <v>0</v>
      </c>
      <c r="C48" s="114">
        <v>0</v>
      </c>
      <c r="D48" s="114">
        <v>0</v>
      </c>
      <c r="E48" s="114">
        <v>0</v>
      </c>
      <c r="F48" s="114">
        <v>0</v>
      </c>
      <c r="G48" s="114">
        <v>0</v>
      </c>
      <c r="H48" s="114">
        <v>0</v>
      </c>
      <c r="I48" s="114">
        <v>0</v>
      </c>
      <c r="J48" s="114">
        <v>0</v>
      </c>
      <c r="K48" s="114">
        <v>3007.35</v>
      </c>
      <c r="L48" s="114">
        <v>7034</v>
      </c>
      <c r="M48" s="114">
        <v>5034</v>
      </c>
    </row>
    <row r="49" spans="1:13" ht="11.75" customHeight="1" x14ac:dyDescent="0.15">
      <c r="A49" s="113" t="s">
        <v>216</v>
      </c>
      <c r="B49" s="114">
        <v>0</v>
      </c>
      <c r="C49" s="114">
        <v>0</v>
      </c>
      <c r="D49" s="114">
        <v>0</v>
      </c>
      <c r="E49" s="114">
        <v>0</v>
      </c>
      <c r="F49" s="114">
        <v>0</v>
      </c>
      <c r="G49" s="114">
        <v>0</v>
      </c>
      <c r="H49" s="114">
        <v>0</v>
      </c>
      <c r="I49" s="114">
        <v>0</v>
      </c>
      <c r="J49" s="114">
        <v>0</v>
      </c>
      <c r="K49" s="114">
        <v>1011.6</v>
      </c>
      <c r="L49" s="114">
        <v>1775.25</v>
      </c>
      <c r="M49" s="114">
        <v>1775.25</v>
      </c>
    </row>
    <row r="50" spans="1:13" s="142" customFormat="1" ht="11.75" customHeight="1" x14ac:dyDescent="0.15">
      <c r="A50" s="140" t="s">
        <v>218</v>
      </c>
      <c r="B50" s="141">
        <v>0</v>
      </c>
      <c r="C50" s="141">
        <v>0</v>
      </c>
      <c r="D50" s="141">
        <v>0</v>
      </c>
      <c r="E50" s="141">
        <v>0</v>
      </c>
      <c r="F50" s="141">
        <v>0</v>
      </c>
      <c r="G50" s="141">
        <v>0</v>
      </c>
      <c r="H50" s="141">
        <v>0</v>
      </c>
      <c r="I50" s="141">
        <v>78.239999999999995</v>
      </c>
      <c r="J50" s="141">
        <v>0</v>
      </c>
      <c r="K50" s="141">
        <v>78.25</v>
      </c>
      <c r="L50" s="141">
        <v>0</v>
      </c>
      <c r="M50" s="141">
        <v>355.4</v>
      </c>
    </row>
    <row r="51" spans="1:13" s="142" customFormat="1" ht="11.75" customHeight="1" x14ac:dyDescent="0.15">
      <c r="A51" s="140" t="s">
        <v>219</v>
      </c>
      <c r="B51" s="141">
        <v>0</v>
      </c>
      <c r="C51" s="141">
        <v>0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141">
        <v>3130</v>
      </c>
      <c r="J51" s="141">
        <v>4230</v>
      </c>
      <c r="K51" s="141">
        <v>3130</v>
      </c>
      <c r="L51" s="141">
        <v>2532</v>
      </c>
      <c r="M51" s="141">
        <v>5177</v>
      </c>
    </row>
    <row r="52" spans="1:13" s="142" customFormat="1" ht="11.75" customHeight="1" x14ac:dyDescent="0.15">
      <c r="A52" s="140" t="s">
        <v>220</v>
      </c>
      <c r="B52" s="141">
        <v>0</v>
      </c>
      <c r="C52" s="141">
        <v>0</v>
      </c>
      <c r="D52" s="141">
        <v>0</v>
      </c>
      <c r="E52" s="141">
        <v>0</v>
      </c>
      <c r="F52" s="141">
        <v>0</v>
      </c>
      <c r="G52" s="141">
        <v>0</v>
      </c>
      <c r="H52" s="141">
        <v>0</v>
      </c>
      <c r="I52" s="141">
        <v>749</v>
      </c>
      <c r="J52" s="141">
        <v>0</v>
      </c>
      <c r="K52" s="141">
        <v>1999.13</v>
      </c>
      <c r="L52" s="141">
        <v>0</v>
      </c>
      <c r="M52" s="141">
        <v>1604.52</v>
      </c>
    </row>
    <row r="53" spans="1:13" ht="11.75" customHeight="1" x14ac:dyDescent="0.15">
      <c r="A53" s="113" t="s">
        <v>222</v>
      </c>
      <c r="B53" s="114">
        <v>0</v>
      </c>
      <c r="C53" s="114">
        <v>0</v>
      </c>
      <c r="D53" s="114">
        <v>0</v>
      </c>
      <c r="E53" s="114">
        <v>0</v>
      </c>
      <c r="F53" s="114">
        <v>0</v>
      </c>
      <c r="G53" s="114">
        <v>0</v>
      </c>
      <c r="H53" s="114">
        <v>0</v>
      </c>
      <c r="I53" s="114">
        <v>119527</v>
      </c>
      <c r="J53" s="114">
        <v>119527</v>
      </c>
      <c r="K53" s="114">
        <v>119527</v>
      </c>
      <c r="L53" s="114">
        <v>110452</v>
      </c>
      <c r="M53" s="114">
        <v>144016.70000000001</v>
      </c>
    </row>
    <row r="54" spans="1:13" s="142" customFormat="1" ht="11.75" customHeight="1" x14ac:dyDescent="0.15">
      <c r="A54" s="140" t="s">
        <v>225</v>
      </c>
      <c r="B54" s="141">
        <v>0</v>
      </c>
      <c r="C54" s="141">
        <v>0</v>
      </c>
      <c r="D54" s="141">
        <v>0</v>
      </c>
      <c r="E54" s="141">
        <v>0</v>
      </c>
      <c r="F54" s="141">
        <v>0</v>
      </c>
      <c r="G54" s="141">
        <v>0</v>
      </c>
      <c r="H54" s="141">
        <v>0</v>
      </c>
      <c r="I54" s="141">
        <v>0</v>
      </c>
      <c r="J54" s="141">
        <v>0</v>
      </c>
      <c r="K54" s="141">
        <v>86.09</v>
      </c>
      <c r="L54" s="141">
        <v>0</v>
      </c>
      <c r="M54" s="141">
        <v>0</v>
      </c>
    </row>
    <row r="55" spans="1:13" ht="11.75" customHeight="1" x14ac:dyDescent="0.15">
      <c r="A55" s="113" t="s">
        <v>226</v>
      </c>
      <c r="B55" s="114">
        <v>0</v>
      </c>
      <c r="C55" s="114">
        <v>0</v>
      </c>
      <c r="D55" s="114">
        <v>0</v>
      </c>
      <c r="E55" s="114">
        <v>0</v>
      </c>
      <c r="F55" s="114">
        <v>0</v>
      </c>
      <c r="G55" s="114">
        <v>0</v>
      </c>
      <c r="H55" s="114">
        <v>0</v>
      </c>
      <c r="I55" s="114">
        <v>3323.92</v>
      </c>
      <c r="J55" s="114">
        <v>3323.88</v>
      </c>
      <c r="K55" s="114">
        <v>3323.91</v>
      </c>
      <c r="L55" s="114">
        <v>3323.88</v>
      </c>
      <c r="M55" s="114">
        <v>3323.91</v>
      </c>
    </row>
    <row r="56" spans="1:13" ht="11.75" customHeight="1" x14ac:dyDescent="0.15">
      <c r="A56" s="113" t="s">
        <v>227</v>
      </c>
      <c r="B56" s="114">
        <v>0</v>
      </c>
      <c r="C56" s="114">
        <v>0</v>
      </c>
      <c r="D56" s="114">
        <v>0</v>
      </c>
      <c r="E56" s="114">
        <v>0</v>
      </c>
      <c r="F56" s="114">
        <v>0</v>
      </c>
      <c r="G56" s="114">
        <v>0</v>
      </c>
      <c r="H56" s="114">
        <v>0</v>
      </c>
      <c r="I56" s="114">
        <v>547.69000000000005</v>
      </c>
      <c r="J56" s="114">
        <v>547.66999999999996</v>
      </c>
      <c r="K56" s="114">
        <v>547.67999999999995</v>
      </c>
      <c r="L56" s="114">
        <v>547.66999999999996</v>
      </c>
      <c r="M56" s="114">
        <v>547.67999999999995</v>
      </c>
    </row>
    <row r="57" spans="1:13" ht="11.75" customHeight="1" x14ac:dyDescent="0.15">
      <c r="A57" s="113" t="s">
        <v>228</v>
      </c>
      <c r="B57" s="114">
        <v>0</v>
      </c>
      <c r="C57" s="114">
        <v>0</v>
      </c>
      <c r="D57" s="114">
        <v>0</v>
      </c>
      <c r="E57" s="114">
        <v>0</v>
      </c>
      <c r="F57" s="114">
        <v>0</v>
      </c>
      <c r="G57" s="114">
        <v>0</v>
      </c>
      <c r="H57" s="114">
        <v>0</v>
      </c>
      <c r="I57" s="114">
        <v>1188.71</v>
      </c>
      <c r="J57" s="114">
        <v>1188.69</v>
      </c>
      <c r="K57" s="114">
        <v>1188.7</v>
      </c>
      <c r="L57" s="114">
        <v>193.34</v>
      </c>
      <c r="M57" s="114">
        <v>193.33</v>
      </c>
    </row>
    <row r="58" spans="1:13" ht="11.75" customHeight="1" x14ac:dyDescent="0.15">
      <c r="A58" s="113" t="s">
        <v>230</v>
      </c>
      <c r="B58" s="114">
        <v>0</v>
      </c>
      <c r="C58" s="114">
        <v>0</v>
      </c>
      <c r="D58" s="114">
        <v>0</v>
      </c>
      <c r="E58" s="114">
        <v>0</v>
      </c>
      <c r="F58" s="114">
        <v>0</v>
      </c>
      <c r="G58" s="114">
        <v>0</v>
      </c>
      <c r="H58" s="114">
        <v>0</v>
      </c>
      <c r="I58" s="114">
        <v>7214.2</v>
      </c>
      <c r="J58" s="114">
        <v>6082.97</v>
      </c>
      <c r="K58" s="114">
        <v>5058.34</v>
      </c>
      <c r="L58" s="114">
        <v>6676.08</v>
      </c>
      <c r="M58" s="114">
        <v>7428.07</v>
      </c>
    </row>
    <row r="59" spans="1:13" s="142" customFormat="1" ht="11.75" customHeight="1" x14ac:dyDescent="0.15">
      <c r="A59" s="140" t="s">
        <v>234</v>
      </c>
      <c r="B59" s="141">
        <v>0</v>
      </c>
      <c r="C59" s="141">
        <v>0</v>
      </c>
      <c r="D59" s="141">
        <v>0</v>
      </c>
      <c r="E59" s="141">
        <v>0</v>
      </c>
      <c r="F59" s="141">
        <v>0</v>
      </c>
      <c r="G59" s="141">
        <v>0</v>
      </c>
      <c r="H59" s="141">
        <v>0</v>
      </c>
      <c r="I59" s="141">
        <v>2063.15</v>
      </c>
      <c r="J59" s="141">
        <v>2089.86</v>
      </c>
      <c r="K59" s="141">
        <v>0</v>
      </c>
      <c r="L59" s="141">
        <v>4275.67</v>
      </c>
      <c r="M59" s="141">
        <v>1458.74</v>
      </c>
    </row>
    <row r="60" spans="1:13" s="142" customFormat="1" ht="11.75" customHeight="1" x14ac:dyDescent="0.15">
      <c r="A60" s="140" t="s">
        <v>240</v>
      </c>
      <c r="B60" s="141">
        <v>0</v>
      </c>
      <c r="C60" s="141">
        <v>0</v>
      </c>
      <c r="D60" s="141">
        <v>0</v>
      </c>
      <c r="E60" s="141">
        <v>0</v>
      </c>
      <c r="F60" s="141">
        <v>0</v>
      </c>
      <c r="G60" s="141">
        <v>0</v>
      </c>
      <c r="H60" s="141">
        <v>0</v>
      </c>
      <c r="I60" s="141">
        <v>0</v>
      </c>
      <c r="J60" s="141">
        <v>0</v>
      </c>
      <c r="K60" s="141">
        <v>0</v>
      </c>
      <c r="L60" s="141">
        <v>5202.88</v>
      </c>
      <c r="M60" s="141">
        <v>0</v>
      </c>
    </row>
    <row r="61" spans="1:13" s="142" customFormat="1" ht="11.75" customHeight="1" x14ac:dyDescent="0.15">
      <c r="A61" s="140" t="s">
        <v>241</v>
      </c>
      <c r="B61" s="141">
        <v>0</v>
      </c>
      <c r="C61" s="141">
        <v>0</v>
      </c>
      <c r="D61" s="141">
        <v>0</v>
      </c>
      <c r="E61" s="141">
        <v>0</v>
      </c>
      <c r="F61" s="141">
        <v>0</v>
      </c>
      <c r="G61" s="141">
        <v>0</v>
      </c>
      <c r="H61" s="141">
        <v>0</v>
      </c>
      <c r="I61" s="141">
        <v>0</v>
      </c>
      <c r="J61" s="141">
        <v>1069</v>
      </c>
      <c r="K61" s="141">
        <v>0</v>
      </c>
      <c r="L61" s="141">
        <v>0</v>
      </c>
      <c r="M61" s="141">
        <v>0</v>
      </c>
    </row>
    <row r="62" spans="1:13" s="142" customFormat="1" ht="11.75" customHeight="1" x14ac:dyDescent="0.15">
      <c r="A62" s="140" t="s">
        <v>242</v>
      </c>
      <c r="B62" s="141">
        <v>0</v>
      </c>
      <c r="C62" s="141">
        <v>0</v>
      </c>
      <c r="D62" s="141">
        <v>0</v>
      </c>
      <c r="E62" s="141">
        <v>0</v>
      </c>
      <c r="F62" s="141">
        <v>0</v>
      </c>
      <c r="G62" s="141">
        <v>0</v>
      </c>
      <c r="H62" s="141">
        <v>0</v>
      </c>
      <c r="I62" s="141">
        <v>4022.51</v>
      </c>
      <c r="J62" s="141">
        <v>3175.51</v>
      </c>
      <c r="K62" s="141">
        <v>4892.22</v>
      </c>
      <c r="L62" s="141">
        <v>7124.28</v>
      </c>
      <c r="M62" s="141">
        <v>5589.51</v>
      </c>
    </row>
    <row r="63" spans="1:13" s="142" customFormat="1" ht="11.75" customHeight="1" x14ac:dyDescent="0.15">
      <c r="A63" s="140" t="s">
        <v>244</v>
      </c>
      <c r="B63" s="141">
        <v>0</v>
      </c>
      <c r="C63" s="141">
        <v>0</v>
      </c>
      <c r="D63" s="141">
        <v>0</v>
      </c>
      <c r="E63" s="141">
        <v>0</v>
      </c>
      <c r="F63" s="141">
        <v>0</v>
      </c>
      <c r="G63" s="141">
        <v>0</v>
      </c>
      <c r="H63" s="141">
        <v>0</v>
      </c>
      <c r="I63" s="141">
        <v>0</v>
      </c>
      <c r="J63" s="141">
        <v>0</v>
      </c>
      <c r="K63" s="141">
        <v>0</v>
      </c>
      <c r="L63" s="141">
        <v>362</v>
      </c>
      <c r="M63" s="141">
        <v>0</v>
      </c>
    </row>
    <row r="64" spans="1:13" ht="11.75" customHeight="1" x14ac:dyDescent="0.15">
      <c r="A64" s="113" t="s">
        <v>245</v>
      </c>
      <c r="B64" s="114">
        <v>0</v>
      </c>
      <c r="C64" s="114">
        <v>0</v>
      </c>
      <c r="D64" s="114">
        <v>0</v>
      </c>
      <c r="E64" s="114">
        <v>0</v>
      </c>
      <c r="F64" s="114">
        <v>0</v>
      </c>
      <c r="G64" s="114">
        <v>0</v>
      </c>
      <c r="H64" s="114">
        <v>0</v>
      </c>
      <c r="I64" s="114">
        <v>82564.37</v>
      </c>
      <c r="J64" s="114">
        <v>82763.78</v>
      </c>
      <c r="K64" s="114">
        <v>77215.960000000006</v>
      </c>
      <c r="L64" s="114">
        <v>76990.11</v>
      </c>
      <c r="M64" s="114">
        <v>75818.38</v>
      </c>
    </row>
    <row r="65" spans="1:13" s="142" customFormat="1" ht="11.75" customHeight="1" x14ac:dyDescent="0.15">
      <c r="A65" s="140" t="s">
        <v>246</v>
      </c>
      <c r="B65" s="141">
        <v>0</v>
      </c>
      <c r="C65" s="141">
        <v>0</v>
      </c>
      <c r="D65" s="141">
        <v>0</v>
      </c>
      <c r="E65" s="141">
        <v>0</v>
      </c>
      <c r="F65" s="141">
        <v>0</v>
      </c>
      <c r="G65" s="141">
        <v>0</v>
      </c>
      <c r="H65" s="141">
        <v>0</v>
      </c>
      <c r="I65" s="141">
        <v>1459.35</v>
      </c>
      <c r="J65" s="141">
        <v>704.96</v>
      </c>
      <c r="K65" s="141">
        <v>2190.96</v>
      </c>
      <c r="L65" s="141">
        <v>1777.93</v>
      </c>
      <c r="M65" s="141">
        <v>1375.3</v>
      </c>
    </row>
    <row r="66" spans="1:13" s="142" customFormat="1" ht="11.75" customHeight="1" x14ac:dyDescent="0.15">
      <c r="A66" s="140" t="s">
        <v>247</v>
      </c>
      <c r="B66" s="141">
        <v>0</v>
      </c>
      <c r="C66" s="141">
        <v>0</v>
      </c>
      <c r="D66" s="141">
        <v>0</v>
      </c>
      <c r="E66" s="141">
        <v>0</v>
      </c>
      <c r="F66" s="141">
        <v>0</v>
      </c>
      <c r="G66" s="141">
        <v>0</v>
      </c>
      <c r="H66" s="141">
        <v>0</v>
      </c>
      <c r="I66" s="141">
        <v>5699.68</v>
      </c>
      <c r="J66" s="141">
        <v>4327.12</v>
      </c>
      <c r="K66" s="141">
        <v>2190.86</v>
      </c>
      <c r="L66" s="141">
        <v>1173.9100000000001</v>
      </c>
      <c r="M66" s="141">
        <v>2299.13</v>
      </c>
    </row>
    <row r="67" spans="1:13" ht="11.75" customHeight="1" x14ac:dyDescent="0.15">
      <c r="A67" s="113" t="s">
        <v>125</v>
      </c>
      <c r="B67" s="114">
        <v>0</v>
      </c>
      <c r="C67" s="114">
        <v>0</v>
      </c>
      <c r="D67" s="114">
        <v>0</v>
      </c>
      <c r="E67" s="114">
        <v>0</v>
      </c>
      <c r="F67" s="114">
        <v>0</v>
      </c>
      <c r="G67" s="114">
        <v>0</v>
      </c>
      <c r="H67" s="114">
        <v>0</v>
      </c>
      <c r="I67" s="114">
        <v>843.6</v>
      </c>
      <c r="J67" s="114">
        <v>843.6</v>
      </c>
      <c r="K67" s="114">
        <v>843.6</v>
      </c>
      <c r="L67" s="114">
        <v>843.6</v>
      </c>
      <c r="M67" s="114">
        <v>843.6</v>
      </c>
    </row>
    <row r="68" spans="1:13" ht="11.75" customHeight="1" x14ac:dyDescent="0.15">
      <c r="A68" s="113" t="s">
        <v>248</v>
      </c>
      <c r="B68" s="114">
        <v>0</v>
      </c>
      <c r="C68" s="114">
        <v>0</v>
      </c>
      <c r="D68" s="114">
        <v>0</v>
      </c>
      <c r="E68" s="114">
        <v>0</v>
      </c>
      <c r="F68" s="114">
        <v>0</v>
      </c>
      <c r="G68" s="114">
        <v>0</v>
      </c>
      <c r="H68" s="114">
        <v>0</v>
      </c>
      <c r="I68" s="114">
        <v>29600</v>
      </c>
      <c r="J68" s="114">
        <v>29600</v>
      </c>
      <c r="K68" s="114">
        <v>29600</v>
      </c>
      <c r="L68" s="114">
        <v>29600</v>
      </c>
      <c r="M68" s="114">
        <v>29600</v>
      </c>
    </row>
    <row r="69" spans="1:13" s="142" customFormat="1" ht="11.75" customHeight="1" x14ac:dyDescent="0.15">
      <c r="A69" s="140" t="s">
        <v>249</v>
      </c>
      <c r="B69" s="141">
        <v>0</v>
      </c>
      <c r="C69" s="141">
        <v>0</v>
      </c>
      <c r="D69" s="141">
        <v>0</v>
      </c>
      <c r="E69" s="141">
        <v>0</v>
      </c>
      <c r="F69" s="141">
        <v>0</v>
      </c>
      <c r="G69" s="141">
        <v>0</v>
      </c>
      <c r="H69" s="141">
        <v>0</v>
      </c>
      <c r="I69" s="141">
        <v>5400</v>
      </c>
      <c r="J69" s="141">
        <v>155</v>
      </c>
      <c r="K69" s="141">
        <v>2121.6</v>
      </c>
      <c r="L69" s="141">
        <v>750</v>
      </c>
      <c r="M69" s="141">
        <v>6352.8</v>
      </c>
    </row>
    <row r="70" spans="1:13" ht="11.75" customHeight="1" x14ac:dyDescent="0.15">
      <c r="A70" s="113" t="s">
        <v>250</v>
      </c>
      <c r="B70" s="114">
        <v>0</v>
      </c>
      <c r="C70" s="114">
        <v>0</v>
      </c>
      <c r="D70" s="114">
        <v>0</v>
      </c>
      <c r="E70" s="114">
        <v>0</v>
      </c>
      <c r="F70" s="114">
        <v>0</v>
      </c>
      <c r="G70" s="114">
        <v>0</v>
      </c>
      <c r="H70" s="114">
        <v>0</v>
      </c>
      <c r="I70" s="114">
        <v>0</v>
      </c>
      <c r="J70" s="114">
        <v>0</v>
      </c>
      <c r="K70" s="114">
        <v>5192.13</v>
      </c>
      <c r="L70" s="114">
        <v>0</v>
      </c>
      <c r="M70" s="114">
        <v>0</v>
      </c>
    </row>
    <row r="71" spans="1:13" ht="11.75" customHeight="1" x14ac:dyDescent="0.15">
      <c r="A71" s="113" t="s">
        <v>251</v>
      </c>
      <c r="B71" s="114">
        <v>0</v>
      </c>
      <c r="C71" s="114">
        <v>0</v>
      </c>
      <c r="D71" s="114">
        <v>0</v>
      </c>
      <c r="E71" s="114">
        <v>0</v>
      </c>
      <c r="F71" s="114">
        <v>0</v>
      </c>
      <c r="G71" s="114">
        <v>0</v>
      </c>
      <c r="H71" s="114">
        <v>0</v>
      </c>
      <c r="I71" s="114">
        <v>377867.45</v>
      </c>
      <c r="J71" s="114">
        <v>373109.3</v>
      </c>
      <c r="K71" s="114">
        <v>333418.53999999998</v>
      </c>
      <c r="L71" s="114">
        <v>327361.08</v>
      </c>
      <c r="M71" s="114">
        <v>311179.65999999997</v>
      </c>
    </row>
    <row r="72" spans="1:13" ht="11.75" customHeight="1" x14ac:dyDescent="0.15">
      <c r="A72" s="113" t="s">
        <v>253</v>
      </c>
      <c r="B72" s="114">
        <v>0</v>
      </c>
      <c r="C72" s="114">
        <v>0</v>
      </c>
      <c r="D72" s="114">
        <v>0</v>
      </c>
      <c r="E72" s="114">
        <v>0</v>
      </c>
      <c r="F72" s="114">
        <v>0</v>
      </c>
      <c r="G72" s="114">
        <v>0</v>
      </c>
      <c r="H72" s="114">
        <v>0</v>
      </c>
      <c r="I72" s="114">
        <v>4480.7700000000004</v>
      </c>
      <c r="J72" s="114">
        <v>4434.6400000000003</v>
      </c>
      <c r="K72" s="114">
        <v>3980.49</v>
      </c>
      <c r="L72" s="114">
        <v>3918.5</v>
      </c>
      <c r="M72" s="114">
        <v>3744.13</v>
      </c>
    </row>
    <row r="73" spans="1:13" s="142" customFormat="1" ht="11.75" customHeight="1" x14ac:dyDescent="0.15">
      <c r="A73" s="140" t="s">
        <v>254</v>
      </c>
      <c r="B73" s="141">
        <v>0</v>
      </c>
      <c r="C73" s="141">
        <v>0</v>
      </c>
      <c r="D73" s="141">
        <v>0</v>
      </c>
      <c r="E73" s="141">
        <v>0</v>
      </c>
      <c r="F73" s="141">
        <v>0</v>
      </c>
      <c r="G73" s="141">
        <v>0</v>
      </c>
      <c r="H73" s="141">
        <v>0</v>
      </c>
      <c r="I73" s="141">
        <v>4000</v>
      </c>
      <c r="J73" s="141">
        <v>0</v>
      </c>
      <c r="K73" s="141">
        <v>0</v>
      </c>
      <c r="L73" s="141">
        <v>0</v>
      </c>
      <c r="M73" s="141">
        <v>0</v>
      </c>
    </row>
    <row r="74" spans="1:13" s="142" customFormat="1" ht="11.75" customHeight="1" x14ac:dyDescent="0.15">
      <c r="A74" s="140" t="s">
        <v>132</v>
      </c>
      <c r="B74" s="141">
        <v>0</v>
      </c>
      <c r="C74" s="141">
        <v>0</v>
      </c>
      <c r="D74" s="141">
        <v>0</v>
      </c>
      <c r="E74" s="141">
        <v>0</v>
      </c>
      <c r="F74" s="141">
        <v>0</v>
      </c>
      <c r="G74" s="141">
        <v>0</v>
      </c>
      <c r="H74" s="141">
        <v>0</v>
      </c>
      <c r="I74" s="141">
        <v>177.33</v>
      </c>
      <c r="J74" s="141">
        <v>177.33</v>
      </c>
      <c r="K74" s="141">
        <v>177.33</v>
      </c>
      <c r="L74" s="141">
        <v>177.33</v>
      </c>
      <c r="M74" s="141">
        <v>177.33</v>
      </c>
    </row>
    <row r="75" spans="1:13" s="142" customFormat="1" ht="11.75" customHeight="1" x14ac:dyDescent="0.15">
      <c r="A75" s="140" t="s">
        <v>255</v>
      </c>
      <c r="B75" s="141">
        <v>0</v>
      </c>
      <c r="C75" s="141">
        <v>0</v>
      </c>
      <c r="D75" s="141">
        <v>0</v>
      </c>
      <c r="E75" s="141">
        <v>0</v>
      </c>
      <c r="F75" s="141">
        <v>0</v>
      </c>
      <c r="G75" s="141">
        <v>0</v>
      </c>
      <c r="H75" s="141">
        <v>0</v>
      </c>
      <c r="I75" s="141">
        <v>2165.59</v>
      </c>
      <c r="J75" s="141">
        <v>4172.17</v>
      </c>
      <c r="K75" s="141">
        <v>607.83000000000004</v>
      </c>
      <c r="L75" s="141">
        <v>1600</v>
      </c>
      <c r="M75" s="141">
        <v>833.91</v>
      </c>
    </row>
    <row r="76" spans="1:13" s="142" customFormat="1" ht="11.75" customHeight="1" x14ac:dyDescent="0.15">
      <c r="A76" s="140" t="s">
        <v>257</v>
      </c>
      <c r="B76" s="141">
        <v>0</v>
      </c>
      <c r="C76" s="141">
        <v>0</v>
      </c>
      <c r="D76" s="141">
        <v>0</v>
      </c>
      <c r="E76" s="141">
        <v>0</v>
      </c>
      <c r="F76" s="141">
        <v>0</v>
      </c>
      <c r="G76" s="141">
        <v>0</v>
      </c>
      <c r="H76" s="141">
        <v>0</v>
      </c>
      <c r="I76" s="141">
        <v>4892.5600000000004</v>
      </c>
      <c r="J76" s="141">
        <v>2814.73</v>
      </c>
      <c r="K76" s="141">
        <v>2227.4</v>
      </c>
      <c r="L76" s="141">
        <v>244.98</v>
      </c>
      <c r="M76" s="141">
        <v>0</v>
      </c>
    </row>
    <row r="77" spans="1:13" s="142" customFormat="1" ht="11.75" customHeight="1" x14ac:dyDescent="0.15">
      <c r="A77" s="140" t="s">
        <v>260</v>
      </c>
      <c r="B77" s="141">
        <v>0</v>
      </c>
      <c r="C77" s="141">
        <v>0</v>
      </c>
      <c r="D77" s="141">
        <v>0</v>
      </c>
      <c r="E77" s="141">
        <v>0</v>
      </c>
      <c r="F77" s="141">
        <v>0</v>
      </c>
      <c r="G77" s="141">
        <v>0</v>
      </c>
      <c r="H77" s="141">
        <v>0</v>
      </c>
      <c r="I77" s="141">
        <v>847</v>
      </c>
      <c r="J77" s="141">
        <v>847</v>
      </c>
      <c r="K77" s="141">
        <v>937.23</v>
      </c>
      <c r="L77" s="141">
        <v>803.5</v>
      </c>
      <c r="M77" s="141">
        <v>605</v>
      </c>
    </row>
    <row r="78" spans="1:13" s="142" customFormat="1" ht="11.75" customHeight="1" x14ac:dyDescent="0.15">
      <c r="A78" s="140" t="s">
        <v>261</v>
      </c>
      <c r="B78" s="141">
        <v>0</v>
      </c>
      <c r="C78" s="141">
        <v>0</v>
      </c>
      <c r="D78" s="141">
        <v>0</v>
      </c>
      <c r="E78" s="141">
        <v>0</v>
      </c>
      <c r="F78" s="141">
        <v>0</v>
      </c>
      <c r="G78" s="141">
        <v>0</v>
      </c>
      <c r="H78" s="141">
        <v>0</v>
      </c>
      <c r="I78" s="141">
        <v>0</v>
      </c>
      <c r="J78" s="141">
        <v>0</v>
      </c>
      <c r="K78" s="141">
        <v>0</v>
      </c>
      <c r="L78" s="141">
        <v>0</v>
      </c>
      <c r="M78" s="141">
        <v>10825.49</v>
      </c>
    </row>
    <row r="79" spans="1:13" s="142" customFormat="1" ht="11.75" customHeight="1" x14ac:dyDescent="0.15">
      <c r="A79" s="140" t="s">
        <v>262</v>
      </c>
      <c r="B79" s="141">
        <v>0</v>
      </c>
      <c r="C79" s="141">
        <v>0</v>
      </c>
      <c r="D79" s="141">
        <v>0</v>
      </c>
      <c r="E79" s="141">
        <v>0</v>
      </c>
      <c r="F79" s="141">
        <v>0</v>
      </c>
      <c r="G79" s="141">
        <v>0</v>
      </c>
      <c r="H79" s="141">
        <v>0</v>
      </c>
      <c r="I79" s="141">
        <v>747</v>
      </c>
      <c r="J79" s="141">
        <v>747</v>
      </c>
      <c r="K79" s="141">
        <v>747</v>
      </c>
      <c r="L79" s="141">
        <v>747</v>
      </c>
      <c r="M79" s="141">
        <v>747</v>
      </c>
    </row>
    <row r="80" spans="1:13" s="142" customFormat="1" ht="11.75" customHeight="1" x14ac:dyDescent="0.15">
      <c r="A80" s="140" t="s">
        <v>263</v>
      </c>
      <c r="B80" s="141">
        <v>0</v>
      </c>
      <c r="C80" s="141">
        <v>0</v>
      </c>
      <c r="D80" s="141">
        <v>0</v>
      </c>
      <c r="E80" s="141">
        <v>0</v>
      </c>
      <c r="F80" s="141">
        <v>0</v>
      </c>
      <c r="G80" s="141">
        <v>0</v>
      </c>
      <c r="H80" s="141">
        <v>0</v>
      </c>
      <c r="I80" s="141">
        <v>600</v>
      </c>
      <c r="J80" s="141">
        <v>600</v>
      </c>
      <c r="K80" s="141">
        <v>600</v>
      </c>
      <c r="L80" s="141">
        <v>600</v>
      </c>
      <c r="M80" s="141">
        <v>600</v>
      </c>
    </row>
    <row r="81" spans="1:13" s="142" customFormat="1" ht="11.75" customHeight="1" x14ac:dyDescent="0.15">
      <c r="A81" s="140" t="s">
        <v>264</v>
      </c>
      <c r="B81" s="141">
        <v>0</v>
      </c>
      <c r="C81" s="141">
        <v>0</v>
      </c>
      <c r="D81" s="141">
        <v>0</v>
      </c>
      <c r="E81" s="141">
        <v>0</v>
      </c>
      <c r="F81" s="141">
        <v>0</v>
      </c>
      <c r="G81" s="141">
        <v>0</v>
      </c>
      <c r="H81" s="141">
        <v>0</v>
      </c>
      <c r="I81" s="141">
        <v>2162.3200000000002</v>
      </c>
      <c r="J81" s="141">
        <v>8349.65</v>
      </c>
      <c r="K81" s="141">
        <v>0</v>
      </c>
      <c r="L81" s="141">
        <v>0</v>
      </c>
      <c r="M81" s="141">
        <v>0</v>
      </c>
    </row>
    <row r="82" spans="1:13" ht="11.75" customHeight="1" x14ac:dyDescent="0.15">
      <c r="A82" s="113" t="s">
        <v>267</v>
      </c>
      <c r="B82" s="114">
        <v>0</v>
      </c>
      <c r="C82" s="114">
        <v>0</v>
      </c>
      <c r="D82" s="114">
        <v>0</v>
      </c>
      <c r="E82" s="114">
        <v>0</v>
      </c>
      <c r="F82" s="114">
        <v>0</v>
      </c>
      <c r="G82" s="114">
        <v>0</v>
      </c>
      <c r="H82" s="114">
        <v>0</v>
      </c>
      <c r="I82" s="114">
        <v>2495.21</v>
      </c>
      <c r="J82" s="114">
        <v>2442.38</v>
      </c>
      <c r="K82" s="114">
        <v>2059.1799999999998</v>
      </c>
      <c r="L82" s="114">
        <v>2003.44</v>
      </c>
      <c r="M82" s="114">
        <v>1920.62</v>
      </c>
    </row>
    <row r="83" spans="1:13" ht="11.75" customHeight="1" x14ac:dyDescent="0.15">
      <c r="A83" s="113" t="s">
        <v>268</v>
      </c>
      <c r="B83" s="114">
        <v>0</v>
      </c>
      <c r="C83" s="114">
        <v>0</v>
      </c>
      <c r="D83" s="114">
        <v>0</v>
      </c>
      <c r="E83" s="114">
        <v>0</v>
      </c>
      <c r="F83" s="114">
        <v>0</v>
      </c>
      <c r="G83" s="114">
        <v>0</v>
      </c>
      <c r="H83" s="114">
        <v>0</v>
      </c>
      <c r="I83" s="114">
        <v>2495.21</v>
      </c>
      <c r="J83" s="114">
        <v>2442.38</v>
      </c>
      <c r="K83" s="114">
        <v>2059.1799999999998</v>
      </c>
      <c r="L83" s="114">
        <v>2003.44</v>
      </c>
      <c r="M83" s="114">
        <v>1920.62</v>
      </c>
    </row>
    <row r="84" spans="1:13" ht="11.75" customHeight="1" x14ac:dyDescent="0.15">
      <c r="A84" s="115" t="s">
        <v>269</v>
      </c>
      <c r="B84" s="116">
        <f t="shared" ref="B84:M84" si="4">SUM(B42:B83)</f>
        <v>0</v>
      </c>
      <c r="C84" s="116">
        <f t="shared" si="4"/>
        <v>0</v>
      </c>
      <c r="D84" s="116">
        <f t="shared" si="4"/>
        <v>0</v>
      </c>
      <c r="E84" s="116">
        <f t="shared" si="4"/>
        <v>0</v>
      </c>
      <c r="F84" s="116">
        <f t="shared" si="4"/>
        <v>0</v>
      </c>
      <c r="G84" s="116">
        <f t="shared" si="4"/>
        <v>0</v>
      </c>
      <c r="H84" s="116">
        <f t="shared" si="4"/>
        <v>0</v>
      </c>
      <c r="I84" s="116">
        <f t="shared" si="4"/>
        <v>676410.50999999989</v>
      </c>
      <c r="J84" s="116">
        <f t="shared" si="4"/>
        <v>675422.08000000007</v>
      </c>
      <c r="K84" s="116">
        <f t="shared" si="4"/>
        <v>611889.46</v>
      </c>
      <c r="L84" s="116">
        <f t="shared" si="4"/>
        <v>601871.13999999978</v>
      </c>
      <c r="M84" s="116">
        <f t="shared" si="4"/>
        <v>628285.53999999992</v>
      </c>
    </row>
    <row r="85" spans="1:13" ht="13.25" customHeight="1" x14ac:dyDescent="0.15"/>
    <row r="86" spans="1:13" ht="11.75" customHeight="1" x14ac:dyDescent="0.15">
      <c r="A86" s="123" t="s">
        <v>270</v>
      </c>
      <c r="B86" s="124">
        <f t="shared" ref="B86:M86" si="5">((B33 + B39) - B84)</f>
        <v>-8363614.8299999991</v>
      </c>
      <c r="C86" s="124">
        <f t="shared" si="5"/>
        <v>-9081536.8600000013</v>
      </c>
      <c r="D86" s="124">
        <f t="shared" si="5"/>
        <v>-5331536.8599999994</v>
      </c>
      <c r="E86" s="124">
        <f t="shared" si="5"/>
        <v>-5331536.8599999994</v>
      </c>
      <c r="F86" s="124">
        <f t="shared" si="5"/>
        <v>-3331536.86</v>
      </c>
      <c r="G86" s="124">
        <f t="shared" si="5"/>
        <v>-3331536.86</v>
      </c>
      <c r="H86" s="124">
        <f t="shared" si="5"/>
        <v>-3331536.86</v>
      </c>
      <c r="I86" s="124">
        <f t="shared" si="5"/>
        <v>-78926.450000000419</v>
      </c>
      <c r="J86" s="124">
        <f t="shared" si="5"/>
        <v>65622.139999999315</v>
      </c>
      <c r="K86" s="124">
        <f t="shared" si="5"/>
        <v>48466.180000000168</v>
      </c>
      <c r="L86" s="124">
        <f t="shared" si="5"/>
        <v>286859.78000000073</v>
      </c>
      <c r="M86" s="124">
        <f t="shared" si="5"/>
        <v>-195964.62000000023</v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6"/>
  <sheetViews>
    <sheetView showGridLines="0" zoomScaleNormal="100" workbookViewId="0">
      <selection activeCell="M19" sqref="M19"/>
    </sheetView>
  </sheetViews>
  <sheetFormatPr baseColWidth="10" defaultColWidth="8.83203125" defaultRowHeight="12" x14ac:dyDescent="0.15"/>
  <cols>
    <col min="1" max="1" width="33" style="107" customWidth="1"/>
    <col min="2" max="2" width="9.83203125" style="107" customWidth="1"/>
    <col min="3" max="3" width="9.5" style="107" customWidth="1"/>
    <col min="4" max="5" width="9.83203125" style="107" customWidth="1"/>
    <col min="6" max="6" width="9.5" style="107" customWidth="1"/>
    <col min="7" max="8" width="9.83203125" style="107" customWidth="1"/>
    <col min="9" max="13" width="10.83203125" style="107" customWidth="1"/>
    <col min="14" max="16" width="8.83203125" style="107" customWidth="1"/>
    <col min="17" max="16384" width="8.83203125" style="107"/>
  </cols>
  <sheetData>
    <row r="1" spans="1:13" s="105" customFormat="1" ht="18" customHeight="1" x14ac:dyDescent="0.2">
      <c r="A1" s="159" t="s">
        <v>134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</row>
    <row r="2" spans="1:13" s="106" customFormat="1" ht="15.5" customHeight="1" x14ac:dyDescent="0.2">
      <c r="A2" s="161" t="s">
        <v>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1:13" s="106" customFormat="1" ht="15.5" customHeight="1" x14ac:dyDescent="0.2">
      <c r="A3" s="161" t="s">
        <v>723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</row>
    <row r="4" spans="1:13" ht="13.25" customHeight="1" x14ac:dyDescent="0.15"/>
    <row r="5" spans="1:13" s="110" customFormat="1" ht="13" customHeight="1" x14ac:dyDescent="0.15">
      <c r="A5" s="108" t="s">
        <v>136</v>
      </c>
      <c r="B5" s="138">
        <v>45689</v>
      </c>
      <c r="C5" s="138">
        <v>45658</v>
      </c>
      <c r="D5" s="138">
        <v>45627</v>
      </c>
      <c r="E5" s="138">
        <v>45597</v>
      </c>
      <c r="F5" s="138">
        <v>45566</v>
      </c>
      <c r="G5" s="138">
        <v>45536</v>
      </c>
      <c r="H5" s="138">
        <v>45505</v>
      </c>
      <c r="I5" s="138">
        <v>45474</v>
      </c>
      <c r="J5" s="138">
        <v>45444</v>
      </c>
      <c r="K5" s="138">
        <v>45413</v>
      </c>
      <c r="L5" s="138">
        <v>45383</v>
      </c>
      <c r="M5" s="138">
        <v>45352</v>
      </c>
    </row>
    <row r="6" spans="1:13" ht="13.25" customHeight="1" x14ac:dyDescent="0.15"/>
    <row r="7" spans="1:13" s="110" customFormat="1" ht="13" customHeight="1" x14ac:dyDescent="0.2">
      <c r="A7" s="158" t="s">
        <v>140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3" ht="11.75" customHeight="1" x14ac:dyDescent="0.15">
      <c r="A8" s="111" t="s">
        <v>144</v>
      </c>
      <c r="B8" s="112">
        <v>0</v>
      </c>
      <c r="C8" s="112">
        <v>0</v>
      </c>
      <c r="D8" s="112">
        <v>0</v>
      </c>
      <c r="E8" s="112">
        <v>0</v>
      </c>
      <c r="F8" s="112">
        <v>0</v>
      </c>
      <c r="G8" s="112">
        <v>0</v>
      </c>
      <c r="H8" s="112">
        <v>0</v>
      </c>
      <c r="I8" s="112">
        <v>5578067.2999999998</v>
      </c>
      <c r="J8" s="112">
        <v>3889214.05</v>
      </c>
      <c r="K8" s="112">
        <v>4774233.25</v>
      </c>
      <c r="L8" s="112">
        <v>4336497.82</v>
      </c>
      <c r="M8" s="112">
        <v>4252624.12</v>
      </c>
    </row>
    <row r="9" spans="1:13" ht="11.75" customHeight="1" x14ac:dyDescent="0.15">
      <c r="A9" s="115" t="s">
        <v>147</v>
      </c>
      <c r="B9" s="116">
        <f t="shared" ref="B9:M9" si="0">B8</f>
        <v>0</v>
      </c>
      <c r="C9" s="116">
        <f t="shared" si="0"/>
        <v>0</v>
      </c>
      <c r="D9" s="116">
        <f t="shared" si="0"/>
        <v>0</v>
      </c>
      <c r="E9" s="116">
        <f t="shared" si="0"/>
        <v>0</v>
      </c>
      <c r="F9" s="116">
        <f t="shared" si="0"/>
        <v>0</v>
      </c>
      <c r="G9" s="116">
        <f t="shared" si="0"/>
        <v>0</v>
      </c>
      <c r="H9" s="116">
        <f t="shared" si="0"/>
        <v>0</v>
      </c>
      <c r="I9" s="116">
        <f t="shared" si="0"/>
        <v>5578067.2999999998</v>
      </c>
      <c r="J9" s="116">
        <f t="shared" si="0"/>
        <v>3889214.05</v>
      </c>
      <c r="K9" s="116">
        <f t="shared" si="0"/>
        <v>4774233.25</v>
      </c>
      <c r="L9" s="116">
        <f t="shared" si="0"/>
        <v>4336497.82</v>
      </c>
      <c r="M9" s="116">
        <f t="shared" si="0"/>
        <v>4252624.12</v>
      </c>
    </row>
    <row r="10" spans="1:13" ht="13.25" customHeight="1" x14ac:dyDescent="0.15"/>
    <row r="11" spans="1:13" s="110" customFormat="1" ht="13" customHeight="1" x14ac:dyDescent="0.2">
      <c r="A11" s="158" t="s">
        <v>148</v>
      </c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</row>
    <row r="12" spans="1:13" ht="11.75" customHeight="1" x14ac:dyDescent="0.15">
      <c r="A12" s="111" t="s">
        <v>149</v>
      </c>
      <c r="B12" s="112">
        <v>0</v>
      </c>
      <c r="C12" s="112">
        <v>0</v>
      </c>
      <c r="D12" s="112">
        <v>0</v>
      </c>
      <c r="E12" s="112">
        <v>0</v>
      </c>
      <c r="F12" s="112">
        <v>0</v>
      </c>
      <c r="G12" s="112">
        <v>0</v>
      </c>
      <c r="H12" s="112">
        <v>0</v>
      </c>
      <c r="I12" s="112">
        <v>0</v>
      </c>
      <c r="J12" s="112">
        <v>0</v>
      </c>
      <c r="K12" s="112">
        <v>0</v>
      </c>
      <c r="L12" s="112">
        <v>0</v>
      </c>
      <c r="M12" s="112">
        <v>17292.48</v>
      </c>
    </row>
    <row r="13" spans="1:13" ht="11.75" customHeight="1" x14ac:dyDescent="0.15">
      <c r="A13" s="113" t="s">
        <v>150</v>
      </c>
      <c r="B13" s="114">
        <v>0</v>
      </c>
      <c r="C13" s="114">
        <v>0</v>
      </c>
      <c r="D13" s="114">
        <v>0</v>
      </c>
      <c r="E13" s="114">
        <v>0</v>
      </c>
      <c r="F13" s="114">
        <v>0</v>
      </c>
      <c r="G13" s="114">
        <v>0</v>
      </c>
      <c r="H13" s="114">
        <v>0</v>
      </c>
      <c r="I13" s="114">
        <v>0</v>
      </c>
      <c r="J13" s="114">
        <v>86.96</v>
      </c>
      <c r="K13" s="114">
        <v>0</v>
      </c>
      <c r="L13" s="114">
        <v>0</v>
      </c>
      <c r="M13" s="114">
        <v>200</v>
      </c>
    </row>
    <row r="14" spans="1:13" ht="11.75" customHeight="1" x14ac:dyDescent="0.15">
      <c r="A14" s="113" t="s">
        <v>151</v>
      </c>
      <c r="B14" s="114">
        <v>0</v>
      </c>
      <c r="C14" s="114">
        <v>0</v>
      </c>
      <c r="D14" s="114">
        <v>0</v>
      </c>
      <c r="E14" s="114">
        <v>0</v>
      </c>
      <c r="F14" s="114">
        <v>0</v>
      </c>
      <c r="G14" s="114">
        <v>0</v>
      </c>
      <c r="H14" s="114">
        <v>0</v>
      </c>
      <c r="I14" s="114">
        <v>0</v>
      </c>
      <c r="J14" s="114">
        <v>86.96</v>
      </c>
      <c r="K14" s="114">
        <v>0</v>
      </c>
      <c r="L14" s="114">
        <v>0</v>
      </c>
      <c r="M14" s="114">
        <v>0</v>
      </c>
    </row>
    <row r="15" spans="1:13" ht="11.75" customHeight="1" x14ac:dyDescent="0.15">
      <c r="A15" s="113" t="s">
        <v>160</v>
      </c>
      <c r="B15" s="114">
        <v>0</v>
      </c>
      <c r="C15" s="114">
        <v>0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760.87</v>
      </c>
    </row>
    <row r="16" spans="1:13" ht="11.75" customHeight="1" x14ac:dyDescent="0.15">
      <c r="A16" s="113" t="s">
        <v>161</v>
      </c>
      <c r="B16" s="114">
        <v>0</v>
      </c>
      <c r="C16" s="114">
        <v>0</v>
      </c>
      <c r="D16" s="114">
        <v>0</v>
      </c>
      <c r="E16" s="114">
        <v>0</v>
      </c>
      <c r="F16" s="114">
        <v>0</v>
      </c>
      <c r="G16" s="114">
        <v>0</v>
      </c>
      <c r="H16" s="114">
        <v>0</v>
      </c>
      <c r="I16" s="114">
        <v>12386.25</v>
      </c>
      <c r="J16" s="114">
        <v>16372.1</v>
      </c>
      <c r="K16" s="114">
        <v>28166.51</v>
      </c>
      <c r="L16" s="114">
        <v>1344.32</v>
      </c>
      <c r="M16" s="114">
        <v>191661.47</v>
      </c>
    </row>
    <row r="17" spans="1:13" ht="11.75" customHeight="1" x14ac:dyDescent="0.15">
      <c r="A17" s="113" t="s">
        <v>162</v>
      </c>
      <c r="B17" s="114">
        <v>0</v>
      </c>
      <c r="C17" s="114">
        <v>0</v>
      </c>
      <c r="D17" s="114">
        <v>0</v>
      </c>
      <c r="E17" s="114">
        <v>0</v>
      </c>
      <c r="F17" s="114">
        <v>0</v>
      </c>
      <c r="G17" s="114">
        <v>0</v>
      </c>
      <c r="H17" s="114">
        <v>0</v>
      </c>
      <c r="I17" s="114">
        <v>105639.65</v>
      </c>
      <c r="J17" s="114">
        <v>2570.42</v>
      </c>
      <c r="K17" s="114">
        <v>2880.57</v>
      </c>
      <c r="L17" s="114">
        <v>1250.3900000000001</v>
      </c>
      <c r="M17" s="114">
        <v>24545.15</v>
      </c>
    </row>
    <row r="18" spans="1:13" s="137" customFormat="1" ht="11.75" customHeight="1" x14ac:dyDescent="0.15">
      <c r="A18" s="135" t="s">
        <v>165</v>
      </c>
      <c r="B18" s="136">
        <v>0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</row>
    <row r="19" spans="1:13" s="137" customFormat="1" ht="11.75" customHeight="1" x14ac:dyDescent="0.15">
      <c r="A19" s="135" t="s">
        <v>167</v>
      </c>
      <c r="B19" s="136">
        <v>0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</row>
    <row r="20" spans="1:13" s="137" customFormat="1" ht="11.75" customHeight="1" x14ac:dyDescent="0.15">
      <c r="A20" s="135" t="s">
        <v>169</v>
      </c>
      <c r="B20" s="136">
        <v>0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</row>
    <row r="21" spans="1:13" s="137" customFormat="1" ht="11.75" customHeight="1" x14ac:dyDescent="0.15">
      <c r="A21" s="135" t="s">
        <v>171</v>
      </c>
      <c r="B21" s="136">
        <v>0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</row>
    <row r="22" spans="1:13" s="137" customFormat="1" ht="11.75" customHeight="1" x14ac:dyDescent="0.15">
      <c r="A22" s="135" t="s">
        <v>172</v>
      </c>
      <c r="B22" s="136">
        <v>0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</row>
    <row r="23" spans="1:13" ht="11.75" customHeight="1" x14ac:dyDescent="0.15">
      <c r="A23" s="113" t="s">
        <v>175</v>
      </c>
      <c r="B23" s="114">
        <v>0</v>
      </c>
      <c r="C23" s="114">
        <v>0</v>
      </c>
      <c r="D23" s="114">
        <v>0</v>
      </c>
      <c r="E23" s="114">
        <v>0</v>
      </c>
      <c r="F23" s="114">
        <v>0</v>
      </c>
      <c r="G23" s="114">
        <v>0</v>
      </c>
      <c r="H23" s="114">
        <v>3813.9</v>
      </c>
      <c r="I23" s="114">
        <v>3132854.19</v>
      </c>
      <c r="J23" s="114">
        <v>2688761.77</v>
      </c>
      <c r="K23" s="114">
        <v>3793437.38</v>
      </c>
      <c r="L23" s="114">
        <v>3193925.31</v>
      </c>
      <c r="M23" s="114">
        <v>2483055.52</v>
      </c>
    </row>
    <row r="24" spans="1:13" ht="11.75" customHeight="1" x14ac:dyDescent="0.15">
      <c r="A24" s="113" t="s">
        <v>176</v>
      </c>
      <c r="B24" s="114">
        <v>0</v>
      </c>
      <c r="C24" s="114">
        <v>0</v>
      </c>
      <c r="D24" s="114">
        <v>0</v>
      </c>
      <c r="E24" s="114">
        <v>0</v>
      </c>
      <c r="F24" s="114">
        <v>0</v>
      </c>
      <c r="G24" s="114">
        <v>0</v>
      </c>
      <c r="H24" s="114">
        <v>0</v>
      </c>
      <c r="I24" s="114">
        <v>25090</v>
      </c>
      <c r="J24" s="114">
        <v>23254.560000000001</v>
      </c>
      <c r="K24" s="114">
        <v>61021.919999999998</v>
      </c>
      <c r="L24" s="114">
        <v>111322.42</v>
      </c>
      <c r="M24" s="114">
        <v>263223.18</v>
      </c>
    </row>
    <row r="25" spans="1:13" ht="11.75" customHeight="1" x14ac:dyDescent="0.15">
      <c r="A25" s="113" t="s">
        <v>177</v>
      </c>
      <c r="B25" s="114">
        <v>0</v>
      </c>
      <c r="C25" s="114">
        <v>0</v>
      </c>
      <c r="D25" s="114">
        <v>0</v>
      </c>
      <c r="E25" s="114">
        <v>0</v>
      </c>
      <c r="F25" s="114">
        <v>0</v>
      </c>
      <c r="G25" s="114">
        <v>0</v>
      </c>
      <c r="H25" s="114">
        <v>0</v>
      </c>
      <c r="I25" s="114">
        <v>107.39</v>
      </c>
      <c r="J25" s="114">
        <v>8882.14</v>
      </c>
      <c r="K25" s="114">
        <v>2170.4499999999998</v>
      </c>
      <c r="L25" s="114">
        <v>78.260000000000005</v>
      </c>
      <c r="M25" s="114">
        <v>0</v>
      </c>
    </row>
    <row r="26" spans="1:13" ht="11.75" customHeight="1" x14ac:dyDescent="0.15">
      <c r="A26" s="113" t="s">
        <v>178</v>
      </c>
      <c r="B26" s="114">
        <v>0</v>
      </c>
      <c r="C26" s="114">
        <v>0</v>
      </c>
      <c r="D26" s="114">
        <v>0</v>
      </c>
      <c r="E26" s="114">
        <v>0</v>
      </c>
      <c r="F26" s="114">
        <v>0</v>
      </c>
      <c r="G26" s="114">
        <v>0</v>
      </c>
      <c r="H26" s="114">
        <v>0</v>
      </c>
      <c r="I26" s="114">
        <v>0</v>
      </c>
      <c r="J26" s="114">
        <v>0</v>
      </c>
      <c r="K26" s="114">
        <v>0</v>
      </c>
      <c r="L26" s="114">
        <v>0</v>
      </c>
      <c r="M26" s="114">
        <v>2719.43</v>
      </c>
    </row>
    <row r="27" spans="1:13" ht="11.75" customHeight="1" x14ac:dyDescent="0.15">
      <c r="A27" s="113" t="s">
        <v>722</v>
      </c>
      <c r="B27" s="114">
        <v>0</v>
      </c>
      <c r="C27" s="114">
        <v>0</v>
      </c>
      <c r="D27" s="114">
        <v>0</v>
      </c>
      <c r="E27" s="114">
        <v>0</v>
      </c>
      <c r="F27" s="114">
        <v>0</v>
      </c>
      <c r="G27" s="114">
        <v>0</v>
      </c>
      <c r="H27" s="114">
        <v>0</v>
      </c>
      <c r="I27" s="114">
        <v>468.7</v>
      </c>
      <c r="J27" s="114">
        <v>0</v>
      </c>
      <c r="K27" s="114">
        <v>0</v>
      </c>
      <c r="L27" s="114">
        <v>0</v>
      </c>
      <c r="M27" s="114">
        <v>0</v>
      </c>
    </row>
    <row r="28" spans="1:13" ht="11.75" customHeight="1" x14ac:dyDescent="0.15">
      <c r="A28" s="113" t="s">
        <v>183</v>
      </c>
      <c r="B28" s="114">
        <v>0</v>
      </c>
      <c r="C28" s="114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22086.6</v>
      </c>
      <c r="J28" s="114">
        <v>0</v>
      </c>
      <c r="K28" s="114">
        <v>0</v>
      </c>
      <c r="L28" s="114">
        <v>0</v>
      </c>
      <c r="M28" s="114">
        <v>0</v>
      </c>
    </row>
    <row r="29" spans="1:13" ht="11.75" customHeight="1" x14ac:dyDescent="0.15">
      <c r="A29" s="113" t="s">
        <v>184</v>
      </c>
      <c r="B29" s="114">
        <v>0</v>
      </c>
      <c r="C29" s="114">
        <v>0</v>
      </c>
      <c r="D29" s="114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11607.87</v>
      </c>
      <c r="J29" s="114">
        <v>30013.040000000001</v>
      </c>
      <c r="K29" s="114">
        <v>0</v>
      </c>
      <c r="L29" s="114">
        <v>0</v>
      </c>
      <c r="M29" s="114">
        <v>0</v>
      </c>
    </row>
    <row r="30" spans="1:13" ht="11.75" customHeight="1" x14ac:dyDescent="0.15">
      <c r="A30" s="113" t="s">
        <v>193</v>
      </c>
      <c r="B30" s="114">
        <v>0</v>
      </c>
      <c r="C30" s="114">
        <v>0</v>
      </c>
      <c r="D30" s="114">
        <v>0</v>
      </c>
      <c r="E30" s="114">
        <v>0</v>
      </c>
      <c r="F30" s="114">
        <v>0</v>
      </c>
      <c r="G30" s="114">
        <v>0</v>
      </c>
      <c r="H30" s="114">
        <v>0</v>
      </c>
      <c r="I30" s="114">
        <v>0</v>
      </c>
      <c r="J30" s="114">
        <v>2500</v>
      </c>
      <c r="K30" s="114">
        <v>20456.5</v>
      </c>
      <c r="L30" s="114">
        <v>486.95</v>
      </c>
      <c r="M30" s="114">
        <v>0</v>
      </c>
    </row>
    <row r="31" spans="1:13" ht="11.75" customHeight="1" x14ac:dyDescent="0.15">
      <c r="A31" s="115" t="s">
        <v>194</v>
      </c>
      <c r="B31" s="116">
        <f t="shared" ref="B31:M31" si="1">SUM(B12:B30)</f>
        <v>0</v>
      </c>
      <c r="C31" s="116">
        <f t="shared" si="1"/>
        <v>0</v>
      </c>
      <c r="D31" s="116">
        <f t="shared" si="1"/>
        <v>0</v>
      </c>
      <c r="E31" s="116">
        <f t="shared" si="1"/>
        <v>0</v>
      </c>
      <c r="F31" s="116">
        <f t="shared" si="1"/>
        <v>0</v>
      </c>
      <c r="G31" s="116">
        <f t="shared" si="1"/>
        <v>0</v>
      </c>
      <c r="H31" s="116">
        <f t="shared" si="1"/>
        <v>3813.9</v>
      </c>
      <c r="I31" s="116">
        <f t="shared" si="1"/>
        <v>3310240.6500000004</v>
      </c>
      <c r="J31" s="116">
        <f t="shared" si="1"/>
        <v>2772527.95</v>
      </c>
      <c r="K31" s="116">
        <f t="shared" si="1"/>
        <v>3908133.33</v>
      </c>
      <c r="L31" s="116">
        <f t="shared" si="1"/>
        <v>3308407.65</v>
      </c>
      <c r="M31" s="116">
        <f t="shared" si="1"/>
        <v>2983458.1000000006</v>
      </c>
    </row>
    <row r="32" spans="1:13" ht="13.25" customHeight="1" x14ac:dyDescent="0.15"/>
    <row r="33" spans="1:13" ht="11.75" customHeight="1" x14ac:dyDescent="0.15">
      <c r="A33" s="123" t="s">
        <v>195</v>
      </c>
      <c r="B33" s="124">
        <f t="shared" ref="B33:M33" si="2">(B9 - B31)</f>
        <v>0</v>
      </c>
      <c r="C33" s="124">
        <f t="shared" si="2"/>
        <v>0</v>
      </c>
      <c r="D33" s="124">
        <f t="shared" si="2"/>
        <v>0</v>
      </c>
      <c r="E33" s="124">
        <f t="shared" si="2"/>
        <v>0</v>
      </c>
      <c r="F33" s="124">
        <f t="shared" si="2"/>
        <v>0</v>
      </c>
      <c r="G33" s="124">
        <f t="shared" si="2"/>
        <v>0</v>
      </c>
      <c r="H33" s="124">
        <f t="shared" si="2"/>
        <v>-3813.9</v>
      </c>
      <c r="I33" s="124">
        <f t="shared" si="2"/>
        <v>2267826.6499999994</v>
      </c>
      <c r="J33" s="124">
        <f t="shared" si="2"/>
        <v>1116686.0999999996</v>
      </c>
      <c r="K33" s="124">
        <f t="shared" si="2"/>
        <v>866099.91999999993</v>
      </c>
      <c r="L33" s="124">
        <f t="shared" si="2"/>
        <v>1028090.1700000004</v>
      </c>
      <c r="M33" s="124">
        <f t="shared" si="2"/>
        <v>1269166.0199999996</v>
      </c>
    </row>
    <row r="34" spans="1:13" ht="13.25" customHeight="1" x14ac:dyDescent="0.15"/>
    <row r="35" spans="1:13" s="110" customFormat="1" ht="13" customHeight="1" x14ac:dyDescent="0.2">
      <c r="A35" s="158" t="s">
        <v>196</v>
      </c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</row>
    <row r="36" spans="1:13" ht="11.75" customHeight="1" x14ac:dyDescent="0.15">
      <c r="A36" s="111" t="s">
        <v>198</v>
      </c>
      <c r="B36" s="112">
        <v>0</v>
      </c>
      <c r="C36" s="112">
        <v>0</v>
      </c>
      <c r="D36" s="112">
        <v>0</v>
      </c>
      <c r="E36" s="112">
        <v>0</v>
      </c>
      <c r="F36" s="112">
        <v>0</v>
      </c>
      <c r="G36" s="112">
        <v>0</v>
      </c>
      <c r="H36" s="112">
        <v>0</v>
      </c>
      <c r="I36" s="112">
        <v>99.6</v>
      </c>
      <c r="J36" s="112">
        <v>67.930000000000007</v>
      </c>
      <c r="K36" s="112">
        <v>17.190000000000001</v>
      </c>
      <c r="L36" s="112">
        <v>175.49</v>
      </c>
      <c r="M36" s="112">
        <v>144.69999999999999</v>
      </c>
    </row>
    <row r="37" spans="1:13" ht="11.75" customHeight="1" x14ac:dyDescent="0.15">
      <c r="A37" s="113" t="s">
        <v>199</v>
      </c>
      <c r="B37" s="114">
        <v>0</v>
      </c>
      <c r="C37" s="114">
        <v>0</v>
      </c>
      <c r="D37" s="114">
        <v>0</v>
      </c>
      <c r="E37" s="114">
        <v>0</v>
      </c>
      <c r="F37" s="114">
        <v>0</v>
      </c>
      <c r="G37" s="114">
        <v>0</v>
      </c>
      <c r="H37" s="114">
        <v>0</v>
      </c>
      <c r="I37" s="114">
        <v>0</v>
      </c>
      <c r="J37" s="114">
        <v>7.64</v>
      </c>
      <c r="K37" s="114">
        <v>0</v>
      </c>
      <c r="L37" s="114">
        <v>3.58</v>
      </c>
      <c r="M37" s="114">
        <v>6.81</v>
      </c>
    </row>
    <row r="38" spans="1:13" ht="11.75" customHeight="1" x14ac:dyDescent="0.15">
      <c r="A38" s="113" t="s">
        <v>200</v>
      </c>
      <c r="B38" s="114">
        <v>0</v>
      </c>
      <c r="C38" s="114">
        <v>0</v>
      </c>
      <c r="D38" s="114">
        <v>0</v>
      </c>
      <c r="E38" s="114">
        <v>0</v>
      </c>
      <c r="F38" s="114">
        <v>0</v>
      </c>
      <c r="G38" s="114">
        <v>0</v>
      </c>
      <c r="H38" s="114">
        <v>0</v>
      </c>
      <c r="I38" s="114">
        <v>0</v>
      </c>
      <c r="J38" s="114">
        <v>0</v>
      </c>
      <c r="K38" s="114">
        <v>-3490.94</v>
      </c>
      <c r="L38" s="114">
        <v>0</v>
      </c>
      <c r="M38" s="114">
        <v>0</v>
      </c>
    </row>
    <row r="39" spans="1:13" ht="11.75" customHeight="1" x14ac:dyDescent="0.15">
      <c r="A39" s="115" t="s">
        <v>201</v>
      </c>
      <c r="B39" s="116">
        <f t="shared" ref="B39:M39" si="3">SUM(B36:B38)</f>
        <v>0</v>
      </c>
      <c r="C39" s="116">
        <f t="shared" si="3"/>
        <v>0</v>
      </c>
      <c r="D39" s="116">
        <f t="shared" si="3"/>
        <v>0</v>
      </c>
      <c r="E39" s="116">
        <f t="shared" si="3"/>
        <v>0</v>
      </c>
      <c r="F39" s="116">
        <f t="shared" si="3"/>
        <v>0</v>
      </c>
      <c r="G39" s="116">
        <f t="shared" si="3"/>
        <v>0</v>
      </c>
      <c r="H39" s="116">
        <f t="shared" si="3"/>
        <v>0</v>
      </c>
      <c r="I39" s="116">
        <f t="shared" si="3"/>
        <v>99.6</v>
      </c>
      <c r="J39" s="116">
        <f t="shared" si="3"/>
        <v>75.570000000000007</v>
      </c>
      <c r="K39" s="116">
        <f t="shared" si="3"/>
        <v>-3473.75</v>
      </c>
      <c r="L39" s="116">
        <f t="shared" si="3"/>
        <v>179.07000000000002</v>
      </c>
      <c r="M39" s="116">
        <f t="shared" si="3"/>
        <v>151.51</v>
      </c>
    </row>
    <row r="40" spans="1:13" ht="13.25" customHeight="1" x14ac:dyDescent="0.15"/>
    <row r="41" spans="1:13" s="110" customFormat="1" ht="13" customHeight="1" x14ac:dyDescent="0.2">
      <c r="A41" s="158" t="s">
        <v>202</v>
      </c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</row>
    <row r="42" spans="1:13" ht="11.75" customHeight="1" x14ac:dyDescent="0.15">
      <c r="A42" s="111" t="s">
        <v>207</v>
      </c>
      <c r="B42" s="112">
        <v>0</v>
      </c>
      <c r="C42" s="112">
        <v>0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11170</v>
      </c>
      <c r="K42" s="112">
        <v>0</v>
      </c>
      <c r="L42" s="112">
        <v>0</v>
      </c>
      <c r="M42" s="112">
        <v>0</v>
      </c>
    </row>
    <row r="43" spans="1:13" ht="11.75" customHeight="1" x14ac:dyDescent="0.15">
      <c r="A43" s="113" t="s">
        <v>208</v>
      </c>
      <c r="B43" s="114">
        <v>0</v>
      </c>
      <c r="C43" s="114">
        <v>0</v>
      </c>
      <c r="D43" s="114">
        <v>0</v>
      </c>
      <c r="E43" s="114">
        <v>0</v>
      </c>
      <c r="F43" s="114">
        <v>0</v>
      </c>
      <c r="G43" s="114">
        <v>0</v>
      </c>
      <c r="H43" s="114">
        <v>0</v>
      </c>
      <c r="I43" s="114">
        <v>0</v>
      </c>
      <c r="J43" s="114">
        <v>580</v>
      </c>
      <c r="K43" s="114">
        <v>0</v>
      </c>
      <c r="L43" s="114">
        <v>0</v>
      </c>
      <c r="M43" s="114">
        <v>0</v>
      </c>
    </row>
    <row r="44" spans="1:13" ht="11.75" customHeight="1" x14ac:dyDescent="0.15">
      <c r="A44" s="113" t="s">
        <v>211</v>
      </c>
      <c r="B44" s="114">
        <v>0</v>
      </c>
      <c r="C44" s="114">
        <v>0</v>
      </c>
      <c r="D44" s="114">
        <v>0</v>
      </c>
      <c r="E44" s="114">
        <v>0</v>
      </c>
      <c r="F44" s="114">
        <v>0</v>
      </c>
      <c r="G44" s="114">
        <v>0</v>
      </c>
      <c r="H44" s="114">
        <v>0</v>
      </c>
      <c r="I44" s="114">
        <v>0</v>
      </c>
      <c r="J44" s="114">
        <v>0</v>
      </c>
      <c r="K44" s="114">
        <v>0</v>
      </c>
      <c r="L44" s="114">
        <v>0</v>
      </c>
      <c r="M44" s="114">
        <v>295</v>
      </c>
    </row>
    <row r="45" spans="1:13" ht="11.75" customHeight="1" x14ac:dyDescent="0.15">
      <c r="A45" s="113" t="s">
        <v>212</v>
      </c>
      <c r="B45" s="114">
        <v>0</v>
      </c>
      <c r="C45" s="114">
        <v>0</v>
      </c>
      <c r="D45" s="114">
        <v>0</v>
      </c>
      <c r="E45" s="114">
        <v>0</v>
      </c>
      <c r="F45" s="114">
        <v>0</v>
      </c>
      <c r="G45" s="114">
        <v>0</v>
      </c>
      <c r="H45" s="114">
        <v>0</v>
      </c>
      <c r="I45" s="114">
        <v>0</v>
      </c>
      <c r="J45" s="114">
        <v>885</v>
      </c>
      <c r="K45" s="114">
        <v>0</v>
      </c>
      <c r="L45" s="114">
        <v>0</v>
      </c>
      <c r="M45" s="114">
        <v>712</v>
      </c>
    </row>
    <row r="46" spans="1:13" ht="11.75" customHeight="1" x14ac:dyDescent="0.15">
      <c r="A46" s="113" t="s">
        <v>213</v>
      </c>
      <c r="B46" s="114">
        <v>0</v>
      </c>
      <c r="C46" s="114">
        <v>0</v>
      </c>
      <c r="D46" s="114">
        <v>0</v>
      </c>
      <c r="E46" s="114">
        <v>0</v>
      </c>
      <c r="F46" s="114">
        <v>0</v>
      </c>
      <c r="G46" s="114">
        <v>0</v>
      </c>
      <c r="H46" s="114">
        <v>0</v>
      </c>
      <c r="I46" s="114">
        <v>3450</v>
      </c>
      <c r="J46" s="114">
        <v>1200</v>
      </c>
      <c r="K46" s="114">
        <v>0</v>
      </c>
      <c r="L46" s="114">
        <v>0</v>
      </c>
      <c r="M46" s="114">
        <v>0</v>
      </c>
    </row>
    <row r="47" spans="1:13" ht="11.75" customHeight="1" x14ac:dyDescent="0.15">
      <c r="A47" s="113" t="s">
        <v>214</v>
      </c>
      <c r="B47" s="114">
        <v>0</v>
      </c>
      <c r="C47" s="114">
        <v>0</v>
      </c>
      <c r="D47" s="114">
        <v>0</v>
      </c>
      <c r="E47" s="114">
        <v>0</v>
      </c>
      <c r="F47" s="114">
        <v>0</v>
      </c>
      <c r="G47" s="114">
        <v>0</v>
      </c>
      <c r="H47" s="114">
        <v>0</v>
      </c>
      <c r="I47" s="114">
        <v>1745.65</v>
      </c>
      <c r="J47" s="114">
        <v>1648.46</v>
      </c>
      <c r="K47" s="114">
        <v>1869.9</v>
      </c>
      <c r="L47" s="114">
        <v>1777.27</v>
      </c>
      <c r="M47" s="114">
        <v>1931.46</v>
      </c>
    </row>
    <row r="48" spans="1:13" ht="11.75" customHeight="1" x14ac:dyDescent="0.15">
      <c r="A48" s="113" t="s">
        <v>215</v>
      </c>
      <c r="B48" s="114">
        <v>0</v>
      </c>
      <c r="C48" s="114">
        <v>0</v>
      </c>
      <c r="D48" s="114">
        <v>0</v>
      </c>
      <c r="E48" s="114">
        <v>0</v>
      </c>
      <c r="F48" s="114">
        <v>0</v>
      </c>
      <c r="G48" s="114">
        <v>0</v>
      </c>
      <c r="H48" s="114">
        <v>0</v>
      </c>
      <c r="I48" s="114">
        <v>0</v>
      </c>
      <c r="J48" s="114">
        <v>0</v>
      </c>
      <c r="K48" s="114">
        <v>3007.35</v>
      </c>
      <c r="L48" s="114">
        <v>7034</v>
      </c>
      <c r="M48" s="114">
        <v>5034</v>
      </c>
    </row>
    <row r="49" spans="1:13" ht="11.75" customHeight="1" x14ac:dyDescent="0.15">
      <c r="A49" s="113" t="s">
        <v>216</v>
      </c>
      <c r="B49" s="114">
        <v>0</v>
      </c>
      <c r="C49" s="114">
        <v>0</v>
      </c>
      <c r="D49" s="114">
        <v>0</v>
      </c>
      <c r="E49" s="114">
        <v>0</v>
      </c>
      <c r="F49" s="114">
        <v>0</v>
      </c>
      <c r="G49" s="114">
        <v>0</v>
      </c>
      <c r="H49" s="114">
        <v>0</v>
      </c>
      <c r="I49" s="114">
        <v>0</v>
      </c>
      <c r="J49" s="114">
        <v>0</v>
      </c>
      <c r="K49" s="114">
        <v>1011.6</v>
      </c>
      <c r="L49" s="114">
        <v>1775.25</v>
      </c>
      <c r="M49" s="114">
        <v>1775.25</v>
      </c>
    </row>
    <row r="50" spans="1:13" ht="11.75" customHeight="1" x14ac:dyDescent="0.15">
      <c r="A50" s="113" t="s">
        <v>218</v>
      </c>
      <c r="B50" s="114">
        <v>0</v>
      </c>
      <c r="C50" s="114">
        <v>0</v>
      </c>
      <c r="D50" s="114">
        <v>0</v>
      </c>
      <c r="E50" s="114">
        <v>0</v>
      </c>
      <c r="F50" s="114">
        <v>0</v>
      </c>
      <c r="G50" s="114">
        <v>0</v>
      </c>
      <c r="H50" s="114">
        <v>0</v>
      </c>
      <c r="I50" s="114">
        <v>0</v>
      </c>
      <c r="J50" s="114">
        <v>0</v>
      </c>
      <c r="K50" s="114">
        <v>78.25</v>
      </c>
      <c r="L50" s="114">
        <v>0</v>
      </c>
      <c r="M50" s="114">
        <v>355.4</v>
      </c>
    </row>
    <row r="51" spans="1:13" ht="11.75" customHeight="1" x14ac:dyDescent="0.15">
      <c r="A51" s="113" t="s">
        <v>219</v>
      </c>
      <c r="B51" s="114">
        <v>0</v>
      </c>
      <c r="C51" s="114">
        <v>0</v>
      </c>
      <c r="D51" s="114">
        <v>0</v>
      </c>
      <c r="E51" s="114">
        <v>0</v>
      </c>
      <c r="F51" s="114">
        <v>0</v>
      </c>
      <c r="G51" s="114">
        <v>0</v>
      </c>
      <c r="H51" s="114">
        <v>0</v>
      </c>
      <c r="I51" s="114">
        <v>3130</v>
      </c>
      <c r="J51" s="114">
        <v>4230</v>
      </c>
      <c r="K51" s="114">
        <v>3130</v>
      </c>
      <c r="L51" s="114">
        <v>2532</v>
      </c>
      <c r="M51" s="114">
        <v>5177</v>
      </c>
    </row>
    <row r="52" spans="1:13" ht="11.75" customHeight="1" x14ac:dyDescent="0.15">
      <c r="A52" s="113" t="s">
        <v>220</v>
      </c>
      <c r="B52" s="114">
        <v>0</v>
      </c>
      <c r="C52" s="114">
        <v>0</v>
      </c>
      <c r="D52" s="114">
        <v>0</v>
      </c>
      <c r="E52" s="114">
        <v>0</v>
      </c>
      <c r="F52" s="114">
        <v>0</v>
      </c>
      <c r="G52" s="114">
        <v>0</v>
      </c>
      <c r="H52" s="114">
        <v>0</v>
      </c>
      <c r="I52" s="114">
        <v>749</v>
      </c>
      <c r="J52" s="114">
        <v>0</v>
      </c>
      <c r="K52" s="114">
        <v>1999.13</v>
      </c>
      <c r="L52" s="114">
        <v>0</v>
      </c>
      <c r="M52" s="114">
        <v>1604.52</v>
      </c>
    </row>
    <row r="53" spans="1:13" ht="11.75" customHeight="1" x14ac:dyDescent="0.15">
      <c r="A53" s="113" t="s">
        <v>222</v>
      </c>
      <c r="B53" s="114">
        <v>0</v>
      </c>
      <c r="C53" s="114">
        <v>0</v>
      </c>
      <c r="D53" s="114">
        <v>0</v>
      </c>
      <c r="E53" s="114">
        <v>0</v>
      </c>
      <c r="F53" s="114">
        <v>0</v>
      </c>
      <c r="G53" s="114">
        <v>0</v>
      </c>
      <c r="H53" s="114">
        <v>0</v>
      </c>
      <c r="I53" s="114">
        <v>119527</v>
      </c>
      <c r="J53" s="114">
        <v>119527</v>
      </c>
      <c r="K53" s="114">
        <v>119527</v>
      </c>
      <c r="L53" s="114">
        <v>110452</v>
      </c>
      <c r="M53" s="114">
        <v>144016.70000000001</v>
      </c>
    </row>
    <row r="54" spans="1:13" ht="11.75" customHeight="1" x14ac:dyDescent="0.15">
      <c r="A54" s="113" t="s">
        <v>225</v>
      </c>
      <c r="B54" s="114">
        <v>0</v>
      </c>
      <c r="C54" s="114">
        <v>0</v>
      </c>
      <c r="D54" s="114">
        <v>0</v>
      </c>
      <c r="E54" s="114">
        <v>0</v>
      </c>
      <c r="F54" s="114">
        <v>0</v>
      </c>
      <c r="G54" s="114">
        <v>0</v>
      </c>
      <c r="H54" s="114">
        <v>0</v>
      </c>
      <c r="I54" s="114">
        <v>0</v>
      </c>
      <c r="J54" s="114">
        <v>0</v>
      </c>
      <c r="K54" s="114">
        <v>86.09</v>
      </c>
      <c r="L54" s="114">
        <v>0</v>
      </c>
      <c r="M54" s="114">
        <v>0</v>
      </c>
    </row>
    <row r="55" spans="1:13" ht="11.75" customHeight="1" x14ac:dyDescent="0.15">
      <c r="A55" s="113" t="s">
        <v>226</v>
      </c>
      <c r="B55" s="114">
        <v>0</v>
      </c>
      <c r="C55" s="114">
        <v>0</v>
      </c>
      <c r="D55" s="114">
        <v>0</v>
      </c>
      <c r="E55" s="114">
        <v>0</v>
      </c>
      <c r="F55" s="114">
        <v>0</v>
      </c>
      <c r="G55" s="114">
        <v>0</v>
      </c>
      <c r="H55" s="114">
        <v>0</v>
      </c>
      <c r="I55" s="114">
        <v>0</v>
      </c>
      <c r="J55" s="114">
        <v>3323.88</v>
      </c>
      <c r="K55" s="114">
        <v>3323.91</v>
      </c>
      <c r="L55" s="114">
        <v>3323.88</v>
      </c>
      <c r="M55" s="114">
        <v>3323.91</v>
      </c>
    </row>
    <row r="56" spans="1:13" ht="11.75" customHeight="1" x14ac:dyDescent="0.15">
      <c r="A56" s="113" t="s">
        <v>227</v>
      </c>
      <c r="B56" s="114">
        <v>0</v>
      </c>
      <c r="C56" s="114">
        <v>0</v>
      </c>
      <c r="D56" s="114">
        <v>0</v>
      </c>
      <c r="E56" s="114">
        <v>0</v>
      </c>
      <c r="F56" s="114">
        <v>0</v>
      </c>
      <c r="G56" s="114">
        <v>0</v>
      </c>
      <c r="H56" s="114">
        <v>0</v>
      </c>
      <c r="I56" s="114">
        <v>0</v>
      </c>
      <c r="J56" s="114">
        <v>547.66999999999996</v>
      </c>
      <c r="K56" s="114">
        <v>547.67999999999995</v>
      </c>
      <c r="L56" s="114">
        <v>547.66999999999996</v>
      </c>
      <c r="M56" s="114">
        <v>547.67999999999995</v>
      </c>
    </row>
    <row r="57" spans="1:13" ht="11.75" customHeight="1" x14ac:dyDescent="0.15">
      <c r="A57" s="113" t="s">
        <v>228</v>
      </c>
      <c r="B57" s="114">
        <v>0</v>
      </c>
      <c r="C57" s="114">
        <v>0</v>
      </c>
      <c r="D57" s="114">
        <v>0</v>
      </c>
      <c r="E57" s="114">
        <v>0</v>
      </c>
      <c r="F57" s="114">
        <v>0</v>
      </c>
      <c r="G57" s="114">
        <v>0</v>
      </c>
      <c r="H57" s="114">
        <v>0</v>
      </c>
      <c r="I57" s="114">
        <v>0</v>
      </c>
      <c r="J57" s="114">
        <v>1188.69</v>
      </c>
      <c r="K57" s="114">
        <v>1188.7</v>
      </c>
      <c r="L57" s="114">
        <v>193.34</v>
      </c>
      <c r="M57" s="114">
        <v>193.33</v>
      </c>
    </row>
    <row r="58" spans="1:13" ht="11.75" customHeight="1" x14ac:dyDescent="0.15">
      <c r="A58" s="113" t="s">
        <v>230</v>
      </c>
      <c r="B58" s="114">
        <v>0</v>
      </c>
      <c r="C58" s="114">
        <v>0</v>
      </c>
      <c r="D58" s="114">
        <v>0</v>
      </c>
      <c r="E58" s="114">
        <v>0</v>
      </c>
      <c r="F58" s="114">
        <v>0</v>
      </c>
      <c r="G58" s="114">
        <v>0</v>
      </c>
      <c r="H58" s="114">
        <v>0</v>
      </c>
      <c r="I58" s="114">
        <v>7214.2</v>
      </c>
      <c r="J58" s="114">
        <v>6082.97</v>
      </c>
      <c r="K58" s="114">
        <v>5058.34</v>
      </c>
      <c r="L58" s="114">
        <v>6676.08</v>
      </c>
      <c r="M58" s="114">
        <v>7428.07</v>
      </c>
    </row>
    <row r="59" spans="1:13" ht="11.75" customHeight="1" x14ac:dyDescent="0.15">
      <c r="A59" s="113" t="s">
        <v>234</v>
      </c>
      <c r="B59" s="114">
        <v>0</v>
      </c>
      <c r="C59" s="114">
        <v>0</v>
      </c>
      <c r="D59" s="114">
        <v>0</v>
      </c>
      <c r="E59" s="114">
        <v>0</v>
      </c>
      <c r="F59" s="114">
        <v>0</v>
      </c>
      <c r="G59" s="114">
        <v>0</v>
      </c>
      <c r="H59" s="114">
        <v>0</v>
      </c>
      <c r="I59" s="114">
        <v>2063.15</v>
      </c>
      <c r="J59" s="114">
        <v>2089.86</v>
      </c>
      <c r="K59" s="114">
        <v>0</v>
      </c>
      <c r="L59" s="114">
        <v>4275.67</v>
      </c>
      <c r="M59" s="114">
        <v>1458.74</v>
      </c>
    </row>
    <row r="60" spans="1:13" ht="11.75" customHeight="1" x14ac:dyDescent="0.15">
      <c r="A60" s="113" t="s">
        <v>240</v>
      </c>
      <c r="B60" s="114">
        <v>0</v>
      </c>
      <c r="C60" s="114">
        <v>0</v>
      </c>
      <c r="D60" s="114">
        <v>0</v>
      </c>
      <c r="E60" s="114">
        <v>0</v>
      </c>
      <c r="F60" s="114">
        <v>0</v>
      </c>
      <c r="G60" s="114">
        <v>0</v>
      </c>
      <c r="H60" s="114">
        <v>0</v>
      </c>
      <c r="I60" s="114">
        <v>0</v>
      </c>
      <c r="J60" s="114">
        <v>0</v>
      </c>
      <c r="K60" s="114">
        <v>0</v>
      </c>
      <c r="L60" s="114">
        <v>5202.88</v>
      </c>
      <c r="M60" s="114">
        <v>0</v>
      </c>
    </row>
    <row r="61" spans="1:13" ht="11.75" customHeight="1" x14ac:dyDescent="0.15">
      <c r="A61" s="113" t="s">
        <v>241</v>
      </c>
      <c r="B61" s="114">
        <v>0</v>
      </c>
      <c r="C61" s="114">
        <v>0</v>
      </c>
      <c r="D61" s="114">
        <v>0</v>
      </c>
      <c r="E61" s="114">
        <v>0</v>
      </c>
      <c r="F61" s="114">
        <v>0</v>
      </c>
      <c r="G61" s="114">
        <v>0</v>
      </c>
      <c r="H61" s="114">
        <v>0</v>
      </c>
      <c r="I61" s="114">
        <v>0</v>
      </c>
      <c r="J61" s="114">
        <v>1069</v>
      </c>
      <c r="K61" s="114">
        <v>0</v>
      </c>
      <c r="L61" s="114">
        <v>0</v>
      </c>
      <c r="M61" s="114">
        <v>0</v>
      </c>
    </row>
    <row r="62" spans="1:13" ht="11.75" customHeight="1" x14ac:dyDescent="0.15">
      <c r="A62" s="113" t="s">
        <v>242</v>
      </c>
      <c r="B62" s="114">
        <v>0</v>
      </c>
      <c r="C62" s="114">
        <v>0</v>
      </c>
      <c r="D62" s="114">
        <v>0</v>
      </c>
      <c r="E62" s="114">
        <v>0</v>
      </c>
      <c r="F62" s="114">
        <v>0</v>
      </c>
      <c r="G62" s="114">
        <v>0</v>
      </c>
      <c r="H62" s="114">
        <v>0</v>
      </c>
      <c r="I62" s="114">
        <v>4022.51</v>
      </c>
      <c r="J62" s="114">
        <v>3175.51</v>
      </c>
      <c r="K62" s="114">
        <v>4892.22</v>
      </c>
      <c r="L62" s="114">
        <v>7124.28</v>
      </c>
      <c r="M62" s="114">
        <v>5589.51</v>
      </c>
    </row>
    <row r="63" spans="1:13" ht="11.75" customHeight="1" x14ac:dyDescent="0.15">
      <c r="A63" s="113" t="s">
        <v>244</v>
      </c>
      <c r="B63" s="114">
        <v>0</v>
      </c>
      <c r="C63" s="114">
        <v>0</v>
      </c>
      <c r="D63" s="114">
        <v>0</v>
      </c>
      <c r="E63" s="114">
        <v>0</v>
      </c>
      <c r="F63" s="114">
        <v>0</v>
      </c>
      <c r="G63" s="114">
        <v>0</v>
      </c>
      <c r="H63" s="114">
        <v>0</v>
      </c>
      <c r="I63" s="114">
        <v>0</v>
      </c>
      <c r="J63" s="114">
        <v>0</v>
      </c>
      <c r="K63" s="114">
        <v>0</v>
      </c>
      <c r="L63" s="114">
        <v>362</v>
      </c>
      <c r="M63" s="114">
        <v>0</v>
      </c>
    </row>
    <row r="64" spans="1:13" ht="11.75" customHeight="1" x14ac:dyDescent="0.15">
      <c r="A64" s="113" t="s">
        <v>245</v>
      </c>
      <c r="B64" s="114">
        <v>0</v>
      </c>
      <c r="C64" s="114">
        <v>0</v>
      </c>
      <c r="D64" s="114">
        <v>0</v>
      </c>
      <c r="E64" s="114">
        <v>0</v>
      </c>
      <c r="F64" s="114">
        <v>0</v>
      </c>
      <c r="G64" s="114">
        <v>0</v>
      </c>
      <c r="H64" s="114">
        <v>0</v>
      </c>
      <c r="I64" s="114">
        <v>0</v>
      </c>
      <c r="J64" s="114">
        <v>82763.78</v>
      </c>
      <c r="K64" s="114">
        <v>77215.960000000006</v>
      </c>
      <c r="L64" s="114">
        <v>76990.11</v>
      </c>
      <c r="M64" s="114">
        <v>75818.38</v>
      </c>
    </row>
    <row r="65" spans="1:13" ht="11.75" customHeight="1" x14ac:dyDescent="0.15">
      <c r="A65" s="113" t="s">
        <v>246</v>
      </c>
      <c r="B65" s="114">
        <v>0</v>
      </c>
      <c r="C65" s="114">
        <v>0</v>
      </c>
      <c r="D65" s="114">
        <v>0</v>
      </c>
      <c r="E65" s="114">
        <v>0</v>
      </c>
      <c r="F65" s="114">
        <v>0</v>
      </c>
      <c r="G65" s="114">
        <v>0</v>
      </c>
      <c r="H65" s="114">
        <v>1459.35</v>
      </c>
      <c r="I65" s="114">
        <v>1459.35</v>
      </c>
      <c r="J65" s="114">
        <v>704.96</v>
      </c>
      <c r="K65" s="114">
        <v>2190.96</v>
      </c>
      <c r="L65" s="114">
        <v>1777.93</v>
      </c>
      <c r="M65" s="114">
        <v>1375.3</v>
      </c>
    </row>
    <row r="66" spans="1:13" ht="11.75" customHeight="1" x14ac:dyDescent="0.15">
      <c r="A66" s="113" t="s">
        <v>247</v>
      </c>
      <c r="B66" s="114">
        <v>0</v>
      </c>
      <c r="C66" s="114">
        <v>0</v>
      </c>
      <c r="D66" s="114">
        <v>0</v>
      </c>
      <c r="E66" s="114">
        <v>0</v>
      </c>
      <c r="F66" s="114">
        <v>0</v>
      </c>
      <c r="G66" s="114">
        <v>0</v>
      </c>
      <c r="H66" s="114">
        <v>0</v>
      </c>
      <c r="I66" s="114">
        <v>5699.74</v>
      </c>
      <c r="J66" s="114">
        <v>4327.12</v>
      </c>
      <c r="K66" s="114">
        <v>2190.86</v>
      </c>
      <c r="L66" s="114">
        <v>1173.9100000000001</v>
      </c>
      <c r="M66" s="114">
        <v>2299.13</v>
      </c>
    </row>
    <row r="67" spans="1:13" ht="11.75" customHeight="1" x14ac:dyDescent="0.15">
      <c r="A67" s="113" t="s">
        <v>125</v>
      </c>
      <c r="B67" s="114">
        <v>0</v>
      </c>
      <c r="C67" s="114">
        <v>0</v>
      </c>
      <c r="D67" s="114">
        <v>0</v>
      </c>
      <c r="E67" s="114">
        <v>0</v>
      </c>
      <c r="F67" s="114">
        <v>0</v>
      </c>
      <c r="G67" s="114">
        <v>0</v>
      </c>
      <c r="H67" s="114">
        <v>2871.04</v>
      </c>
      <c r="I67" s="114">
        <v>843.6</v>
      </c>
      <c r="J67" s="114">
        <v>843.6</v>
      </c>
      <c r="K67" s="114">
        <v>843.6</v>
      </c>
      <c r="L67" s="114">
        <v>843.6</v>
      </c>
      <c r="M67" s="114">
        <v>843.6</v>
      </c>
    </row>
    <row r="68" spans="1:13" ht="11.75" customHeight="1" x14ac:dyDescent="0.15">
      <c r="A68" s="113" t="s">
        <v>248</v>
      </c>
      <c r="B68" s="114">
        <v>0</v>
      </c>
      <c r="C68" s="114">
        <v>0</v>
      </c>
      <c r="D68" s="114">
        <v>0</v>
      </c>
      <c r="E68" s="114">
        <v>0</v>
      </c>
      <c r="F68" s="114">
        <v>0</v>
      </c>
      <c r="G68" s="114">
        <v>0</v>
      </c>
      <c r="H68" s="114">
        <v>29600</v>
      </c>
      <c r="I68" s="114">
        <v>29600</v>
      </c>
      <c r="J68" s="114">
        <v>29600</v>
      </c>
      <c r="K68" s="114">
        <v>29600</v>
      </c>
      <c r="L68" s="114">
        <v>29600</v>
      </c>
      <c r="M68" s="114">
        <v>29600</v>
      </c>
    </row>
    <row r="69" spans="1:13" ht="11.75" customHeight="1" x14ac:dyDescent="0.15">
      <c r="A69" s="113" t="s">
        <v>249</v>
      </c>
      <c r="B69" s="114">
        <v>0</v>
      </c>
      <c r="C69" s="114">
        <v>0</v>
      </c>
      <c r="D69" s="114">
        <v>0</v>
      </c>
      <c r="E69" s="114">
        <v>0</v>
      </c>
      <c r="F69" s="114">
        <v>0</v>
      </c>
      <c r="G69" s="114">
        <v>0</v>
      </c>
      <c r="H69" s="114">
        <v>682.61</v>
      </c>
      <c r="I69" s="114">
        <v>5400</v>
      </c>
      <c r="J69" s="114">
        <v>155</v>
      </c>
      <c r="K69" s="114">
        <v>2121.6</v>
      </c>
      <c r="L69" s="114">
        <v>750</v>
      </c>
      <c r="M69" s="114">
        <v>6352.8</v>
      </c>
    </row>
    <row r="70" spans="1:13" ht="11.75" customHeight="1" x14ac:dyDescent="0.15">
      <c r="A70" s="113" t="s">
        <v>250</v>
      </c>
      <c r="B70" s="114">
        <v>0</v>
      </c>
      <c r="C70" s="114">
        <v>0</v>
      </c>
      <c r="D70" s="114">
        <v>0</v>
      </c>
      <c r="E70" s="114">
        <v>0</v>
      </c>
      <c r="F70" s="114">
        <v>0</v>
      </c>
      <c r="G70" s="114">
        <v>0</v>
      </c>
      <c r="H70" s="114">
        <v>0</v>
      </c>
      <c r="I70" s="114">
        <v>0</v>
      </c>
      <c r="J70" s="114">
        <v>0</v>
      </c>
      <c r="K70" s="114">
        <v>5192.13</v>
      </c>
      <c r="L70" s="114">
        <v>0</v>
      </c>
      <c r="M70" s="114">
        <v>0</v>
      </c>
    </row>
    <row r="71" spans="1:13" ht="11.75" customHeight="1" x14ac:dyDescent="0.15">
      <c r="A71" s="113" t="s">
        <v>251</v>
      </c>
      <c r="B71" s="114">
        <v>0</v>
      </c>
      <c r="C71" s="114">
        <v>0</v>
      </c>
      <c r="D71" s="114">
        <v>0</v>
      </c>
      <c r="E71" s="114">
        <v>0</v>
      </c>
      <c r="F71" s="114">
        <v>0</v>
      </c>
      <c r="G71" s="114">
        <v>0</v>
      </c>
      <c r="H71" s="114">
        <v>0</v>
      </c>
      <c r="I71" s="114">
        <v>0</v>
      </c>
      <c r="J71" s="114">
        <v>373109.3</v>
      </c>
      <c r="K71" s="114">
        <v>333418.53999999998</v>
      </c>
      <c r="L71" s="114">
        <v>327361.08</v>
      </c>
      <c r="M71" s="114">
        <v>311179.65999999997</v>
      </c>
    </row>
    <row r="72" spans="1:13" ht="11.75" customHeight="1" x14ac:dyDescent="0.15">
      <c r="A72" s="113" t="s">
        <v>253</v>
      </c>
      <c r="B72" s="114">
        <v>0</v>
      </c>
      <c r="C72" s="114">
        <v>0</v>
      </c>
      <c r="D72" s="114">
        <v>0</v>
      </c>
      <c r="E72" s="114">
        <v>0</v>
      </c>
      <c r="F72" s="114">
        <v>0</v>
      </c>
      <c r="G72" s="114">
        <v>0</v>
      </c>
      <c r="H72" s="114">
        <v>0</v>
      </c>
      <c r="I72" s="114">
        <v>0</v>
      </c>
      <c r="J72" s="114">
        <v>4434.6400000000003</v>
      </c>
      <c r="K72" s="114">
        <v>3980.49</v>
      </c>
      <c r="L72" s="114">
        <v>3918.5</v>
      </c>
      <c r="M72" s="114">
        <v>3744.13</v>
      </c>
    </row>
    <row r="73" spans="1:13" ht="11.75" customHeight="1" x14ac:dyDescent="0.15">
      <c r="A73" s="113" t="s">
        <v>254</v>
      </c>
      <c r="B73" s="114">
        <v>0</v>
      </c>
      <c r="C73" s="114">
        <v>0</v>
      </c>
      <c r="D73" s="114">
        <v>0</v>
      </c>
      <c r="E73" s="114">
        <v>0</v>
      </c>
      <c r="F73" s="114">
        <v>0</v>
      </c>
      <c r="G73" s="114">
        <v>0</v>
      </c>
      <c r="H73" s="114">
        <v>0</v>
      </c>
      <c r="I73" s="114">
        <v>4000</v>
      </c>
      <c r="J73" s="114">
        <v>0</v>
      </c>
      <c r="K73" s="114">
        <v>0</v>
      </c>
      <c r="L73" s="114">
        <v>0</v>
      </c>
      <c r="M73" s="114">
        <v>0</v>
      </c>
    </row>
    <row r="74" spans="1:13" ht="11.75" customHeight="1" x14ac:dyDescent="0.15">
      <c r="A74" s="113" t="s">
        <v>132</v>
      </c>
      <c r="B74" s="114">
        <v>0</v>
      </c>
      <c r="C74" s="114">
        <v>0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4">
        <v>177.33</v>
      </c>
      <c r="J74" s="114">
        <v>177.33</v>
      </c>
      <c r="K74" s="114">
        <v>177.33</v>
      </c>
      <c r="L74" s="114">
        <v>177.33</v>
      </c>
      <c r="M74" s="114">
        <v>177.33</v>
      </c>
    </row>
    <row r="75" spans="1:13" ht="11.75" customHeight="1" x14ac:dyDescent="0.15">
      <c r="A75" s="113" t="s">
        <v>255</v>
      </c>
      <c r="B75" s="114">
        <v>0</v>
      </c>
      <c r="C75" s="114">
        <v>0</v>
      </c>
      <c r="D75" s="114">
        <v>0</v>
      </c>
      <c r="E75" s="114">
        <v>0</v>
      </c>
      <c r="F75" s="114">
        <v>0</v>
      </c>
      <c r="G75" s="114">
        <v>0</v>
      </c>
      <c r="H75" s="114">
        <v>0</v>
      </c>
      <c r="I75" s="114">
        <v>2304.35</v>
      </c>
      <c r="J75" s="114">
        <v>4172.17</v>
      </c>
      <c r="K75" s="114">
        <v>607.83000000000004</v>
      </c>
      <c r="L75" s="114">
        <v>1600</v>
      </c>
      <c r="M75" s="114">
        <v>833.91</v>
      </c>
    </row>
    <row r="76" spans="1:13" ht="11.75" customHeight="1" x14ac:dyDescent="0.15">
      <c r="A76" s="113" t="s">
        <v>257</v>
      </c>
      <c r="B76" s="114">
        <v>0</v>
      </c>
      <c r="C76" s="114">
        <v>0</v>
      </c>
      <c r="D76" s="114">
        <v>0</v>
      </c>
      <c r="E76" s="114">
        <v>0</v>
      </c>
      <c r="F76" s="114">
        <v>0</v>
      </c>
      <c r="G76" s="114">
        <v>0</v>
      </c>
      <c r="H76" s="114">
        <v>0</v>
      </c>
      <c r="I76" s="114">
        <v>4892.5600000000004</v>
      </c>
      <c r="J76" s="114">
        <v>2814.73</v>
      </c>
      <c r="K76" s="114">
        <v>2227.4</v>
      </c>
      <c r="L76" s="114">
        <v>244.98</v>
      </c>
      <c r="M76" s="114">
        <v>0</v>
      </c>
    </row>
    <row r="77" spans="1:13" ht="11.75" customHeight="1" x14ac:dyDescent="0.15">
      <c r="A77" s="113" t="s">
        <v>260</v>
      </c>
      <c r="B77" s="114">
        <v>0</v>
      </c>
      <c r="C77" s="114">
        <v>0</v>
      </c>
      <c r="D77" s="114">
        <v>0</v>
      </c>
      <c r="E77" s="114">
        <v>0</v>
      </c>
      <c r="F77" s="114">
        <v>0</v>
      </c>
      <c r="G77" s="114">
        <v>0</v>
      </c>
      <c r="H77" s="114">
        <v>0</v>
      </c>
      <c r="I77" s="114">
        <v>0</v>
      </c>
      <c r="J77" s="114">
        <v>847</v>
      </c>
      <c r="K77" s="114">
        <v>937.23</v>
      </c>
      <c r="L77" s="114">
        <v>803.5</v>
      </c>
      <c r="M77" s="114">
        <v>605</v>
      </c>
    </row>
    <row r="78" spans="1:13" ht="11.75" customHeight="1" x14ac:dyDescent="0.15">
      <c r="A78" s="113" t="s">
        <v>261</v>
      </c>
      <c r="B78" s="114">
        <v>0</v>
      </c>
      <c r="C78" s="114">
        <v>0</v>
      </c>
      <c r="D78" s="114">
        <v>0</v>
      </c>
      <c r="E78" s="114">
        <v>0</v>
      </c>
      <c r="F78" s="114">
        <v>0</v>
      </c>
      <c r="G78" s="114">
        <v>0</v>
      </c>
      <c r="H78" s="114">
        <v>0</v>
      </c>
      <c r="I78" s="114">
        <v>0</v>
      </c>
      <c r="J78" s="114">
        <v>0</v>
      </c>
      <c r="K78" s="114">
        <v>0</v>
      </c>
      <c r="L78" s="114">
        <v>0</v>
      </c>
      <c r="M78" s="114">
        <v>10825.49</v>
      </c>
    </row>
    <row r="79" spans="1:13" ht="11.75" customHeight="1" x14ac:dyDescent="0.15">
      <c r="A79" s="113" t="s">
        <v>262</v>
      </c>
      <c r="B79" s="114">
        <v>0</v>
      </c>
      <c r="C79" s="114">
        <v>0</v>
      </c>
      <c r="D79" s="114">
        <v>0</v>
      </c>
      <c r="E79" s="114">
        <v>0</v>
      </c>
      <c r="F79" s="114">
        <v>0</v>
      </c>
      <c r="G79" s="114">
        <v>0</v>
      </c>
      <c r="H79" s="114">
        <v>747</v>
      </c>
      <c r="I79" s="114">
        <v>747</v>
      </c>
      <c r="J79" s="114">
        <v>747</v>
      </c>
      <c r="K79" s="114">
        <v>747</v>
      </c>
      <c r="L79" s="114">
        <v>747</v>
      </c>
      <c r="M79" s="114">
        <v>747</v>
      </c>
    </row>
    <row r="80" spans="1:13" ht="11.75" customHeight="1" x14ac:dyDescent="0.15">
      <c r="A80" s="113" t="s">
        <v>263</v>
      </c>
      <c r="B80" s="114">
        <v>0</v>
      </c>
      <c r="C80" s="114">
        <v>0</v>
      </c>
      <c r="D80" s="114">
        <v>0</v>
      </c>
      <c r="E80" s="114">
        <v>0</v>
      </c>
      <c r="F80" s="114">
        <v>0</v>
      </c>
      <c r="G80" s="114">
        <v>0</v>
      </c>
      <c r="H80" s="114">
        <v>0</v>
      </c>
      <c r="I80" s="114">
        <v>600</v>
      </c>
      <c r="J80" s="114">
        <v>600</v>
      </c>
      <c r="K80" s="114">
        <v>600</v>
      </c>
      <c r="L80" s="114">
        <v>600</v>
      </c>
      <c r="M80" s="114">
        <v>600</v>
      </c>
    </row>
    <row r="81" spans="1:13" ht="11.75" customHeight="1" x14ac:dyDescent="0.15">
      <c r="A81" s="113" t="s">
        <v>264</v>
      </c>
      <c r="B81" s="114">
        <v>0</v>
      </c>
      <c r="C81" s="114">
        <v>0</v>
      </c>
      <c r="D81" s="114">
        <v>0</v>
      </c>
      <c r="E81" s="114">
        <v>0</v>
      </c>
      <c r="F81" s="114">
        <v>0</v>
      </c>
      <c r="G81" s="114">
        <v>0</v>
      </c>
      <c r="H81" s="114">
        <v>0</v>
      </c>
      <c r="I81" s="114">
        <v>526.32000000000005</v>
      </c>
      <c r="J81" s="114">
        <v>8349.65</v>
      </c>
      <c r="K81" s="114">
        <v>0</v>
      </c>
      <c r="L81" s="114">
        <v>0</v>
      </c>
      <c r="M81" s="114">
        <v>0</v>
      </c>
    </row>
    <row r="82" spans="1:13" ht="11.75" customHeight="1" x14ac:dyDescent="0.15">
      <c r="A82" s="113" t="s">
        <v>267</v>
      </c>
      <c r="B82" s="114">
        <v>0</v>
      </c>
      <c r="C82" s="114">
        <v>0</v>
      </c>
      <c r="D82" s="114">
        <v>0</v>
      </c>
      <c r="E82" s="114">
        <v>0</v>
      </c>
      <c r="F82" s="114">
        <v>0</v>
      </c>
      <c r="G82" s="114">
        <v>0</v>
      </c>
      <c r="H82" s="114">
        <v>0</v>
      </c>
      <c r="I82" s="114">
        <v>0</v>
      </c>
      <c r="J82" s="114">
        <v>2442.38</v>
      </c>
      <c r="K82" s="114">
        <v>2059.1799999999998</v>
      </c>
      <c r="L82" s="114">
        <v>2003.44</v>
      </c>
      <c r="M82" s="114">
        <v>1920.62</v>
      </c>
    </row>
    <row r="83" spans="1:13" ht="11.75" customHeight="1" x14ac:dyDescent="0.15">
      <c r="A83" s="113" t="s">
        <v>268</v>
      </c>
      <c r="B83" s="114">
        <v>0</v>
      </c>
      <c r="C83" s="114">
        <v>0</v>
      </c>
      <c r="D83" s="114">
        <v>0</v>
      </c>
      <c r="E83" s="114">
        <v>0</v>
      </c>
      <c r="F83" s="114">
        <v>0</v>
      </c>
      <c r="G83" s="114">
        <v>0</v>
      </c>
      <c r="H83" s="114">
        <v>0</v>
      </c>
      <c r="I83" s="114">
        <v>0</v>
      </c>
      <c r="J83" s="114">
        <v>2442.38</v>
      </c>
      <c r="K83" s="114">
        <v>2059.1799999999998</v>
      </c>
      <c r="L83" s="114">
        <v>2003.44</v>
      </c>
      <c r="M83" s="114">
        <v>1920.62</v>
      </c>
    </row>
    <row r="84" spans="1:13" ht="11.75" customHeight="1" x14ac:dyDescent="0.15">
      <c r="A84" s="115" t="s">
        <v>269</v>
      </c>
      <c r="B84" s="116">
        <f t="shared" ref="B84:M84" si="4">SUM(B42:B83)</f>
        <v>0</v>
      </c>
      <c r="C84" s="116">
        <f t="shared" si="4"/>
        <v>0</v>
      </c>
      <c r="D84" s="116">
        <f t="shared" si="4"/>
        <v>0</v>
      </c>
      <c r="E84" s="116">
        <f t="shared" si="4"/>
        <v>0</v>
      </c>
      <c r="F84" s="116">
        <f t="shared" si="4"/>
        <v>0</v>
      </c>
      <c r="G84" s="116">
        <f t="shared" si="4"/>
        <v>0</v>
      </c>
      <c r="H84" s="116">
        <f t="shared" si="4"/>
        <v>35360</v>
      </c>
      <c r="I84" s="116">
        <f t="shared" si="4"/>
        <v>198151.76</v>
      </c>
      <c r="J84" s="116">
        <f t="shared" si="4"/>
        <v>675249.08000000007</v>
      </c>
      <c r="K84" s="116">
        <f t="shared" si="4"/>
        <v>611889.46</v>
      </c>
      <c r="L84" s="116">
        <f t="shared" si="4"/>
        <v>601871.13999999978</v>
      </c>
      <c r="M84" s="116">
        <f t="shared" si="4"/>
        <v>628285.53999999992</v>
      </c>
    </row>
    <row r="85" spans="1:13" ht="13.25" customHeight="1" x14ac:dyDescent="0.15"/>
    <row r="86" spans="1:13" ht="11.75" customHeight="1" x14ac:dyDescent="0.15">
      <c r="A86" s="123" t="s">
        <v>270</v>
      </c>
      <c r="B86" s="124">
        <f t="shared" ref="B86:M86" si="5">((B33 + B39) - B84)</f>
        <v>0</v>
      </c>
      <c r="C86" s="124">
        <f t="shared" si="5"/>
        <v>0</v>
      </c>
      <c r="D86" s="124">
        <f t="shared" si="5"/>
        <v>0</v>
      </c>
      <c r="E86" s="124">
        <f t="shared" si="5"/>
        <v>0</v>
      </c>
      <c r="F86" s="124">
        <f t="shared" si="5"/>
        <v>0</v>
      </c>
      <c r="G86" s="124">
        <f t="shared" si="5"/>
        <v>0</v>
      </c>
      <c r="H86" s="124">
        <f t="shared" si="5"/>
        <v>-39173.9</v>
      </c>
      <c r="I86" s="124">
        <f t="shared" si="5"/>
        <v>2069774.4899999995</v>
      </c>
      <c r="J86" s="124">
        <f t="shared" si="5"/>
        <v>441512.58999999962</v>
      </c>
      <c r="K86" s="124">
        <f t="shared" si="5"/>
        <v>250736.70999999996</v>
      </c>
      <c r="L86" s="124">
        <f t="shared" si="5"/>
        <v>426398.10000000056</v>
      </c>
      <c r="M86" s="124">
        <f t="shared" si="5"/>
        <v>641031.98999999964</v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G42"/>
  <sheetViews>
    <sheetView showGridLines="0" zoomScale="164" zoomScaleNormal="110" workbookViewId="0">
      <selection activeCell="D2" sqref="D2"/>
    </sheetView>
  </sheetViews>
  <sheetFormatPr baseColWidth="10" defaultColWidth="9.1640625" defaultRowHeight="13" x14ac:dyDescent="0.15"/>
  <cols>
    <col min="1" max="1" width="12" style="1" customWidth="1"/>
    <col min="2" max="2" width="31.5" style="1" customWidth="1"/>
    <col min="3" max="3" width="15.6640625" style="1" customWidth="1"/>
    <col min="4" max="4" width="14.33203125" style="1" bestFit="1" customWidth="1"/>
    <col min="5" max="5" width="12.6640625" style="1" bestFit="1" customWidth="1"/>
    <col min="6" max="8" width="9.1640625" style="1" customWidth="1"/>
    <col min="9" max="16384" width="9.1640625" style="1"/>
  </cols>
  <sheetData>
    <row r="1" spans="1:7" x14ac:dyDescent="0.15">
      <c r="C1" s="1" t="s">
        <v>724</v>
      </c>
      <c r="D1" s="1" t="s">
        <v>725</v>
      </c>
      <c r="F1" s="1" t="s">
        <v>726</v>
      </c>
    </row>
    <row r="2" spans="1:7" ht="10.5" customHeight="1" x14ac:dyDescent="0.15">
      <c r="A2" s="2" t="s">
        <v>727</v>
      </c>
      <c r="B2" s="2" t="s">
        <v>728</v>
      </c>
      <c r="C2" s="117">
        <f>'TB HF 2024'!D49</f>
        <v>874505.75</v>
      </c>
      <c r="D2" s="3">
        <v>284968.5</v>
      </c>
    </row>
    <row r="3" spans="1:7" ht="10.5" customHeight="1" x14ac:dyDescent="0.15">
      <c r="A3" s="2" t="s">
        <v>729</v>
      </c>
      <c r="B3" s="2" t="s">
        <v>730</v>
      </c>
      <c r="C3" s="117">
        <f>'TB HF 2024'!D50/'DEVELOPERS FEES'!F5*'DEVELOPERS FEES'!F4</f>
        <v>6870222.222222222</v>
      </c>
      <c r="D3" s="117">
        <f>26200000/F5*F3</f>
        <v>19329777.777777776</v>
      </c>
      <c r="F3" s="1">
        <v>166</v>
      </c>
      <c r="G3" s="1" t="s">
        <v>725</v>
      </c>
    </row>
    <row r="4" spans="1:7" ht="10.5" customHeight="1" x14ac:dyDescent="0.15">
      <c r="A4" s="2" t="s">
        <v>731</v>
      </c>
      <c r="B4" s="2" t="s">
        <v>732</v>
      </c>
      <c r="C4" s="117">
        <f>'TB HF 2024'!D51</f>
        <v>68427</v>
      </c>
      <c r="F4" s="1">
        <v>59</v>
      </c>
      <c r="G4" s="1" t="s">
        <v>724</v>
      </c>
    </row>
    <row r="5" spans="1:7" ht="10.5" customHeight="1" x14ac:dyDescent="0.15">
      <c r="A5" s="2" t="s">
        <v>733</v>
      </c>
      <c r="B5" s="2" t="s">
        <v>734</v>
      </c>
      <c r="C5" s="117">
        <f>'TB HF 2024'!D52</f>
        <v>103812</v>
      </c>
      <c r="F5" s="1">
        <f>F3+F4</f>
        <v>225</v>
      </c>
      <c r="G5" s="1" t="s">
        <v>12</v>
      </c>
    </row>
    <row r="6" spans="1:7" ht="10.5" customHeight="1" x14ac:dyDescent="0.15">
      <c r="A6" s="2" t="s">
        <v>735</v>
      </c>
      <c r="B6" s="2" t="s">
        <v>736</v>
      </c>
      <c r="C6" s="117">
        <f>'TB HF 2024'!D53</f>
        <v>314087</v>
      </c>
    </row>
    <row r="7" spans="1:7" ht="10.5" customHeight="1" x14ac:dyDescent="0.15">
      <c r="A7" s="2" t="s">
        <v>737</v>
      </c>
      <c r="B7" s="2" t="s">
        <v>738</v>
      </c>
      <c r="C7" s="117">
        <f>'TB HF 2024'!D54</f>
        <v>139500</v>
      </c>
    </row>
    <row r="8" spans="1:7" ht="10.5" customHeight="1" x14ac:dyDescent="0.15">
      <c r="A8" s="2" t="s">
        <v>739</v>
      </c>
      <c r="B8" s="2" t="s">
        <v>740</v>
      </c>
      <c r="C8" s="117">
        <f>'TB HF 2024'!D55/'DEVELOPERS FEES'!F5*'DEVELOPERS FEES'!F4</f>
        <v>2244003.8497777777</v>
      </c>
      <c r="D8" s="117">
        <f>'TB HF 2024'!D55-'DEVELOPERS FEES'!C8</f>
        <v>6313637.9502222231</v>
      </c>
    </row>
    <row r="9" spans="1:7" ht="10.5" customHeight="1" x14ac:dyDescent="0.15">
      <c r="A9" s="2" t="s">
        <v>741</v>
      </c>
      <c r="B9" s="2" t="s">
        <v>742</v>
      </c>
      <c r="C9" s="117">
        <f>'TB HF 2024'!D56</f>
        <v>13807.78</v>
      </c>
    </row>
    <row r="10" spans="1:7" ht="10.5" customHeight="1" x14ac:dyDescent="0.15">
      <c r="A10" s="2" t="s">
        <v>743</v>
      </c>
      <c r="B10" s="2" t="s">
        <v>744</v>
      </c>
      <c r="C10" s="117">
        <f>'TB HF 2024'!D57</f>
        <v>197060.09</v>
      </c>
    </row>
    <row r="11" spans="1:7" ht="10.5" customHeight="1" x14ac:dyDescent="0.15">
      <c r="A11" s="2" t="s">
        <v>745</v>
      </c>
      <c r="B11" s="2" t="s">
        <v>746</v>
      </c>
      <c r="C11" s="117">
        <f>'TB HF 2024'!D58</f>
        <v>7500</v>
      </c>
    </row>
    <row r="12" spans="1:7" ht="10.5" customHeight="1" x14ac:dyDescent="0.15">
      <c r="A12" s="2" t="s">
        <v>747</v>
      </c>
      <c r="B12" s="2" t="s">
        <v>748</v>
      </c>
      <c r="C12" s="117">
        <f>'TB HF 2024'!D59</f>
        <v>67400</v>
      </c>
    </row>
    <row r="13" spans="1:7" ht="10.5" customHeight="1" x14ac:dyDescent="0.15">
      <c r="A13" s="2" t="s">
        <v>749</v>
      </c>
      <c r="B13" s="2" t="s">
        <v>750</v>
      </c>
      <c r="C13" s="117">
        <f>'TB HF 2024'!D60</f>
        <v>20600</v>
      </c>
      <c r="D13" s="3">
        <v>8500</v>
      </c>
    </row>
    <row r="14" spans="1:7" ht="10.5" customHeight="1" x14ac:dyDescent="0.15">
      <c r="A14" s="2" t="s">
        <v>751</v>
      </c>
      <c r="B14" s="2" t="s">
        <v>752</v>
      </c>
      <c r="C14" s="117">
        <f>'TB HF 2024'!D61</f>
        <v>15175</v>
      </c>
    </row>
    <row r="15" spans="1:7" ht="10.5" customHeight="1" x14ac:dyDescent="0.15">
      <c r="A15" s="2" t="s">
        <v>753</v>
      </c>
      <c r="B15" s="2" t="s">
        <v>754</v>
      </c>
      <c r="C15" s="117">
        <f>'TB HF 2024'!D62</f>
        <v>570856.07999999996</v>
      </c>
    </row>
    <row r="16" spans="1:7" x14ac:dyDescent="0.15">
      <c r="A16" s="2" t="s">
        <v>735</v>
      </c>
      <c r="B16" s="10" t="s">
        <v>755</v>
      </c>
      <c r="C16" s="11"/>
      <c r="D16" s="11">
        <v>149217.23000000001</v>
      </c>
    </row>
    <row r="17" spans="1:4" x14ac:dyDescent="0.15">
      <c r="A17" s="10" t="s">
        <v>756</v>
      </c>
      <c r="B17" s="10" t="s">
        <v>757</v>
      </c>
      <c r="D17" s="11">
        <v>8500</v>
      </c>
    </row>
    <row r="19" spans="1:4" ht="10.5" customHeight="1" x14ac:dyDescent="0.15">
      <c r="A19" s="2" t="s">
        <v>758</v>
      </c>
      <c r="B19" s="2" t="s">
        <v>759</v>
      </c>
      <c r="C19" s="117">
        <f>'TB HF 2024'!D66</f>
        <v>166550</v>
      </c>
    </row>
    <row r="20" spans="1:4" ht="10.5" customHeight="1" x14ac:dyDescent="0.15">
      <c r="A20" s="2" t="s">
        <v>760</v>
      </c>
      <c r="B20" s="2" t="s">
        <v>761</v>
      </c>
      <c r="C20" s="117">
        <f>'TB HF 2024'!D67</f>
        <v>45000</v>
      </c>
    </row>
    <row r="21" spans="1:4" ht="10.5" customHeight="1" x14ac:dyDescent="0.15">
      <c r="A21" s="2" t="s">
        <v>762</v>
      </c>
      <c r="B21" s="2" t="s">
        <v>763</v>
      </c>
      <c r="C21" s="117">
        <f>'TB HF 2024'!D68</f>
        <v>161000</v>
      </c>
    </row>
    <row r="22" spans="1:4" ht="10.5" customHeight="1" x14ac:dyDescent="0.15">
      <c r="A22" s="2" t="s">
        <v>756</v>
      </c>
      <c r="B22" s="2" t="s">
        <v>764</v>
      </c>
      <c r="C22" s="117">
        <f>'TB HF 2024'!D69</f>
        <v>3252759.95</v>
      </c>
      <c r="D22" s="3">
        <v>1233261.93</v>
      </c>
    </row>
    <row r="23" spans="1:4" ht="10.5" customHeight="1" x14ac:dyDescent="0.15">
      <c r="A23" s="2" t="s">
        <v>765</v>
      </c>
      <c r="B23" s="2" t="s">
        <v>766</v>
      </c>
      <c r="C23" s="3"/>
    </row>
    <row r="24" spans="1:4" ht="10.5" customHeight="1" x14ac:dyDescent="0.15">
      <c r="A24" s="12" t="s">
        <v>767</v>
      </c>
      <c r="B24" s="12" t="s">
        <v>768</v>
      </c>
      <c r="C24" s="118">
        <f>'TB HF 2024'!D71</f>
        <v>985049.68</v>
      </c>
    </row>
    <row r="25" spans="1:4" ht="10.5" customHeight="1" x14ac:dyDescent="0.15">
      <c r="A25" s="103" t="s">
        <v>769</v>
      </c>
      <c r="B25" s="103" t="s">
        <v>770</v>
      </c>
      <c r="C25" s="118">
        <f>'TB HF 2024'!D73</f>
        <v>1068455</v>
      </c>
    </row>
    <row r="27" spans="1:4" ht="14" customHeight="1" thickBot="1" x14ac:dyDescent="0.2">
      <c r="C27" s="4">
        <f>SUM(C2:C26)</f>
        <v>17185771.401999999</v>
      </c>
      <c r="D27" s="4">
        <f>SUM(D2:D26)</f>
        <v>27327863.388</v>
      </c>
    </row>
    <row r="28" spans="1:4" ht="14" customHeight="1" thickTop="1" x14ac:dyDescent="0.15"/>
    <row r="29" spans="1:4" ht="10.5" customHeight="1" x14ac:dyDescent="0.15">
      <c r="A29" s="2" t="s">
        <v>771</v>
      </c>
      <c r="B29" s="2" t="s">
        <v>772</v>
      </c>
      <c r="C29" s="3"/>
      <c r="D29" s="3">
        <v>48189453.100000001</v>
      </c>
    </row>
    <row r="30" spans="1:4" ht="10.5" customHeight="1" x14ac:dyDescent="0.15">
      <c r="A30" s="2" t="s">
        <v>773</v>
      </c>
      <c r="B30" s="2" t="s">
        <v>774</v>
      </c>
      <c r="C30" s="117">
        <f>'TB HF 2024'!D64</f>
        <v>3850818.04</v>
      </c>
    </row>
    <row r="31" spans="1:4" ht="10.5" customHeight="1" x14ac:dyDescent="0.15">
      <c r="A31" s="2" t="s">
        <v>775</v>
      </c>
      <c r="B31" s="2" t="s">
        <v>776</v>
      </c>
      <c r="C31" s="117">
        <f>'TB HF 2024'!D65+'TB HF 2024'!D70+'TB HF 2024'!D72</f>
        <v>3553765.73</v>
      </c>
      <c r="D31" s="3">
        <f>287500/1.15</f>
        <v>250000.00000000003</v>
      </c>
    </row>
    <row r="34" spans="1:5" ht="14" customHeight="1" thickBot="1" x14ac:dyDescent="0.2">
      <c r="C34" s="4">
        <f>C27+C29+C30+C31</f>
        <v>24590355.171999998</v>
      </c>
      <c r="D34" s="4">
        <f>D27+D30+D31</f>
        <v>27577863.388</v>
      </c>
      <c r="E34" s="4">
        <f>C34+D34</f>
        <v>52168218.560000002</v>
      </c>
    </row>
    <row r="35" spans="1:5" ht="14" customHeight="1" thickTop="1" x14ac:dyDescent="0.15"/>
    <row r="36" spans="1:5" x14ac:dyDescent="0.15">
      <c r="A36" s="6" t="s">
        <v>777</v>
      </c>
      <c r="B36" s="7">
        <f>SUM(B37:B43)</f>
        <v>0</v>
      </c>
    </row>
    <row r="37" spans="1:5" x14ac:dyDescent="0.15">
      <c r="A37" s="8" t="s">
        <v>778</v>
      </c>
      <c r="B37" s="9"/>
    </row>
    <row r="38" spans="1:5" x14ac:dyDescent="0.15">
      <c r="A38" s="8" t="s">
        <v>779</v>
      </c>
      <c r="B38" s="9"/>
    </row>
    <row r="39" spans="1:5" x14ac:dyDescent="0.15">
      <c r="A39" s="8" t="s">
        <v>101</v>
      </c>
      <c r="B39" s="9"/>
    </row>
    <row r="40" spans="1:5" x14ac:dyDescent="0.15">
      <c r="A40" s="8" t="s">
        <v>780</v>
      </c>
      <c r="B40" s="9"/>
    </row>
    <row r="41" spans="1:5" x14ac:dyDescent="0.15">
      <c r="A41" s="8" t="s">
        <v>781</v>
      </c>
      <c r="B41" s="9"/>
    </row>
    <row r="42" spans="1:5" x14ac:dyDescent="0.15">
      <c r="A42" s="8" t="s">
        <v>782</v>
      </c>
      <c r="B42" s="9"/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2"/>
  <sheetViews>
    <sheetView showGridLines="0" zoomScaleNormal="100" workbookViewId="0">
      <pane ySplit="5" topLeftCell="A8" activePane="bottomLeft" state="frozen"/>
      <selection pane="bottomLeft" activeCell="E58" sqref="E58"/>
    </sheetView>
  </sheetViews>
  <sheetFormatPr baseColWidth="10" defaultColWidth="9.1640625" defaultRowHeight="13" x14ac:dyDescent="0.15"/>
  <cols>
    <col min="1" max="1" width="27.1640625" style="35" bestFit="1" customWidth="1"/>
    <col min="2" max="2" width="4.83203125" style="35" bestFit="1" customWidth="1"/>
    <col min="3" max="3" width="10.83203125" style="35" bestFit="1" customWidth="1"/>
    <col min="4" max="4" width="14" style="35" bestFit="1" customWidth="1"/>
    <col min="5" max="5" width="10.83203125" style="35" bestFit="1" customWidth="1"/>
    <col min="6" max="6" width="11.1640625" style="35" bestFit="1" customWidth="1"/>
    <col min="7" max="7" width="10.83203125" style="35" bestFit="1" customWidth="1"/>
    <col min="8" max="14" width="9.83203125" style="35" bestFit="1" customWidth="1"/>
    <col min="15" max="15" width="9" style="35" bestFit="1" customWidth="1"/>
    <col min="16" max="18" width="9.1640625" style="35" customWidth="1"/>
    <col min="19" max="16384" width="9.1640625" style="35"/>
  </cols>
  <sheetData>
    <row r="1" spans="1:15" ht="25.25" customHeight="1" x14ac:dyDescent="0.15">
      <c r="A1" s="169" t="s">
        <v>134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</row>
    <row r="2" spans="1:15" ht="18" customHeight="1" x14ac:dyDescent="0.15">
      <c r="A2" s="171" t="s">
        <v>783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</row>
    <row r="3" spans="1:15" ht="36.25" customHeight="1" x14ac:dyDescent="0.15">
      <c r="A3" s="171" t="s">
        <v>784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</row>
    <row r="4" spans="1:15" ht="13.25" customHeight="1" x14ac:dyDescent="0.15"/>
    <row r="5" spans="1:15" ht="10.5" customHeight="1" x14ac:dyDescent="0.15">
      <c r="A5" s="36" t="s">
        <v>136</v>
      </c>
      <c r="B5" s="36"/>
      <c r="C5" s="36" t="s">
        <v>12</v>
      </c>
      <c r="D5" s="37">
        <v>44958</v>
      </c>
      <c r="E5" s="37">
        <v>44927</v>
      </c>
      <c r="F5" s="37">
        <v>44896</v>
      </c>
      <c r="G5" s="37">
        <v>44866</v>
      </c>
      <c r="H5" s="37">
        <v>44835</v>
      </c>
      <c r="I5" s="37">
        <v>44805</v>
      </c>
      <c r="J5" s="37">
        <v>44774</v>
      </c>
      <c r="K5" s="37">
        <v>44743</v>
      </c>
      <c r="L5" s="37">
        <v>44713</v>
      </c>
      <c r="M5" s="37">
        <v>44682</v>
      </c>
      <c r="N5" s="37">
        <v>44652</v>
      </c>
      <c r="O5" s="37">
        <v>44621</v>
      </c>
    </row>
    <row r="6" spans="1:15" ht="10.5" customHeight="1" x14ac:dyDescent="0.15">
      <c r="A6" s="38"/>
      <c r="B6" s="38"/>
      <c r="C6" s="38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ht="10.5" customHeight="1" x14ac:dyDescent="0.2">
      <c r="A7" s="166" t="s">
        <v>785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</row>
    <row r="8" spans="1:15" ht="10.5" customHeight="1" x14ac:dyDescent="0.15">
      <c r="A8" s="40" t="s">
        <v>786</v>
      </c>
      <c r="B8" s="40"/>
      <c r="C8" s="41">
        <f>SUM(D8:O8)</f>
        <v>36420086.969999999</v>
      </c>
      <c r="D8" s="42">
        <f>1373826.09+1391217.39</f>
        <v>2765043.48</v>
      </c>
      <c r="E8" s="42">
        <v>10938347.82</v>
      </c>
      <c r="F8" s="42">
        <v>8891565.2300000004</v>
      </c>
      <c r="G8" s="42">
        <v>13825130.439999999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</row>
    <row r="9" spans="1:15" ht="10.5" customHeight="1" x14ac:dyDescent="0.15">
      <c r="A9" s="40" t="s">
        <v>787</v>
      </c>
      <c r="B9" s="40"/>
      <c r="C9" s="41">
        <f>SUM(D9:O9)</f>
        <v>112832.72</v>
      </c>
      <c r="D9" s="42"/>
      <c r="E9" s="42">
        <v>23741.94</v>
      </c>
      <c r="F9" s="42">
        <v>22499.38</v>
      </c>
      <c r="G9" s="42">
        <v>66591.399999999994</v>
      </c>
      <c r="H9" s="42"/>
      <c r="I9" s="42"/>
      <c r="J9" s="42"/>
      <c r="K9" s="42"/>
      <c r="L9" s="42"/>
      <c r="M9" s="42"/>
      <c r="N9" s="42"/>
      <c r="O9" s="42"/>
    </row>
    <row r="10" spans="1:15" ht="10.5" customHeight="1" x14ac:dyDescent="0.15">
      <c r="A10" s="40" t="s">
        <v>788</v>
      </c>
      <c r="B10" s="40"/>
      <c r="C10" s="41">
        <f>SUM(D10:O10)</f>
        <v>0</v>
      </c>
      <c r="D10" s="42">
        <v>-35916.78</v>
      </c>
      <c r="E10" s="42">
        <v>35916.78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15" ht="10.5" customHeight="1" x14ac:dyDescent="0.15">
      <c r="A11" s="43" t="s">
        <v>789</v>
      </c>
      <c r="B11" s="43"/>
      <c r="C11" s="44">
        <f t="shared" ref="C11:O11" si="0">C8+C9+C10</f>
        <v>36532919.689999998</v>
      </c>
      <c r="D11" s="44">
        <f t="shared" si="0"/>
        <v>2729126.7</v>
      </c>
      <c r="E11" s="44">
        <f t="shared" si="0"/>
        <v>10998006.539999999</v>
      </c>
      <c r="F11" s="44">
        <f t="shared" si="0"/>
        <v>8914064.6100000013</v>
      </c>
      <c r="G11" s="44">
        <f t="shared" si="0"/>
        <v>13891721.84</v>
      </c>
      <c r="H11" s="44">
        <f t="shared" si="0"/>
        <v>0</v>
      </c>
      <c r="I11" s="44">
        <f t="shared" si="0"/>
        <v>0</v>
      </c>
      <c r="J11" s="44">
        <f t="shared" si="0"/>
        <v>0</v>
      </c>
      <c r="K11" s="44">
        <f t="shared" si="0"/>
        <v>0</v>
      </c>
      <c r="L11" s="44">
        <f t="shared" si="0"/>
        <v>0</v>
      </c>
      <c r="M11" s="44">
        <f t="shared" si="0"/>
        <v>0</v>
      </c>
      <c r="N11" s="44">
        <f t="shared" si="0"/>
        <v>0</v>
      </c>
      <c r="O11" s="44">
        <f t="shared" si="0"/>
        <v>0</v>
      </c>
    </row>
    <row r="12" spans="1:15" ht="10.5" customHeight="1" x14ac:dyDescent="0.15">
      <c r="A12" s="38"/>
      <c r="B12" s="38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 ht="10.5" customHeight="1" x14ac:dyDescent="0.2">
      <c r="A13" s="166" t="s">
        <v>148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</row>
    <row r="14" spans="1:15" ht="10.5" customHeight="1" x14ac:dyDescent="0.15">
      <c r="A14" s="40" t="s">
        <v>790</v>
      </c>
      <c r="B14" s="40"/>
      <c r="C14" s="41">
        <f t="shared" ref="C14:C21" si="1">SUM(D14:O14)</f>
        <v>86956.52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86956.52</v>
      </c>
      <c r="M14" s="42">
        <v>0</v>
      </c>
      <c r="N14" s="42">
        <v>0</v>
      </c>
      <c r="O14" s="42">
        <v>0</v>
      </c>
    </row>
    <row r="15" spans="1:15" ht="10.5" customHeight="1" x14ac:dyDescent="0.15">
      <c r="A15" s="40" t="s">
        <v>791</v>
      </c>
      <c r="B15" s="40"/>
      <c r="C15" s="41">
        <f t="shared" si="1"/>
        <v>1822091.28</v>
      </c>
      <c r="D15" s="42">
        <v>466056.51</v>
      </c>
      <c r="E15" s="42">
        <v>974495.64</v>
      </c>
      <c r="F15" s="42">
        <v>257634.78</v>
      </c>
      <c r="G15" s="42">
        <v>123904.35</v>
      </c>
      <c r="H15" s="42"/>
      <c r="I15" s="42"/>
      <c r="J15" s="42"/>
      <c r="K15" s="42"/>
      <c r="L15" s="42"/>
      <c r="M15" s="42"/>
      <c r="N15" s="42"/>
      <c r="O15" s="42"/>
    </row>
    <row r="16" spans="1:15" ht="10.5" customHeight="1" x14ac:dyDescent="0.15">
      <c r="A16" s="40" t="s">
        <v>792</v>
      </c>
      <c r="B16" s="40"/>
      <c r="C16" s="41">
        <f t="shared" si="1"/>
        <v>9738.91</v>
      </c>
      <c r="D16" s="42"/>
      <c r="E16" s="42"/>
      <c r="F16" s="42">
        <v>0</v>
      </c>
      <c r="G16" s="42"/>
      <c r="H16" s="42"/>
      <c r="I16" s="42">
        <v>9738.91</v>
      </c>
      <c r="J16" s="42"/>
      <c r="K16" s="42"/>
      <c r="L16" s="42"/>
      <c r="M16" s="42"/>
      <c r="N16" s="42"/>
      <c r="O16" s="42"/>
    </row>
    <row r="17" spans="1:15" ht="10.5" customHeight="1" x14ac:dyDescent="0.15">
      <c r="A17" s="40" t="s">
        <v>793</v>
      </c>
      <c r="B17" s="40"/>
      <c r="C17" s="41">
        <f t="shared" si="1"/>
        <v>24427668.440000001</v>
      </c>
      <c r="D17" s="42">
        <v>24427668.440000001</v>
      </c>
      <c r="E17" s="42">
        <v>0</v>
      </c>
      <c r="F17" s="42">
        <v>0</v>
      </c>
      <c r="G17" s="42">
        <v>0</v>
      </c>
      <c r="H17" s="42"/>
      <c r="I17" s="42"/>
      <c r="J17" s="42"/>
      <c r="K17" s="42"/>
      <c r="L17" s="42"/>
      <c r="M17" s="42"/>
      <c r="N17" s="42"/>
      <c r="O17" s="42"/>
    </row>
    <row r="18" spans="1:15" ht="10.5" customHeight="1" x14ac:dyDescent="0.15">
      <c r="A18" s="40" t="s">
        <v>794</v>
      </c>
      <c r="B18" s="40"/>
      <c r="C18" s="41">
        <f t="shared" si="1"/>
        <v>28465.91</v>
      </c>
      <c r="D18" s="42">
        <v>28465.91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1:15" ht="10.5" customHeight="1" x14ac:dyDescent="0.15">
      <c r="A19" s="40" t="s">
        <v>795</v>
      </c>
      <c r="B19" s="40"/>
      <c r="C19" s="41">
        <f t="shared" si="1"/>
        <v>280478.40000000002</v>
      </c>
      <c r="D19" s="42">
        <v>63374.28</v>
      </c>
      <c r="E19" s="42">
        <v>14453.64</v>
      </c>
      <c r="F19" s="42">
        <v>175176.84</v>
      </c>
      <c r="G19" s="42">
        <v>27473.64</v>
      </c>
      <c r="H19" s="42"/>
      <c r="I19" s="42"/>
      <c r="J19" s="42"/>
      <c r="K19" s="42"/>
      <c r="L19" s="42"/>
      <c r="M19" s="42"/>
      <c r="N19" s="42"/>
      <c r="O19" s="42"/>
    </row>
    <row r="20" spans="1:15" ht="10.5" customHeight="1" x14ac:dyDescent="0.15">
      <c r="A20" s="40" t="s">
        <v>796</v>
      </c>
      <c r="B20" s="40"/>
      <c r="C20" s="41">
        <f t="shared" si="1"/>
        <v>15988</v>
      </c>
      <c r="D20" s="42">
        <v>15988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1:15" ht="10.5" customHeight="1" x14ac:dyDescent="0.15">
      <c r="A21" s="40" t="s">
        <v>797</v>
      </c>
      <c r="B21" s="40"/>
      <c r="C21" s="41">
        <f t="shared" si="1"/>
        <v>924384.57000000007</v>
      </c>
      <c r="D21" s="42">
        <v>143541.28</v>
      </c>
      <c r="E21" s="42">
        <v>190695.35</v>
      </c>
      <c r="F21" s="42">
        <v>157031.18</v>
      </c>
      <c r="G21" s="42">
        <v>375272.82</v>
      </c>
      <c r="H21" s="42">
        <v>37150.94</v>
      </c>
      <c r="I21" s="42">
        <v>0</v>
      </c>
      <c r="J21" s="42">
        <v>20693</v>
      </c>
      <c r="K21" s="42"/>
      <c r="L21" s="42"/>
      <c r="M21" s="42"/>
      <c r="N21" s="42"/>
      <c r="O21" s="42"/>
    </row>
    <row r="22" spans="1:15" ht="10.5" customHeight="1" x14ac:dyDescent="0.15">
      <c r="A22" s="43" t="s">
        <v>194</v>
      </c>
      <c r="B22" s="43"/>
      <c r="C22" s="44">
        <f t="shared" ref="C22:O22" si="2">SUM(C14:C21)</f>
        <v>27595772.030000001</v>
      </c>
      <c r="D22" s="44">
        <f t="shared" si="2"/>
        <v>25145094.420000006</v>
      </c>
      <c r="E22" s="44">
        <f t="shared" si="2"/>
        <v>1179644.6300000001</v>
      </c>
      <c r="F22" s="44">
        <f t="shared" si="2"/>
        <v>589842.80000000005</v>
      </c>
      <c r="G22" s="44">
        <f t="shared" si="2"/>
        <v>526650.81000000006</v>
      </c>
      <c r="H22" s="44">
        <f t="shared" si="2"/>
        <v>37150.94</v>
      </c>
      <c r="I22" s="44">
        <f t="shared" si="2"/>
        <v>9738.91</v>
      </c>
      <c r="J22" s="44">
        <f t="shared" si="2"/>
        <v>20693</v>
      </c>
      <c r="K22" s="44">
        <f t="shared" si="2"/>
        <v>0</v>
      </c>
      <c r="L22" s="44">
        <f t="shared" si="2"/>
        <v>86956.52</v>
      </c>
      <c r="M22" s="44">
        <f t="shared" si="2"/>
        <v>0</v>
      </c>
      <c r="N22" s="44">
        <f t="shared" si="2"/>
        <v>0</v>
      </c>
      <c r="O22" s="44">
        <f t="shared" si="2"/>
        <v>0</v>
      </c>
    </row>
    <row r="23" spans="1:15" ht="10.5" customHeight="1" x14ac:dyDescent="0.15">
      <c r="A23" s="38"/>
      <c r="B23" s="38"/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 ht="10.5" customHeight="1" x14ac:dyDescent="0.15">
      <c r="A24" s="46" t="s">
        <v>195</v>
      </c>
      <c r="B24" s="46"/>
      <c r="C24" s="47">
        <f t="shared" ref="C24:O24" si="3">C11-C22</f>
        <v>8937147.6599999964</v>
      </c>
      <c r="D24" s="47">
        <f t="shared" si="3"/>
        <v>-22415967.720000006</v>
      </c>
      <c r="E24" s="47">
        <f t="shared" si="3"/>
        <v>9818361.9099999983</v>
      </c>
      <c r="F24" s="47">
        <f t="shared" si="3"/>
        <v>8324221.8100000015</v>
      </c>
      <c r="G24" s="47">
        <f t="shared" si="3"/>
        <v>13365071.029999999</v>
      </c>
      <c r="H24" s="47">
        <f t="shared" si="3"/>
        <v>-37150.94</v>
      </c>
      <c r="I24" s="47">
        <f t="shared" si="3"/>
        <v>-9738.91</v>
      </c>
      <c r="J24" s="47">
        <f t="shared" si="3"/>
        <v>-20693</v>
      </c>
      <c r="K24" s="47">
        <f t="shared" si="3"/>
        <v>0</v>
      </c>
      <c r="L24" s="47">
        <f t="shared" si="3"/>
        <v>-86956.52</v>
      </c>
      <c r="M24" s="47">
        <f t="shared" si="3"/>
        <v>0</v>
      </c>
      <c r="N24" s="47">
        <f t="shared" si="3"/>
        <v>0</v>
      </c>
      <c r="O24" s="47">
        <f t="shared" si="3"/>
        <v>0</v>
      </c>
    </row>
    <row r="25" spans="1:15" ht="13.25" customHeight="1" x14ac:dyDescent="0.15"/>
    <row r="26" spans="1:15" ht="13" customHeight="1" x14ac:dyDescent="0.2">
      <c r="A26" s="166" t="s">
        <v>196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</row>
    <row r="27" spans="1:15" ht="10.5" customHeight="1" x14ac:dyDescent="0.15">
      <c r="A27" s="40" t="s">
        <v>798</v>
      </c>
      <c r="B27" s="40"/>
      <c r="C27" s="41">
        <f>SUM(D27:O27)</f>
        <v>579372.33000000007</v>
      </c>
      <c r="D27" s="42">
        <v>116845.7</v>
      </c>
      <c r="E27" s="42">
        <v>71924.81</v>
      </c>
      <c r="F27" s="42">
        <v>49646.57</v>
      </c>
      <c r="G27" s="42">
        <v>58002.69</v>
      </c>
      <c r="H27" s="42">
        <v>31863.87</v>
      </c>
      <c r="I27" s="42">
        <v>30938.77</v>
      </c>
      <c r="J27" s="42">
        <v>49013.7</v>
      </c>
      <c r="K27" s="42">
        <v>50001.11</v>
      </c>
      <c r="L27" s="32">
        <v>59954.34</v>
      </c>
      <c r="M27" s="32">
        <v>19914.54</v>
      </c>
      <c r="N27" s="33">
        <v>33568.160000000003</v>
      </c>
      <c r="O27" s="33">
        <v>7698.07</v>
      </c>
    </row>
    <row r="28" spans="1:15" ht="10.5" customHeight="1" x14ac:dyDescent="0.15">
      <c r="A28" s="43" t="s">
        <v>201</v>
      </c>
      <c r="B28" s="43"/>
      <c r="C28" s="44">
        <f t="shared" ref="C28:O28" si="4">C27</f>
        <v>579372.33000000007</v>
      </c>
      <c r="D28" s="44">
        <f t="shared" si="4"/>
        <v>116845.7</v>
      </c>
      <c r="E28" s="44">
        <f t="shared" si="4"/>
        <v>71924.81</v>
      </c>
      <c r="F28" s="44">
        <f t="shared" si="4"/>
        <v>49646.57</v>
      </c>
      <c r="G28" s="44">
        <f t="shared" si="4"/>
        <v>58002.69</v>
      </c>
      <c r="H28" s="44">
        <f t="shared" si="4"/>
        <v>31863.87</v>
      </c>
      <c r="I28" s="44">
        <f t="shared" si="4"/>
        <v>30938.77</v>
      </c>
      <c r="J28" s="44">
        <f t="shared" si="4"/>
        <v>49013.7</v>
      </c>
      <c r="K28" s="44">
        <f t="shared" si="4"/>
        <v>50001.11</v>
      </c>
      <c r="L28" s="34">
        <f t="shared" si="4"/>
        <v>59954.34</v>
      </c>
      <c r="M28" s="34">
        <f t="shared" si="4"/>
        <v>19914.54</v>
      </c>
      <c r="N28" s="34">
        <f t="shared" si="4"/>
        <v>33568.160000000003</v>
      </c>
      <c r="O28" s="34">
        <f t="shared" si="4"/>
        <v>7698.07</v>
      </c>
    </row>
    <row r="29" spans="1:15" ht="13.25" customHeight="1" x14ac:dyDescent="0.15"/>
    <row r="30" spans="1:15" ht="13" customHeight="1" x14ac:dyDescent="0.2">
      <c r="A30" s="166" t="s">
        <v>202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</row>
    <row r="31" spans="1:15" ht="13" customHeight="1" x14ac:dyDescent="0.15">
      <c r="A31" s="40" t="s">
        <v>799</v>
      </c>
      <c r="B31" s="48"/>
      <c r="C31" s="41">
        <f t="shared" ref="C31:C65" si="5">SUM(D31:O31)</f>
        <v>150</v>
      </c>
      <c r="D31" s="42">
        <v>0</v>
      </c>
      <c r="E31" s="42">
        <v>0</v>
      </c>
      <c r="F31" s="42">
        <v>0</v>
      </c>
      <c r="G31" s="42">
        <v>0</v>
      </c>
      <c r="H31" s="42">
        <v>150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</row>
    <row r="32" spans="1:15" ht="10.5" customHeight="1" x14ac:dyDescent="0.15">
      <c r="A32" s="40" t="s">
        <v>213</v>
      </c>
      <c r="B32" s="40"/>
      <c r="C32" s="41">
        <f t="shared" si="5"/>
        <v>114416.12</v>
      </c>
      <c r="D32" s="42">
        <v>7082.26</v>
      </c>
      <c r="E32" s="42">
        <v>0</v>
      </c>
      <c r="F32" s="42">
        <v>550</v>
      </c>
      <c r="G32" s="42">
        <v>6705</v>
      </c>
      <c r="H32" s="42">
        <v>375</v>
      </c>
      <c r="I32" s="42">
        <v>4746</v>
      </c>
      <c r="J32" s="42">
        <v>31550</v>
      </c>
      <c r="K32" s="42">
        <v>0</v>
      </c>
      <c r="L32" s="42">
        <v>0</v>
      </c>
      <c r="M32" s="42">
        <v>7620</v>
      </c>
      <c r="N32" s="42">
        <v>55237.86</v>
      </c>
      <c r="O32" s="42">
        <v>550</v>
      </c>
    </row>
    <row r="33" spans="1:15" ht="10.5" customHeight="1" x14ac:dyDescent="0.15">
      <c r="A33" s="45" t="s">
        <v>800</v>
      </c>
      <c r="B33" s="40"/>
      <c r="C33" s="41">
        <f t="shared" si="5"/>
        <v>0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</row>
    <row r="34" spans="1:15" ht="10.5" customHeight="1" x14ac:dyDescent="0.15">
      <c r="A34" s="40" t="s">
        <v>801</v>
      </c>
      <c r="B34" s="40"/>
      <c r="C34" s="41">
        <f t="shared" si="5"/>
        <v>138672</v>
      </c>
      <c r="D34" s="42">
        <f t="shared" ref="D34:I34" si="6">E34</f>
        <v>11556</v>
      </c>
      <c r="E34" s="42">
        <f t="shared" si="6"/>
        <v>11556</v>
      </c>
      <c r="F34" s="42">
        <f t="shared" si="6"/>
        <v>11556</v>
      </c>
      <c r="G34" s="42">
        <f t="shared" si="6"/>
        <v>11556</v>
      </c>
      <c r="H34" s="42">
        <f t="shared" si="6"/>
        <v>11556</v>
      </c>
      <c r="I34" s="42">
        <f t="shared" si="6"/>
        <v>11556</v>
      </c>
      <c r="J34" s="42">
        <v>11556</v>
      </c>
      <c r="K34" s="42">
        <v>11556</v>
      </c>
      <c r="L34" s="42">
        <v>11556</v>
      </c>
      <c r="M34" s="42">
        <v>11556</v>
      </c>
      <c r="N34" s="42">
        <v>23112</v>
      </c>
      <c r="O34" s="42">
        <v>0</v>
      </c>
    </row>
    <row r="35" spans="1:15" ht="10.5" customHeight="1" x14ac:dyDescent="0.15">
      <c r="A35" s="45" t="s">
        <v>802</v>
      </c>
      <c r="B35" s="40"/>
      <c r="C35" s="41">
        <f t="shared" si="5"/>
        <v>0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</row>
    <row r="36" spans="1:15" ht="10.5" customHeight="1" x14ac:dyDescent="0.15">
      <c r="A36" s="45" t="s">
        <v>803</v>
      </c>
      <c r="B36" s="40"/>
      <c r="C36" s="41">
        <f t="shared" si="5"/>
        <v>0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5" ht="10.5" customHeight="1" x14ac:dyDescent="0.15">
      <c r="A37" s="45" t="s">
        <v>804</v>
      </c>
      <c r="B37" s="40"/>
      <c r="C37" s="41">
        <f t="shared" si="5"/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5" ht="10.5" customHeight="1" x14ac:dyDescent="0.15">
      <c r="A38" s="40" t="s">
        <v>214</v>
      </c>
      <c r="B38" s="40"/>
      <c r="C38" s="41">
        <f t="shared" si="5"/>
        <v>7598.74</v>
      </c>
      <c r="D38" s="42">
        <v>920.53</v>
      </c>
      <c r="E38" s="42">
        <v>406.48</v>
      </c>
      <c r="F38" s="42">
        <v>242.38</v>
      </c>
      <c r="G38" s="42">
        <v>290.77999999999997</v>
      </c>
      <c r="H38" s="42">
        <v>261.49</v>
      </c>
      <c r="I38" s="42">
        <v>726.9</v>
      </c>
      <c r="J38" s="42">
        <v>832.43</v>
      </c>
      <c r="K38" s="42">
        <v>1218.08</v>
      </c>
      <c r="L38" s="42">
        <v>633.27</v>
      </c>
      <c r="M38" s="42">
        <v>698.54</v>
      </c>
      <c r="N38" s="42">
        <v>714.16</v>
      </c>
      <c r="O38" s="42">
        <v>653.70000000000005</v>
      </c>
    </row>
    <row r="39" spans="1:15" ht="10.5" customHeight="1" x14ac:dyDescent="0.15">
      <c r="A39" s="40" t="s">
        <v>222</v>
      </c>
      <c r="B39" s="40"/>
      <c r="C39" s="41">
        <f t="shared" si="5"/>
        <v>1040907.54</v>
      </c>
      <c r="D39" s="42">
        <v>103742</v>
      </c>
      <c r="E39" s="42">
        <v>82812.429999999993</v>
      </c>
      <c r="F39" s="42">
        <v>102812.43</v>
      </c>
      <c r="G39" s="42">
        <v>81000</v>
      </c>
      <c r="H39" s="42">
        <f>I39</f>
        <v>90550</v>
      </c>
      <c r="I39" s="42">
        <v>90550</v>
      </c>
      <c r="J39" s="42">
        <v>83750</v>
      </c>
      <c r="K39" s="42">
        <v>86425</v>
      </c>
      <c r="L39" s="42">
        <v>86425</v>
      </c>
      <c r="M39" s="42">
        <v>86424.99</v>
      </c>
      <c r="N39" s="42">
        <v>78771.649999999994</v>
      </c>
      <c r="O39" s="42">
        <v>67644.039999999994</v>
      </c>
    </row>
    <row r="40" spans="1:15" ht="10.5" customHeight="1" x14ac:dyDescent="0.15">
      <c r="A40" s="40" t="s">
        <v>805</v>
      </c>
      <c r="B40" s="40"/>
      <c r="C40" s="41">
        <f t="shared" si="5"/>
        <v>76000</v>
      </c>
      <c r="D40" s="42">
        <v>16000</v>
      </c>
      <c r="E40" s="42">
        <v>0</v>
      </c>
      <c r="F40" s="42">
        <f>G40</f>
        <v>4000</v>
      </c>
      <c r="G40" s="42">
        <f>H40</f>
        <v>4000</v>
      </c>
      <c r="H40" s="42">
        <v>4000</v>
      </c>
      <c r="I40" s="42">
        <v>8000</v>
      </c>
      <c r="J40" s="42">
        <v>4000</v>
      </c>
      <c r="K40" s="42">
        <v>4000</v>
      </c>
      <c r="L40" s="42">
        <v>4000</v>
      </c>
      <c r="M40" s="42">
        <v>24000</v>
      </c>
      <c r="N40" s="42">
        <v>0</v>
      </c>
      <c r="O40" s="42">
        <v>4000</v>
      </c>
    </row>
    <row r="41" spans="1:15" ht="10.5" customHeight="1" x14ac:dyDescent="0.15">
      <c r="A41" s="40" t="s">
        <v>120</v>
      </c>
      <c r="B41" s="40"/>
      <c r="C41" s="41">
        <f t="shared" si="5"/>
        <v>31830.699999999997</v>
      </c>
      <c r="D41" s="42">
        <v>0</v>
      </c>
      <c r="E41" s="42">
        <v>5123.04</v>
      </c>
      <c r="F41" s="42">
        <v>0</v>
      </c>
      <c r="G41" s="42">
        <v>3070.69</v>
      </c>
      <c r="H41" s="42">
        <v>3022.39</v>
      </c>
      <c r="I41" s="42">
        <v>3237.68</v>
      </c>
      <c r="J41" s="42">
        <v>4119.96</v>
      </c>
      <c r="K41" s="42">
        <v>3534.69</v>
      </c>
      <c r="L41" s="42">
        <v>2619.62</v>
      </c>
      <c r="M41" s="42">
        <v>4886.7299999999996</v>
      </c>
      <c r="N41" s="42">
        <v>0</v>
      </c>
      <c r="O41" s="42">
        <v>2215.9</v>
      </c>
    </row>
    <row r="42" spans="1:15" ht="10.5" customHeight="1" x14ac:dyDescent="0.15">
      <c r="A42" s="40" t="s">
        <v>122</v>
      </c>
      <c r="B42" s="40"/>
      <c r="C42" s="41">
        <f t="shared" si="5"/>
        <v>26429.33</v>
      </c>
      <c r="D42" s="42">
        <v>9346.68</v>
      </c>
      <c r="E42" s="42">
        <v>4379.83</v>
      </c>
      <c r="F42" s="42">
        <v>4467.96</v>
      </c>
      <c r="G42" s="42">
        <v>4092.56</v>
      </c>
      <c r="H42" s="42">
        <v>0</v>
      </c>
      <c r="I42" s="42">
        <v>4142.3</v>
      </c>
      <c r="J42" s="42"/>
      <c r="K42" s="42"/>
      <c r="L42" s="42"/>
      <c r="M42" s="42"/>
      <c r="N42" s="42"/>
      <c r="O42" s="42"/>
    </row>
    <row r="43" spans="1:15" ht="10.5" customHeight="1" x14ac:dyDescent="0.15">
      <c r="A43" s="40" t="s">
        <v>123</v>
      </c>
      <c r="B43" s="40"/>
      <c r="C43" s="41">
        <f t="shared" si="5"/>
        <v>588.43999999999994</v>
      </c>
      <c r="D43" s="42">
        <v>0</v>
      </c>
      <c r="E43" s="42">
        <v>0</v>
      </c>
      <c r="F43" s="42">
        <v>0</v>
      </c>
      <c r="G43" s="42">
        <v>0</v>
      </c>
      <c r="H43" s="42">
        <v>181.66</v>
      </c>
      <c r="I43" s="42">
        <v>89.72</v>
      </c>
      <c r="J43" s="42">
        <v>92.64</v>
      </c>
      <c r="K43" s="42">
        <v>11.22</v>
      </c>
      <c r="L43" s="42">
        <v>158.56</v>
      </c>
      <c r="M43" s="42">
        <v>0</v>
      </c>
      <c r="N43" s="42">
        <v>0</v>
      </c>
      <c r="O43" s="42">
        <v>54.64</v>
      </c>
    </row>
    <row r="44" spans="1:15" ht="10.5" customHeight="1" x14ac:dyDescent="0.15">
      <c r="A44" s="40" t="s">
        <v>806</v>
      </c>
      <c r="B44" s="40"/>
      <c r="C44" s="41">
        <f t="shared" si="5"/>
        <v>142876.75</v>
      </c>
      <c r="D44" s="42">
        <v>0</v>
      </c>
      <c r="E44" s="42">
        <v>79243.86</v>
      </c>
      <c r="F44" s="42">
        <v>53315.08</v>
      </c>
      <c r="G44" s="42">
        <v>10317.81</v>
      </c>
      <c r="H44" s="42"/>
      <c r="I44" s="42"/>
      <c r="J44" s="42"/>
      <c r="K44" s="42"/>
      <c r="L44" s="42"/>
      <c r="M44" s="42"/>
      <c r="N44" s="42"/>
      <c r="O44" s="42"/>
    </row>
    <row r="45" spans="1:15" ht="10.5" customHeight="1" x14ac:dyDescent="0.15">
      <c r="A45" s="40" t="s">
        <v>807</v>
      </c>
      <c r="B45" s="40"/>
      <c r="C45" s="41">
        <f t="shared" si="5"/>
        <v>1087561.6100000001</v>
      </c>
      <c r="D45" s="42">
        <v>51945.21</v>
      </c>
      <c r="E45" s="42">
        <v>333904.11</v>
      </c>
      <c r="F45" s="42">
        <v>324986.28000000003</v>
      </c>
      <c r="G45" s="42">
        <v>376726.01</v>
      </c>
      <c r="H45" s="42"/>
      <c r="I45" s="42"/>
      <c r="J45" s="42"/>
      <c r="K45" s="42"/>
      <c r="L45" s="42"/>
      <c r="M45" s="42"/>
      <c r="N45" s="42"/>
      <c r="O45" s="42"/>
    </row>
    <row r="46" spans="1:15" ht="10.5" customHeight="1" x14ac:dyDescent="0.15">
      <c r="A46" s="40" t="s">
        <v>808</v>
      </c>
      <c r="B46" s="40"/>
      <c r="C46" s="41">
        <f t="shared" si="5"/>
        <v>138082.19</v>
      </c>
      <c r="D46" s="42">
        <v>0</v>
      </c>
      <c r="E46" s="42">
        <v>138082.19</v>
      </c>
      <c r="F46" s="42">
        <v>0</v>
      </c>
      <c r="G46" s="42">
        <v>0</v>
      </c>
      <c r="H46" s="42"/>
      <c r="I46" s="42"/>
      <c r="J46" s="42"/>
      <c r="K46" s="42"/>
      <c r="L46" s="42"/>
      <c r="M46" s="42"/>
      <c r="N46" s="42"/>
      <c r="O46" s="42"/>
    </row>
    <row r="47" spans="1:15" ht="10.5" customHeight="1" x14ac:dyDescent="0.15">
      <c r="A47" s="40" t="s">
        <v>809</v>
      </c>
      <c r="B47" s="40"/>
      <c r="C47" s="41">
        <f t="shared" si="5"/>
        <v>4856672.01</v>
      </c>
      <c r="D47" s="42">
        <v>454945.07</v>
      </c>
      <c r="E47" s="42">
        <v>1167405.8799999999</v>
      </c>
      <c r="F47" s="42">
        <v>1199211.5</v>
      </c>
      <c r="G47" s="42">
        <v>2035109.56</v>
      </c>
      <c r="H47" s="42"/>
      <c r="I47" s="42"/>
      <c r="J47" s="42"/>
      <c r="K47" s="42"/>
      <c r="L47" s="42"/>
      <c r="M47" s="42"/>
      <c r="N47" s="42"/>
      <c r="O47" s="42"/>
    </row>
    <row r="48" spans="1:15" ht="10.5" customHeight="1" x14ac:dyDescent="0.15">
      <c r="A48" s="40" t="s">
        <v>810</v>
      </c>
      <c r="B48" s="40"/>
      <c r="C48" s="41">
        <f t="shared" si="5"/>
        <v>506456.8</v>
      </c>
      <c r="D48" s="42">
        <v>27652.39</v>
      </c>
      <c r="E48" s="42">
        <v>114401.55</v>
      </c>
      <c r="F48" s="42">
        <v>146097.54999999999</v>
      </c>
      <c r="G48" s="42">
        <v>218305.31</v>
      </c>
      <c r="H48" s="42"/>
      <c r="I48" s="42"/>
      <c r="J48" s="42"/>
      <c r="K48" s="42"/>
      <c r="L48" s="42"/>
      <c r="M48" s="42"/>
      <c r="N48" s="42"/>
      <c r="O48" s="42"/>
    </row>
    <row r="49" spans="1:15" ht="10.5" customHeight="1" x14ac:dyDescent="0.15">
      <c r="A49" s="40" t="s">
        <v>811</v>
      </c>
      <c r="B49" s="40"/>
      <c r="C49" s="41">
        <f t="shared" si="5"/>
        <v>50842.47</v>
      </c>
      <c r="D49" s="42">
        <v>178.08</v>
      </c>
      <c r="E49" s="42">
        <v>18431.5</v>
      </c>
      <c r="F49" s="42">
        <v>2920.55</v>
      </c>
      <c r="G49" s="42">
        <v>29312.34</v>
      </c>
      <c r="H49" s="42"/>
      <c r="I49" s="42"/>
      <c r="J49" s="42"/>
      <c r="K49" s="42"/>
      <c r="L49" s="42"/>
      <c r="M49" s="42"/>
      <c r="N49" s="42"/>
      <c r="O49" s="42"/>
    </row>
    <row r="50" spans="1:15" ht="10.5" customHeight="1" x14ac:dyDescent="0.15">
      <c r="A50" s="40" t="s">
        <v>812</v>
      </c>
      <c r="B50" s="40"/>
      <c r="C50" s="41">
        <f t="shared" si="5"/>
        <v>14865.42</v>
      </c>
      <c r="D50" s="42">
        <v>0</v>
      </c>
      <c r="E50" s="42">
        <v>13213.35</v>
      </c>
      <c r="F50" s="42">
        <v>1091.0999999999999</v>
      </c>
      <c r="G50" s="42">
        <v>560.97</v>
      </c>
      <c r="H50" s="42"/>
      <c r="I50" s="42"/>
      <c r="J50" s="42"/>
      <c r="K50" s="42"/>
      <c r="L50" s="42"/>
      <c r="M50" s="42"/>
      <c r="N50" s="42"/>
      <c r="O50" s="42"/>
    </row>
    <row r="51" spans="1:15" ht="10.5" customHeight="1" x14ac:dyDescent="0.15">
      <c r="A51" s="40" t="s">
        <v>813</v>
      </c>
      <c r="B51" s="40"/>
      <c r="C51" s="41">
        <f t="shared" si="5"/>
        <v>2742.46</v>
      </c>
      <c r="D51" s="42">
        <v>0</v>
      </c>
      <c r="E51" s="42">
        <v>2493.14</v>
      </c>
      <c r="F51" s="42">
        <v>249.32</v>
      </c>
      <c r="G51" s="42">
        <v>0</v>
      </c>
      <c r="H51" s="42"/>
      <c r="I51" s="42"/>
      <c r="J51" s="42"/>
      <c r="K51" s="42"/>
      <c r="L51" s="42"/>
      <c r="M51" s="42"/>
      <c r="N51" s="42"/>
      <c r="O51" s="42"/>
    </row>
    <row r="52" spans="1:15" ht="10.5" customHeight="1" x14ac:dyDescent="0.15">
      <c r="A52" s="40" t="s">
        <v>814</v>
      </c>
      <c r="B52" s="40"/>
      <c r="C52" s="41">
        <f t="shared" si="5"/>
        <v>48.99</v>
      </c>
      <c r="D52" s="42">
        <v>0</v>
      </c>
      <c r="E52" s="42">
        <v>48.99</v>
      </c>
      <c r="F52" s="42">
        <v>0</v>
      </c>
      <c r="G52" s="42">
        <v>0</v>
      </c>
      <c r="H52" s="42"/>
      <c r="I52" s="42"/>
      <c r="J52" s="42"/>
      <c r="K52" s="42"/>
      <c r="L52" s="42"/>
      <c r="M52" s="42"/>
      <c r="N52" s="42"/>
      <c r="O52" s="42"/>
    </row>
    <row r="53" spans="1:15" ht="10.5" customHeight="1" x14ac:dyDescent="0.15">
      <c r="A53" s="40" t="s">
        <v>815</v>
      </c>
      <c r="B53" s="40"/>
      <c r="C53" s="41">
        <f t="shared" si="5"/>
        <v>512.87</v>
      </c>
      <c r="D53" s="42">
        <v>512.87</v>
      </c>
      <c r="E53" s="42">
        <v>0</v>
      </c>
      <c r="F53" s="42">
        <v>0</v>
      </c>
      <c r="G53" s="42">
        <v>0</v>
      </c>
      <c r="H53" s="42"/>
      <c r="I53" s="42"/>
      <c r="J53" s="42"/>
      <c r="K53" s="42"/>
      <c r="L53" s="42"/>
      <c r="M53" s="42"/>
      <c r="N53" s="42"/>
      <c r="O53" s="42"/>
    </row>
    <row r="54" spans="1:15" ht="10.5" customHeight="1" x14ac:dyDescent="0.15">
      <c r="A54" s="40" t="s">
        <v>816</v>
      </c>
      <c r="B54" s="40"/>
      <c r="C54" s="41">
        <f t="shared" si="5"/>
        <v>-44150.589999999989</v>
      </c>
      <c r="D54" s="42">
        <v>-291144.11</v>
      </c>
      <c r="E54" s="42">
        <v>1536.81</v>
      </c>
      <c r="F54" s="42">
        <v>2354.4499999999998</v>
      </c>
      <c r="G54" s="42">
        <v>3173.36</v>
      </c>
      <c r="H54" s="42">
        <v>1185.3399999999999</v>
      </c>
      <c r="I54" s="42">
        <v>11978.61</v>
      </c>
      <c r="J54" s="42">
        <v>30848.71</v>
      </c>
      <c r="K54" s="42">
        <v>52251.97</v>
      </c>
      <c r="L54" s="42">
        <v>73214.48</v>
      </c>
      <c r="M54" s="42">
        <v>49434.6</v>
      </c>
      <c r="N54" s="42">
        <v>19858.78</v>
      </c>
      <c r="O54" s="42">
        <v>1156.4100000000001</v>
      </c>
    </row>
    <row r="55" spans="1:15" ht="10.5" customHeight="1" x14ac:dyDescent="0.15">
      <c r="A55" s="40" t="s">
        <v>817</v>
      </c>
      <c r="B55" s="40"/>
      <c r="C55" s="41">
        <f t="shared" si="5"/>
        <v>400000</v>
      </c>
      <c r="D55" s="42">
        <f>E55</f>
        <v>0</v>
      </c>
      <c r="E55" s="42">
        <f>F55</f>
        <v>0</v>
      </c>
      <c r="F55" s="42">
        <f>G55</f>
        <v>0</v>
      </c>
      <c r="G55" s="42">
        <v>0</v>
      </c>
      <c r="H55" s="42">
        <v>400000</v>
      </c>
      <c r="I55" s="42"/>
      <c r="J55" s="42"/>
      <c r="K55" s="42"/>
      <c r="L55" s="42"/>
      <c r="M55" s="42"/>
      <c r="N55" s="42"/>
      <c r="O55" s="42"/>
    </row>
    <row r="56" spans="1:15" ht="10.5" customHeight="1" x14ac:dyDescent="0.15">
      <c r="A56" s="45" t="s">
        <v>818</v>
      </c>
      <c r="B56" s="40"/>
      <c r="C56" s="41">
        <f t="shared" si="5"/>
        <v>0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 spans="1:15" ht="10.5" customHeight="1" x14ac:dyDescent="0.15">
      <c r="A57" s="40" t="s">
        <v>819</v>
      </c>
      <c r="B57" s="40"/>
      <c r="C57" s="41">
        <f t="shared" si="5"/>
        <v>35882.799999999996</v>
      </c>
      <c r="D57" s="42">
        <v>0</v>
      </c>
      <c r="E57" s="42">
        <v>6778.01</v>
      </c>
      <c r="F57" s="42">
        <v>0</v>
      </c>
      <c r="G57" s="42">
        <v>3335.21</v>
      </c>
      <c r="H57" s="42">
        <v>3406.21</v>
      </c>
      <c r="I57" s="42">
        <v>3227.61</v>
      </c>
      <c r="J57" s="42">
        <v>3442.8</v>
      </c>
      <c r="K57" s="42">
        <v>3114.7</v>
      </c>
      <c r="L57" s="42">
        <v>3067.87</v>
      </c>
      <c r="M57" s="42">
        <v>6340.26</v>
      </c>
      <c r="N57" s="42">
        <v>0</v>
      </c>
      <c r="O57" s="42">
        <v>3170.13</v>
      </c>
    </row>
    <row r="58" spans="1:15" ht="10.5" customHeight="1" x14ac:dyDescent="0.15">
      <c r="A58" s="40" t="s">
        <v>820</v>
      </c>
      <c r="B58" s="40"/>
      <c r="C58" s="41">
        <f t="shared" si="5"/>
        <v>10690.2</v>
      </c>
      <c r="D58" s="42">
        <v>0</v>
      </c>
      <c r="E58" s="42">
        <v>7126.8</v>
      </c>
      <c r="F58" s="42">
        <v>0</v>
      </c>
      <c r="G58" s="42">
        <v>3563.4</v>
      </c>
      <c r="H58" s="42"/>
      <c r="I58" s="42"/>
      <c r="J58" s="42"/>
      <c r="K58" s="42"/>
      <c r="L58" s="42"/>
      <c r="M58" s="42"/>
      <c r="N58" s="42"/>
      <c r="O58" s="42"/>
    </row>
    <row r="59" spans="1:15" ht="10.5" customHeight="1" x14ac:dyDescent="0.15">
      <c r="A59" s="40" t="s">
        <v>821</v>
      </c>
      <c r="B59" s="40"/>
      <c r="C59" s="41">
        <f t="shared" si="5"/>
        <v>22719.989999999998</v>
      </c>
      <c r="D59" s="42">
        <f>E59</f>
        <v>0</v>
      </c>
      <c r="E59" s="42">
        <f>F59</f>
        <v>0</v>
      </c>
      <c r="F59" s="42">
        <f>G59</f>
        <v>0</v>
      </c>
      <c r="G59" s="42">
        <v>0</v>
      </c>
      <c r="H59" s="42">
        <v>18372.16</v>
      </c>
      <c r="I59" s="42">
        <v>4347.83</v>
      </c>
      <c r="J59" s="42"/>
      <c r="K59" s="42"/>
      <c r="L59" s="42"/>
      <c r="M59" s="42"/>
      <c r="N59" s="42"/>
      <c r="O59" s="42"/>
    </row>
    <row r="60" spans="1:15" ht="10.5" customHeight="1" x14ac:dyDescent="0.15">
      <c r="A60" s="40" t="s">
        <v>822</v>
      </c>
      <c r="B60" s="40"/>
      <c r="C60" s="41">
        <f t="shared" si="5"/>
        <v>5577.79</v>
      </c>
      <c r="D60" s="42">
        <v>328.38</v>
      </c>
      <c r="E60" s="42">
        <f>G60</f>
        <v>328.38</v>
      </c>
      <c r="F60" s="42">
        <v>665.19</v>
      </c>
      <c r="G60" s="42">
        <f>H60</f>
        <v>328.38</v>
      </c>
      <c r="H60" s="42">
        <f>I60</f>
        <v>328.38</v>
      </c>
      <c r="I60" s="42">
        <f>J60</f>
        <v>328.38</v>
      </c>
      <c r="J60" s="42">
        <v>328.38</v>
      </c>
      <c r="K60" s="42">
        <v>328.38</v>
      </c>
      <c r="L60" s="42">
        <v>1723.38</v>
      </c>
      <c r="M60" s="42">
        <v>302.64999999999998</v>
      </c>
      <c r="N60" s="42">
        <v>302.64999999999998</v>
      </c>
      <c r="O60" s="42">
        <v>285.26</v>
      </c>
    </row>
    <row r="61" spans="1:15" ht="10.5" customHeight="1" x14ac:dyDescent="0.15">
      <c r="A61" s="40" t="s">
        <v>129</v>
      </c>
      <c r="B61" s="40"/>
      <c r="C61" s="41">
        <f t="shared" si="5"/>
        <v>100.26</v>
      </c>
      <c r="D61" s="42">
        <v>100.26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</row>
    <row r="62" spans="1:15" ht="10.5" customHeight="1" x14ac:dyDescent="0.15">
      <c r="A62" s="40" t="s">
        <v>823</v>
      </c>
      <c r="B62" s="40"/>
      <c r="C62" s="41">
        <f t="shared" si="5"/>
        <v>788.43000000000006</v>
      </c>
      <c r="D62" s="42"/>
      <c r="E62" s="42"/>
      <c r="F62" s="42"/>
      <c r="G62" s="42">
        <v>262.11</v>
      </c>
      <c r="H62" s="42">
        <v>526.32000000000005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</row>
    <row r="63" spans="1:15" ht="10.5" customHeight="1" x14ac:dyDescent="0.15">
      <c r="A63" s="40" t="s">
        <v>824</v>
      </c>
      <c r="B63" s="40"/>
      <c r="C63" s="41">
        <f t="shared" si="5"/>
        <v>7200</v>
      </c>
      <c r="D63" s="42">
        <f t="shared" ref="D63:I63" si="7">E63</f>
        <v>600</v>
      </c>
      <c r="E63" s="42">
        <f t="shared" si="7"/>
        <v>600</v>
      </c>
      <c r="F63" s="42">
        <f t="shared" si="7"/>
        <v>600</v>
      </c>
      <c r="G63" s="42">
        <f t="shared" si="7"/>
        <v>600</v>
      </c>
      <c r="H63" s="42">
        <f t="shared" si="7"/>
        <v>600</v>
      </c>
      <c r="I63" s="42">
        <f t="shared" si="7"/>
        <v>600</v>
      </c>
      <c r="J63" s="42">
        <v>600</v>
      </c>
      <c r="K63" s="42">
        <v>600</v>
      </c>
      <c r="L63" s="42">
        <v>600</v>
      </c>
      <c r="M63" s="42">
        <v>600</v>
      </c>
      <c r="N63" s="42">
        <v>600</v>
      </c>
      <c r="O63" s="42">
        <v>600</v>
      </c>
    </row>
    <row r="64" spans="1:15" ht="10.5" customHeight="1" x14ac:dyDescent="0.15">
      <c r="A64" s="45" t="s">
        <v>825</v>
      </c>
      <c r="B64" s="40"/>
      <c r="C64" s="41">
        <f t="shared" si="5"/>
        <v>0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</row>
    <row r="65" spans="1:15" ht="10.5" customHeight="1" x14ac:dyDescent="0.15">
      <c r="A65" s="40" t="s">
        <v>130</v>
      </c>
      <c r="B65" s="40"/>
      <c r="C65" s="41">
        <f t="shared" si="5"/>
        <v>77630.739999999991</v>
      </c>
      <c r="D65" s="42">
        <v>0</v>
      </c>
      <c r="E65" s="42">
        <v>25749.27</v>
      </c>
      <c r="F65" s="42">
        <v>0</v>
      </c>
      <c r="G65" s="42">
        <v>8627.1200000000008</v>
      </c>
      <c r="H65" s="42">
        <v>4972.63</v>
      </c>
      <c r="I65" s="42">
        <v>4998.5</v>
      </c>
      <c r="J65" s="42">
        <v>4775.0600000000004</v>
      </c>
      <c r="K65" s="42">
        <v>4380.79</v>
      </c>
      <c r="L65" s="42">
        <v>4339.57</v>
      </c>
      <c r="M65" s="42">
        <v>9207.4</v>
      </c>
      <c r="N65" s="42">
        <v>0</v>
      </c>
      <c r="O65" s="42">
        <v>10580.4</v>
      </c>
    </row>
    <row r="66" spans="1:15" ht="10.5" customHeight="1" x14ac:dyDescent="0.15">
      <c r="A66" s="43" t="s">
        <v>269</v>
      </c>
      <c r="B66" s="43"/>
      <c r="C66" s="44">
        <f t="shared" ref="C66:O66" si="8">SUM(C31:C65)</f>
        <v>8753694.0599999987</v>
      </c>
      <c r="D66" s="44">
        <f t="shared" si="8"/>
        <v>393765.62</v>
      </c>
      <c r="E66" s="44">
        <f t="shared" si="8"/>
        <v>2013621.6199999999</v>
      </c>
      <c r="F66" s="44">
        <f t="shared" si="8"/>
        <v>1855119.79</v>
      </c>
      <c r="G66" s="44">
        <f t="shared" si="8"/>
        <v>2800936.61</v>
      </c>
      <c r="H66" s="44">
        <f t="shared" si="8"/>
        <v>539487.57999999996</v>
      </c>
      <c r="I66" s="44">
        <f t="shared" si="8"/>
        <v>148529.52999999997</v>
      </c>
      <c r="J66" s="44">
        <f t="shared" si="8"/>
        <v>175895.97999999998</v>
      </c>
      <c r="K66" s="44">
        <f t="shared" si="8"/>
        <v>167420.83000000005</v>
      </c>
      <c r="L66" s="44">
        <f t="shared" si="8"/>
        <v>188337.75</v>
      </c>
      <c r="M66" s="44">
        <f t="shared" si="8"/>
        <v>201071.17</v>
      </c>
      <c r="N66" s="44">
        <f t="shared" si="8"/>
        <v>178597.09999999998</v>
      </c>
      <c r="O66" s="44">
        <f t="shared" si="8"/>
        <v>90910.479999999981</v>
      </c>
    </row>
    <row r="67" spans="1:15" ht="13.25" customHeight="1" x14ac:dyDescent="0.15"/>
    <row r="68" spans="1:15" ht="10.5" customHeight="1" x14ac:dyDescent="0.15">
      <c r="A68" s="46" t="s">
        <v>270</v>
      </c>
      <c r="B68" s="46"/>
      <c r="C68" s="47">
        <f t="shared" ref="C68:O68" si="9">((C24 + C28) - C66)</f>
        <v>762825.92999999784</v>
      </c>
      <c r="D68" s="47">
        <f t="shared" si="9"/>
        <v>-22692887.640000008</v>
      </c>
      <c r="E68" s="47">
        <f t="shared" si="9"/>
        <v>7876665.0999999987</v>
      </c>
      <c r="F68" s="47">
        <f t="shared" si="9"/>
        <v>6518748.5900000017</v>
      </c>
      <c r="G68" s="47">
        <f t="shared" si="9"/>
        <v>10622137.109999999</v>
      </c>
      <c r="H68" s="47">
        <f t="shared" si="9"/>
        <v>-544774.64999999991</v>
      </c>
      <c r="I68" s="47">
        <f t="shared" si="9"/>
        <v>-127329.66999999997</v>
      </c>
      <c r="J68" s="47">
        <f t="shared" si="9"/>
        <v>-147575.27999999997</v>
      </c>
      <c r="K68" s="47">
        <f t="shared" si="9"/>
        <v>-117419.72000000004</v>
      </c>
      <c r="L68" s="47">
        <f t="shared" si="9"/>
        <v>-215339.93</v>
      </c>
      <c r="M68" s="47">
        <f t="shared" si="9"/>
        <v>-181156.63</v>
      </c>
      <c r="N68" s="47">
        <f t="shared" si="9"/>
        <v>-145028.93999999997</v>
      </c>
      <c r="O68" s="47">
        <f t="shared" si="9"/>
        <v>-83212.409999999974</v>
      </c>
    </row>
    <row r="69" spans="1:15" s="168" customFormat="1" ht="15" customHeight="1" x14ac:dyDescent="0.2"/>
    <row r="70" spans="1:15" s="168" customFormat="1" ht="15" customHeight="1" x14ac:dyDescent="0.2"/>
    <row r="71" spans="1:15" s="168" customFormat="1" ht="15" customHeight="1" x14ac:dyDescent="0.2"/>
    <row r="72" spans="1:15" s="168" customFormat="1" ht="15" customHeight="1" x14ac:dyDescent="0.2"/>
  </sheetData>
  <mergeCells count="8">
    <mergeCell ref="A30:O30"/>
    <mergeCell ref="A69:XFD72"/>
    <mergeCell ref="A1:O1"/>
    <mergeCell ref="A2:O2"/>
    <mergeCell ref="A3:O3"/>
    <mergeCell ref="A7:O7"/>
    <mergeCell ref="A13:O13"/>
    <mergeCell ref="A26:O26"/>
  </mergeCells>
  <pageMargins left="0.7" right="0.7" top="0.75" bottom="0.75" header="0.3" footer="0.3"/>
  <pageSetup paperSize="9" fitToWidth="0" fitToHeight="0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1"/>
  <sheetViews>
    <sheetView workbookViewId="0">
      <selection activeCell="I1" sqref="I1"/>
    </sheetView>
  </sheetViews>
  <sheetFormatPr baseColWidth="10" defaultRowHeight="15" x14ac:dyDescent="0.2"/>
  <cols>
    <col min="9" max="9" width="41.33203125" bestFit="1" customWidth="1"/>
  </cols>
  <sheetData>
    <row r="1" spans="2:9" x14ac:dyDescent="0.2">
      <c r="C1" s="152">
        <v>591.78</v>
      </c>
      <c r="D1" s="152">
        <v>591.78</v>
      </c>
      <c r="E1" s="152">
        <v>591.78</v>
      </c>
      <c r="F1" s="152">
        <v>591.78</v>
      </c>
      <c r="G1" s="152">
        <v>591.78</v>
      </c>
      <c r="H1" s="152">
        <v>591.78</v>
      </c>
      <c r="I1" s="152" t="str">
        <f>C1&amp;","&amp;D1&amp;","&amp;E1&amp;","&amp;F1&amp;","&amp;G1&amp;","&amp;H1</f>
        <v>591.78,591.78,591.78,591.78,591.78,591.78</v>
      </c>
    </row>
    <row r="5" spans="2:9" x14ac:dyDescent="0.2">
      <c r="B5">
        <v>1</v>
      </c>
      <c r="C5" s="152">
        <v>-246794.53</v>
      </c>
    </row>
    <row r="6" spans="2:9" x14ac:dyDescent="0.2">
      <c r="B6">
        <v>2</v>
      </c>
      <c r="C6" s="152">
        <v>-246794.53</v>
      </c>
    </row>
    <row r="7" spans="2:9" x14ac:dyDescent="0.2">
      <c r="B7">
        <v>3</v>
      </c>
      <c r="C7" s="152">
        <v>-246794.53</v>
      </c>
    </row>
    <row r="8" spans="2:9" x14ac:dyDescent="0.2">
      <c r="B8">
        <v>4</v>
      </c>
      <c r="C8" s="152">
        <v>-246794.53</v>
      </c>
    </row>
    <row r="9" spans="2:9" x14ac:dyDescent="0.2">
      <c r="B9">
        <v>5</v>
      </c>
      <c r="C9" s="152">
        <v>-246794.53</v>
      </c>
    </row>
    <row r="10" spans="2:9" x14ac:dyDescent="0.2">
      <c r="B10">
        <v>6</v>
      </c>
      <c r="C10" s="152">
        <v>-246794.53</v>
      </c>
    </row>
    <row r="11" spans="2:9" x14ac:dyDescent="0.2">
      <c r="C11" s="15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CPC CREDITORS</vt:lpstr>
      <vt:lpstr>Heron Fields</vt:lpstr>
      <vt:lpstr>CPC</vt:lpstr>
      <vt:lpstr>Cost of Sales Summary</vt:lpstr>
      <vt:lpstr>CPC 24</vt:lpstr>
      <vt:lpstr>CPC 25</vt:lpstr>
      <vt:lpstr>DEVELOPERS FEES</vt:lpstr>
      <vt:lpstr>2023 Xero HF</vt:lpstr>
      <vt:lpstr>Sheet2</vt:lpstr>
      <vt:lpstr>2024 Xero HF  </vt:lpstr>
      <vt:lpstr>2025 Xero HF</vt:lpstr>
      <vt:lpstr>TB HF 2024</vt:lpstr>
      <vt:lpstr>TB HF 2023</vt:lpstr>
      <vt:lpstr>TB HF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du Plessis</dc:creator>
  <cp:lastModifiedBy>Wayne Bruton</cp:lastModifiedBy>
  <dcterms:created xsi:type="dcterms:W3CDTF">2015-06-05T18:17:20Z</dcterms:created>
  <dcterms:modified xsi:type="dcterms:W3CDTF">2023-10-12T12:02:45Z</dcterms:modified>
</cp:coreProperties>
</file>